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4.xml" ContentType="application/vnd.openxmlformats-officedocument.drawing+xml"/>
  <Override PartName="/xl/comments1.xml" ContentType="application/vnd.openxmlformats-officedocument.spreadsheetml.comments+xml"/>
  <Override PartName="/xl/pivotTables/pivotTable2.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5.xml" ContentType="application/vnd.openxmlformats-officedocument.drawing+xml"/>
  <Override PartName="/xl/comments14.xml" ContentType="application/vnd.openxmlformats-officedocument.spreadsheetml.comments+xml"/>
  <Override PartName="/xl/drawings/drawing6.xml" ContentType="application/vnd.openxmlformats-officedocument.drawing+xml"/>
  <Override PartName="/xl/comments15.xml" ContentType="application/vnd.openxmlformats-officedocument.spreadsheetml.comments+xml"/>
  <Override PartName="/xl/drawings/drawing7.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hidePivotFieldList="1"/>
  <mc:AlternateContent xmlns:mc="http://schemas.openxmlformats.org/markup-compatibility/2006">
    <mc:Choice Requires="x15">
      <x15ac:absPath xmlns:x15ac="http://schemas.microsoft.com/office/spreadsheetml/2010/11/ac" url="https://neeanet.neea.org/departments/mp/Stakeholder Reports/"/>
    </mc:Choice>
  </mc:AlternateContent>
  <xr:revisionPtr revIDLastSave="0" documentId="13_ncr:1_{3D9ABD74-7D22-4672-905E-C43CDA122C46}" xr6:coauthVersionLast="47" xr6:coauthVersionMax="47" xr10:uidLastSave="{00000000-0000-0000-0000-000000000000}"/>
  <workbookProtection workbookAlgorithmName="SHA-512" workbookHashValue="U9Z9VT3RL9H70axIC/ltGNtul7xC09UQZkGwji7oqtKnNukm2HkVKc4OdWlVb04i//3JZXKGbqdqUyownGrV8A==" workbookSaltValue="MeeJChpj9K+mCFz+z1SAbQ==" workbookSpinCount="100000" lockStructure="1"/>
  <bookViews>
    <workbookView xWindow="-120" yWindow="-120" windowWidth="29040" windowHeight="15840" tabRatio="944" firstSheet="3" activeTab="3" xr2:uid="{9A1F3BD0-E1BF-4568-9343-0AC406A6C2EE}"/>
  </bookViews>
  <sheets>
    <sheet name="List" sheetId="30" state="hidden" r:id="rId1"/>
    <sheet name="Selection" sheetId="29" state="hidden" r:id="rId2"/>
    <sheet name="Assumptions" sheetId="82" state="hidden" r:id="rId3"/>
    <sheet name="Title" sheetId="68" r:id="rId4"/>
    <sheet name="Outline" sheetId="35" r:id="rId5"/>
    <sheet name="2024 Annual Report" sheetId="51" state="hidden" r:id="rId6"/>
    <sheet name="2024-2025 Summary" sheetId="63" r:id="rId7"/>
    <sheet name="2026-2027 Summary" sheetId="69" r:id="rId8"/>
    <sheet name="format for memo" sheetId="83" state="hidden" r:id="rId9"/>
    <sheet name="Report Summary" sheetId="78" r:id="rId10"/>
    <sheet name="Methodology" sheetId="26" r:id="rId11"/>
    <sheet name="Allocation" sheetId="27" r:id="rId12"/>
    <sheet name="AMMO Initiatives" sheetId="85" state="hidden" r:id="rId13"/>
    <sheet name="C&amp;S List" sheetId="46" r:id="rId14"/>
    <sheet name="Common Qs" sheetId="71" state="hidden" r:id="rId15"/>
    <sheet name="DHP" sheetId="14" r:id="rId16"/>
    <sheet name="UnitsFunderShareAllocation" sheetId="81" state="hidden" r:id="rId17"/>
    <sheet name="XMP" sheetId="56" r:id="rId18"/>
    <sheet name="HPWH" sheetId="15" r:id="rId19"/>
    <sheet name="Manufactured_Homes" sheetId="52" r:id="rId20"/>
    <sheet name="AMMO Measures" sheetId="61" state="hidden" r:id="rId21"/>
    <sheet name="AMMO Savings Rates" sheetId="59" state="hidden" r:id="rId22"/>
    <sheet name="AMMO Funder Share" sheetId="60" state="hidden" r:id="rId23"/>
    <sheet name="Estimates" sheetId="66" state="hidden" r:id="rId24"/>
    <sheet name="AMMO Units" sheetId="58" state="hidden" r:id="rId25"/>
    <sheet name="AMMO vwFlags" sheetId="77" state="hidden" r:id="rId26"/>
    <sheet name="Frig_Freezers" sheetId="20" r:id="rId27"/>
    <sheet name="Clothes_Washers" sheetId="18" r:id="rId28"/>
    <sheet name="Clothes_Dryers" sheetId="17" r:id="rId29"/>
    <sheet name="Room_AC" sheetId="21" r:id="rId30"/>
    <sheet name="TVs" sheetId="65" r:id="rId31"/>
    <sheet name="Air_Cleaners" sheetId="57" state="hidden" r:id="rId32"/>
    <sheet name="Soundbars" sheetId="22" state="hidden" r:id="rId33"/>
    <sheet name="High Performance HVAC" sheetId="67" r:id="rId34"/>
    <sheet name="Com_Lighting" sheetId="11" r:id="rId35"/>
    <sheet name="New Construction_Regional" sheetId="84" r:id="rId36"/>
    <sheet name="New Construction_WA" sheetId="8" r:id="rId37"/>
    <sheet name="Other Products" sheetId="24" r:id="rId38"/>
    <sheet name="Window_Attachmts" sheetId="37" state="hidden" r:id="rId39"/>
  </sheets>
  <externalReferences>
    <externalReference r:id="rId40"/>
    <externalReference r:id="rId41"/>
    <externalReference r:id="rId42"/>
    <externalReference r:id="rId43"/>
    <externalReference r:id="rId44"/>
    <externalReference r:id="rId45"/>
    <externalReference r:id="rId46"/>
    <externalReference r:id="rId47"/>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788</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31" hidden="1">Air_Cleaners!$A$12:$AB$14</definedName>
    <definedName name="_xlnm._FilterDatabase" localSheetId="20" hidden="1">'AMMO Measures'!$L$2:$L$1024</definedName>
    <definedName name="_xlnm._FilterDatabase" localSheetId="28" hidden="1">Clothes_Dryers!$F$11:$T$11</definedName>
    <definedName name="_xlnm._FilterDatabase" localSheetId="27" hidden="1">Clothes_Washers!$F$11:$T$11</definedName>
    <definedName name="_xlnm._FilterDatabase" localSheetId="34" hidden="1">Com_Lighting!$A$12:$T$12</definedName>
    <definedName name="_xlnm._FilterDatabase" localSheetId="15" hidden="1">DHP!$A$11:$T$11</definedName>
    <definedName name="_xlnm._FilterDatabase" localSheetId="23" hidden="1">Estimates!$A$1:$E$223</definedName>
    <definedName name="_xlnm._FilterDatabase" localSheetId="26" hidden="1">Frig_Freezers!$F$11:$T$36</definedName>
    <definedName name="_xlnm._FilterDatabase" localSheetId="33" hidden="1">'High Performance HVAC'!$A$12:$V$12</definedName>
    <definedName name="_xlnm._FilterDatabase" localSheetId="18" hidden="1">HPWH!$A$11:$XFB$11</definedName>
    <definedName name="_xlnm._FilterDatabase" localSheetId="19" hidden="1">Manufactured_Homes!$A$11:$U$15</definedName>
    <definedName name="_xlnm._FilterDatabase" localSheetId="35" hidden="1">'New Construction_Regional'!$A$11:$XEZ$57</definedName>
    <definedName name="_xlnm._FilterDatabase" localSheetId="36" hidden="1">'New Construction_WA'!$A$11:$XEZ$31</definedName>
    <definedName name="_xlnm._FilterDatabase" localSheetId="37" hidden="1">'Other Products'!$A$14:$T$29</definedName>
    <definedName name="_xlnm._FilterDatabase" localSheetId="29" hidden="1">Room_AC!$A$11:$AA$18</definedName>
    <definedName name="_xlnm._FilterDatabase" localSheetId="32" hidden="1">Soundbars!$A$12:$AA$19</definedName>
    <definedName name="_xlnm._FilterDatabase" localSheetId="30" hidden="1">TVs!$A$11:$AA$18</definedName>
    <definedName name="_xlnm._FilterDatabase" localSheetId="38" hidden="1">Window_Attachmts!$A$12:$T$16</definedName>
    <definedName name="_xlnm._FilterDatabase" localSheetId="17" hidden="1">XMP!$A$11:$V$63</definedName>
    <definedName name="_Key1" localSheetId="14" hidden="1">#REF!</definedName>
    <definedName name="_Key1" localSheetId="19" hidden="1">#REF!</definedName>
    <definedName name="_Key1" hidden="1">#REF!</definedName>
    <definedName name="_Order1" hidden="1">255</definedName>
    <definedName name="_Sort" localSheetId="14" hidden="1">#REF!</definedName>
    <definedName name="_Sort" localSheetId="19" hidden="1">#REF!</definedName>
    <definedName name="_Sort" hidden="1">#REF!</definedName>
    <definedName name="Adjustments">HPWH!#REF!</definedName>
    <definedName name="Allocation_list" localSheetId="4">[1]Lists!$E$2:$E$5</definedName>
    <definedName name="Allocation_list">List!$E$2:$E$5</definedName>
    <definedName name="BaselineVersion_list">[2]lists!$I$6:$I$16</definedName>
    <definedName name="CostDataSourceTypes">[3]Sheet1!$A$2:$A$12</definedName>
    <definedName name="DBA0092c4b19a7a41b2b4c2add4bf5e10f6">[4]Sheet3!$E$2:$E$6</definedName>
    <definedName name="DBA38631bd3d87247758fcefe072f87c29b">[4]Sheet3!$B$2:$B$138</definedName>
    <definedName name="DBAb647fa05d29b4d878e18a72f3c11e087">[4]Sheet3!$C$2:$C$138</definedName>
    <definedName name="DBAd3358d62f67f4a81b6247fbf62d40ced">[4]Sheet3!$D$2:$D$126</definedName>
    <definedName name="ExternalData_1" localSheetId="25" hidden="1">'AMMO vwFlags'!$A$1:$I$1482</definedName>
    <definedName name="hpwhrtf">HPWH!#REF!</definedName>
    <definedName name="List_allocation">[5]Lists!$G$1:$G$5</definedName>
    <definedName name="List_Programs">[6]Lookup!$H$2:$H$103</definedName>
    <definedName name="List_ReportArchive">[1]Lists!$G$2:$G$35</definedName>
    <definedName name="List_ReportName">[5]Lists!$I$2:$I$20</definedName>
    <definedName name="List_year">List!$F$2:$F$5</definedName>
    <definedName name="Period_list" localSheetId="4">[1]Lists!$D$2:$D$10</definedName>
    <definedName name="Period_List">List!$D$2:$D$8</definedName>
    <definedName name="PNWShare">'[7]All Products'!$M$6</definedName>
    <definedName name="pp_list">[2]lists!$M$5:$M$7</definedName>
    <definedName name="Report_Archive">[2]lists!$L$5:$L$102</definedName>
    <definedName name="Report_Archive_list" localSheetId="14">[8]List!$G$2:$G$22</definedName>
    <definedName name="Report_Archive_list">List!$G$2:$G$22</definedName>
    <definedName name="Report_List">List!$C$2:$C$6</definedName>
    <definedName name="ReportName_List">List!$H$2:$H$28</definedName>
    <definedName name="ReportTypes_list">[1]Lists!$C$2:$C$9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ource_list">List!$I$2:$I$5</definedName>
    <definedName name="Stakeholder">[2]lists!$C$5:$C$27</definedName>
    <definedName name="Stakeholder_list">[1]Lists!$A$2:$A$21</definedName>
    <definedName name="Stakeholders_List">List!$A$2:$A$27</definedName>
    <definedName name="State">[2]lists!$E$5:$E$10</definedName>
    <definedName name="State_List" localSheetId="14">[8]List!$B$2:$B$6</definedName>
    <definedName name="State_list" localSheetId="4">[1]Lists!$B$2:$B$6</definedName>
    <definedName name="State_List">List!$B$2:$B$6</definedName>
    <definedName name="TF_List">[2]lists!$K$6:$K$8</definedName>
    <definedName name="Year_list" localSheetId="14">[8]List!$F$2:$F$5</definedName>
    <definedName name="Year_List" localSheetId="4">[1]Lists!$F$2:$F$8</definedName>
    <definedName name="Year_list">List!$F$2:$F$5</definedName>
  </definedNames>
  <calcPr calcId="191029" calcOnSave="0"/>
  <pivotCaches>
    <pivotCache cacheId="737" r:id="rId48"/>
    <pivotCache cacheId="738" r:id="rId49"/>
    <pivotCache cacheId="739" r:id="rId50"/>
    <pivotCache cacheId="740" r:id="rId51"/>
    <pivotCache cacheId="741" r:id="rId52"/>
    <pivotCache cacheId="742" r:id="rId53"/>
    <pivotCache cacheId="743" r:id="rId5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wMeasures_9dcdbbcb-83bb-4fe0-b79f-86a81ad1f796" name="vwMeasures" connection="Query - vwMeasures"/>
          <x15:modelTable id="vwFunderShare_ec17ac72-6086-4680-a39e-3dd2d6db4fc0" name="vwFunderShare" connection="Query - vwFunderShare1"/>
          <x15:modelTable id="vwWAIOU_24242837-6415-4bb3-a890-dde09cea2433" name="vwWAIOU" connection="Query - vwWAIOU(1)"/>
          <x15:modelTable id="vwSavingsRates_0930d482-32b8-4bbe-b26b-79a31ed31db8" name="vwSavingsRates" connection="Query - vwSavingsRates"/>
          <x15:modelTable id="Funder_Shares_Elect_a2a2ddd2-114a-4f78-9d72-4e6d22608ffe" name="Funder_Shares_Elect" connection="Query - Funder_Shares_Elect"/>
          <x15:modelTable id="Merge1_4f91129e-aa81-4d37-bb29-58bd92c49715" name="Merge1" connection="Query - Merge1"/>
          <x15:modelTable id="vwUnits_dfda0680-a8c8-40ff-98f0-e3c226f362e1" name="vwUnits" connection="Query - vwUnits"/>
          <x15:modelTable id="vwFlags_e69c201c-203e-4b5f-9136-e23b01b98a0f" name="vwFlags" connection="Query - vwFlags"/>
          <x15:modelTable id="UnitsFunderShareAllocation_86437a1c-2043-4c8b-bdd9-7a4899630f1a" name="UnitsFunderShareAllocation" connection="Query - UnitsFunderShareAllocation"/>
          <x15:modelTable id="Com_Shares_Elect_3d1963ff-4a0b-41d1-bff4-7650871b1abd" name="Com_Shares_Elect" connection="Query - Com_Shares_Elect"/>
          <x15:modelTable id="Res_Shares_Elect5_f8673896-8a31-487b-901a-4417c09db32c" name="Res_Shares_Elect5" connection="Query - Res_Shares_Elect5"/>
          <x15:modelTable id="State Shares for Codes_76a88242-1d26-4c16-ad62-24c7c243b81f" name="State Shares for Codes" connection="Query - State Shares for Code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7" i="84" l="1"/>
  <c r="Q22" i="8"/>
  <c r="N11" i="8"/>
  <c r="O16" i="17"/>
  <c r="D24" i="63"/>
  <c r="C7" i="46"/>
  <c r="C3" i="46"/>
  <c r="L46" i="84"/>
  <c r="L34" i="84" l="1"/>
  <c r="E30" i="69"/>
  <c r="F30" i="69"/>
  <c r="F29" i="63"/>
  <c r="E29" i="63"/>
  <c r="E8" i="27"/>
  <c r="L45" i="84"/>
  <c r="L44" i="84"/>
  <c r="L43" i="84"/>
  <c r="L42" i="84"/>
  <c r="O47" i="84"/>
  <c r="C2" i="68" l="1"/>
  <c r="C3" i="68"/>
  <c r="B2" i="63"/>
  <c r="M137" i="84" l="1"/>
  <c r="M135" i="84" s="1"/>
  <c r="N135" i="84" s="1"/>
  <c r="L47" i="84"/>
  <c r="J47" i="84"/>
  <c r="I47" i="84"/>
  <c r="F47" i="84"/>
  <c r="B47" i="84"/>
  <c r="J46" i="84"/>
  <c r="I46" i="84"/>
  <c r="F46" i="84"/>
  <c r="B46" i="84"/>
  <c r="O45" i="84"/>
  <c r="J45" i="84"/>
  <c r="I45" i="84"/>
  <c r="F45" i="84"/>
  <c r="B45" i="84"/>
  <c r="O44" i="84"/>
  <c r="J44" i="84"/>
  <c r="I44" i="84"/>
  <c r="F44" i="84"/>
  <c r="B44" i="84"/>
  <c r="O43" i="84"/>
  <c r="J43" i="84"/>
  <c r="I43" i="84"/>
  <c r="F43" i="84"/>
  <c r="B43" i="84"/>
  <c r="O42" i="84"/>
  <c r="J42" i="84"/>
  <c r="I42" i="84"/>
  <c r="F42" i="84"/>
  <c r="B42" i="84"/>
  <c r="O41" i="84"/>
  <c r="L41" i="84"/>
  <c r="J41" i="84"/>
  <c r="I41" i="84"/>
  <c r="F41" i="84"/>
  <c r="B41" i="84"/>
  <c r="O40" i="84"/>
  <c r="L40" i="84"/>
  <c r="J40" i="84"/>
  <c r="I40" i="84"/>
  <c r="F40" i="84"/>
  <c r="B40" i="84"/>
  <c r="O39" i="84"/>
  <c r="L39" i="84"/>
  <c r="J39" i="84"/>
  <c r="I39" i="84"/>
  <c r="F39" i="84"/>
  <c r="B39" i="84"/>
  <c r="O38" i="84"/>
  <c r="L38" i="84"/>
  <c r="J38" i="84"/>
  <c r="I38" i="84"/>
  <c r="F38" i="84"/>
  <c r="B38" i="84"/>
  <c r="O37" i="84"/>
  <c r="L37" i="84"/>
  <c r="J37" i="84"/>
  <c r="I37" i="84"/>
  <c r="F37" i="84"/>
  <c r="B37" i="84"/>
  <c r="O36" i="84"/>
  <c r="L36" i="84"/>
  <c r="J36" i="84"/>
  <c r="I36" i="84"/>
  <c r="F36" i="84"/>
  <c r="B36" i="84"/>
  <c r="O35" i="84"/>
  <c r="L35" i="84"/>
  <c r="J35" i="84"/>
  <c r="I35" i="84"/>
  <c r="F35" i="84"/>
  <c r="B35" i="84"/>
  <c r="O34" i="84"/>
  <c r="J34" i="84"/>
  <c r="I34" i="84"/>
  <c r="F34" i="84"/>
  <c r="B34" i="84"/>
  <c r="O33" i="84"/>
  <c r="L33" i="84"/>
  <c r="J33" i="84"/>
  <c r="I33" i="84"/>
  <c r="F33" i="84"/>
  <c r="B33" i="84"/>
  <c r="O32" i="84"/>
  <c r="L32" i="84"/>
  <c r="J32" i="84"/>
  <c r="I32" i="84"/>
  <c r="F32" i="84"/>
  <c r="B32" i="84"/>
  <c r="O31" i="84"/>
  <c r="L31" i="84"/>
  <c r="J31" i="84"/>
  <c r="I31" i="84"/>
  <c r="F31" i="84"/>
  <c r="B31" i="84"/>
  <c r="O30" i="84"/>
  <c r="L30" i="84"/>
  <c r="J30" i="84"/>
  <c r="I30" i="84"/>
  <c r="F30" i="84"/>
  <c r="B30" i="84"/>
  <c r="O29" i="84"/>
  <c r="L29" i="84"/>
  <c r="J29" i="84"/>
  <c r="I29" i="84"/>
  <c r="F29" i="84"/>
  <c r="B29" i="84"/>
  <c r="O28" i="84"/>
  <c r="L28" i="84"/>
  <c r="J28" i="84"/>
  <c r="I28" i="84"/>
  <c r="F28" i="84"/>
  <c r="B28" i="84"/>
  <c r="O27" i="84"/>
  <c r="L27" i="84"/>
  <c r="J27" i="84"/>
  <c r="I27" i="84"/>
  <c r="O26" i="84"/>
  <c r="L26" i="84"/>
  <c r="J26" i="84"/>
  <c r="I26" i="84"/>
  <c r="O25" i="84"/>
  <c r="L25" i="84"/>
  <c r="J25" i="84"/>
  <c r="I25" i="84"/>
  <c r="F25" i="84"/>
  <c r="B25" i="84"/>
  <c r="O24" i="84"/>
  <c r="L24" i="84"/>
  <c r="J24" i="84"/>
  <c r="I24" i="84"/>
  <c r="F24" i="84"/>
  <c r="B24" i="84"/>
  <c r="O23" i="84"/>
  <c r="L23" i="84"/>
  <c r="J23" i="84"/>
  <c r="I23" i="84"/>
  <c r="F23" i="84"/>
  <c r="B23" i="84"/>
  <c r="O22" i="84"/>
  <c r="L22" i="84"/>
  <c r="J22" i="84"/>
  <c r="I22" i="84"/>
  <c r="F22" i="84"/>
  <c r="B22" i="84"/>
  <c r="O21" i="84"/>
  <c r="L21" i="84"/>
  <c r="J21" i="84"/>
  <c r="I21" i="84"/>
  <c r="F21" i="84"/>
  <c r="B21" i="84"/>
  <c r="O20" i="84"/>
  <c r="L20" i="84"/>
  <c r="J20" i="84"/>
  <c r="I20" i="84"/>
  <c r="F20" i="84"/>
  <c r="B20" i="84"/>
  <c r="O19" i="84"/>
  <c r="L19" i="84"/>
  <c r="J19" i="84"/>
  <c r="I19" i="84"/>
  <c r="F19" i="84"/>
  <c r="B19" i="84"/>
  <c r="O18" i="84"/>
  <c r="L18" i="84"/>
  <c r="J18" i="84"/>
  <c r="I18" i="84"/>
  <c r="F18" i="84"/>
  <c r="B18" i="84"/>
  <c r="O17" i="84"/>
  <c r="L17" i="84"/>
  <c r="J17" i="84"/>
  <c r="I17" i="84"/>
  <c r="F17" i="84"/>
  <c r="B17" i="84"/>
  <c r="O16" i="84"/>
  <c r="L16" i="84"/>
  <c r="J16" i="84"/>
  <c r="I16" i="84"/>
  <c r="F16" i="84"/>
  <c r="B16" i="84"/>
  <c r="O15" i="84"/>
  <c r="L15" i="84"/>
  <c r="J15" i="84"/>
  <c r="I15" i="84"/>
  <c r="F15" i="84"/>
  <c r="B15" i="84"/>
  <c r="O14" i="84"/>
  <c r="L14" i="84"/>
  <c r="J14" i="84"/>
  <c r="I14" i="84"/>
  <c r="F14" i="84"/>
  <c r="B14" i="84"/>
  <c r="O13" i="84"/>
  <c r="L13" i="84"/>
  <c r="J13" i="84"/>
  <c r="I13" i="84"/>
  <c r="F13" i="84"/>
  <c r="B13" i="84"/>
  <c r="O12" i="84"/>
  <c r="L12" i="84"/>
  <c r="J12" i="84"/>
  <c r="I12" i="84"/>
  <c r="F12" i="84"/>
  <c r="B12" i="84"/>
  <c r="N11" i="84"/>
  <c r="H18" i="83"/>
  <c r="F18" i="83"/>
  <c r="G18" i="83"/>
  <c r="I18" i="83"/>
  <c r="B23" i="24"/>
  <c r="F23" i="24"/>
  <c r="G23" i="24"/>
  <c r="H23" i="24"/>
  <c r="I23" i="24"/>
  <c r="J23" i="24"/>
  <c r="L23" i="24"/>
  <c r="O23" i="24" s="1"/>
  <c r="P23" i="24"/>
  <c r="B24" i="24"/>
  <c r="F24" i="24"/>
  <c r="G24" i="24"/>
  <c r="H24" i="24"/>
  <c r="I24" i="24"/>
  <c r="J24" i="24"/>
  <c r="L24" i="24"/>
  <c r="O24" i="24" s="1"/>
  <c r="P24" i="24"/>
  <c r="B25" i="24"/>
  <c r="F25" i="24"/>
  <c r="G25" i="24"/>
  <c r="H25" i="24"/>
  <c r="I25" i="24"/>
  <c r="J25" i="24"/>
  <c r="L25" i="24"/>
  <c r="P25" i="24"/>
  <c r="B26" i="24"/>
  <c r="F26" i="24"/>
  <c r="G26" i="24"/>
  <c r="H26" i="24"/>
  <c r="I26" i="24"/>
  <c r="J26" i="24"/>
  <c r="L26" i="24"/>
  <c r="O26" i="24" s="1"/>
  <c r="P26" i="24"/>
  <c r="N66" i="15"/>
  <c r="M66" i="15"/>
  <c r="L66" i="15"/>
  <c r="J66" i="15"/>
  <c r="I66" i="15"/>
  <c r="H66" i="15"/>
  <c r="G66" i="15"/>
  <c r="F66" i="15"/>
  <c r="B66" i="15"/>
  <c r="N64" i="15"/>
  <c r="M64" i="15"/>
  <c r="L64" i="15"/>
  <c r="J64" i="15"/>
  <c r="I64" i="15"/>
  <c r="H64" i="15"/>
  <c r="G64" i="15"/>
  <c r="F64" i="15"/>
  <c r="B64" i="15"/>
  <c r="N50" i="15"/>
  <c r="M50" i="15"/>
  <c r="L50" i="15"/>
  <c r="J50" i="15"/>
  <c r="I50" i="15"/>
  <c r="H50" i="15"/>
  <c r="G50" i="15"/>
  <c r="F50" i="15"/>
  <c r="B50" i="15"/>
  <c r="N48" i="15"/>
  <c r="M48" i="15"/>
  <c r="L48" i="15"/>
  <c r="J48" i="15"/>
  <c r="I48" i="15"/>
  <c r="H48" i="15"/>
  <c r="G48" i="15"/>
  <c r="F48" i="15"/>
  <c r="B48" i="15"/>
  <c r="N34" i="15"/>
  <c r="M34" i="15"/>
  <c r="L34" i="15"/>
  <c r="J34" i="15"/>
  <c r="I34" i="15"/>
  <c r="H34" i="15"/>
  <c r="G34" i="15"/>
  <c r="F34" i="15"/>
  <c r="B34" i="15"/>
  <c r="N32" i="15"/>
  <c r="M32" i="15"/>
  <c r="L32" i="15"/>
  <c r="J32" i="15"/>
  <c r="I32" i="15"/>
  <c r="H32" i="15"/>
  <c r="G32" i="15"/>
  <c r="F32" i="15"/>
  <c r="B32" i="15"/>
  <c r="N18" i="15"/>
  <c r="M18" i="15"/>
  <c r="L18" i="15"/>
  <c r="J18" i="15"/>
  <c r="I18" i="15"/>
  <c r="H18" i="15"/>
  <c r="G18" i="15"/>
  <c r="F18" i="15"/>
  <c r="B18" i="15"/>
  <c r="N16" i="15"/>
  <c r="M16" i="15"/>
  <c r="L16" i="15"/>
  <c r="J16" i="15"/>
  <c r="I16" i="15"/>
  <c r="H16" i="15"/>
  <c r="G16" i="15"/>
  <c r="F16" i="15"/>
  <c r="B16" i="15"/>
  <c r="H22" i="24"/>
  <c r="H21" i="24"/>
  <c r="H20" i="24"/>
  <c r="H19" i="24"/>
  <c r="H16" i="11"/>
  <c r="H14" i="11"/>
  <c r="H15" i="11"/>
  <c r="H13" i="11"/>
  <c r="H12" i="17"/>
  <c r="G16" i="11"/>
  <c r="G15" i="11"/>
  <c r="G14" i="11"/>
  <c r="G13" i="11"/>
  <c r="G12" i="65"/>
  <c r="I15" i="21"/>
  <c r="I14" i="21"/>
  <c r="I13" i="21"/>
  <c r="I12" i="21"/>
  <c r="I13" i="17"/>
  <c r="H15" i="21"/>
  <c r="H14" i="21"/>
  <c r="H13" i="21"/>
  <c r="H12" i="21"/>
  <c r="G15" i="21"/>
  <c r="G14" i="21"/>
  <c r="G13" i="21"/>
  <c r="G12" i="21"/>
  <c r="G12" i="17"/>
  <c r="L25" i="17"/>
  <c r="N13" i="67"/>
  <c r="R14" i="67"/>
  <c r="R15" i="67"/>
  <c r="O14" i="67"/>
  <c r="O15" i="67"/>
  <c r="N14" i="67"/>
  <c r="N15" i="67"/>
  <c r="L14" i="67"/>
  <c r="L15" i="67"/>
  <c r="J14" i="67"/>
  <c r="J15" i="67"/>
  <c r="I14" i="67"/>
  <c r="I15" i="67"/>
  <c r="H14" i="67"/>
  <c r="H15" i="67"/>
  <c r="G14" i="67"/>
  <c r="G15" i="67"/>
  <c r="F14" i="67"/>
  <c r="F15" i="67"/>
  <c r="B14" i="67"/>
  <c r="B15" i="67"/>
  <c r="R17" i="67"/>
  <c r="R16" i="67"/>
  <c r="R13" i="67"/>
  <c r="O17" i="67"/>
  <c r="O16" i="67"/>
  <c r="O13" i="67"/>
  <c r="N16" i="67"/>
  <c r="N17" i="67"/>
  <c r="L17" i="67"/>
  <c r="L16" i="67"/>
  <c r="L13" i="67"/>
  <c r="G16" i="69"/>
  <c r="G16" i="83"/>
  <c r="F16" i="83"/>
  <c r="B7" i="84" l="1"/>
  <c r="C8" i="84"/>
  <c r="B8" i="84"/>
  <c r="C7" i="84"/>
  <c r="M120" i="84"/>
  <c r="N120" i="84" s="1"/>
  <c r="M121" i="84"/>
  <c r="N121" i="84" s="1"/>
  <c r="M124" i="84"/>
  <c r="N124" i="84" s="1"/>
  <c r="M125" i="84"/>
  <c r="N125" i="84" s="1"/>
  <c r="M128" i="84"/>
  <c r="N128" i="84" s="1"/>
  <c r="M129" i="84"/>
  <c r="N129" i="84" s="1"/>
  <c r="M132" i="84"/>
  <c r="N132" i="84" s="1"/>
  <c r="M133" i="84"/>
  <c r="N133" i="84" s="1"/>
  <c r="M136" i="84"/>
  <c r="N136" i="84" s="1"/>
  <c r="M122" i="84"/>
  <c r="N122" i="84" s="1"/>
  <c r="M126" i="84"/>
  <c r="N126" i="84" s="1"/>
  <c r="M130" i="84"/>
  <c r="N130" i="84" s="1"/>
  <c r="M134" i="84"/>
  <c r="N134" i="84" s="1"/>
  <c r="M119" i="84"/>
  <c r="N119" i="84" s="1"/>
  <c r="M123" i="84"/>
  <c r="N123" i="84" s="1"/>
  <c r="M127" i="84"/>
  <c r="N127" i="84" s="1"/>
  <c r="M131" i="84"/>
  <c r="N131" i="84" s="1"/>
  <c r="O25" i="24"/>
  <c r="R25" i="24" s="1"/>
  <c r="T25" i="24" s="1"/>
  <c r="R26" i="24"/>
  <c r="T26" i="24" s="1"/>
  <c r="R23" i="24"/>
  <c r="T23" i="24" s="1"/>
  <c r="R24" i="24"/>
  <c r="T24" i="24" s="1"/>
  <c r="I16" i="83"/>
  <c r="H16" i="83"/>
  <c r="B18" i="27" l="1"/>
  <c r="B17" i="27"/>
  <c r="J496" i="60"/>
  <c r="J497" i="60"/>
  <c r="J498" i="60"/>
  <c r="J499" i="60"/>
  <c r="J500" i="60"/>
  <c r="J501" i="60"/>
  <c r="J502" i="60"/>
  <c r="J503" i="60"/>
  <c r="J504" i="60"/>
  <c r="J505" i="60"/>
  <c r="J506" i="60"/>
  <c r="J507" i="60"/>
  <c r="J508" i="60"/>
  <c r="J509" i="60"/>
  <c r="J510" i="60"/>
  <c r="J511" i="60"/>
  <c r="J512" i="60"/>
  <c r="J513" i="60"/>
  <c r="J514" i="60"/>
  <c r="J515" i="60"/>
  <c r="J516" i="60"/>
  <c r="J517" i="60"/>
  <c r="J518" i="60"/>
  <c r="J519" i="60"/>
  <c r="J520" i="60"/>
  <c r="J521" i="60"/>
  <c r="J522" i="60"/>
  <c r="J523" i="60"/>
  <c r="J524" i="60"/>
  <c r="J525" i="60"/>
  <c r="J526" i="60"/>
  <c r="J527" i="60"/>
  <c r="J528" i="60"/>
  <c r="J529" i="60"/>
  <c r="J530" i="60"/>
  <c r="J531" i="60"/>
  <c r="J532" i="60"/>
  <c r="J533" i="60"/>
  <c r="J534" i="60"/>
  <c r="J535" i="60"/>
  <c r="J536" i="60"/>
  <c r="J537" i="60"/>
  <c r="J538" i="60"/>
  <c r="J539" i="60"/>
  <c r="J540" i="60"/>
  <c r="J541" i="60"/>
  <c r="J542" i="60"/>
  <c r="J543" i="60"/>
  <c r="J544" i="60"/>
  <c r="J545" i="60"/>
  <c r="J546" i="60"/>
  <c r="J547" i="60"/>
  <c r="J548" i="60"/>
  <c r="J549" i="60"/>
  <c r="J550" i="60"/>
  <c r="J551" i="60"/>
  <c r="J552" i="60"/>
  <c r="J553" i="60"/>
  <c r="J554" i="60"/>
  <c r="J555" i="60"/>
  <c r="J556" i="60"/>
  <c r="J557" i="60"/>
  <c r="J558" i="60"/>
  <c r="J559" i="60"/>
  <c r="J560" i="60"/>
  <c r="J561" i="60"/>
  <c r="J562" i="60"/>
  <c r="J563" i="60"/>
  <c r="A2" i="27"/>
  <c r="B3" i="27"/>
  <c r="N23" i="8" l="1"/>
  <c r="N18" i="8"/>
  <c r="N19" i="8"/>
  <c r="N22" i="8"/>
  <c r="N14" i="8"/>
  <c r="N15" i="8"/>
  <c r="L19" i="18"/>
  <c r="L22" i="18"/>
  <c r="L16" i="18"/>
  <c r="L13" i="18"/>
  <c r="T234" i="15" l="1"/>
  <c r="S234" i="15"/>
  <c r="R234" i="15"/>
  <c r="T233" i="15"/>
  <c r="S233" i="15"/>
  <c r="R233" i="15"/>
  <c r="T232" i="15"/>
  <c r="S232" i="15"/>
  <c r="R232" i="15"/>
  <c r="L233" i="15"/>
  <c r="K233" i="15"/>
  <c r="J233" i="15"/>
  <c r="L232" i="15"/>
  <c r="K232" i="15"/>
  <c r="J232" i="15"/>
  <c r="T236" i="15"/>
  <c r="S236" i="15"/>
  <c r="R236" i="15"/>
  <c r="T235" i="15"/>
  <c r="S235" i="15"/>
  <c r="R235" i="15"/>
  <c r="L231" i="15"/>
  <c r="K231" i="15"/>
  <c r="J231" i="15"/>
  <c r="L230" i="15"/>
  <c r="K230" i="15"/>
  <c r="J230" i="15"/>
  <c r="L229" i="15"/>
  <c r="K229" i="15"/>
  <c r="J229" i="15"/>
  <c r="P23" i="14"/>
  <c r="P22" i="14"/>
  <c r="P21" i="14"/>
  <c r="P20" i="14"/>
  <c r="P18" i="14"/>
  <c r="P19" i="14"/>
  <c r="P17" i="14"/>
  <c r="P16" i="14"/>
  <c r="P15" i="14"/>
  <c r="P14" i="14"/>
  <c r="P13" i="14"/>
  <c r="P12" i="14"/>
  <c r="P13" i="18" l="1"/>
  <c r="P12" i="18"/>
  <c r="Q22" i="56" l="1"/>
  <c r="M16" i="11"/>
  <c r="M15" i="11"/>
  <c r="L16" i="11"/>
  <c r="L15" i="11"/>
  <c r="M14" i="11"/>
  <c r="L14" i="11"/>
  <c r="M13" i="11"/>
  <c r="L13" i="11"/>
  <c r="Q19" i="52" l="1"/>
  <c r="Q18" i="52"/>
  <c r="Q17" i="52"/>
  <c r="Q16" i="52"/>
  <c r="Q15" i="52"/>
  <c r="Q14" i="52"/>
  <c r="Q13" i="52"/>
  <c r="Q12" i="52"/>
  <c r="M12" i="21"/>
  <c r="F27" i="24"/>
  <c r="F28" i="24"/>
  <c r="F29" i="24"/>
  <c r="F18" i="24"/>
  <c r="F19" i="24"/>
  <c r="F20" i="24"/>
  <c r="F21" i="24"/>
  <c r="F22" i="24"/>
  <c r="F15" i="24"/>
  <c r="B10" i="24" s="1"/>
  <c r="F16" i="24"/>
  <c r="F17" i="24"/>
  <c r="I29" i="63"/>
  <c r="I28" i="63" s="1"/>
  <c r="H29" i="63"/>
  <c r="H28" i="63" s="1"/>
  <c r="G15" i="24"/>
  <c r="L13" i="14"/>
  <c r="Q37" i="15"/>
  <c r="P11" i="15"/>
  <c r="F29" i="69" l="1"/>
  <c r="C6" i="24"/>
  <c r="B6" i="24"/>
  <c r="C10" i="24"/>
  <c r="J28" i="63"/>
  <c r="F28" i="63"/>
  <c r="J29" i="63"/>
  <c r="H3" i="81"/>
  <c r="H4" i="81"/>
  <c r="H5" i="81"/>
  <c r="H6" i="81"/>
  <c r="H7"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6" i="81"/>
  <c r="H37" i="81"/>
  <c r="H38" i="81"/>
  <c r="H39" i="81"/>
  <c r="H40" i="81"/>
  <c r="H41" i="81"/>
  <c r="H42" i="81"/>
  <c r="H43" i="81"/>
  <c r="H44" i="81"/>
  <c r="H45" i="81"/>
  <c r="H46" i="81"/>
  <c r="H47" i="81"/>
  <c r="H48" i="81"/>
  <c r="H49" i="81"/>
  <c r="H50" i="81"/>
  <c r="H51" i="81"/>
  <c r="H52" i="81"/>
  <c r="H53" i="81"/>
  <c r="H54" i="81"/>
  <c r="H55" i="81"/>
  <c r="H56" i="81"/>
  <c r="H57" i="81"/>
  <c r="H58" i="81"/>
  <c r="H59" i="81"/>
  <c r="H60" i="81"/>
  <c r="H61" i="81"/>
  <c r="H62" i="81"/>
  <c r="H63" i="81"/>
  <c r="H64" i="81"/>
  <c r="H65" i="81"/>
  <c r="H66" i="81"/>
  <c r="H67" i="81"/>
  <c r="H68" i="81"/>
  <c r="H69" i="81"/>
  <c r="H70" i="81"/>
  <c r="H71" i="81"/>
  <c r="H72" i="81"/>
  <c r="H73" i="81"/>
  <c r="H74" i="81"/>
  <c r="H75" i="81"/>
  <c r="H76" i="81"/>
  <c r="H77" i="81"/>
  <c r="H78" i="81"/>
  <c r="H79" i="81"/>
  <c r="H80" i="81"/>
  <c r="H81" i="81"/>
  <c r="H82" i="81"/>
  <c r="H83" i="81"/>
  <c r="H84" i="81"/>
  <c r="H85" i="81"/>
  <c r="H86" i="81"/>
  <c r="H87" i="81"/>
  <c r="H88" i="81"/>
  <c r="H89" i="81"/>
  <c r="H90" i="81"/>
  <c r="H91" i="81"/>
  <c r="H92" i="81"/>
  <c r="H93" i="81"/>
  <c r="H94" i="81"/>
  <c r="H95" i="81"/>
  <c r="H96" i="81"/>
  <c r="H97" i="81"/>
  <c r="H98" i="81"/>
  <c r="H99" i="81"/>
  <c r="H100" i="81"/>
  <c r="H101" i="81"/>
  <c r="H102" i="81"/>
  <c r="H103" i="81"/>
  <c r="H104" i="81"/>
  <c r="H105" i="81"/>
  <c r="H106" i="81"/>
  <c r="H107" i="81"/>
  <c r="H108" i="81"/>
  <c r="H109" i="81"/>
  <c r="H110" i="81"/>
  <c r="H111" i="81"/>
  <c r="H112" i="81"/>
  <c r="H113" i="81"/>
  <c r="H114" i="81"/>
  <c r="H115" i="81"/>
  <c r="H116" i="81"/>
  <c r="H117" i="81"/>
  <c r="H118" i="81"/>
  <c r="H119" i="81"/>
  <c r="H120" i="81"/>
  <c r="H121" i="81"/>
  <c r="H122" i="81"/>
  <c r="H123" i="81"/>
  <c r="H124" i="81"/>
  <c r="H125" i="81"/>
  <c r="H126" i="81"/>
  <c r="H127" i="81"/>
  <c r="H128" i="81"/>
  <c r="H129" i="81"/>
  <c r="H130" i="81"/>
  <c r="H131" i="81"/>
  <c r="H132" i="81"/>
  <c r="H133" i="81"/>
  <c r="H134" i="81"/>
  <c r="H135" i="81"/>
  <c r="H136" i="81"/>
  <c r="H137" i="81"/>
  <c r="H138" i="81"/>
  <c r="H139" i="81"/>
  <c r="H140" i="81"/>
  <c r="H141" i="81"/>
  <c r="H142" i="81"/>
  <c r="H143" i="81"/>
  <c r="H144" i="81"/>
  <c r="H145" i="81"/>
  <c r="H146" i="81"/>
  <c r="H147" i="81"/>
  <c r="H148" i="81"/>
  <c r="H149" i="81"/>
  <c r="H150" i="81"/>
  <c r="H151" i="81"/>
  <c r="H152" i="81"/>
  <c r="H153" i="81"/>
  <c r="H154" i="81"/>
  <c r="H155" i="81"/>
  <c r="H156" i="81"/>
  <c r="H157" i="81"/>
  <c r="H158" i="81"/>
  <c r="H159" i="81"/>
  <c r="H160" i="81"/>
  <c r="H161" i="81"/>
  <c r="H162" i="81"/>
  <c r="H163" i="81"/>
  <c r="H164" i="81"/>
  <c r="H165" i="81"/>
  <c r="H166" i="81"/>
  <c r="H167" i="81"/>
  <c r="H168" i="81"/>
  <c r="H169" i="81"/>
  <c r="H170" i="81"/>
  <c r="H171" i="81"/>
  <c r="H172" i="81"/>
  <c r="H173" i="81"/>
  <c r="H174" i="81"/>
  <c r="H175" i="81"/>
  <c r="H176" i="81"/>
  <c r="H177" i="81"/>
  <c r="H178" i="81"/>
  <c r="H179" i="81"/>
  <c r="H180" i="81"/>
  <c r="H181" i="81"/>
  <c r="H182" i="81"/>
  <c r="H183" i="81"/>
  <c r="H184" i="81"/>
  <c r="H185" i="81"/>
  <c r="H186" i="81"/>
  <c r="H187" i="81"/>
  <c r="H188" i="81"/>
  <c r="H189" i="81"/>
  <c r="H190" i="81"/>
  <c r="H191" i="81"/>
  <c r="H192" i="81"/>
  <c r="H193" i="81"/>
  <c r="H194" i="81"/>
  <c r="H195" i="81"/>
  <c r="H196" i="81"/>
  <c r="H197" i="81"/>
  <c r="H198" i="81"/>
  <c r="H199" i="81"/>
  <c r="H200" i="81"/>
  <c r="H201" i="81"/>
  <c r="H202" i="81"/>
  <c r="H203" i="81"/>
  <c r="H204" i="81"/>
  <c r="H205" i="81"/>
  <c r="H206" i="81"/>
  <c r="H207" i="81"/>
  <c r="H208" i="81"/>
  <c r="H209" i="81"/>
  <c r="H210" i="81"/>
  <c r="H211" i="81"/>
  <c r="H212" i="81"/>
  <c r="H213" i="81"/>
  <c r="H214" i="81"/>
  <c r="H215" i="81"/>
  <c r="H216" i="81"/>
  <c r="H217" i="81"/>
  <c r="H218" i="81"/>
  <c r="H219" i="81"/>
  <c r="H220" i="81"/>
  <c r="H221" i="81"/>
  <c r="H222" i="81"/>
  <c r="H223" i="81"/>
  <c r="H224" i="81"/>
  <c r="H225" i="81"/>
  <c r="H226" i="81"/>
  <c r="H227" i="81"/>
  <c r="H228" i="81"/>
  <c r="H229" i="81"/>
  <c r="H230" i="81"/>
  <c r="H231" i="81"/>
  <c r="H232" i="81"/>
  <c r="H233" i="81"/>
  <c r="H234" i="81"/>
  <c r="H235" i="81"/>
  <c r="H236" i="81"/>
  <c r="H237" i="81"/>
  <c r="H238" i="81"/>
  <c r="H239" i="81"/>
  <c r="H240" i="81"/>
  <c r="H241" i="81"/>
  <c r="H242" i="81"/>
  <c r="H243" i="81"/>
  <c r="H244" i="81"/>
  <c r="H245" i="81"/>
  <c r="H246" i="81"/>
  <c r="H247" i="81"/>
  <c r="H248" i="81"/>
  <c r="H249" i="81"/>
  <c r="H250" i="81"/>
  <c r="H251" i="81"/>
  <c r="H252" i="81"/>
  <c r="H253" i="81"/>
  <c r="H254" i="81"/>
  <c r="H255" i="81"/>
  <c r="H256" i="81"/>
  <c r="H257" i="81"/>
  <c r="H258" i="81"/>
  <c r="H259" i="81"/>
  <c r="H260" i="81"/>
  <c r="H261" i="81"/>
  <c r="H262" i="81"/>
  <c r="H263" i="81"/>
  <c r="H264" i="81"/>
  <c r="H265" i="81"/>
  <c r="H266" i="81"/>
  <c r="H267" i="81"/>
  <c r="H268" i="81"/>
  <c r="H269" i="81"/>
  <c r="H270" i="81"/>
  <c r="H271" i="81"/>
  <c r="H272" i="81"/>
  <c r="H273" i="81"/>
  <c r="H274" i="81"/>
  <c r="H275" i="81"/>
  <c r="H276" i="81"/>
  <c r="H277" i="81"/>
  <c r="H278" i="81"/>
  <c r="H279" i="81"/>
  <c r="H280" i="81"/>
  <c r="H281" i="81"/>
  <c r="H282" i="81"/>
  <c r="H283" i="81"/>
  <c r="H284" i="81"/>
  <c r="H285" i="81"/>
  <c r="H286" i="81"/>
  <c r="H287" i="81"/>
  <c r="H288" i="81"/>
  <c r="H289" i="81"/>
  <c r="H290" i="81"/>
  <c r="H291" i="81"/>
  <c r="H292" i="81"/>
  <c r="H293" i="81"/>
  <c r="H294" i="81"/>
  <c r="H295" i="81"/>
  <c r="H296" i="81"/>
  <c r="H297" i="81"/>
  <c r="H298" i="81"/>
  <c r="H299" i="81"/>
  <c r="H300" i="81"/>
  <c r="H301" i="81"/>
  <c r="H302" i="81"/>
  <c r="H303" i="81"/>
  <c r="H304" i="81"/>
  <c r="H305" i="81"/>
  <c r="H306" i="81"/>
  <c r="H307" i="81"/>
  <c r="H308" i="81"/>
  <c r="H309" i="81"/>
  <c r="H310" i="81"/>
  <c r="H311" i="81"/>
  <c r="H312" i="81"/>
  <c r="H313" i="81"/>
  <c r="H314" i="81"/>
  <c r="H315" i="81"/>
  <c r="H316" i="81"/>
  <c r="H317" i="81"/>
  <c r="H318" i="81"/>
  <c r="H319" i="81"/>
  <c r="H320" i="81"/>
  <c r="H321" i="81"/>
  <c r="H322" i="81"/>
  <c r="H323" i="81"/>
  <c r="H324" i="81"/>
  <c r="H325" i="81"/>
  <c r="H326" i="81"/>
  <c r="H327" i="81"/>
  <c r="H328" i="81"/>
  <c r="H329" i="81"/>
  <c r="H330" i="81"/>
  <c r="H331" i="81"/>
  <c r="H332" i="81"/>
  <c r="H333" i="81"/>
  <c r="H334" i="81"/>
  <c r="H335" i="81"/>
  <c r="H336" i="81"/>
  <c r="H337" i="81"/>
  <c r="H338" i="81"/>
  <c r="H339" i="81"/>
  <c r="H340" i="81"/>
  <c r="H341" i="81"/>
  <c r="H342" i="81"/>
  <c r="H343" i="81"/>
  <c r="H344" i="81"/>
  <c r="H345" i="81"/>
  <c r="H346" i="81"/>
  <c r="H347" i="81"/>
  <c r="H348" i="81"/>
  <c r="H349" i="81"/>
  <c r="H350" i="81"/>
  <c r="H351" i="81"/>
  <c r="H352" i="81"/>
  <c r="H353" i="81"/>
  <c r="H354" i="81"/>
  <c r="H355" i="81"/>
  <c r="H356" i="81"/>
  <c r="H357" i="81"/>
  <c r="H358" i="81"/>
  <c r="H359" i="81"/>
  <c r="H360" i="81"/>
  <c r="H361" i="81"/>
  <c r="H362" i="81"/>
  <c r="H363" i="81"/>
  <c r="H364" i="81"/>
  <c r="H365" i="81"/>
  <c r="H366" i="81"/>
  <c r="H367" i="81"/>
  <c r="H368" i="81"/>
  <c r="H369" i="81"/>
  <c r="H370" i="81"/>
  <c r="H371" i="81"/>
  <c r="H372" i="81"/>
  <c r="H373" i="81"/>
  <c r="H374" i="81"/>
  <c r="H375" i="81"/>
  <c r="H376" i="81"/>
  <c r="H377" i="81"/>
  <c r="H378" i="81"/>
  <c r="H379" i="81"/>
  <c r="H380" i="81"/>
  <c r="H381" i="81"/>
  <c r="H382" i="81"/>
  <c r="H383" i="81"/>
  <c r="H384" i="81"/>
  <c r="H385" i="81"/>
  <c r="H386" i="81"/>
  <c r="H387" i="81"/>
  <c r="H388" i="81"/>
  <c r="H389" i="81"/>
  <c r="H390" i="81"/>
  <c r="H391" i="81"/>
  <c r="H392" i="81"/>
  <c r="H393" i="81"/>
  <c r="H394" i="81"/>
  <c r="H395" i="81"/>
  <c r="H396" i="81"/>
  <c r="H397" i="81"/>
  <c r="H398" i="81"/>
  <c r="H399" i="81"/>
  <c r="H400" i="81"/>
  <c r="H401" i="81"/>
  <c r="H402" i="81"/>
  <c r="H403" i="81"/>
  <c r="H404" i="81"/>
  <c r="H405" i="81"/>
  <c r="H406" i="81"/>
  <c r="H407" i="81"/>
  <c r="H408" i="81"/>
  <c r="H409" i="81"/>
  <c r="H410" i="81"/>
  <c r="H411" i="81"/>
  <c r="H412" i="81"/>
  <c r="H413" i="81"/>
  <c r="H414" i="81"/>
  <c r="H415" i="81"/>
  <c r="H416" i="81"/>
  <c r="H417" i="81"/>
  <c r="H418" i="81"/>
  <c r="H419" i="81"/>
  <c r="H420" i="81"/>
  <c r="H421" i="81"/>
  <c r="H422" i="81"/>
  <c r="H423" i="81"/>
  <c r="H424" i="81"/>
  <c r="H425" i="81"/>
  <c r="H426" i="81"/>
  <c r="H427" i="81"/>
  <c r="H428" i="81"/>
  <c r="H429" i="81"/>
  <c r="H430" i="81"/>
  <c r="H431" i="81"/>
  <c r="H432" i="81"/>
  <c r="H433" i="81"/>
  <c r="H434" i="81"/>
  <c r="H435" i="81"/>
  <c r="H436" i="81"/>
  <c r="H437" i="81"/>
  <c r="H438" i="81"/>
  <c r="H439" i="81"/>
  <c r="H440" i="81"/>
  <c r="H441" i="81"/>
  <c r="H442" i="81"/>
  <c r="H443" i="81"/>
  <c r="H444" i="81"/>
  <c r="H445" i="81"/>
  <c r="H446" i="81"/>
  <c r="H447" i="81"/>
  <c r="H448" i="81"/>
  <c r="H449" i="81"/>
  <c r="H450" i="81"/>
  <c r="H451" i="81"/>
  <c r="H452" i="81"/>
  <c r="H453" i="81"/>
  <c r="H454" i="81"/>
  <c r="H455" i="81"/>
  <c r="H456" i="81"/>
  <c r="H457" i="81"/>
  <c r="H458" i="81"/>
  <c r="H459" i="81"/>
  <c r="H460" i="81"/>
  <c r="H461" i="81"/>
  <c r="H462" i="81"/>
  <c r="H463" i="81"/>
  <c r="H464" i="81"/>
  <c r="H465" i="81"/>
  <c r="H466" i="81"/>
  <c r="H467" i="81"/>
  <c r="H468" i="81"/>
  <c r="H469" i="81"/>
  <c r="H470" i="81"/>
  <c r="H471" i="81"/>
  <c r="H472" i="81"/>
  <c r="H473" i="81"/>
  <c r="H474" i="81"/>
  <c r="H475" i="81"/>
  <c r="H476" i="81"/>
  <c r="H477" i="81"/>
  <c r="H478" i="81"/>
  <c r="H479" i="81"/>
  <c r="H480" i="81"/>
  <c r="H481" i="81"/>
  <c r="H482" i="81"/>
  <c r="H483" i="81"/>
  <c r="H484" i="81"/>
  <c r="H485" i="81"/>
  <c r="H486" i="81"/>
  <c r="H487" i="81"/>
  <c r="H488" i="81"/>
  <c r="H489" i="81"/>
  <c r="H490" i="81"/>
  <c r="H491" i="81"/>
  <c r="H492" i="81"/>
  <c r="H493" i="81"/>
  <c r="H494" i="81"/>
  <c r="H495" i="81"/>
  <c r="H496" i="81"/>
  <c r="H497" i="81"/>
  <c r="H498" i="81"/>
  <c r="H499" i="81"/>
  <c r="H500" i="81"/>
  <c r="H501" i="81"/>
  <c r="H502" i="81"/>
  <c r="H503" i="81"/>
  <c r="H504" i="81"/>
  <c r="H505" i="81"/>
  <c r="H506" i="81"/>
  <c r="H507" i="81"/>
  <c r="H508" i="81"/>
  <c r="H509" i="81"/>
  <c r="H510" i="81"/>
  <c r="H511" i="81"/>
  <c r="H512" i="81"/>
  <c r="H513" i="81"/>
  <c r="H514" i="81"/>
  <c r="H515" i="81"/>
  <c r="H516" i="81"/>
  <c r="H517" i="81"/>
  <c r="H518" i="81"/>
  <c r="H519" i="81"/>
  <c r="H520" i="81"/>
  <c r="H521" i="81"/>
  <c r="H522" i="81"/>
  <c r="H523" i="81"/>
  <c r="H524" i="81"/>
  <c r="H525" i="81"/>
  <c r="H526" i="81"/>
  <c r="H527" i="81"/>
  <c r="H528" i="81"/>
  <c r="H529" i="81"/>
  <c r="H530" i="81"/>
  <c r="H531" i="81"/>
  <c r="H532" i="81"/>
  <c r="H533" i="81"/>
  <c r="H534" i="81"/>
  <c r="H535" i="81"/>
  <c r="H536" i="81"/>
  <c r="H537" i="81"/>
  <c r="H538" i="81"/>
  <c r="H539" i="81"/>
  <c r="H540" i="81"/>
  <c r="H541" i="81"/>
  <c r="H542" i="81"/>
  <c r="H543" i="81"/>
  <c r="H544" i="81"/>
  <c r="H545" i="81"/>
  <c r="H546" i="81"/>
  <c r="H547" i="81"/>
  <c r="H548" i="81"/>
  <c r="H549" i="81"/>
  <c r="H550" i="81"/>
  <c r="H551" i="81"/>
  <c r="H552" i="81"/>
  <c r="H553" i="81"/>
  <c r="H554" i="81"/>
  <c r="H555" i="81"/>
  <c r="H556" i="81"/>
  <c r="H557" i="81"/>
  <c r="H558" i="81"/>
  <c r="H559" i="81"/>
  <c r="H560" i="81"/>
  <c r="H561" i="81"/>
  <c r="H562" i="81"/>
  <c r="H563" i="81"/>
  <c r="H564" i="81"/>
  <c r="H565" i="81"/>
  <c r="H566" i="81"/>
  <c r="H567" i="81"/>
  <c r="H568" i="81"/>
  <c r="H569" i="81"/>
  <c r="H570" i="81"/>
  <c r="H571" i="81"/>
  <c r="H572" i="81"/>
  <c r="H573" i="81"/>
  <c r="H574" i="81"/>
  <c r="H575" i="81"/>
  <c r="H576" i="81"/>
  <c r="H577" i="81"/>
  <c r="H578" i="81"/>
  <c r="H579" i="81"/>
  <c r="H580" i="81"/>
  <c r="H581" i="81"/>
  <c r="H582" i="81"/>
  <c r="H583" i="81"/>
  <c r="H584" i="81"/>
  <c r="H585" i="81"/>
  <c r="H586" i="81"/>
  <c r="H587" i="81"/>
  <c r="H588" i="81"/>
  <c r="H589" i="81"/>
  <c r="H590" i="81"/>
  <c r="H591" i="81"/>
  <c r="H592" i="81"/>
  <c r="H593" i="81"/>
  <c r="H594" i="81"/>
  <c r="H595" i="81"/>
  <c r="H596" i="81"/>
  <c r="H597" i="81"/>
  <c r="H598" i="81"/>
  <c r="H599" i="81"/>
  <c r="H600" i="81"/>
  <c r="H601" i="81"/>
  <c r="H602" i="81"/>
  <c r="H603" i="81"/>
  <c r="H604" i="81"/>
  <c r="H605" i="81"/>
  <c r="H606" i="81"/>
  <c r="H607" i="81"/>
  <c r="H608" i="81"/>
  <c r="H609" i="81"/>
  <c r="H610" i="81"/>
  <c r="H611" i="81"/>
  <c r="H612" i="81"/>
  <c r="H613" i="81"/>
  <c r="H614" i="81"/>
  <c r="H615" i="81"/>
  <c r="H616" i="81"/>
  <c r="H617" i="81"/>
  <c r="H618" i="81"/>
  <c r="H619" i="81"/>
  <c r="H620" i="81"/>
  <c r="H621" i="81"/>
  <c r="H622" i="81"/>
  <c r="H623" i="81"/>
  <c r="H624" i="81"/>
  <c r="H625" i="81"/>
  <c r="H626" i="81"/>
  <c r="H627" i="81"/>
  <c r="H628" i="81"/>
  <c r="H629" i="81"/>
  <c r="H630" i="81"/>
  <c r="H631" i="81"/>
  <c r="H632" i="81"/>
  <c r="H633" i="81"/>
  <c r="H634" i="81"/>
  <c r="H635" i="81"/>
  <c r="H636" i="81"/>
  <c r="H637" i="81"/>
  <c r="H638" i="81"/>
  <c r="H639" i="81"/>
  <c r="H640" i="81"/>
  <c r="H641" i="81"/>
  <c r="H642" i="81"/>
  <c r="H643" i="81"/>
  <c r="H644" i="81"/>
  <c r="H645" i="81"/>
  <c r="H646" i="81"/>
  <c r="H647" i="81"/>
  <c r="H648" i="81"/>
  <c r="H649" i="81"/>
  <c r="H650" i="81"/>
  <c r="H651" i="81"/>
  <c r="H652" i="81"/>
  <c r="H653" i="81"/>
  <c r="H654" i="81"/>
  <c r="H655" i="81"/>
  <c r="H656" i="81"/>
  <c r="H657" i="81"/>
  <c r="H658" i="81"/>
  <c r="H659" i="81"/>
  <c r="H660" i="81"/>
  <c r="H661" i="81"/>
  <c r="H662" i="81"/>
  <c r="H663" i="81"/>
  <c r="H664" i="81"/>
  <c r="H665" i="81"/>
  <c r="H666" i="81"/>
  <c r="H667" i="81"/>
  <c r="H668" i="81"/>
  <c r="H669" i="81"/>
  <c r="H670" i="81"/>
  <c r="H671" i="81"/>
  <c r="H672" i="81"/>
  <c r="H673" i="81"/>
  <c r="H674" i="81"/>
  <c r="H675" i="81"/>
  <c r="H676" i="81"/>
  <c r="H677" i="81"/>
  <c r="H678" i="81"/>
  <c r="H679" i="81"/>
  <c r="H680" i="81"/>
  <c r="H681" i="81"/>
  <c r="H682" i="81"/>
  <c r="H683" i="81"/>
  <c r="H684" i="81"/>
  <c r="H685" i="81"/>
  <c r="H686" i="81"/>
  <c r="H687" i="81"/>
  <c r="H688" i="81"/>
  <c r="H689" i="81"/>
  <c r="H690" i="81"/>
  <c r="H691" i="81"/>
  <c r="H692" i="81"/>
  <c r="H693" i="81"/>
  <c r="H694" i="81"/>
  <c r="H695" i="81"/>
  <c r="H696" i="81"/>
  <c r="H697" i="81"/>
  <c r="H698" i="81"/>
  <c r="H699" i="81"/>
  <c r="H700" i="81"/>
  <c r="H701" i="81"/>
  <c r="H702" i="81"/>
  <c r="H703" i="81"/>
  <c r="H704" i="81"/>
  <c r="H705" i="81"/>
  <c r="H706" i="81"/>
  <c r="H707" i="81"/>
  <c r="H708" i="81"/>
  <c r="H709" i="81"/>
  <c r="H710" i="81"/>
  <c r="H711" i="81"/>
  <c r="H712" i="81"/>
  <c r="H713" i="81"/>
  <c r="H714" i="81"/>
  <c r="H715" i="81"/>
  <c r="H716" i="81"/>
  <c r="H717" i="81"/>
  <c r="H718" i="81"/>
  <c r="H719" i="81"/>
  <c r="H720" i="81"/>
  <c r="H721" i="81"/>
  <c r="H722" i="81"/>
  <c r="H723" i="81"/>
  <c r="H724" i="81"/>
  <c r="H725" i="81"/>
  <c r="H726" i="81"/>
  <c r="H727" i="81"/>
  <c r="H728" i="81"/>
  <c r="H729" i="81"/>
  <c r="H730" i="81"/>
  <c r="H731" i="81"/>
  <c r="H732" i="81"/>
  <c r="H733" i="81"/>
  <c r="H734" i="81"/>
  <c r="H735" i="81"/>
  <c r="H736" i="81"/>
  <c r="H737" i="81"/>
  <c r="H738" i="81"/>
  <c r="H739" i="81"/>
  <c r="H740" i="81"/>
  <c r="H741" i="81"/>
  <c r="H742" i="81"/>
  <c r="H743" i="81"/>
  <c r="H744" i="81"/>
  <c r="H745" i="81"/>
  <c r="H746" i="81"/>
  <c r="H747" i="81"/>
  <c r="H748" i="81"/>
  <c r="H749" i="81"/>
  <c r="H750" i="81"/>
  <c r="H751" i="81"/>
  <c r="H752" i="81"/>
  <c r="H753" i="81"/>
  <c r="H754" i="81"/>
  <c r="H755" i="81"/>
  <c r="H756" i="81"/>
  <c r="H757" i="81"/>
  <c r="H758" i="81"/>
  <c r="H759" i="81"/>
  <c r="H760" i="81"/>
  <c r="H761" i="81"/>
  <c r="H762" i="81"/>
  <c r="H763" i="81"/>
  <c r="H764" i="81"/>
  <c r="H765" i="81"/>
  <c r="H766" i="81"/>
  <c r="H767" i="81"/>
  <c r="H768" i="81"/>
  <c r="H769" i="81"/>
  <c r="H770" i="81"/>
  <c r="H771" i="81"/>
  <c r="H772" i="81"/>
  <c r="H773" i="81"/>
  <c r="H774" i="81"/>
  <c r="H775" i="81"/>
  <c r="H776" i="81"/>
  <c r="H777" i="81"/>
  <c r="H778" i="81"/>
  <c r="H779" i="81"/>
  <c r="H780" i="81"/>
  <c r="H781" i="81"/>
  <c r="H782" i="81"/>
  <c r="H783" i="81"/>
  <c r="H784" i="81"/>
  <c r="H785" i="81"/>
  <c r="H786" i="81"/>
  <c r="H787" i="81"/>
  <c r="H788" i="81"/>
  <c r="H789" i="81"/>
  <c r="H790" i="81"/>
  <c r="H791" i="81"/>
  <c r="H792" i="81"/>
  <c r="H793" i="81"/>
  <c r="H794" i="81"/>
  <c r="H795" i="81"/>
  <c r="H796" i="81"/>
  <c r="H797" i="81"/>
  <c r="H798" i="81"/>
  <c r="H799" i="81"/>
  <c r="H800" i="81"/>
  <c r="H801" i="81"/>
  <c r="H802" i="81"/>
  <c r="H803" i="81"/>
  <c r="H804" i="81"/>
  <c r="H805" i="81"/>
  <c r="H806" i="81"/>
  <c r="H807" i="81"/>
  <c r="H808" i="81"/>
  <c r="H809" i="81"/>
  <c r="H810" i="81"/>
  <c r="H811" i="81"/>
  <c r="H812" i="81"/>
  <c r="H813" i="81"/>
  <c r="H814" i="81"/>
  <c r="H815" i="81"/>
  <c r="H816" i="81"/>
  <c r="H817" i="81"/>
  <c r="H818" i="81"/>
  <c r="H819" i="81"/>
  <c r="H820" i="81"/>
  <c r="H821" i="81"/>
  <c r="H822" i="81"/>
  <c r="H823" i="81"/>
  <c r="H824" i="81"/>
  <c r="H825" i="81"/>
  <c r="H826" i="81"/>
  <c r="H827" i="81"/>
  <c r="H828" i="81"/>
  <c r="H829" i="81"/>
  <c r="H830" i="81"/>
  <c r="H831" i="81"/>
  <c r="H832" i="81"/>
  <c r="H833" i="81"/>
  <c r="H834" i="81"/>
  <c r="H835" i="81"/>
  <c r="H836" i="81"/>
  <c r="H837" i="81"/>
  <c r="H838" i="81"/>
  <c r="H839" i="81"/>
  <c r="H840" i="81"/>
  <c r="H841" i="81"/>
  <c r="H842" i="81"/>
  <c r="H843" i="81"/>
  <c r="H844" i="81"/>
  <c r="H845" i="81"/>
  <c r="H846" i="81"/>
  <c r="H847" i="81"/>
  <c r="H848" i="81"/>
  <c r="H849" i="81"/>
  <c r="H850" i="81"/>
  <c r="H851" i="81"/>
  <c r="H852" i="81"/>
  <c r="H853" i="81"/>
  <c r="H854" i="81"/>
  <c r="H855" i="81"/>
  <c r="H856" i="81"/>
  <c r="H857" i="81"/>
  <c r="H858" i="81"/>
  <c r="H859" i="81"/>
  <c r="H860" i="81"/>
  <c r="H861" i="81"/>
  <c r="H862" i="81"/>
  <c r="H863" i="81"/>
  <c r="H864" i="81"/>
  <c r="H865" i="81"/>
  <c r="H866" i="81"/>
  <c r="H867" i="81"/>
  <c r="H868" i="81"/>
  <c r="H869" i="81"/>
  <c r="H870" i="81"/>
  <c r="H871" i="81"/>
  <c r="H872" i="81"/>
  <c r="H873" i="81"/>
  <c r="H874" i="81"/>
  <c r="H875" i="81"/>
  <c r="H876" i="81"/>
  <c r="H877" i="81"/>
  <c r="H878" i="81"/>
  <c r="H879" i="81"/>
  <c r="H880" i="81"/>
  <c r="H881" i="81"/>
  <c r="H882" i="81"/>
  <c r="H883" i="81"/>
  <c r="H884" i="81"/>
  <c r="H885" i="81"/>
  <c r="H886" i="81"/>
  <c r="H887" i="81"/>
  <c r="H888" i="81"/>
  <c r="H889" i="81"/>
  <c r="H890" i="81"/>
  <c r="H891" i="81"/>
  <c r="H892" i="81"/>
  <c r="H893" i="81"/>
  <c r="H894" i="81"/>
  <c r="H895" i="81"/>
  <c r="H896" i="81"/>
  <c r="H2" i="81"/>
  <c r="L28" i="63" l="1"/>
  <c r="C4" i="83"/>
  <c r="L29" i="63"/>
  <c r="P20" i="24"/>
  <c r="P21" i="24"/>
  <c r="P22" i="24"/>
  <c r="J12" i="14" l="1"/>
  <c r="K3" i="77"/>
  <c r="K4" i="77"/>
  <c r="K5" i="77"/>
  <c r="K6" i="77"/>
  <c r="K7" i="77"/>
  <c r="K8" i="77"/>
  <c r="K9" i="77"/>
  <c r="K10" i="77"/>
  <c r="K11" i="77"/>
  <c r="K12" i="77"/>
  <c r="K13" i="77"/>
  <c r="K14" i="77"/>
  <c r="K15" i="77"/>
  <c r="K16" i="77"/>
  <c r="K17" i="77"/>
  <c r="K18" i="77"/>
  <c r="K19" i="77"/>
  <c r="K20" i="77"/>
  <c r="K21" i="77"/>
  <c r="K22" i="77"/>
  <c r="K23" i="77"/>
  <c r="K24" i="77"/>
  <c r="K25" i="77"/>
  <c r="K26" i="77"/>
  <c r="K27" i="77"/>
  <c r="K28" i="77"/>
  <c r="K29" i="77"/>
  <c r="K30" i="77"/>
  <c r="K31" i="77"/>
  <c r="K32" i="77"/>
  <c r="K33" i="77"/>
  <c r="K34" i="77"/>
  <c r="K35" i="77"/>
  <c r="K36" i="77"/>
  <c r="K37" i="77"/>
  <c r="K38" i="77"/>
  <c r="K39" i="77"/>
  <c r="K40" i="77"/>
  <c r="K41" i="77"/>
  <c r="K42" i="77"/>
  <c r="K43" i="77"/>
  <c r="K44" i="77"/>
  <c r="K45" i="77"/>
  <c r="K46" i="77"/>
  <c r="K47" i="77"/>
  <c r="K48" i="77"/>
  <c r="K49" i="77"/>
  <c r="K50" i="77"/>
  <c r="K51" i="77"/>
  <c r="K52" i="77"/>
  <c r="K53" i="77"/>
  <c r="K54" i="77"/>
  <c r="K55" i="77"/>
  <c r="K56" i="77"/>
  <c r="K57" i="77"/>
  <c r="K58" i="77"/>
  <c r="K59" i="77"/>
  <c r="K60" i="77"/>
  <c r="K61" i="77"/>
  <c r="K62" i="77"/>
  <c r="K63" i="77"/>
  <c r="K64" i="77"/>
  <c r="K65" i="77"/>
  <c r="K66" i="77"/>
  <c r="K67" i="77"/>
  <c r="K68" i="77"/>
  <c r="K69" i="77"/>
  <c r="K70" i="77"/>
  <c r="K71" i="77"/>
  <c r="K72" i="77"/>
  <c r="K73" i="77"/>
  <c r="K74" i="77"/>
  <c r="K75" i="77"/>
  <c r="K76" i="77"/>
  <c r="K77" i="77"/>
  <c r="K78" i="77"/>
  <c r="K79" i="77"/>
  <c r="K80" i="77"/>
  <c r="K81" i="77"/>
  <c r="K82" i="77"/>
  <c r="K83" i="77"/>
  <c r="K84" i="77"/>
  <c r="K85" i="77"/>
  <c r="K86" i="77"/>
  <c r="K87" i="77"/>
  <c r="K88" i="77"/>
  <c r="K89" i="77"/>
  <c r="K90" i="77"/>
  <c r="K91" i="77"/>
  <c r="K92" i="77"/>
  <c r="K93" i="77"/>
  <c r="K94" i="77"/>
  <c r="K95" i="77"/>
  <c r="K96" i="77"/>
  <c r="K97" i="77"/>
  <c r="K98" i="77"/>
  <c r="K99" i="77"/>
  <c r="K100" i="77"/>
  <c r="K101" i="77"/>
  <c r="K102" i="77"/>
  <c r="K103" i="77"/>
  <c r="K104" i="77"/>
  <c r="K105" i="77"/>
  <c r="K106" i="77"/>
  <c r="K107" i="77"/>
  <c r="K108" i="77"/>
  <c r="K109" i="77"/>
  <c r="K110" i="77"/>
  <c r="K111" i="77"/>
  <c r="K112" i="77"/>
  <c r="K113" i="77"/>
  <c r="K114" i="77"/>
  <c r="K115" i="77"/>
  <c r="K116" i="77"/>
  <c r="K117" i="77"/>
  <c r="K118" i="77"/>
  <c r="K119" i="77"/>
  <c r="K120" i="77"/>
  <c r="K121" i="77"/>
  <c r="K122" i="77"/>
  <c r="K123" i="77"/>
  <c r="K124" i="77"/>
  <c r="K125" i="77"/>
  <c r="K126" i="77"/>
  <c r="K127" i="77"/>
  <c r="K128" i="77"/>
  <c r="K129" i="77"/>
  <c r="K130" i="77"/>
  <c r="K131" i="77"/>
  <c r="K132" i="77"/>
  <c r="K133" i="77"/>
  <c r="K134" i="77"/>
  <c r="K135" i="77"/>
  <c r="K136" i="77"/>
  <c r="K137" i="77"/>
  <c r="K138" i="77"/>
  <c r="K139" i="77"/>
  <c r="K140" i="77"/>
  <c r="K141" i="77"/>
  <c r="K142" i="77"/>
  <c r="K143" i="77"/>
  <c r="K144" i="77"/>
  <c r="K145" i="77"/>
  <c r="K146" i="77"/>
  <c r="K147" i="77"/>
  <c r="K148" i="77"/>
  <c r="K149" i="77"/>
  <c r="K150" i="77"/>
  <c r="K151" i="77"/>
  <c r="K152" i="77"/>
  <c r="K153" i="77"/>
  <c r="K154" i="77"/>
  <c r="K155" i="77"/>
  <c r="K156" i="77"/>
  <c r="K157" i="77"/>
  <c r="K158" i="77"/>
  <c r="K159" i="77"/>
  <c r="K160" i="77"/>
  <c r="K161" i="77"/>
  <c r="K162" i="77"/>
  <c r="K163" i="77"/>
  <c r="K164" i="77"/>
  <c r="K165" i="77"/>
  <c r="K166" i="77"/>
  <c r="K167" i="77"/>
  <c r="K168" i="77"/>
  <c r="K169" i="77"/>
  <c r="K170" i="77"/>
  <c r="K171" i="77"/>
  <c r="K172" i="77"/>
  <c r="K173" i="77"/>
  <c r="K174" i="77"/>
  <c r="K175" i="77"/>
  <c r="K176" i="77"/>
  <c r="K177" i="77"/>
  <c r="K178" i="77"/>
  <c r="K179" i="77"/>
  <c r="K180" i="77"/>
  <c r="K181" i="77"/>
  <c r="K182" i="77"/>
  <c r="K183" i="77"/>
  <c r="K184" i="77"/>
  <c r="K185" i="77"/>
  <c r="K186" i="77"/>
  <c r="K187" i="77"/>
  <c r="K188" i="77"/>
  <c r="K189" i="77"/>
  <c r="K190" i="77"/>
  <c r="K191" i="77"/>
  <c r="K192" i="77"/>
  <c r="K193" i="77"/>
  <c r="K194" i="77"/>
  <c r="K195" i="77"/>
  <c r="K196" i="77"/>
  <c r="K197" i="77"/>
  <c r="K198" i="77"/>
  <c r="K199" i="77"/>
  <c r="K200" i="77"/>
  <c r="K201" i="77"/>
  <c r="K202" i="77"/>
  <c r="K203" i="77"/>
  <c r="K204" i="77"/>
  <c r="K205" i="77"/>
  <c r="K206" i="77"/>
  <c r="K207" i="77"/>
  <c r="K208" i="77"/>
  <c r="K209" i="77"/>
  <c r="K210" i="77"/>
  <c r="K211" i="77"/>
  <c r="K212" i="77"/>
  <c r="K213" i="77"/>
  <c r="K214" i="77"/>
  <c r="K215" i="77"/>
  <c r="K216" i="77"/>
  <c r="K217" i="77"/>
  <c r="K218" i="77"/>
  <c r="K219" i="77"/>
  <c r="K220" i="77"/>
  <c r="K221" i="77"/>
  <c r="K222" i="77"/>
  <c r="K223" i="77"/>
  <c r="K224" i="77"/>
  <c r="K225" i="77"/>
  <c r="K226" i="77"/>
  <c r="K227" i="77"/>
  <c r="K228" i="77"/>
  <c r="K229" i="77"/>
  <c r="K230" i="77"/>
  <c r="K231" i="77"/>
  <c r="K232" i="77"/>
  <c r="K233" i="77"/>
  <c r="K234" i="77"/>
  <c r="K235" i="77"/>
  <c r="K236" i="77"/>
  <c r="K237" i="77"/>
  <c r="K238" i="77"/>
  <c r="K239" i="77"/>
  <c r="K240" i="77"/>
  <c r="K241" i="77"/>
  <c r="K242" i="77"/>
  <c r="K243" i="77"/>
  <c r="K244" i="77"/>
  <c r="K245" i="77"/>
  <c r="K246" i="77"/>
  <c r="K247" i="77"/>
  <c r="K248" i="77"/>
  <c r="K249" i="77"/>
  <c r="K250" i="77"/>
  <c r="K251" i="77"/>
  <c r="K252" i="77"/>
  <c r="K253" i="77"/>
  <c r="K254" i="77"/>
  <c r="K255" i="77"/>
  <c r="K256" i="77"/>
  <c r="K257" i="77"/>
  <c r="K258" i="77"/>
  <c r="K259" i="77"/>
  <c r="K260" i="77"/>
  <c r="K261" i="77"/>
  <c r="K262" i="77"/>
  <c r="K263" i="77"/>
  <c r="K264" i="77"/>
  <c r="K265" i="77"/>
  <c r="K266" i="77"/>
  <c r="K267" i="77"/>
  <c r="K268" i="77"/>
  <c r="K269" i="77"/>
  <c r="K270" i="77"/>
  <c r="K271" i="77"/>
  <c r="K272" i="77"/>
  <c r="K273" i="77"/>
  <c r="K274" i="77"/>
  <c r="K275" i="77"/>
  <c r="K276" i="77"/>
  <c r="K277" i="77"/>
  <c r="K278" i="77"/>
  <c r="K279" i="77"/>
  <c r="K280" i="77"/>
  <c r="K281" i="77"/>
  <c r="K282" i="77"/>
  <c r="K283" i="77"/>
  <c r="K284" i="77"/>
  <c r="K285" i="77"/>
  <c r="K286" i="77"/>
  <c r="K287" i="77"/>
  <c r="K288" i="77"/>
  <c r="K289" i="77"/>
  <c r="K290" i="77"/>
  <c r="K291" i="77"/>
  <c r="K292" i="77"/>
  <c r="K293" i="77"/>
  <c r="K294" i="77"/>
  <c r="K295" i="77"/>
  <c r="K296" i="77"/>
  <c r="K297" i="77"/>
  <c r="K298" i="77"/>
  <c r="K299" i="77"/>
  <c r="K300" i="77"/>
  <c r="K301" i="77"/>
  <c r="K302" i="77"/>
  <c r="K303" i="77"/>
  <c r="K304" i="77"/>
  <c r="K305" i="77"/>
  <c r="K306" i="77"/>
  <c r="K307" i="77"/>
  <c r="K308" i="77"/>
  <c r="K309" i="77"/>
  <c r="K310" i="77"/>
  <c r="K311" i="77"/>
  <c r="K312" i="77"/>
  <c r="K313" i="77"/>
  <c r="K314" i="77"/>
  <c r="K315" i="77"/>
  <c r="K316" i="77"/>
  <c r="K317" i="77"/>
  <c r="K318" i="77"/>
  <c r="K319" i="77"/>
  <c r="K320" i="77"/>
  <c r="K321" i="77"/>
  <c r="K322" i="77"/>
  <c r="K323" i="77"/>
  <c r="K324" i="77"/>
  <c r="K325" i="77"/>
  <c r="K326" i="77"/>
  <c r="K327" i="77"/>
  <c r="K328" i="77"/>
  <c r="K329" i="77"/>
  <c r="K330" i="77"/>
  <c r="K331" i="77"/>
  <c r="K332" i="77"/>
  <c r="K333" i="77"/>
  <c r="K334" i="77"/>
  <c r="K335" i="77"/>
  <c r="K336" i="77"/>
  <c r="K337" i="77"/>
  <c r="K338" i="77"/>
  <c r="K339" i="77"/>
  <c r="K340" i="77"/>
  <c r="K341" i="77"/>
  <c r="K342" i="77"/>
  <c r="K343" i="77"/>
  <c r="K344" i="77"/>
  <c r="K345" i="77"/>
  <c r="K346" i="77"/>
  <c r="K347" i="77"/>
  <c r="K348" i="77"/>
  <c r="K349" i="77"/>
  <c r="K350" i="77"/>
  <c r="K351" i="77"/>
  <c r="K352" i="77"/>
  <c r="K353" i="77"/>
  <c r="K354" i="77"/>
  <c r="K355" i="77"/>
  <c r="K356" i="77"/>
  <c r="K357" i="77"/>
  <c r="K358" i="77"/>
  <c r="K359" i="77"/>
  <c r="K360" i="77"/>
  <c r="K361" i="77"/>
  <c r="K362" i="77"/>
  <c r="K363" i="77"/>
  <c r="K364" i="77"/>
  <c r="K365" i="77"/>
  <c r="K366" i="77"/>
  <c r="K367" i="77"/>
  <c r="K368" i="77"/>
  <c r="K369" i="77"/>
  <c r="K370" i="77"/>
  <c r="K371" i="77"/>
  <c r="K372" i="77"/>
  <c r="K373" i="77"/>
  <c r="K374" i="77"/>
  <c r="K375" i="77"/>
  <c r="K376" i="77"/>
  <c r="K377" i="77"/>
  <c r="K378" i="77"/>
  <c r="K379" i="77"/>
  <c r="K380" i="77"/>
  <c r="K381" i="77"/>
  <c r="K382" i="77"/>
  <c r="K383" i="77"/>
  <c r="K384" i="77"/>
  <c r="K385" i="77"/>
  <c r="K386" i="77"/>
  <c r="K387" i="77"/>
  <c r="K388" i="77"/>
  <c r="K389" i="77"/>
  <c r="K390" i="77"/>
  <c r="K391" i="77"/>
  <c r="K392" i="77"/>
  <c r="K393" i="77"/>
  <c r="K394" i="77"/>
  <c r="K395" i="77"/>
  <c r="K396" i="77"/>
  <c r="K397" i="77"/>
  <c r="K398" i="77"/>
  <c r="K399" i="77"/>
  <c r="K400" i="77"/>
  <c r="K401" i="77"/>
  <c r="K402" i="77"/>
  <c r="K403" i="77"/>
  <c r="K404" i="77"/>
  <c r="K405" i="77"/>
  <c r="K406" i="77"/>
  <c r="K407" i="77"/>
  <c r="K408" i="77"/>
  <c r="K409" i="77"/>
  <c r="K410" i="77"/>
  <c r="K411" i="77"/>
  <c r="K412" i="77"/>
  <c r="K413" i="77"/>
  <c r="K414" i="77"/>
  <c r="K415" i="77"/>
  <c r="K416" i="77"/>
  <c r="K417" i="77"/>
  <c r="K418" i="77"/>
  <c r="K419" i="77"/>
  <c r="K420" i="77"/>
  <c r="K421" i="77"/>
  <c r="K422" i="77"/>
  <c r="K423" i="77"/>
  <c r="K424" i="77"/>
  <c r="K425" i="77"/>
  <c r="K426" i="77"/>
  <c r="K427" i="77"/>
  <c r="K428" i="77"/>
  <c r="K429" i="77"/>
  <c r="K430" i="77"/>
  <c r="K431" i="77"/>
  <c r="K432" i="77"/>
  <c r="K433" i="77"/>
  <c r="K434" i="77"/>
  <c r="K435" i="77"/>
  <c r="K436" i="77"/>
  <c r="K437" i="77"/>
  <c r="K438" i="77"/>
  <c r="K439" i="77"/>
  <c r="K440" i="77"/>
  <c r="K441" i="77"/>
  <c r="K442" i="77"/>
  <c r="K443" i="77"/>
  <c r="K444" i="77"/>
  <c r="K445" i="77"/>
  <c r="K446" i="77"/>
  <c r="K447" i="77"/>
  <c r="K448" i="77"/>
  <c r="K449" i="77"/>
  <c r="K450" i="77"/>
  <c r="K451" i="77"/>
  <c r="K452" i="77"/>
  <c r="K453" i="77"/>
  <c r="K454" i="77"/>
  <c r="K455" i="77"/>
  <c r="K456" i="77"/>
  <c r="K457" i="77"/>
  <c r="K458" i="77"/>
  <c r="K459" i="77"/>
  <c r="K460" i="77"/>
  <c r="K461" i="77"/>
  <c r="K462" i="77"/>
  <c r="K463" i="77"/>
  <c r="K464" i="77"/>
  <c r="K465" i="77"/>
  <c r="K466" i="77"/>
  <c r="K467" i="77"/>
  <c r="K468" i="77"/>
  <c r="K469" i="77"/>
  <c r="K470" i="77"/>
  <c r="K471" i="77"/>
  <c r="K472" i="77"/>
  <c r="K473" i="77"/>
  <c r="K474" i="77"/>
  <c r="K475" i="77"/>
  <c r="K476" i="77"/>
  <c r="K477" i="77"/>
  <c r="K478" i="77"/>
  <c r="K479" i="77"/>
  <c r="K480" i="77"/>
  <c r="K481" i="77"/>
  <c r="K482" i="77"/>
  <c r="K483" i="77"/>
  <c r="K484" i="77"/>
  <c r="K485" i="77"/>
  <c r="K486" i="77"/>
  <c r="K487" i="77"/>
  <c r="K488" i="77"/>
  <c r="K489" i="77"/>
  <c r="K490" i="77"/>
  <c r="K491" i="77"/>
  <c r="K492" i="77"/>
  <c r="K493" i="77"/>
  <c r="K494" i="77"/>
  <c r="K495" i="77"/>
  <c r="K496" i="77"/>
  <c r="K497" i="77"/>
  <c r="K498" i="77"/>
  <c r="K499" i="77"/>
  <c r="K500" i="77"/>
  <c r="K501" i="77"/>
  <c r="K502" i="77"/>
  <c r="K503" i="77"/>
  <c r="K504" i="77"/>
  <c r="K505" i="77"/>
  <c r="K506" i="77"/>
  <c r="K507" i="77"/>
  <c r="K508" i="77"/>
  <c r="K509" i="77"/>
  <c r="K510" i="77"/>
  <c r="K511" i="77"/>
  <c r="K512" i="77"/>
  <c r="K513" i="77"/>
  <c r="K514" i="77"/>
  <c r="K515" i="77"/>
  <c r="K516" i="77"/>
  <c r="K517" i="77"/>
  <c r="K518" i="77"/>
  <c r="K519" i="77"/>
  <c r="K520" i="77"/>
  <c r="K521" i="77"/>
  <c r="K522" i="77"/>
  <c r="K523" i="77"/>
  <c r="K524" i="77"/>
  <c r="K525" i="77"/>
  <c r="K526" i="77"/>
  <c r="K527" i="77"/>
  <c r="K528" i="77"/>
  <c r="K529" i="77"/>
  <c r="K530" i="77"/>
  <c r="K531" i="77"/>
  <c r="K532" i="77"/>
  <c r="K533" i="77"/>
  <c r="K534" i="77"/>
  <c r="K535" i="77"/>
  <c r="K536" i="77"/>
  <c r="K537" i="77"/>
  <c r="K538" i="77"/>
  <c r="K539" i="77"/>
  <c r="K540" i="77"/>
  <c r="K541" i="77"/>
  <c r="K542" i="77"/>
  <c r="K543" i="77"/>
  <c r="K544" i="77"/>
  <c r="K545" i="77"/>
  <c r="K546" i="77"/>
  <c r="K547" i="77"/>
  <c r="K548" i="77"/>
  <c r="K549" i="77"/>
  <c r="K550" i="77"/>
  <c r="K551" i="77"/>
  <c r="K552" i="77"/>
  <c r="K553" i="77"/>
  <c r="K554" i="77"/>
  <c r="K555" i="77"/>
  <c r="K556" i="77"/>
  <c r="K557" i="77"/>
  <c r="K558" i="77"/>
  <c r="K559" i="77"/>
  <c r="K560" i="77"/>
  <c r="K561" i="77"/>
  <c r="K562" i="77"/>
  <c r="K563" i="77"/>
  <c r="K564" i="77"/>
  <c r="K565" i="77"/>
  <c r="K566" i="77"/>
  <c r="K567" i="77"/>
  <c r="K568" i="77"/>
  <c r="K569" i="77"/>
  <c r="K570" i="77"/>
  <c r="K571" i="77"/>
  <c r="K572" i="77"/>
  <c r="K573" i="77"/>
  <c r="K574" i="77"/>
  <c r="K575" i="77"/>
  <c r="K576" i="77"/>
  <c r="K577" i="77"/>
  <c r="K578" i="77"/>
  <c r="K579" i="77"/>
  <c r="K580" i="77"/>
  <c r="K581" i="77"/>
  <c r="K582" i="77"/>
  <c r="K583" i="77"/>
  <c r="K584" i="77"/>
  <c r="K585" i="77"/>
  <c r="K586" i="77"/>
  <c r="K587" i="77"/>
  <c r="K588" i="77"/>
  <c r="K589" i="77"/>
  <c r="K590" i="77"/>
  <c r="K591" i="77"/>
  <c r="K592" i="77"/>
  <c r="K593" i="77"/>
  <c r="K594" i="77"/>
  <c r="K595" i="77"/>
  <c r="K596" i="77"/>
  <c r="K597" i="77"/>
  <c r="K598" i="77"/>
  <c r="K599" i="77"/>
  <c r="K600" i="77"/>
  <c r="K601" i="77"/>
  <c r="K602" i="77"/>
  <c r="K603" i="77"/>
  <c r="K604" i="77"/>
  <c r="K605" i="77"/>
  <c r="K606" i="77"/>
  <c r="K607" i="77"/>
  <c r="K608" i="77"/>
  <c r="K609" i="77"/>
  <c r="K610" i="77"/>
  <c r="K611" i="77"/>
  <c r="K612" i="77"/>
  <c r="K613" i="77"/>
  <c r="K614" i="77"/>
  <c r="K615" i="77"/>
  <c r="K616" i="77"/>
  <c r="K617" i="77"/>
  <c r="K618" i="77"/>
  <c r="K619" i="77"/>
  <c r="K620" i="77"/>
  <c r="K621" i="77"/>
  <c r="K622" i="77"/>
  <c r="K623" i="77"/>
  <c r="K624" i="77"/>
  <c r="K625" i="77"/>
  <c r="K626" i="77"/>
  <c r="K627" i="77"/>
  <c r="K628" i="77"/>
  <c r="K629" i="77"/>
  <c r="K630" i="77"/>
  <c r="K631" i="77"/>
  <c r="K632" i="77"/>
  <c r="K633" i="77"/>
  <c r="K634" i="77"/>
  <c r="K635" i="77"/>
  <c r="K636" i="77"/>
  <c r="K637" i="77"/>
  <c r="K638" i="77"/>
  <c r="K639" i="77"/>
  <c r="K640" i="77"/>
  <c r="K641" i="77"/>
  <c r="K642" i="77"/>
  <c r="K643" i="77"/>
  <c r="K644" i="77"/>
  <c r="K645" i="77"/>
  <c r="K646" i="77"/>
  <c r="K647" i="77"/>
  <c r="K648" i="77"/>
  <c r="K649" i="77"/>
  <c r="K650" i="77"/>
  <c r="K651" i="77"/>
  <c r="K652" i="77"/>
  <c r="K653" i="77"/>
  <c r="K654" i="77"/>
  <c r="K655" i="77"/>
  <c r="K656" i="77"/>
  <c r="K657" i="77"/>
  <c r="K658" i="77"/>
  <c r="K659" i="77"/>
  <c r="K660" i="77"/>
  <c r="K661" i="77"/>
  <c r="K662" i="77"/>
  <c r="K663" i="77"/>
  <c r="K664" i="77"/>
  <c r="K665" i="77"/>
  <c r="K666" i="77"/>
  <c r="K667" i="77"/>
  <c r="K668" i="77"/>
  <c r="K669" i="77"/>
  <c r="K670" i="77"/>
  <c r="K671" i="77"/>
  <c r="K672" i="77"/>
  <c r="K673" i="77"/>
  <c r="K674" i="77"/>
  <c r="K675" i="77"/>
  <c r="K676" i="77"/>
  <c r="K677" i="77"/>
  <c r="K678" i="77"/>
  <c r="K679" i="77"/>
  <c r="K680" i="77"/>
  <c r="K681" i="77"/>
  <c r="K682" i="77"/>
  <c r="K683" i="77"/>
  <c r="K684" i="77"/>
  <c r="K685" i="77"/>
  <c r="K686" i="77"/>
  <c r="K687" i="77"/>
  <c r="K688" i="77"/>
  <c r="K689" i="77"/>
  <c r="K690" i="77"/>
  <c r="K691" i="77"/>
  <c r="K692" i="77"/>
  <c r="K693" i="77"/>
  <c r="K694" i="77"/>
  <c r="K695" i="77"/>
  <c r="K696" i="77"/>
  <c r="K697" i="77"/>
  <c r="K698" i="77"/>
  <c r="K699" i="77"/>
  <c r="K700" i="77"/>
  <c r="K701" i="77"/>
  <c r="K702" i="77"/>
  <c r="K703" i="77"/>
  <c r="K704" i="77"/>
  <c r="K705" i="77"/>
  <c r="K706" i="77"/>
  <c r="K707" i="77"/>
  <c r="K708" i="77"/>
  <c r="K709" i="77"/>
  <c r="K710" i="77"/>
  <c r="K711" i="77"/>
  <c r="K712" i="77"/>
  <c r="K713" i="77"/>
  <c r="K714" i="77"/>
  <c r="K715" i="77"/>
  <c r="K716" i="77"/>
  <c r="K717" i="77"/>
  <c r="K718" i="77"/>
  <c r="K719" i="77"/>
  <c r="K720" i="77"/>
  <c r="K721" i="77"/>
  <c r="K722" i="77"/>
  <c r="K723" i="77"/>
  <c r="K724" i="77"/>
  <c r="K725" i="77"/>
  <c r="K726" i="77"/>
  <c r="K727" i="77"/>
  <c r="K728" i="77"/>
  <c r="K729" i="77"/>
  <c r="K730" i="77"/>
  <c r="K731" i="77"/>
  <c r="K732" i="77"/>
  <c r="K733" i="77"/>
  <c r="K734" i="77"/>
  <c r="K735" i="77"/>
  <c r="K736" i="77"/>
  <c r="K737" i="77"/>
  <c r="K738" i="77"/>
  <c r="K739" i="77"/>
  <c r="K740" i="77"/>
  <c r="K741" i="77"/>
  <c r="K742" i="77"/>
  <c r="K743" i="77"/>
  <c r="K744" i="77"/>
  <c r="K745" i="77"/>
  <c r="K746" i="77"/>
  <c r="K747" i="77"/>
  <c r="K748" i="77"/>
  <c r="K749" i="77"/>
  <c r="K750" i="77"/>
  <c r="K751" i="77"/>
  <c r="K752" i="77"/>
  <c r="K753" i="77"/>
  <c r="K754" i="77"/>
  <c r="K755" i="77"/>
  <c r="K756" i="77"/>
  <c r="K757" i="77"/>
  <c r="K758" i="77"/>
  <c r="K759" i="77"/>
  <c r="K760" i="77"/>
  <c r="K761" i="77"/>
  <c r="K762" i="77"/>
  <c r="K763" i="77"/>
  <c r="K764" i="77"/>
  <c r="K765" i="77"/>
  <c r="K766" i="77"/>
  <c r="K767" i="77"/>
  <c r="K768" i="77"/>
  <c r="K769" i="77"/>
  <c r="K770" i="77"/>
  <c r="K771" i="77"/>
  <c r="K772" i="77"/>
  <c r="K773" i="77"/>
  <c r="K774" i="77"/>
  <c r="K775" i="77"/>
  <c r="K776" i="77"/>
  <c r="K777" i="77"/>
  <c r="K778" i="77"/>
  <c r="K779" i="77"/>
  <c r="K780" i="77"/>
  <c r="K781" i="77"/>
  <c r="K782" i="77"/>
  <c r="K783" i="77"/>
  <c r="K784" i="77"/>
  <c r="K785" i="77"/>
  <c r="K786" i="77"/>
  <c r="K787" i="77"/>
  <c r="K788" i="77"/>
  <c r="K789" i="77"/>
  <c r="K790" i="77"/>
  <c r="K791" i="77"/>
  <c r="K792" i="77"/>
  <c r="K793" i="77"/>
  <c r="K794" i="77"/>
  <c r="K795" i="77"/>
  <c r="K796" i="77"/>
  <c r="K797" i="77"/>
  <c r="K798" i="77"/>
  <c r="K799" i="77"/>
  <c r="K800" i="77"/>
  <c r="K801" i="77"/>
  <c r="K802" i="77"/>
  <c r="K803" i="77"/>
  <c r="K804" i="77"/>
  <c r="K805" i="77"/>
  <c r="K806" i="77"/>
  <c r="K807" i="77"/>
  <c r="K808" i="77"/>
  <c r="K809" i="77"/>
  <c r="K810" i="77"/>
  <c r="K811" i="77"/>
  <c r="K812" i="77"/>
  <c r="K813" i="77"/>
  <c r="K814" i="77"/>
  <c r="K815" i="77"/>
  <c r="K816" i="77"/>
  <c r="K817" i="77"/>
  <c r="K818" i="77"/>
  <c r="K819" i="77"/>
  <c r="K820" i="77"/>
  <c r="K821" i="77"/>
  <c r="K822" i="77"/>
  <c r="K823" i="77"/>
  <c r="K824" i="77"/>
  <c r="K825" i="77"/>
  <c r="K826" i="77"/>
  <c r="K827" i="77"/>
  <c r="K828" i="77"/>
  <c r="K829" i="77"/>
  <c r="K830" i="77"/>
  <c r="K831" i="77"/>
  <c r="K832" i="77"/>
  <c r="K833" i="77"/>
  <c r="K834" i="77"/>
  <c r="K835" i="77"/>
  <c r="K836" i="77"/>
  <c r="K837" i="77"/>
  <c r="K838" i="77"/>
  <c r="K839" i="77"/>
  <c r="K840" i="77"/>
  <c r="K841" i="77"/>
  <c r="K842" i="77"/>
  <c r="K843" i="77"/>
  <c r="K844" i="77"/>
  <c r="K845" i="77"/>
  <c r="K846" i="77"/>
  <c r="K847" i="77"/>
  <c r="K848" i="77"/>
  <c r="K849" i="77"/>
  <c r="K850" i="77"/>
  <c r="K851" i="77"/>
  <c r="K852" i="77"/>
  <c r="K853" i="77"/>
  <c r="K854" i="77"/>
  <c r="K855" i="77"/>
  <c r="K856" i="77"/>
  <c r="K857" i="77"/>
  <c r="K858" i="77"/>
  <c r="K859" i="77"/>
  <c r="K860" i="77"/>
  <c r="K861" i="77"/>
  <c r="K862" i="77"/>
  <c r="K863" i="77"/>
  <c r="K864" i="77"/>
  <c r="K865" i="77"/>
  <c r="K866" i="77"/>
  <c r="K867" i="77"/>
  <c r="K868" i="77"/>
  <c r="K869" i="77"/>
  <c r="K870" i="77"/>
  <c r="K871" i="77"/>
  <c r="K872" i="77"/>
  <c r="K873" i="77"/>
  <c r="K874" i="77"/>
  <c r="K875" i="77"/>
  <c r="K876" i="77"/>
  <c r="K877" i="77"/>
  <c r="K878" i="77"/>
  <c r="K879" i="77"/>
  <c r="K880" i="77"/>
  <c r="K881" i="77"/>
  <c r="K882" i="77"/>
  <c r="K883" i="77"/>
  <c r="K884" i="77"/>
  <c r="K885" i="77"/>
  <c r="K886" i="77"/>
  <c r="K887" i="77"/>
  <c r="K888" i="77"/>
  <c r="K889" i="77"/>
  <c r="K890" i="77"/>
  <c r="K891" i="77"/>
  <c r="K892" i="77"/>
  <c r="K893" i="77"/>
  <c r="K894" i="77"/>
  <c r="K895" i="77"/>
  <c r="K896" i="77"/>
  <c r="K897" i="77"/>
  <c r="K898" i="77"/>
  <c r="K899" i="77"/>
  <c r="K900" i="77"/>
  <c r="K901" i="77"/>
  <c r="K902" i="77"/>
  <c r="K903" i="77"/>
  <c r="K904" i="77"/>
  <c r="K905" i="77"/>
  <c r="K906" i="77"/>
  <c r="K907" i="77"/>
  <c r="K908" i="77"/>
  <c r="K909" i="77"/>
  <c r="K910" i="77"/>
  <c r="K911" i="77"/>
  <c r="K912" i="77"/>
  <c r="K913" i="77"/>
  <c r="K914" i="77"/>
  <c r="K915" i="77"/>
  <c r="K916" i="77"/>
  <c r="K917" i="77"/>
  <c r="K918" i="77"/>
  <c r="K919" i="77"/>
  <c r="K920" i="77"/>
  <c r="K921" i="77"/>
  <c r="K922" i="77"/>
  <c r="K923" i="77"/>
  <c r="K924" i="77"/>
  <c r="K925" i="77"/>
  <c r="K926" i="77"/>
  <c r="K927" i="77"/>
  <c r="K928" i="77"/>
  <c r="K929" i="77"/>
  <c r="K930" i="77"/>
  <c r="K931" i="77"/>
  <c r="K932" i="77"/>
  <c r="K933" i="77"/>
  <c r="K934" i="77"/>
  <c r="K935" i="77"/>
  <c r="K936" i="77"/>
  <c r="K937" i="77"/>
  <c r="K938" i="77"/>
  <c r="K939" i="77"/>
  <c r="K940" i="77"/>
  <c r="K941" i="77"/>
  <c r="K942" i="77"/>
  <c r="K943" i="77"/>
  <c r="K944" i="77"/>
  <c r="K945" i="77"/>
  <c r="K946" i="77"/>
  <c r="K947" i="77"/>
  <c r="K948" i="77"/>
  <c r="K949" i="77"/>
  <c r="K950" i="77"/>
  <c r="K951" i="77"/>
  <c r="K952" i="77"/>
  <c r="K953" i="77"/>
  <c r="K954" i="77"/>
  <c r="K955" i="77"/>
  <c r="K956" i="77"/>
  <c r="K957" i="77"/>
  <c r="K958" i="77"/>
  <c r="K959" i="77"/>
  <c r="K960" i="77"/>
  <c r="K961" i="77"/>
  <c r="K962" i="77"/>
  <c r="K963" i="77"/>
  <c r="K964" i="77"/>
  <c r="K965" i="77"/>
  <c r="K966" i="77"/>
  <c r="K967" i="77"/>
  <c r="K968" i="77"/>
  <c r="K969" i="77"/>
  <c r="K970" i="77"/>
  <c r="K971" i="77"/>
  <c r="K972" i="77"/>
  <c r="K973" i="77"/>
  <c r="K974" i="77"/>
  <c r="K975" i="77"/>
  <c r="K976" i="77"/>
  <c r="K977" i="77"/>
  <c r="K978" i="77"/>
  <c r="K979" i="77"/>
  <c r="K980" i="77"/>
  <c r="K981" i="77"/>
  <c r="K982" i="77"/>
  <c r="K983" i="77"/>
  <c r="K984" i="77"/>
  <c r="K985" i="77"/>
  <c r="K986" i="77"/>
  <c r="K987" i="77"/>
  <c r="K988" i="77"/>
  <c r="K989" i="77"/>
  <c r="K990" i="77"/>
  <c r="K991" i="77"/>
  <c r="K992" i="77"/>
  <c r="K993" i="77"/>
  <c r="K994" i="77"/>
  <c r="K995" i="77"/>
  <c r="K996" i="77"/>
  <c r="K997" i="77"/>
  <c r="K998" i="77"/>
  <c r="K999" i="77"/>
  <c r="K1000" i="77"/>
  <c r="K1001" i="77"/>
  <c r="K1002" i="77"/>
  <c r="K1003" i="77"/>
  <c r="K1004" i="77"/>
  <c r="K1005" i="77"/>
  <c r="K1006" i="77"/>
  <c r="K1007" i="77"/>
  <c r="K1008" i="77"/>
  <c r="K1009" i="77"/>
  <c r="K1010" i="77"/>
  <c r="K1011" i="77"/>
  <c r="K1012" i="77"/>
  <c r="K1013" i="77"/>
  <c r="K1014" i="77"/>
  <c r="K1015" i="77"/>
  <c r="K1016" i="77"/>
  <c r="K1017" i="77"/>
  <c r="K1018" i="77"/>
  <c r="K1019" i="77"/>
  <c r="K1020" i="77"/>
  <c r="K1021" i="77"/>
  <c r="K1022" i="77"/>
  <c r="K1023" i="77"/>
  <c r="K1024" i="77"/>
  <c r="K1025" i="77"/>
  <c r="K1026" i="77"/>
  <c r="K1027" i="77"/>
  <c r="K1028" i="77"/>
  <c r="K1029" i="77"/>
  <c r="K1030" i="77"/>
  <c r="K1031" i="77"/>
  <c r="K1032" i="77"/>
  <c r="K1033" i="77"/>
  <c r="K1034" i="77"/>
  <c r="K1035" i="77"/>
  <c r="K1036" i="77"/>
  <c r="K1037" i="77"/>
  <c r="K1038" i="77"/>
  <c r="K1039" i="77"/>
  <c r="K1040" i="77"/>
  <c r="K1041" i="77"/>
  <c r="K1042" i="77"/>
  <c r="K1043" i="77"/>
  <c r="K1044" i="77"/>
  <c r="K1045" i="77"/>
  <c r="K1046" i="77"/>
  <c r="K1047" i="77"/>
  <c r="K1048" i="77"/>
  <c r="K1049" i="77"/>
  <c r="K1050" i="77"/>
  <c r="K1051" i="77"/>
  <c r="K1052" i="77"/>
  <c r="K1053" i="77"/>
  <c r="K1054" i="77"/>
  <c r="K1055" i="77"/>
  <c r="K1056" i="77"/>
  <c r="K1057" i="77"/>
  <c r="K1058" i="77"/>
  <c r="K1059" i="77"/>
  <c r="K1060" i="77"/>
  <c r="K1061" i="77"/>
  <c r="K1062" i="77"/>
  <c r="K1063" i="77"/>
  <c r="K1064" i="77"/>
  <c r="K1065" i="77"/>
  <c r="K1066" i="77"/>
  <c r="K1067" i="77"/>
  <c r="K1068" i="77"/>
  <c r="K1069" i="77"/>
  <c r="K1070" i="77"/>
  <c r="K1071" i="77"/>
  <c r="K1072" i="77"/>
  <c r="K1073" i="77"/>
  <c r="K1074" i="77"/>
  <c r="K1075" i="77"/>
  <c r="K1076" i="77"/>
  <c r="K1077" i="77"/>
  <c r="K1078" i="77"/>
  <c r="K1079" i="77"/>
  <c r="K1080" i="77"/>
  <c r="K1081" i="77"/>
  <c r="K1082" i="77"/>
  <c r="K1083" i="77"/>
  <c r="K1084" i="77"/>
  <c r="K1085" i="77"/>
  <c r="K1086" i="77"/>
  <c r="K1087" i="77"/>
  <c r="K1088" i="77"/>
  <c r="K1089" i="77"/>
  <c r="K1090" i="77"/>
  <c r="K1091" i="77"/>
  <c r="K1092" i="77"/>
  <c r="K1093" i="77"/>
  <c r="K1094" i="77"/>
  <c r="K1095" i="77"/>
  <c r="K1096" i="77"/>
  <c r="K1097" i="77"/>
  <c r="K1098" i="77"/>
  <c r="K1099" i="77"/>
  <c r="K1100" i="77"/>
  <c r="K1101" i="77"/>
  <c r="K1102" i="77"/>
  <c r="K1103" i="77"/>
  <c r="K1104" i="77"/>
  <c r="K1105" i="77"/>
  <c r="K1106" i="77"/>
  <c r="K1107" i="77"/>
  <c r="K1108" i="77"/>
  <c r="K1109" i="77"/>
  <c r="K1110" i="77"/>
  <c r="K1111" i="77"/>
  <c r="K1112" i="77"/>
  <c r="K1113" i="77"/>
  <c r="K1114" i="77"/>
  <c r="K1115" i="77"/>
  <c r="K1116" i="77"/>
  <c r="K1117" i="77"/>
  <c r="K1118" i="77"/>
  <c r="K1119" i="77"/>
  <c r="K1120" i="77"/>
  <c r="K1121" i="77"/>
  <c r="K1122" i="77"/>
  <c r="K1123" i="77"/>
  <c r="K1124" i="77"/>
  <c r="K1125" i="77"/>
  <c r="K1126" i="77"/>
  <c r="K1127" i="77"/>
  <c r="K1128" i="77"/>
  <c r="K1129" i="77"/>
  <c r="K1130" i="77"/>
  <c r="K1131" i="77"/>
  <c r="K1132" i="77"/>
  <c r="K1133" i="77"/>
  <c r="K1134" i="77"/>
  <c r="K1135" i="77"/>
  <c r="K1136" i="77"/>
  <c r="K1137" i="77"/>
  <c r="K1138" i="77"/>
  <c r="K1139" i="77"/>
  <c r="K1140" i="77"/>
  <c r="K1141" i="77"/>
  <c r="K1142" i="77"/>
  <c r="K1143" i="77"/>
  <c r="K1144" i="77"/>
  <c r="K1145" i="77"/>
  <c r="K1146" i="77"/>
  <c r="K1147" i="77"/>
  <c r="K1148" i="77"/>
  <c r="K1149" i="77"/>
  <c r="K1150" i="77"/>
  <c r="K1151" i="77"/>
  <c r="K1152" i="77"/>
  <c r="K1153" i="77"/>
  <c r="K1154" i="77"/>
  <c r="K1155" i="77"/>
  <c r="K1156" i="77"/>
  <c r="K1157" i="77"/>
  <c r="K1158" i="77"/>
  <c r="K1159" i="77"/>
  <c r="K1160" i="77"/>
  <c r="K1161" i="77"/>
  <c r="K1162" i="77"/>
  <c r="K1163" i="77"/>
  <c r="K1164" i="77"/>
  <c r="K1165" i="77"/>
  <c r="K1166" i="77"/>
  <c r="K1167" i="77"/>
  <c r="K1168" i="77"/>
  <c r="K1169" i="77"/>
  <c r="K1170" i="77"/>
  <c r="K1171" i="77"/>
  <c r="K1172" i="77"/>
  <c r="K1173" i="77"/>
  <c r="K1174" i="77"/>
  <c r="K1175" i="77"/>
  <c r="K1176" i="77"/>
  <c r="K1177" i="77"/>
  <c r="K1178" i="77"/>
  <c r="K1179" i="77"/>
  <c r="K1180" i="77"/>
  <c r="K1181" i="77"/>
  <c r="K1182" i="77"/>
  <c r="K1183" i="77"/>
  <c r="K1184" i="77"/>
  <c r="K1185" i="77"/>
  <c r="K1186" i="77"/>
  <c r="K1187" i="77"/>
  <c r="K1188" i="77"/>
  <c r="K1189" i="77"/>
  <c r="K1190" i="77"/>
  <c r="K1191" i="77"/>
  <c r="K1192" i="77"/>
  <c r="K1193" i="77"/>
  <c r="K1194" i="77"/>
  <c r="K1195" i="77"/>
  <c r="K1196" i="77"/>
  <c r="K1197" i="77"/>
  <c r="K1198" i="77"/>
  <c r="K1199" i="77"/>
  <c r="K1200" i="77"/>
  <c r="K1201" i="77"/>
  <c r="K1202" i="77"/>
  <c r="K1203" i="77"/>
  <c r="K1204" i="77"/>
  <c r="K1205" i="77"/>
  <c r="K1206" i="77"/>
  <c r="K1207" i="77"/>
  <c r="K1208" i="77"/>
  <c r="K1209" i="77"/>
  <c r="K1210" i="77"/>
  <c r="K1211" i="77"/>
  <c r="K1212" i="77"/>
  <c r="K1213" i="77"/>
  <c r="K1214" i="77"/>
  <c r="K1215" i="77"/>
  <c r="K1216" i="77"/>
  <c r="K1217" i="77"/>
  <c r="K1218" i="77"/>
  <c r="K1219" i="77"/>
  <c r="K1220" i="77"/>
  <c r="K1221" i="77"/>
  <c r="K1222" i="77"/>
  <c r="K1223" i="77"/>
  <c r="K1224" i="77"/>
  <c r="K1225" i="77"/>
  <c r="K1226" i="77"/>
  <c r="K1227" i="77"/>
  <c r="K1228" i="77"/>
  <c r="K1229" i="77"/>
  <c r="K1230" i="77"/>
  <c r="K1231" i="77"/>
  <c r="K1232" i="77"/>
  <c r="K1233" i="77"/>
  <c r="K1234" i="77"/>
  <c r="K1235" i="77"/>
  <c r="K1236" i="77"/>
  <c r="K1237" i="77"/>
  <c r="K1238" i="77"/>
  <c r="K1239" i="77"/>
  <c r="K1240" i="77"/>
  <c r="K1241" i="77"/>
  <c r="K1242" i="77"/>
  <c r="K1243" i="77"/>
  <c r="K1244" i="77"/>
  <c r="K1245" i="77"/>
  <c r="K1246" i="77"/>
  <c r="K1247" i="77"/>
  <c r="K1248" i="77"/>
  <c r="K1249" i="77"/>
  <c r="K1250" i="77"/>
  <c r="K1251" i="77"/>
  <c r="K1252" i="77"/>
  <c r="K1253" i="77"/>
  <c r="K1254" i="77"/>
  <c r="K1255" i="77"/>
  <c r="K1256" i="77"/>
  <c r="K1257" i="77"/>
  <c r="K1258" i="77"/>
  <c r="K1259" i="77"/>
  <c r="K1260" i="77"/>
  <c r="K1261" i="77"/>
  <c r="K1262" i="77"/>
  <c r="K1263" i="77"/>
  <c r="K1264" i="77"/>
  <c r="K1265" i="77"/>
  <c r="K1266" i="77"/>
  <c r="K1267" i="77"/>
  <c r="K1268" i="77"/>
  <c r="K1269" i="77"/>
  <c r="K1270" i="77"/>
  <c r="K1271" i="77"/>
  <c r="K1272" i="77"/>
  <c r="K1273" i="77"/>
  <c r="K1274" i="77"/>
  <c r="K1275" i="77"/>
  <c r="K1276" i="77"/>
  <c r="K1277" i="77"/>
  <c r="K1278" i="77"/>
  <c r="K1279" i="77"/>
  <c r="K1280" i="77"/>
  <c r="K1281" i="77"/>
  <c r="K1282" i="77"/>
  <c r="K1283" i="77"/>
  <c r="K1284" i="77"/>
  <c r="K1285" i="77"/>
  <c r="K1286" i="77"/>
  <c r="K1287" i="77"/>
  <c r="K1288" i="77"/>
  <c r="K1289" i="77"/>
  <c r="K1290" i="77"/>
  <c r="K1291" i="77"/>
  <c r="K1292" i="77"/>
  <c r="K1293" i="77"/>
  <c r="K1294" i="77"/>
  <c r="K1295" i="77"/>
  <c r="K1296" i="77"/>
  <c r="K1297" i="77"/>
  <c r="K1298" i="77"/>
  <c r="K1299" i="77"/>
  <c r="K1300" i="77"/>
  <c r="K1301" i="77"/>
  <c r="K1302" i="77"/>
  <c r="K1303" i="77"/>
  <c r="K1304" i="77"/>
  <c r="K1305" i="77"/>
  <c r="K1306" i="77"/>
  <c r="K1307" i="77"/>
  <c r="K1308" i="77"/>
  <c r="K1309" i="77"/>
  <c r="K1310" i="77"/>
  <c r="K1311" i="77"/>
  <c r="K1312" i="77"/>
  <c r="K1313" i="77"/>
  <c r="K1314" i="77"/>
  <c r="K1315" i="77"/>
  <c r="K1316" i="77"/>
  <c r="K1317" i="77"/>
  <c r="K1318" i="77"/>
  <c r="K1319" i="77"/>
  <c r="K1320" i="77"/>
  <c r="K1321" i="77"/>
  <c r="K1322" i="77"/>
  <c r="K1323" i="77"/>
  <c r="K1324" i="77"/>
  <c r="K1325" i="77"/>
  <c r="K1326" i="77"/>
  <c r="K1327" i="77"/>
  <c r="K1328" i="77"/>
  <c r="K1329" i="77"/>
  <c r="K1330" i="77"/>
  <c r="K1331" i="77"/>
  <c r="K1332" i="77"/>
  <c r="K1333" i="77"/>
  <c r="K1334" i="77"/>
  <c r="K1335" i="77"/>
  <c r="K1336" i="77"/>
  <c r="K1337" i="77"/>
  <c r="K1338" i="77"/>
  <c r="K1339" i="77"/>
  <c r="K1340" i="77"/>
  <c r="K1341" i="77"/>
  <c r="K1342" i="77"/>
  <c r="K1343" i="77"/>
  <c r="K1344" i="77"/>
  <c r="K1345" i="77"/>
  <c r="K1346" i="77"/>
  <c r="K1347" i="77"/>
  <c r="K1348" i="77"/>
  <c r="K1349" i="77"/>
  <c r="K1350" i="77"/>
  <c r="K1351" i="77"/>
  <c r="K1352" i="77"/>
  <c r="K1353" i="77"/>
  <c r="K1354" i="77"/>
  <c r="K1355" i="77"/>
  <c r="K1356" i="77"/>
  <c r="K1357" i="77"/>
  <c r="K1358" i="77"/>
  <c r="K1359" i="77"/>
  <c r="K1360" i="77"/>
  <c r="K1361" i="77"/>
  <c r="K1362" i="77"/>
  <c r="K1363" i="77"/>
  <c r="K1364" i="77"/>
  <c r="K1365" i="77"/>
  <c r="K1366" i="77"/>
  <c r="K1367" i="77"/>
  <c r="K1368" i="77"/>
  <c r="K1369" i="77"/>
  <c r="K1370" i="77"/>
  <c r="K1371" i="77"/>
  <c r="K1372" i="77"/>
  <c r="K1373" i="77"/>
  <c r="K1374" i="77"/>
  <c r="K1375" i="77"/>
  <c r="K1376" i="77"/>
  <c r="K1377" i="77"/>
  <c r="K1378" i="77"/>
  <c r="K1379" i="77"/>
  <c r="K1380" i="77"/>
  <c r="K1381" i="77"/>
  <c r="K1382" i="77"/>
  <c r="K1383" i="77"/>
  <c r="K1384" i="77"/>
  <c r="K1385" i="77"/>
  <c r="K1386" i="77"/>
  <c r="K1387" i="77"/>
  <c r="K1388" i="77"/>
  <c r="K1389" i="77"/>
  <c r="K1390" i="77"/>
  <c r="K1391" i="77"/>
  <c r="K1392" i="77"/>
  <c r="K1393" i="77"/>
  <c r="K1394" i="77"/>
  <c r="K1395" i="77"/>
  <c r="K1396" i="77"/>
  <c r="K1397" i="77"/>
  <c r="K1398" i="77"/>
  <c r="K1399" i="77"/>
  <c r="K1400" i="77"/>
  <c r="K1401" i="77"/>
  <c r="K1402" i="77"/>
  <c r="K1403" i="77"/>
  <c r="K1404" i="77"/>
  <c r="K1405" i="77"/>
  <c r="K1406" i="77"/>
  <c r="K1407" i="77"/>
  <c r="K1408" i="77"/>
  <c r="K1409" i="77"/>
  <c r="K1410" i="77"/>
  <c r="K1411" i="77"/>
  <c r="K1412" i="77"/>
  <c r="K1413" i="77"/>
  <c r="K1414" i="77"/>
  <c r="K1415" i="77"/>
  <c r="K1416" i="77"/>
  <c r="K1417" i="77"/>
  <c r="K1418" i="77"/>
  <c r="K1419" i="77"/>
  <c r="K1420" i="77"/>
  <c r="K1421" i="77"/>
  <c r="K1422" i="77"/>
  <c r="K1423" i="77"/>
  <c r="K1424" i="77"/>
  <c r="K1425" i="77"/>
  <c r="K1426" i="77"/>
  <c r="K1427" i="77"/>
  <c r="K1428" i="77"/>
  <c r="K1429" i="77"/>
  <c r="K1430" i="77"/>
  <c r="K1431" i="77"/>
  <c r="K1432" i="77"/>
  <c r="K1433" i="77"/>
  <c r="K1434" i="77"/>
  <c r="K1435" i="77"/>
  <c r="K1436" i="77"/>
  <c r="K1437" i="77"/>
  <c r="K1438" i="77"/>
  <c r="K1439" i="77"/>
  <c r="K1440" i="77"/>
  <c r="K1441" i="77"/>
  <c r="K1442" i="77"/>
  <c r="K1443" i="77"/>
  <c r="K1444" i="77"/>
  <c r="K1445" i="77"/>
  <c r="K1446" i="77"/>
  <c r="K1447" i="77"/>
  <c r="K1448" i="77"/>
  <c r="K1449" i="77"/>
  <c r="K1450" i="77"/>
  <c r="K1451" i="77"/>
  <c r="K1452" i="77"/>
  <c r="K1453" i="77"/>
  <c r="K1454" i="77"/>
  <c r="K1455" i="77"/>
  <c r="K1456" i="77"/>
  <c r="K1457" i="77"/>
  <c r="K1458" i="77"/>
  <c r="K1459" i="77"/>
  <c r="K1460" i="77"/>
  <c r="K1461" i="77"/>
  <c r="K1462" i="77"/>
  <c r="K1463" i="77"/>
  <c r="K1464" i="77"/>
  <c r="K1465" i="77"/>
  <c r="K1466" i="77"/>
  <c r="K1467" i="77"/>
  <c r="K1468" i="77"/>
  <c r="K1469" i="77"/>
  <c r="K1470" i="77"/>
  <c r="K1471" i="77"/>
  <c r="K1472" i="77"/>
  <c r="K1473" i="77"/>
  <c r="K1474" i="77"/>
  <c r="K1475" i="77"/>
  <c r="K1476" i="77"/>
  <c r="K1477" i="77"/>
  <c r="K1478" i="77"/>
  <c r="K1479" i="77"/>
  <c r="K1480" i="77"/>
  <c r="K1481" i="77"/>
  <c r="K1482" i="77"/>
  <c r="K2" i="77"/>
  <c r="N14" i="56"/>
  <c r="F12" i="18"/>
  <c r="B7" i="67"/>
  <c r="C6" i="67"/>
  <c r="C7" i="67"/>
  <c r="B6" i="22"/>
  <c r="B7" i="22"/>
  <c r="C6" i="22"/>
  <c r="C7" i="22"/>
  <c r="P13" i="57"/>
  <c r="O14" i="22"/>
  <c r="O13" i="22"/>
  <c r="J22" i="8"/>
  <c r="J23" i="8"/>
  <c r="J18" i="8"/>
  <c r="J19" i="8"/>
  <c r="J14" i="8"/>
  <c r="C43" i="84" l="1"/>
  <c r="C42" i="84"/>
  <c r="C41" i="84"/>
  <c r="C40" i="84"/>
  <c r="C39" i="84"/>
  <c r="C38" i="84"/>
  <c r="D37" i="84"/>
  <c r="C24" i="24"/>
  <c r="D64" i="15"/>
  <c r="C18" i="15"/>
  <c r="D14" i="67"/>
  <c r="C32" i="15"/>
  <c r="C37" i="84"/>
  <c r="D36" i="84"/>
  <c r="D35" i="84"/>
  <c r="D34" i="84"/>
  <c r="D33" i="84"/>
  <c r="D32" i="84"/>
  <c r="D31" i="84"/>
  <c r="D30" i="84"/>
  <c r="D24" i="24"/>
  <c r="C64" i="15"/>
  <c r="D34" i="15"/>
  <c r="D15" i="67"/>
  <c r="C26" i="24"/>
  <c r="D42" i="84"/>
  <c r="C48" i="15"/>
  <c r="C36" i="84"/>
  <c r="C35" i="84"/>
  <c r="C34" i="84"/>
  <c r="C33" i="84"/>
  <c r="C32" i="84"/>
  <c r="C31" i="84"/>
  <c r="C30" i="84"/>
  <c r="D29" i="84"/>
  <c r="D28" i="84"/>
  <c r="C25" i="24"/>
  <c r="C34" i="15"/>
  <c r="D16" i="15"/>
  <c r="D32" i="15"/>
  <c r="D23" i="24"/>
  <c r="C29" i="84"/>
  <c r="C28" i="84"/>
  <c r="D26" i="84"/>
  <c r="D25" i="84"/>
  <c r="D24" i="84"/>
  <c r="D23" i="84"/>
  <c r="D22" i="84"/>
  <c r="D21" i="84"/>
  <c r="D20" i="84"/>
  <c r="D25" i="24"/>
  <c r="D50" i="15"/>
  <c r="C16" i="15"/>
  <c r="C14" i="67"/>
  <c r="D12" i="84"/>
  <c r="C15" i="67"/>
  <c r="D41" i="84"/>
  <c r="D18" i="15"/>
  <c r="D47" i="84"/>
  <c r="D46" i="84"/>
  <c r="C26" i="84"/>
  <c r="C25" i="84"/>
  <c r="C24" i="84"/>
  <c r="C23" i="84"/>
  <c r="C22" i="84"/>
  <c r="C21" i="84"/>
  <c r="C20" i="84"/>
  <c r="D19" i="84"/>
  <c r="D18" i="84"/>
  <c r="D17" i="84"/>
  <c r="D16" i="84"/>
  <c r="D15" i="84"/>
  <c r="D14" i="84"/>
  <c r="D13" i="84"/>
  <c r="C50" i="15"/>
  <c r="C47" i="84"/>
  <c r="C46" i="84"/>
  <c r="D45" i="84"/>
  <c r="D27" i="84"/>
  <c r="C19" i="84"/>
  <c r="C18" i="84"/>
  <c r="C17" i="84"/>
  <c r="C16" i="84"/>
  <c r="C15" i="84"/>
  <c r="C14" i="84"/>
  <c r="C13" i="84"/>
  <c r="C12" i="84"/>
  <c r="D26" i="24"/>
  <c r="D66" i="15"/>
  <c r="C45" i="84"/>
  <c r="D44" i="84"/>
  <c r="C27" i="84"/>
  <c r="C23" i="24"/>
  <c r="C66" i="15"/>
  <c r="D48" i="15"/>
  <c r="C44" i="84"/>
  <c r="D43" i="84"/>
  <c r="D40" i="84"/>
  <c r="D39" i="84"/>
  <c r="D38" i="84"/>
  <c r="C14" i="37"/>
  <c r="C16" i="24"/>
  <c r="C20" i="24"/>
  <c r="D15" i="24"/>
  <c r="C16" i="8"/>
  <c r="C20" i="8"/>
  <c r="D13" i="11"/>
  <c r="C19" i="67"/>
  <c r="C23" i="67"/>
  <c r="C27" i="67"/>
  <c r="C31" i="67"/>
  <c r="C15" i="22"/>
  <c r="C15" i="57"/>
  <c r="C14" i="65"/>
  <c r="C14" i="21"/>
  <c r="C14" i="17"/>
  <c r="C18" i="17"/>
  <c r="C22" i="17"/>
  <c r="C26" i="17"/>
  <c r="C30" i="17"/>
  <c r="C34" i="17"/>
  <c r="C14" i="18"/>
  <c r="C18" i="18"/>
  <c r="C22" i="18"/>
  <c r="C14" i="20"/>
  <c r="C18" i="20"/>
  <c r="C22" i="20"/>
  <c r="C26" i="20"/>
  <c r="C30" i="20"/>
  <c r="C13" i="52"/>
  <c r="C18" i="52"/>
  <c r="C14" i="15"/>
  <c r="C20" i="15"/>
  <c r="C24" i="15"/>
  <c r="C30" i="15"/>
  <c r="C36" i="15"/>
  <c r="C40" i="15"/>
  <c r="C46" i="15"/>
  <c r="C52" i="15"/>
  <c r="C56" i="15"/>
  <c r="C62" i="15"/>
  <c r="C68" i="15"/>
  <c r="C72" i="15"/>
  <c r="C14" i="56"/>
  <c r="C18" i="56"/>
  <c r="C22" i="56"/>
  <c r="C26" i="56"/>
  <c r="C30" i="56"/>
  <c r="C34" i="56"/>
  <c r="C38" i="56"/>
  <c r="C42" i="56"/>
  <c r="C46" i="56"/>
  <c r="C50" i="56"/>
  <c r="C54" i="56"/>
  <c r="C58" i="56"/>
  <c r="C62" i="56"/>
  <c r="C14" i="14"/>
  <c r="C18" i="14"/>
  <c r="C22" i="14"/>
  <c r="D19" i="8"/>
  <c r="D23" i="8"/>
  <c r="D14" i="37"/>
  <c r="D16" i="24"/>
  <c r="D20" i="24"/>
  <c r="C15" i="24"/>
  <c r="D16" i="8"/>
  <c r="D20" i="8"/>
  <c r="C13" i="11"/>
  <c r="D19" i="67"/>
  <c r="D23" i="67"/>
  <c r="D27" i="67"/>
  <c r="D31" i="67"/>
  <c r="D15" i="22"/>
  <c r="D15" i="57"/>
  <c r="D14" i="65"/>
  <c r="D14" i="21"/>
  <c r="D14" i="17"/>
  <c r="D18" i="17"/>
  <c r="D22" i="17"/>
  <c r="D26" i="17"/>
  <c r="D30" i="17"/>
  <c r="D34" i="17"/>
  <c r="D14" i="18"/>
  <c r="D18" i="18"/>
  <c r="D22" i="18"/>
  <c r="D14" i="20"/>
  <c r="D18" i="20"/>
  <c r="D22" i="20"/>
  <c r="D26" i="20"/>
  <c r="D30" i="20"/>
  <c r="D13" i="52"/>
  <c r="D18" i="52"/>
  <c r="D14" i="15"/>
  <c r="D20" i="15"/>
  <c r="D24" i="15"/>
  <c r="D30" i="15"/>
  <c r="D36" i="15"/>
  <c r="D40" i="15"/>
  <c r="D46" i="15"/>
  <c r="D52" i="15"/>
  <c r="D56" i="15"/>
  <c r="D62" i="15"/>
  <c r="D68" i="15"/>
  <c r="D72" i="15"/>
  <c r="D14" i="56"/>
  <c r="D18" i="56"/>
  <c r="D22" i="56"/>
  <c r="D26" i="56"/>
  <c r="D30" i="56"/>
  <c r="D34" i="56"/>
  <c r="D38" i="56"/>
  <c r="D42" i="56"/>
  <c r="D46" i="56"/>
  <c r="D50" i="56"/>
  <c r="D54" i="56"/>
  <c r="D58" i="56"/>
  <c r="D62" i="56"/>
  <c r="D14" i="14"/>
  <c r="D18" i="14"/>
  <c r="D22" i="14"/>
  <c r="C15" i="37"/>
  <c r="C17" i="24"/>
  <c r="C21" i="24"/>
  <c r="C13" i="8"/>
  <c r="C17" i="8"/>
  <c r="C21" i="8"/>
  <c r="C14" i="11"/>
  <c r="C16" i="67"/>
  <c r="C20" i="67"/>
  <c r="C24" i="67"/>
  <c r="C28" i="67"/>
  <c r="C32" i="67"/>
  <c r="C16" i="22"/>
  <c r="C16" i="57"/>
  <c r="C15" i="65"/>
  <c r="C15" i="21"/>
  <c r="C15" i="17"/>
  <c r="C19" i="17"/>
  <c r="C23" i="17"/>
  <c r="C27" i="17"/>
  <c r="C31" i="17"/>
  <c r="C35" i="17"/>
  <c r="C15" i="18"/>
  <c r="C19" i="18"/>
  <c r="C23" i="18"/>
  <c r="C15" i="20"/>
  <c r="C19" i="20"/>
  <c r="C23" i="20"/>
  <c r="C27" i="20"/>
  <c r="C31" i="20"/>
  <c r="C16" i="52"/>
  <c r="C19" i="52"/>
  <c r="C15" i="15"/>
  <c r="C21" i="15"/>
  <c r="C25" i="15"/>
  <c r="C31" i="15"/>
  <c r="C37" i="15"/>
  <c r="C41" i="15"/>
  <c r="C47" i="15"/>
  <c r="C53" i="15"/>
  <c r="C57" i="15"/>
  <c r="C63" i="15"/>
  <c r="C69" i="15"/>
  <c r="C73" i="15"/>
  <c r="C15" i="56"/>
  <c r="C19" i="56"/>
  <c r="C23" i="56"/>
  <c r="C27" i="56"/>
  <c r="C31" i="56"/>
  <c r="C35" i="56"/>
  <c r="C39" i="56"/>
  <c r="C43" i="56"/>
  <c r="C47" i="56"/>
  <c r="C51" i="56"/>
  <c r="C55" i="56"/>
  <c r="C59" i="56"/>
  <c r="C63" i="56"/>
  <c r="C15" i="14"/>
  <c r="C19" i="14"/>
  <c r="C23" i="14"/>
  <c r="D15" i="8"/>
  <c r="D15" i="37"/>
  <c r="D17" i="24"/>
  <c r="D21" i="24"/>
  <c r="D13" i="8"/>
  <c r="D17" i="8"/>
  <c r="D21" i="8"/>
  <c r="D14" i="11"/>
  <c r="D16" i="67"/>
  <c r="D20" i="67"/>
  <c r="D24" i="67"/>
  <c r="D28" i="67"/>
  <c r="D32" i="67"/>
  <c r="D16" i="22"/>
  <c r="D16" i="57"/>
  <c r="D15" i="65"/>
  <c r="D15" i="21"/>
  <c r="D15" i="17"/>
  <c r="D19" i="17"/>
  <c r="D23" i="17"/>
  <c r="D27" i="17"/>
  <c r="D31" i="17"/>
  <c r="D35" i="17"/>
  <c r="D15" i="18"/>
  <c r="D19" i="18"/>
  <c r="D23" i="18"/>
  <c r="D15" i="20"/>
  <c r="D19" i="20"/>
  <c r="D23" i="20"/>
  <c r="D27" i="20"/>
  <c r="D31" i="20"/>
  <c r="D16" i="52"/>
  <c r="D19" i="52"/>
  <c r="D15" i="15"/>
  <c r="D21" i="15"/>
  <c r="D25" i="15"/>
  <c r="D31" i="15"/>
  <c r="D37" i="15"/>
  <c r="D41" i="15"/>
  <c r="D47" i="15"/>
  <c r="D53" i="15"/>
  <c r="D57" i="15"/>
  <c r="D63" i="15"/>
  <c r="D69" i="15"/>
  <c r="D73" i="15"/>
  <c r="D15" i="56"/>
  <c r="D19" i="56"/>
  <c r="D23" i="56"/>
  <c r="D27" i="56"/>
  <c r="D31" i="56"/>
  <c r="D35" i="56"/>
  <c r="D39" i="56"/>
  <c r="D43" i="56"/>
  <c r="D47" i="56"/>
  <c r="D51" i="56"/>
  <c r="D55" i="56"/>
  <c r="D59" i="56"/>
  <c r="D63" i="56"/>
  <c r="D15" i="14"/>
  <c r="D19" i="14"/>
  <c r="D23" i="14"/>
  <c r="C16" i="37"/>
  <c r="C18" i="24"/>
  <c r="C22" i="24"/>
  <c r="C14" i="8"/>
  <c r="C18" i="8"/>
  <c r="C22" i="8"/>
  <c r="C15" i="11"/>
  <c r="C17" i="67"/>
  <c r="C21" i="67"/>
  <c r="C25" i="67"/>
  <c r="C29" i="67"/>
  <c r="D13" i="67"/>
  <c r="D13" i="22"/>
  <c r="D13" i="57"/>
  <c r="D12" i="65"/>
  <c r="D12" i="21"/>
  <c r="C16" i="17"/>
  <c r="C20" i="17"/>
  <c r="C24" i="17"/>
  <c r="C28" i="17"/>
  <c r="C32" i="17"/>
  <c r="D12" i="17"/>
  <c r="C16" i="18"/>
  <c r="C20" i="18"/>
  <c r="D12" i="18"/>
  <c r="C16" i="20"/>
  <c r="C20" i="20"/>
  <c r="C24" i="20"/>
  <c r="C28" i="20"/>
  <c r="D12" i="20"/>
  <c r="C14" i="52"/>
  <c r="C17" i="52"/>
  <c r="C17" i="15"/>
  <c r="C22" i="15"/>
  <c r="C26" i="15"/>
  <c r="C28" i="15"/>
  <c r="C33" i="15"/>
  <c r="C38" i="15"/>
  <c r="C42" i="15"/>
  <c r="C44" i="15"/>
  <c r="C49" i="15"/>
  <c r="C54" i="15"/>
  <c r="C58" i="15"/>
  <c r="C60" i="15"/>
  <c r="C65" i="15"/>
  <c r="C70" i="15"/>
  <c r="C74" i="15"/>
  <c r="D12" i="15"/>
  <c r="C16" i="56"/>
  <c r="C20" i="56"/>
  <c r="C24" i="56"/>
  <c r="C28" i="56"/>
  <c r="C32" i="56"/>
  <c r="C36" i="56"/>
  <c r="C40" i="56"/>
  <c r="C44" i="56"/>
  <c r="C48" i="56"/>
  <c r="C52" i="56"/>
  <c r="C56" i="56"/>
  <c r="C60" i="56"/>
  <c r="D12" i="56"/>
  <c r="C16" i="14"/>
  <c r="C20" i="14"/>
  <c r="D12" i="14"/>
  <c r="C13" i="37"/>
  <c r="D16" i="37"/>
  <c r="D18" i="24"/>
  <c r="D22" i="24"/>
  <c r="D14" i="8"/>
  <c r="D18" i="8"/>
  <c r="D22" i="8"/>
  <c r="D15" i="11"/>
  <c r="D17" i="67"/>
  <c r="D21" i="67"/>
  <c r="D25" i="67"/>
  <c r="D29" i="67"/>
  <c r="C13" i="67"/>
  <c r="C13" i="22"/>
  <c r="C13" i="57"/>
  <c r="C12" i="65"/>
  <c r="C12" i="21"/>
  <c r="D16" i="17"/>
  <c r="D20" i="17"/>
  <c r="D24" i="17"/>
  <c r="D28" i="17"/>
  <c r="D32" i="17"/>
  <c r="C12" i="17"/>
  <c r="D16" i="18"/>
  <c r="D20" i="18"/>
  <c r="C12" i="18"/>
  <c r="D16" i="20"/>
  <c r="D20" i="20"/>
  <c r="D24" i="20"/>
  <c r="D28" i="20"/>
  <c r="C12" i="20"/>
  <c r="D14" i="52"/>
  <c r="D17" i="52"/>
  <c r="D17" i="15"/>
  <c r="D22" i="15"/>
  <c r="D26" i="15"/>
  <c r="D28" i="15"/>
  <c r="D33" i="15"/>
  <c r="D38" i="15"/>
  <c r="D42" i="15"/>
  <c r="D44" i="15"/>
  <c r="D49" i="15"/>
  <c r="D54" i="15"/>
  <c r="D58" i="15"/>
  <c r="D60" i="15"/>
  <c r="D65" i="15"/>
  <c r="D70" i="15"/>
  <c r="D74" i="15"/>
  <c r="C12" i="15"/>
  <c r="D16" i="56"/>
  <c r="D20" i="56"/>
  <c r="D24" i="56"/>
  <c r="D28" i="56"/>
  <c r="D32" i="56"/>
  <c r="D36" i="56"/>
  <c r="D40" i="56"/>
  <c r="D44" i="56"/>
  <c r="D48" i="56"/>
  <c r="D52" i="56"/>
  <c r="D56" i="56"/>
  <c r="D60" i="56"/>
  <c r="C12" i="56"/>
  <c r="D16" i="14"/>
  <c r="D20" i="14"/>
  <c r="C12" i="14"/>
  <c r="D19" i="24"/>
  <c r="D13" i="37"/>
  <c r="C19" i="24"/>
  <c r="C15" i="8"/>
  <c r="C19" i="8"/>
  <c r="C23" i="8"/>
  <c r="C12" i="8"/>
  <c r="C16" i="11"/>
  <c r="C18" i="67"/>
  <c r="C22" i="67"/>
  <c r="C26" i="67"/>
  <c r="C30" i="67"/>
  <c r="C14" i="22"/>
  <c r="C14" i="57"/>
  <c r="C13" i="65"/>
  <c r="C13" i="21"/>
  <c r="C13" i="17"/>
  <c r="C17" i="17"/>
  <c r="C21" i="17"/>
  <c r="C25" i="17"/>
  <c r="C29" i="17"/>
  <c r="C33" i="17"/>
  <c r="C13" i="18"/>
  <c r="C17" i="18"/>
  <c r="C21" i="18"/>
  <c r="C13" i="20"/>
  <c r="C17" i="20"/>
  <c r="C21" i="20"/>
  <c r="C25" i="20"/>
  <c r="C29" i="20"/>
  <c r="C12" i="52"/>
  <c r="C15" i="52"/>
  <c r="C13" i="15"/>
  <c r="C19" i="15"/>
  <c r="C23" i="15"/>
  <c r="C27" i="15"/>
  <c r="C29" i="15"/>
  <c r="C35" i="15"/>
  <c r="C39" i="15"/>
  <c r="C43" i="15"/>
  <c r="C45" i="15"/>
  <c r="C51" i="15"/>
  <c r="C55" i="15"/>
  <c r="C59" i="15"/>
  <c r="C61" i="15"/>
  <c r="C67" i="15"/>
  <c r="C71" i="15"/>
  <c r="C75" i="15"/>
  <c r="C13" i="56"/>
  <c r="C17" i="56"/>
  <c r="C21" i="56"/>
  <c r="C25" i="56"/>
  <c r="C29" i="56"/>
  <c r="C33" i="56"/>
  <c r="C37" i="56"/>
  <c r="C41" i="56"/>
  <c r="C45" i="56"/>
  <c r="C49" i="56"/>
  <c r="C53" i="56"/>
  <c r="C57" i="56"/>
  <c r="C61" i="56"/>
  <c r="C13" i="14"/>
  <c r="C17" i="14"/>
  <c r="C21" i="14"/>
  <c r="D30" i="67"/>
  <c r="D25" i="17"/>
  <c r="D21" i="20"/>
  <c r="D23" i="15"/>
  <c r="D55" i="15"/>
  <c r="D21" i="56"/>
  <c r="D53" i="56"/>
  <c r="D14" i="22"/>
  <c r="D29" i="17"/>
  <c r="D25" i="20"/>
  <c r="D27" i="15"/>
  <c r="D59" i="15"/>
  <c r="D25" i="56"/>
  <c r="D57" i="56"/>
  <c r="D14" i="57"/>
  <c r="D33" i="17"/>
  <c r="D29" i="20"/>
  <c r="D29" i="15"/>
  <c r="D61" i="15"/>
  <c r="D29" i="56"/>
  <c r="D61" i="56"/>
  <c r="D12" i="8"/>
  <c r="D13" i="65"/>
  <c r="D13" i="18"/>
  <c r="D12" i="52"/>
  <c r="D35" i="15"/>
  <c r="D67" i="15"/>
  <c r="D33" i="56"/>
  <c r="D13" i="14"/>
  <c r="D16" i="11"/>
  <c r="D13" i="21"/>
  <c r="D17" i="18"/>
  <c r="D15" i="52"/>
  <c r="D39" i="15"/>
  <c r="D71" i="15"/>
  <c r="D37" i="56"/>
  <c r="D17" i="14"/>
  <c r="D21" i="14"/>
  <c r="D17" i="20"/>
  <c r="D17" i="56"/>
  <c r="D18" i="67"/>
  <c r="D13" i="17"/>
  <c r="D21" i="18"/>
  <c r="D43" i="15"/>
  <c r="D75" i="15"/>
  <c r="D41" i="56"/>
  <c r="D21" i="17"/>
  <c r="D51" i="15"/>
  <c r="D22" i="67"/>
  <c r="D17" i="17"/>
  <c r="D13" i="20"/>
  <c r="D13" i="15"/>
  <c r="D45" i="15"/>
  <c r="D13" i="56"/>
  <c r="D45" i="56"/>
  <c r="D26" i="67"/>
  <c r="D19" i="15"/>
  <c r="D49" i="56"/>
  <c r="O16" i="22"/>
  <c r="O15" i="22"/>
  <c r="G20" i="69"/>
  <c r="G17" i="69"/>
  <c r="I27" i="63"/>
  <c r="I26" i="63"/>
  <c r="H27" i="63"/>
  <c r="H26" i="63"/>
  <c r="I24" i="63"/>
  <c r="I23" i="63"/>
  <c r="H24" i="63"/>
  <c r="H23" i="63"/>
  <c r="I20" i="63"/>
  <c r="I19" i="63"/>
  <c r="I18" i="63"/>
  <c r="H20" i="63"/>
  <c r="H19" i="63"/>
  <c r="H18" i="63"/>
  <c r="I16" i="63"/>
  <c r="I15" i="63"/>
  <c r="I14" i="63"/>
  <c r="I13" i="63"/>
  <c r="I12" i="63"/>
  <c r="I11" i="63"/>
  <c r="I10" i="63"/>
  <c r="I9" i="63"/>
  <c r="I8" i="63"/>
  <c r="I7" i="63"/>
  <c r="I6" i="63"/>
  <c r="H16" i="63"/>
  <c r="H15" i="63"/>
  <c r="H14" i="63"/>
  <c r="H13" i="63"/>
  <c r="H12" i="63"/>
  <c r="H11" i="63"/>
  <c r="H10" i="63"/>
  <c r="H9" i="63"/>
  <c r="H8" i="63"/>
  <c r="H7" i="63"/>
  <c r="H6" i="63"/>
  <c r="J15" i="8" l="1"/>
  <c r="J14" i="20"/>
  <c r="J16" i="37"/>
  <c r="J15" i="37"/>
  <c r="J14" i="37"/>
  <c r="J13" i="37"/>
  <c r="J19" i="24"/>
  <c r="J20" i="24"/>
  <c r="J21" i="24"/>
  <c r="J22" i="24"/>
  <c r="J16" i="11"/>
  <c r="J15" i="11"/>
  <c r="J14" i="11"/>
  <c r="J13" i="11"/>
  <c r="J17" i="67"/>
  <c r="J18" i="67"/>
  <c r="J19" i="67"/>
  <c r="J20" i="67"/>
  <c r="J21" i="67"/>
  <c r="J22" i="67"/>
  <c r="J23" i="67"/>
  <c r="J24" i="67"/>
  <c r="J25" i="67"/>
  <c r="J26" i="67"/>
  <c r="J27" i="67"/>
  <c r="J28" i="67"/>
  <c r="J29" i="67"/>
  <c r="J30" i="67"/>
  <c r="J31" i="67"/>
  <c r="J32" i="67"/>
  <c r="J16" i="67"/>
  <c r="J13" i="67"/>
  <c r="J16" i="22"/>
  <c r="J15" i="22"/>
  <c r="J14" i="22"/>
  <c r="J13" i="22"/>
  <c r="J16" i="57"/>
  <c r="J15" i="57"/>
  <c r="J14" i="57"/>
  <c r="J13" i="57"/>
  <c r="J15" i="65"/>
  <c r="J13" i="65"/>
  <c r="J14" i="65"/>
  <c r="J12" i="65"/>
  <c r="J14" i="21"/>
  <c r="J15" i="21"/>
  <c r="J13" i="21"/>
  <c r="J12" i="21"/>
  <c r="J14" i="17"/>
  <c r="J15" i="17"/>
  <c r="J16" i="17"/>
  <c r="J17" i="17"/>
  <c r="J18" i="17"/>
  <c r="J19" i="17"/>
  <c r="J20" i="17"/>
  <c r="J21" i="17"/>
  <c r="J22" i="17"/>
  <c r="J23" i="17"/>
  <c r="J24" i="17"/>
  <c r="J25" i="17"/>
  <c r="J26" i="17"/>
  <c r="J27" i="17"/>
  <c r="J28" i="17"/>
  <c r="J29" i="17"/>
  <c r="J30" i="17"/>
  <c r="J31" i="17"/>
  <c r="J32" i="17"/>
  <c r="J33" i="17"/>
  <c r="J34" i="17"/>
  <c r="J35" i="17"/>
  <c r="J13" i="17"/>
  <c r="J12" i="17"/>
  <c r="J14" i="18"/>
  <c r="J15" i="18"/>
  <c r="J16" i="18"/>
  <c r="J17" i="18"/>
  <c r="J18" i="18"/>
  <c r="J19" i="18"/>
  <c r="J20" i="18"/>
  <c r="J21" i="18"/>
  <c r="J22" i="18"/>
  <c r="J23" i="18"/>
  <c r="J13" i="18"/>
  <c r="J12" i="18"/>
  <c r="J13" i="52"/>
  <c r="J14" i="52"/>
  <c r="J15" i="52"/>
  <c r="J16" i="52"/>
  <c r="J17" i="52"/>
  <c r="J18" i="52"/>
  <c r="J19" i="52"/>
  <c r="J12" i="52"/>
  <c r="J14" i="15"/>
  <c r="J15" i="15"/>
  <c r="J17" i="15"/>
  <c r="J19" i="15"/>
  <c r="J20" i="15"/>
  <c r="J21" i="15"/>
  <c r="J22" i="15"/>
  <c r="J23" i="15"/>
  <c r="J24" i="15"/>
  <c r="J25" i="15"/>
  <c r="J26" i="15"/>
  <c r="J27" i="15"/>
  <c r="J28" i="15"/>
  <c r="J29" i="15"/>
  <c r="J30" i="15"/>
  <c r="J31" i="15"/>
  <c r="J33" i="15"/>
  <c r="J35" i="15"/>
  <c r="J36" i="15"/>
  <c r="J37" i="15"/>
  <c r="J38" i="15"/>
  <c r="J39" i="15"/>
  <c r="J40" i="15"/>
  <c r="J41" i="15"/>
  <c r="J42" i="15"/>
  <c r="J43" i="15"/>
  <c r="J44" i="15"/>
  <c r="J45" i="15"/>
  <c r="J46" i="15"/>
  <c r="J47" i="15"/>
  <c r="J49" i="15"/>
  <c r="J51" i="15"/>
  <c r="J52" i="15"/>
  <c r="J53" i="15"/>
  <c r="J54" i="15"/>
  <c r="J55" i="15"/>
  <c r="J56" i="15"/>
  <c r="J57" i="15"/>
  <c r="J58" i="15"/>
  <c r="J59" i="15"/>
  <c r="J60" i="15"/>
  <c r="J61" i="15"/>
  <c r="J62" i="15"/>
  <c r="J63" i="15"/>
  <c r="J65" i="15"/>
  <c r="J67" i="15"/>
  <c r="J68" i="15"/>
  <c r="J69" i="15"/>
  <c r="J70" i="15"/>
  <c r="J71" i="15"/>
  <c r="J72" i="15"/>
  <c r="J73" i="15"/>
  <c r="J74" i="15"/>
  <c r="J75" i="15"/>
  <c r="J13" i="15"/>
  <c r="J12" i="15"/>
  <c r="J14" i="14"/>
  <c r="J15" i="14"/>
  <c r="J16" i="14"/>
  <c r="J17" i="14"/>
  <c r="J18" i="14"/>
  <c r="J19" i="14"/>
  <c r="J20" i="14"/>
  <c r="J21" i="14"/>
  <c r="J22" i="14"/>
  <c r="J23" i="14"/>
  <c r="J13" i="14"/>
  <c r="J15" i="20"/>
  <c r="E6" i="22" l="1" a="1"/>
  <c r="E6" i="22" s="1"/>
  <c r="E7" i="22" a="1"/>
  <c r="E7" i="22" s="1"/>
  <c r="D7" i="22" a="1"/>
  <c r="D7" i="22" s="1"/>
  <c r="D6" i="22" a="1"/>
  <c r="D6" i="22" s="1"/>
  <c r="G6" i="57"/>
  <c r="H6" i="37"/>
  <c r="I6" i="37"/>
  <c r="J6" i="37"/>
  <c r="G6" i="37"/>
  <c r="A7" i="22" l="1"/>
  <c r="D17" i="69" s="1"/>
  <c r="A6" i="22"/>
  <c r="D16" i="63" s="1"/>
  <c r="L21" i="24"/>
  <c r="L22" i="24"/>
  <c r="G22" i="24"/>
  <c r="G21" i="24"/>
  <c r="M12" i="14"/>
  <c r="M13" i="14"/>
  <c r="M14" i="14"/>
  <c r="M15" i="14"/>
  <c r="M16" i="14"/>
  <c r="M17" i="14"/>
  <c r="L12" i="14"/>
  <c r="L14" i="14"/>
  <c r="L15" i="14"/>
  <c r="L16" i="14"/>
  <c r="L17" i="14"/>
  <c r="M19" i="14"/>
  <c r="M20" i="14"/>
  <c r="M21" i="14"/>
  <c r="M22" i="14"/>
  <c r="M23" i="14"/>
  <c r="M18" i="14"/>
  <c r="M13" i="15"/>
  <c r="L19" i="14"/>
  <c r="L20" i="14"/>
  <c r="L21" i="14"/>
  <c r="L22" i="14"/>
  <c r="L23" i="14"/>
  <c r="L18" i="14"/>
  <c r="L12" i="15"/>
  <c r="E13" i="22" l="1"/>
  <c r="E16" i="22"/>
  <c r="E15" i="22"/>
  <c r="E14" i="22"/>
  <c r="I7" i="24"/>
  <c r="P17" i="24"/>
  <c r="P18" i="24"/>
  <c r="P19" i="24"/>
  <c r="P16" i="24"/>
  <c r="P15" i="24"/>
  <c r="P13" i="20"/>
  <c r="M13" i="20"/>
  <c r="L13" i="20"/>
  <c r="O13" i="20" s="1"/>
  <c r="J13" i="20"/>
  <c r="I13" i="20"/>
  <c r="H13" i="20"/>
  <c r="G13" i="20"/>
  <c r="F13" i="20"/>
  <c r="B13" i="20"/>
  <c r="J15" i="63" l="1"/>
  <c r="R13" i="20"/>
  <c r="L17" i="24"/>
  <c r="L18" i="24"/>
  <c r="L19" i="24"/>
  <c r="L20" i="24"/>
  <c r="L16" i="24"/>
  <c r="L14" i="20"/>
  <c r="L15" i="24"/>
  <c r="J18" i="24"/>
  <c r="I18" i="24"/>
  <c r="H18" i="24"/>
  <c r="G18" i="24"/>
  <c r="B18" i="24"/>
  <c r="J17" i="24"/>
  <c r="I17" i="24"/>
  <c r="H17" i="24"/>
  <c r="G17" i="24"/>
  <c r="B17" i="24"/>
  <c r="S13" i="20" l="1"/>
  <c r="T13" i="20" s="1"/>
  <c r="O18" i="8"/>
  <c r="O19" i="8"/>
  <c r="L22" i="8"/>
  <c r="L23" i="8"/>
  <c r="I22" i="8"/>
  <c r="L18" i="8"/>
  <c r="L19" i="8"/>
  <c r="I18" i="8"/>
  <c r="F22" i="8"/>
  <c r="B22" i="8"/>
  <c r="F21" i="8"/>
  <c r="B21" i="8"/>
  <c r="F18" i="8"/>
  <c r="B18" i="8"/>
  <c r="F17" i="8"/>
  <c r="B17" i="8"/>
  <c r="I14" i="8"/>
  <c r="F14" i="8"/>
  <c r="B14" i="8"/>
  <c r="F13" i="8"/>
  <c r="B13" i="8"/>
  <c r="L14" i="8"/>
  <c r="L15" i="8"/>
  <c r="O14" i="8"/>
  <c r="O15" i="8"/>
  <c r="P12" i="65"/>
  <c r="L12" i="65"/>
  <c r="P15" i="20"/>
  <c r="P16" i="20"/>
  <c r="P17" i="20"/>
  <c r="P18" i="20"/>
  <c r="P19" i="20"/>
  <c r="P20" i="20"/>
  <c r="P21" i="20"/>
  <c r="P22" i="20"/>
  <c r="P23" i="20"/>
  <c r="P24" i="20"/>
  <c r="P25" i="20"/>
  <c r="P26" i="20"/>
  <c r="P27" i="20"/>
  <c r="P28" i="20"/>
  <c r="P29" i="20"/>
  <c r="P30" i="20"/>
  <c r="P31" i="20"/>
  <c r="P14" i="20"/>
  <c r="Q13" i="56"/>
  <c r="P12" i="20"/>
  <c r="Q12" i="56"/>
  <c r="L15" i="20"/>
  <c r="M15" i="20"/>
  <c r="L16" i="20"/>
  <c r="M16" i="20"/>
  <c r="L17" i="20"/>
  <c r="M17" i="20"/>
  <c r="L18" i="20"/>
  <c r="O18" i="20" s="1"/>
  <c r="M18" i="20"/>
  <c r="L19" i="20"/>
  <c r="M19" i="20"/>
  <c r="L20" i="20"/>
  <c r="M20" i="20"/>
  <c r="L21" i="20"/>
  <c r="M21" i="20"/>
  <c r="L22" i="20"/>
  <c r="M22" i="20"/>
  <c r="L23" i="20"/>
  <c r="O23" i="20" s="1"/>
  <c r="M23" i="20"/>
  <c r="L24" i="20"/>
  <c r="M24" i="20"/>
  <c r="L25" i="20"/>
  <c r="M25" i="20"/>
  <c r="L26" i="20"/>
  <c r="M26" i="20"/>
  <c r="L27" i="20"/>
  <c r="M27" i="20"/>
  <c r="L28" i="20"/>
  <c r="O28" i="20" s="1"/>
  <c r="M28" i="20"/>
  <c r="L29" i="20"/>
  <c r="M29" i="20"/>
  <c r="L30" i="20"/>
  <c r="M30" i="20"/>
  <c r="L31" i="20"/>
  <c r="M31" i="20"/>
  <c r="M14" i="20"/>
  <c r="M12" i="20"/>
  <c r="L12" i="20"/>
  <c r="J31" i="20"/>
  <c r="I31" i="20"/>
  <c r="H31" i="20"/>
  <c r="G31" i="20"/>
  <c r="F31" i="20"/>
  <c r="B31" i="20"/>
  <c r="J30" i="20"/>
  <c r="I30" i="20"/>
  <c r="H30" i="20"/>
  <c r="G30" i="20"/>
  <c r="F30" i="20"/>
  <c r="B30" i="20"/>
  <c r="J29" i="20"/>
  <c r="I29" i="20"/>
  <c r="H29" i="20"/>
  <c r="G29" i="20"/>
  <c r="F29" i="20"/>
  <c r="B29" i="20"/>
  <c r="J28" i="20"/>
  <c r="I28" i="20"/>
  <c r="H28" i="20"/>
  <c r="G28" i="20"/>
  <c r="F28" i="20"/>
  <c r="B28" i="20"/>
  <c r="J27" i="20"/>
  <c r="I27" i="20"/>
  <c r="H27" i="20"/>
  <c r="G27" i="20"/>
  <c r="F27" i="20"/>
  <c r="B27" i="20"/>
  <c r="J26" i="20"/>
  <c r="I26" i="20"/>
  <c r="H26" i="20"/>
  <c r="G26" i="20"/>
  <c r="F26" i="20"/>
  <c r="B26" i="20"/>
  <c r="J25" i="20"/>
  <c r="I25" i="20"/>
  <c r="H25" i="20"/>
  <c r="G25" i="20"/>
  <c r="F25" i="20"/>
  <c r="B25" i="20"/>
  <c r="J24" i="20"/>
  <c r="I24" i="20"/>
  <c r="H24" i="20"/>
  <c r="G24" i="20"/>
  <c r="F24" i="20"/>
  <c r="B24" i="20"/>
  <c r="J23" i="20"/>
  <c r="I23" i="20"/>
  <c r="H23" i="20"/>
  <c r="G23" i="20"/>
  <c r="F23" i="20"/>
  <c r="B23" i="20"/>
  <c r="J22" i="20"/>
  <c r="I22" i="20"/>
  <c r="H22" i="20"/>
  <c r="G22" i="20"/>
  <c r="F22" i="20"/>
  <c r="B22" i="20"/>
  <c r="N14" i="15"/>
  <c r="N15" i="15"/>
  <c r="N17" i="15"/>
  <c r="N19" i="15"/>
  <c r="N20" i="15"/>
  <c r="N21" i="15"/>
  <c r="N22" i="15"/>
  <c r="N23" i="15"/>
  <c r="N24" i="15"/>
  <c r="N25" i="15"/>
  <c r="N26" i="15"/>
  <c r="N27" i="15"/>
  <c r="N28" i="15"/>
  <c r="N29" i="15"/>
  <c r="N30" i="15"/>
  <c r="N31" i="15"/>
  <c r="N33" i="15"/>
  <c r="N35" i="15"/>
  <c r="N36" i="15"/>
  <c r="N37" i="15"/>
  <c r="N38" i="15"/>
  <c r="N39" i="15"/>
  <c r="N40" i="15"/>
  <c r="N41" i="15"/>
  <c r="N42" i="15"/>
  <c r="N43" i="15"/>
  <c r="N44" i="15"/>
  <c r="N45" i="15"/>
  <c r="N46" i="15"/>
  <c r="N47" i="15"/>
  <c r="N49" i="15"/>
  <c r="N51" i="15"/>
  <c r="N52" i="15"/>
  <c r="N53" i="15"/>
  <c r="N54" i="15"/>
  <c r="N55" i="15"/>
  <c r="N56" i="15"/>
  <c r="N57" i="15"/>
  <c r="N58" i="15"/>
  <c r="N59" i="15"/>
  <c r="N60" i="15"/>
  <c r="N61" i="15"/>
  <c r="N62" i="15"/>
  <c r="N63" i="15"/>
  <c r="N65" i="15"/>
  <c r="N67" i="15"/>
  <c r="N68" i="15"/>
  <c r="N69" i="15"/>
  <c r="N70" i="15"/>
  <c r="N71" i="15"/>
  <c r="N72" i="15"/>
  <c r="N73" i="15"/>
  <c r="N74" i="15"/>
  <c r="N75" i="15"/>
  <c r="N13" i="15"/>
  <c r="N12" i="15"/>
  <c r="M14" i="15"/>
  <c r="M15" i="15"/>
  <c r="M17" i="15"/>
  <c r="M19" i="15"/>
  <c r="M20" i="15"/>
  <c r="M21" i="15"/>
  <c r="M22" i="15"/>
  <c r="M23" i="15"/>
  <c r="M24" i="15"/>
  <c r="M25" i="15"/>
  <c r="M26" i="15"/>
  <c r="M27" i="15"/>
  <c r="M28" i="15"/>
  <c r="M29" i="15"/>
  <c r="M30" i="15"/>
  <c r="M31" i="15"/>
  <c r="M33" i="15"/>
  <c r="M35" i="15"/>
  <c r="M36" i="15"/>
  <c r="M37" i="15"/>
  <c r="M38" i="15"/>
  <c r="M39" i="15"/>
  <c r="M40" i="15"/>
  <c r="M41" i="15"/>
  <c r="M42" i="15"/>
  <c r="M43" i="15"/>
  <c r="M44" i="15"/>
  <c r="M45" i="15"/>
  <c r="M46" i="15"/>
  <c r="M47" i="15"/>
  <c r="M49" i="15"/>
  <c r="M51" i="15"/>
  <c r="M52" i="15"/>
  <c r="M53" i="15"/>
  <c r="M54" i="15"/>
  <c r="M55" i="15"/>
  <c r="M56" i="15"/>
  <c r="M57" i="15"/>
  <c r="M58" i="15"/>
  <c r="M59" i="15"/>
  <c r="M60" i="15"/>
  <c r="M61" i="15"/>
  <c r="M62" i="15"/>
  <c r="M63" i="15"/>
  <c r="M65" i="15"/>
  <c r="M67" i="15"/>
  <c r="M68" i="15"/>
  <c r="M69" i="15"/>
  <c r="M70" i="15"/>
  <c r="M71" i="15"/>
  <c r="M72" i="15"/>
  <c r="M73" i="15"/>
  <c r="M74" i="15"/>
  <c r="M75" i="15"/>
  <c r="M12" i="15"/>
  <c r="L14" i="15"/>
  <c r="L15" i="15"/>
  <c r="L17" i="15"/>
  <c r="L19" i="15"/>
  <c r="L20" i="15"/>
  <c r="L21" i="15"/>
  <c r="L22" i="15"/>
  <c r="L23" i="15"/>
  <c r="L24" i="15"/>
  <c r="L25" i="15"/>
  <c r="L26" i="15"/>
  <c r="L27" i="15"/>
  <c r="L28" i="15"/>
  <c r="L29" i="15"/>
  <c r="L30" i="15"/>
  <c r="L31" i="15"/>
  <c r="L33" i="15"/>
  <c r="L35" i="15"/>
  <c r="L36" i="15"/>
  <c r="L37" i="15"/>
  <c r="L38" i="15"/>
  <c r="L39" i="15"/>
  <c r="L40" i="15"/>
  <c r="L41" i="15"/>
  <c r="L42" i="15"/>
  <c r="L43" i="15"/>
  <c r="L44" i="15"/>
  <c r="L45" i="15"/>
  <c r="L46" i="15"/>
  <c r="L47" i="15"/>
  <c r="L49" i="15"/>
  <c r="L51" i="15"/>
  <c r="L52" i="15"/>
  <c r="L53" i="15"/>
  <c r="L54" i="15"/>
  <c r="L55" i="15"/>
  <c r="L56" i="15"/>
  <c r="L57" i="15"/>
  <c r="L58" i="15"/>
  <c r="L59" i="15"/>
  <c r="L60" i="15"/>
  <c r="L61" i="15"/>
  <c r="L62" i="15"/>
  <c r="L63" i="15"/>
  <c r="L65" i="15"/>
  <c r="L67" i="15"/>
  <c r="L68" i="15"/>
  <c r="L69" i="15"/>
  <c r="L70" i="15"/>
  <c r="L71" i="15"/>
  <c r="L72" i="15"/>
  <c r="L73" i="15"/>
  <c r="L74" i="15"/>
  <c r="L75" i="15"/>
  <c r="L13" i="15"/>
  <c r="I75" i="15"/>
  <c r="H75" i="15"/>
  <c r="G75" i="15"/>
  <c r="F75" i="15"/>
  <c r="B75" i="15"/>
  <c r="I74" i="15"/>
  <c r="H74" i="15"/>
  <c r="G74" i="15"/>
  <c r="F74" i="15"/>
  <c r="B74" i="15"/>
  <c r="I73" i="15"/>
  <c r="H73" i="15"/>
  <c r="G73" i="15"/>
  <c r="F73" i="15"/>
  <c r="B73" i="15"/>
  <c r="I72" i="15"/>
  <c r="H72" i="15"/>
  <c r="G72" i="15"/>
  <c r="F72" i="15"/>
  <c r="B72" i="15"/>
  <c r="I71" i="15"/>
  <c r="H71" i="15"/>
  <c r="G71" i="15"/>
  <c r="F71" i="15"/>
  <c r="B71" i="15"/>
  <c r="I70" i="15"/>
  <c r="H70" i="15"/>
  <c r="G70" i="15"/>
  <c r="F70" i="15"/>
  <c r="B70" i="15"/>
  <c r="I69" i="15"/>
  <c r="H69" i="15"/>
  <c r="G69" i="15"/>
  <c r="F69" i="15"/>
  <c r="B69" i="15"/>
  <c r="I68" i="15"/>
  <c r="H68" i="15"/>
  <c r="G68" i="15"/>
  <c r="F68" i="15"/>
  <c r="B68" i="15"/>
  <c r="I67" i="15"/>
  <c r="H67" i="15"/>
  <c r="G67" i="15"/>
  <c r="F67" i="15"/>
  <c r="B67" i="15"/>
  <c r="I65" i="15"/>
  <c r="H65" i="15"/>
  <c r="G65" i="15"/>
  <c r="F65" i="15"/>
  <c r="B65" i="15"/>
  <c r="I63" i="15"/>
  <c r="H63" i="15"/>
  <c r="G63" i="15"/>
  <c r="F63" i="15"/>
  <c r="B63" i="15"/>
  <c r="I62" i="15"/>
  <c r="H62" i="15"/>
  <c r="G62" i="15"/>
  <c r="F62" i="15"/>
  <c r="B62" i="15"/>
  <c r="I61" i="15"/>
  <c r="H61" i="15"/>
  <c r="G61" i="15"/>
  <c r="F61" i="15"/>
  <c r="B61" i="15"/>
  <c r="I60" i="15"/>
  <c r="H60" i="15"/>
  <c r="G60" i="15"/>
  <c r="F60" i="15"/>
  <c r="B60" i="15"/>
  <c r="I59" i="15"/>
  <c r="H59" i="15"/>
  <c r="G59" i="15"/>
  <c r="F59" i="15"/>
  <c r="B59" i="15"/>
  <c r="I58" i="15"/>
  <c r="H58" i="15"/>
  <c r="G58" i="15"/>
  <c r="F58" i="15"/>
  <c r="B58" i="15"/>
  <c r="I57" i="15"/>
  <c r="H57" i="15"/>
  <c r="G57" i="15"/>
  <c r="F57" i="15"/>
  <c r="B57" i="15"/>
  <c r="I56" i="15"/>
  <c r="H56" i="15"/>
  <c r="G56" i="15"/>
  <c r="F56" i="15"/>
  <c r="B56" i="15"/>
  <c r="I55" i="15"/>
  <c r="H55" i="15"/>
  <c r="G55" i="15"/>
  <c r="F55" i="15"/>
  <c r="B55" i="15"/>
  <c r="I54" i="15"/>
  <c r="H54" i="15"/>
  <c r="G54" i="15"/>
  <c r="F54" i="15"/>
  <c r="B54" i="15"/>
  <c r="I53" i="15"/>
  <c r="H53" i="15"/>
  <c r="G53" i="15"/>
  <c r="F53" i="15"/>
  <c r="B53" i="15"/>
  <c r="I52" i="15"/>
  <c r="H52" i="15"/>
  <c r="G52" i="15"/>
  <c r="F52" i="15"/>
  <c r="B52" i="15"/>
  <c r="I51" i="15"/>
  <c r="H51" i="15"/>
  <c r="G51" i="15"/>
  <c r="F51" i="15"/>
  <c r="B51" i="15"/>
  <c r="I49" i="15"/>
  <c r="H49" i="15"/>
  <c r="G49" i="15"/>
  <c r="F49" i="15"/>
  <c r="B49" i="15"/>
  <c r="I47" i="15"/>
  <c r="H47" i="15"/>
  <c r="G47" i="15"/>
  <c r="F47" i="15"/>
  <c r="B47" i="15"/>
  <c r="I46" i="15"/>
  <c r="H46" i="15"/>
  <c r="G46" i="15"/>
  <c r="F46" i="15"/>
  <c r="B46" i="15"/>
  <c r="I45" i="15"/>
  <c r="H45" i="15"/>
  <c r="G45" i="15"/>
  <c r="F45" i="15"/>
  <c r="B45" i="15"/>
  <c r="I44" i="15"/>
  <c r="H44" i="15"/>
  <c r="G44" i="15"/>
  <c r="F44" i="15"/>
  <c r="B44" i="15"/>
  <c r="Q14" i="56"/>
  <c r="Q15" i="56"/>
  <c r="Q16" i="56"/>
  <c r="Q17" i="56"/>
  <c r="Q18" i="56"/>
  <c r="Q19" i="56"/>
  <c r="Q20" i="56"/>
  <c r="Q21" i="56"/>
  <c r="Q23" i="56"/>
  <c r="Q24" i="56"/>
  <c r="Q25" i="56"/>
  <c r="Q26" i="56"/>
  <c r="Q27" i="56"/>
  <c r="Q28" i="56"/>
  <c r="Q29" i="56"/>
  <c r="Q30" i="56"/>
  <c r="Q31" i="56"/>
  <c r="Q32" i="56"/>
  <c r="Q33" i="56"/>
  <c r="Q34" i="56"/>
  <c r="Q35" i="56"/>
  <c r="Q36" i="56"/>
  <c r="Q37" i="56"/>
  <c r="Q38" i="56"/>
  <c r="Q39" i="56"/>
  <c r="Q40" i="56"/>
  <c r="Q41" i="56"/>
  <c r="Q42" i="56"/>
  <c r="Q43" i="56"/>
  <c r="Q44" i="56"/>
  <c r="Q45" i="56"/>
  <c r="Q46" i="56"/>
  <c r="Q47" i="56"/>
  <c r="Q48" i="56"/>
  <c r="Q49" i="56"/>
  <c r="Q50" i="56"/>
  <c r="Q51" i="56"/>
  <c r="Q52" i="56"/>
  <c r="Q53" i="56"/>
  <c r="Q54" i="56"/>
  <c r="Q55" i="56"/>
  <c r="Q56" i="56"/>
  <c r="Q57" i="56"/>
  <c r="Q58" i="56"/>
  <c r="Q59" i="56"/>
  <c r="Q60" i="56"/>
  <c r="Q61" i="56"/>
  <c r="Q62" i="56"/>
  <c r="Q63" i="56"/>
  <c r="N15" i="56"/>
  <c r="N16" i="56"/>
  <c r="N17" i="56"/>
  <c r="N18" i="56"/>
  <c r="N19" i="56"/>
  <c r="N20" i="56"/>
  <c r="N21" i="56"/>
  <c r="N22" i="56"/>
  <c r="N23" i="56"/>
  <c r="N24" i="56"/>
  <c r="N25" i="56"/>
  <c r="N26" i="56"/>
  <c r="N27" i="56"/>
  <c r="N28" i="56"/>
  <c r="N29" i="56"/>
  <c r="N30" i="56"/>
  <c r="N31" i="56"/>
  <c r="N32" i="56"/>
  <c r="N33" i="56"/>
  <c r="N34" i="56"/>
  <c r="N35" i="56"/>
  <c r="N36" i="56"/>
  <c r="N37" i="56"/>
  <c r="N38" i="56"/>
  <c r="N39" i="56"/>
  <c r="N40" i="56"/>
  <c r="N41" i="56"/>
  <c r="N42" i="56"/>
  <c r="N43" i="56"/>
  <c r="N44" i="56"/>
  <c r="N45" i="56"/>
  <c r="N46" i="56"/>
  <c r="N47" i="56"/>
  <c r="N48" i="56"/>
  <c r="N49" i="56"/>
  <c r="N50" i="56"/>
  <c r="N51" i="56"/>
  <c r="N52" i="56"/>
  <c r="N53" i="56"/>
  <c r="N54" i="56"/>
  <c r="N55" i="56"/>
  <c r="N56" i="56"/>
  <c r="N57" i="56"/>
  <c r="N58" i="56"/>
  <c r="N59" i="56"/>
  <c r="N60" i="56"/>
  <c r="N61" i="56"/>
  <c r="N62" i="56"/>
  <c r="N63" i="56"/>
  <c r="N13" i="56"/>
  <c r="N12" i="56"/>
  <c r="M14" i="56"/>
  <c r="M15" i="56"/>
  <c r="M16" i="56"/>
  <c r="M17" i="56"/>
  <c r="M18" i="56"/>
  <c r="M19" i="56"/>
  <c r="M20" i="56"/>
  <c r="M21" i="56"/>
  <c r="M22" i="56"/>
  <c r="M23" i="56"/>
  <c r="M24" i="56"/>
  <c r="M25" i="56"/>
  <c r="M26" i="56"/>
  <c r="M27" i="56"/>
  <c r="M28" i="56"/>
  <c r="M29" i="56"/>
  <c r="M30" i="56"/>
  <c r="M31" i="56"/>
  <c r="M32" i="56"/>
  <c r="M33" i="56"/>
  <c r="M34" i="56"/>
  <c r="M35" i="56"/>
  <c r="M36" i="56"/>
  <c r="M37" i="56"/>
  <c r="M38" i="56"/>
  <c r="M39" i="56"/>
  <c r="M40" i="56"/>
  <c r="M41" i="56"/>
  <c r="M42" i="56"/>
  <c r="M43" i="56"/>
  <c r="M44" i="56"/>
  <c r="M45" i="56"/>
  <c r="M46" i="56"/>
  <c r="M47" i="56"/>
  <c r="M48" i="56"/>
  <c r="M49" i="56"/>
  <c r="M50" i="56"/>
  <c r="M51" i="56"/>
  <c r="M52" i="56"/>
  <c r="M53" i="56"/>
  <c r="M54" i="56"/>
  <c r="M55" i="56"/>
  <c r="M56" i="56"/>
  <c r="M57" i="56"/>
  <c r="M58" i="56"/>
  <c r="M59" i="56"/>
  <c r="M60" i="56"/>
  <c r="M61" i="56"/>
  <c r="M62" i="56"/>
  <c r="M63" i="56"/>
  <c r="M12" i="56"/>
  <c r="M13" i="56"/>
  <c r="K63" i="56"/>
  <c r="J63" i="56"/>
  <c r="I63" i="56"/>
  <c r="G63" i="56" s="1"/>
  <c r="H63" i="56"/>
  <c r="B63" i="56"/>
  <c r="K62" i="56"/>
  <c r="J62" i="56"/>
  <c r="I62" i="56"/>
  <c r="G62" i="56" s="1"/>
  <c r="H62" i="56"/>
  <c r="B62" i="56"/>
  <c r="K61" i="56"/>
  <c r="J61" i="56"/>
  <c r="I61" i="56"/>
  <c r="G61" i="56" s="1"/>
  <c r="H61" i="56"/>
  <c r="B61" i="56"/>
  <c r="K60" i="56"/>
  <c r="J60" i="56"/>
  <c r="I60" i="56"/>
  <c r="G60" i="56" s="1"/>
  <c r="H60" i="56"/>
  <c r="B60" i="56"/>
  <c r="K59" i="56"/>
  <c r="J59" i="56"/>
  <c r="I59" i="56"/>
  <c r="G59" i="56" s="1"/>
  <c r="H59" i="56"/>
  <c r="B59" i="56"/>
  <c r="K58" i="56"/>
  <c r="J58" i="56"/>
  <c r="I58" i="56"/>
  <c r="G58" i="56" s="1"/>
  <c r="H58" i="56"/>
  <c r="B58" i="56"/>
  <c r="K57" i="56"/>
  <c r="J57" i="56"/>
  <c r="I57" i="56"/>
  <c r="G57" i="56" s="1"/>
  <c r="H57" i="56"/>
  <c r="B57" i="56"/>
  <c r="K56" i="56"/>
  <c r="J56" i="56"/>
  <c r="I56" i="56"/>
  <c r="G56" i="56" s="1"/>
  <c r="H56" i="56"/>
  <c r="B56" i="56"/>
  <c r="K55" i="56"/>
  <c r="J55" i="56"/>
  <c r="I55" i="56"/>
  <c r="G55" i="56" s="1"/>
  <c r="H55" i="56"/>
  <c r="B55" i="56"/>
  <c r="K54" i="56"/>
  <c r="J54" i="56"/>
  <c r="I54" i="56"/>
  <c r="G54" i="56" s="1"/>
  <c r="H54" i="56"/>
  <c r="B54" i="56"/>
  <c r="K53" i="56"/>
  <c r="J53" i="56"/>
  <c r="I53" i="56"/>
  <c r="G53" i="56" s="1"/>
  <c r="H53" i="56"/>
  <c r="B53" i="56"/>
  <c r="K52" i="56"/>
  <c r="J52" i="56"/>
  <c r="I52" i="56"/>
  <c r="G52" i="56" s="1"/>
  <c r="H52" i="56"/>
  <c r="B52" i="56"/>
  <c r="K51" i="56"/>
  <c r="J51" i="56"/>
  <c r="I51" i="56"/>
  <c r="G51" i="56" s="1"/>
  <c r="H51" i="56"/>
  <c r="B51" i="56"/>
  <c r="K50" i="56"/>
  <c r="J50" i="56"/>
  <c r="I50" i="56"/>
  <c r="G50" i="56" s="1"/>
  <c r="H50" i="56"/>
  <c r="B50" i="56"/>
  <c r="K49" i="56"/>
  <c r="J49" i="56"/>
  <c r="I49" i="56"/>
  <c r="G49" i="56" s="1"/>
  <c r="H49" i="56"/>
  <c r="B49" i="56"/>
  <c r="K48" i="56"/>
  <c r="J48" i="56"/>
  <c r="I48" i="56"/>
  <c r="G48" i="56" s="1"/>
  <c r="H48" i="56"/>
  <c r="B48" i="56"/>
  <c r="K47" i="56"/>
  <c r="J47" i="56"/>
  <c r="I47" i="56"/>
  <c r="G47" i="56" s="1"/>
  <c r="H47" i="56"/>
  <c r="B47" i="56"/>
  <c r="K46" i="56"/>
  <c r="J46" i="56"/>
  <c r="I46" i="56"/>
  <c r="G46" i="56" s="1"/>
  <c r="H46" i="56"/>
  <c r="B46" i="56"/>
  <c r="K45" i="56"/>
  <c r="J45" i="56"/>
  <c r="I45" i="56"/>
  <c r="G45" i="56" s="1"/>
  <c r="H45" i="56"/>
  <c r="B45" i="56"/>
  <c r="K44" i="56"/>
  <c r="J44" i="56"/>
  <c r="I44" i="56"/>
  <c r="G44" i="56" s="1"/>
  <c r="H44" i="56"/>
  <c r="B44" i="56"/>
  <c r="K43" i="56"/>
  <c r="J43" i="56"/>
  <c r="I43" i="56"/>
  <c r="G43" i="56" s="1"/>
  <c r="H43" i="56"/>
  <c r="B43" i="56"/>
  <c r="K42" i="56"/>
  <c r="J42" i="56"/>
  <c r="I42" i="56"/>
  <c r="G42" i="56" s="1"/>
  <c r="H42" i="56"/>
  <c r="B42" i="56"/>
  <c r="K41" i="56"/>
  <c r="J41" i="56"/>
  <c r="I41" i="56"/>
  <c r="G41" i="56" s="1"/>
  <c r="H41" i="56"/>
  <c r="B41" i="56"/>
  <c r="K40" i="56"/>
  <c r="J40" i="56"/>
  <c r="I40" i="56"/>
  <c r="G40" i="56" s="1"/>
  <c r="H40" i="56"/>
  <c r="B40" i="56"/>
  <c r="K39" i="56"/>
  <c r="J39" i="56"/>
  <c r="I39" i="56"/>
  <c r="G39" i="56" s="1"/>
  <c r="H39" i="56"/>
  <c r="B39" i="56"/>
  <c r="K38" i="56"/>
  <c r="J38" i="56"/>
  <c r="I38" i="56"/>
  <c r="G38" i="56" s="1"/>
  <c r="H38" i="56"/>
  <c r="B38" i="56"/>
  <c r="N13" i="52"/>
  <c r="N14" i="52"/>
  <c r="N15" i="52"/>
  <c r="N16" i="52"/>
  <c r="N17" i="52"/>
  <c r="N18" i="52"/>
  <c r="N19" i="52"/>
  <c r="N12" i="52"/>
  <c r="M13" i="52"/>
  <c r="M15" i="52"/>
  <c r="M17" i="52"/>
  <c r="M19" i="52"/>
  <c r="L13" i="52"/>
  <c r="L14" i="52"/>
  <c r="M14" i="52" s="1"/>
  <c r="L15" i="52"/>
  <c r="L16" i="52"/>
  <c r="M16" i="52" s="1"/>
  <c r="L17" i="52"/>
  <c r="L18" i="52"/>
  <c r="M18" i="52" s="1"/>
  <c r="L19" i="52"/>
  <c r="L12" i="52"/>
  <c r="M12" i="52" s="1"/>
  <c r="I19" i="52"/>
  <c r="H19" i="52"/>
  <c r="G19" i="52"/>
  <c r="B19" i="52"/>
  <c r="I18" i="52"/>
  <c r="H18" i="52"/>
  <c r="G18" i="52"/>
  <c r="B18" i="52"/>
  <c r="I17" i="52"/>
  <c r="H17" i="52"/>
  <c r="G17" i="52"/>
  <c r="B17" i="52"/>
  <c r="I16" i="52"/>
  <c r="H16" i="52"/>
  <c r="G16" i="52"/>
  <c r="B16" i="52"/>
  <c r="M14" i="18"/>
  <c r="M15" i="18"/>
  <c r="M16" i="18"/>
  <c r="M17" i="18"/>
  <c r="M18" i="18"/>
  <c r="M19" i="18"/>
  <c r="M20" i="18"/>
  <c r="M21" i="18"/>
  <c r="M22" i="18"/>
  <c r="M23" i="18"/>
  <c r="M13" i="18"/>
  <c r="M12" i="18"/>
  <c r="L14" i="18"/>
  <c r="O14" i="18" s="1"/>
  <c r="L15" i="18"/>
  <c r="L17" i="18"/>
  <c r="O17" i="18" s="1"/>
  <c r="L18" i="18"/>
  <c r="L20" i="18"/>
  <c r="O20" i="18" s="1"/>
  <c r="L21" i="18"/>
  <c r="L23" i="18"/>
  <c r="O23" i="18" s="1"/>
  <c r="L12" i="18"/>
  <c r="P23" i="18"/>
  <c r="I23" i="18"/>
  <c r="H23" i="18"/>
  <c r="G23" i="18"/>
  <c r="F23" i="18"/>
  <c r="B23" i="18"/>
  <c r="P22" i="18"/>
  <c r="I22" i="18"/>
  <c r="H22" i="18"/>
  <c r="G22" i="18"/>
  <c r="F22" i="18"/>
  <c r="B22" i="18"/>
  <c r="P21" i="18"/>
  <c r="I21" i="18"/>
  <c r="H21" i="18"/>
  <c r="G21" i="18"/>
  <c r="F21" i="18"/>
  <c r="B21" i="18"/>
  <c r="P20" i="18"/>
  <c r="I20" i="18"/>
  <c r="H20" i="18"/>
  <c r="G20" i="18"/>
  <c r="F20" i="18"/>
  <c r="B20" i="18"/>
  <c r="P19" i="18"/>
  <c r="I19" i="18"/>
  <c r="H19" i="18"/>
  <c r="G19" i="18"/>
  <c r="F19" i="18"/>
  <c r="B19" i="18"/>
  <c r="P18" i="18"/>
  <c r="I18" i="18"/>
  <c r="H18" i="18"/>
  <c r="G18" i="18"/>
  <c r="F18" i="18"/>
  <c r="B18" i="18"/>
  <c r="M35" i="17"/>
  <c r="M34" i="17"/>
  <c r="M33" i="17"/>
  <c r="M32" i="17"/>
  <c r="M31" i="17"/>
  <c r="M30" i="17"/>
  <c r="M29" i="17"/>
  <c r="M28" i="17"/>
  <c r="M27" i="17"/>
  <c r="M26" i="17"/>
  <c r="M25" i="17"/>
  <c r="M24" i="17"/>
  <c r="M23" i="17"/>
  <c r="M22" i="17"/>
  <c r="M21" i="17"/>
  <c r="M20" i="17"/>
  <c r="M19" i="17"/>
  <c r="M18" i="17"/>
  <c r="M17" i="17"/>
  <c r="M16" i="17"/>
  <c r="M15" i="17"/>
  <c r="M14" i="17"/>
  <c r="M13" i="17"/>
  <c r="M12" i="17"/>
  <c r="L13" i="17"/>
  <c r="L14" i="17"/>
  <c r="O14" i="17" s="1"/>
  <c r="L15" i="17"/>
  <c r="L16" i="17"/>
  <c r="L17" i="17"/>
  <c r="L18" i="17"/>
  <c r="L19" i="17"/>
  <c r="L20" i="17"/>
  <c r="O20" i="17" s="1"/>
  <c r="L21" i="17"/>
  <c r="L22" i="17"/>
  <c r="O22" i="17" s="1"/>
  <c r="L23" i="17"/>
  <c r="L26" i="17"/>
  <c r="O26" i="17" s="1"/>
  <c r="L27" i="17"/>
  <c r="L28" i="17"/>
  <c r="O28" i="17" s="1"/>
  <c r="L29" i="17"/>
  <c r="L31" i="17"/>
  <c r="L32" i="17"/>
  <c r="O32" i="17" s="1"/>
  <c r="L33" i="17"/>
  <c r="L34" i="17"/>
  <c r="O34" i="17" s="1"/>
  <c r="L35" i="17"/>
  <c r="L12" i="17"/>
  <c r="I35" i="17"/>
  <c r="H35" i="17"/>
  <c r="G35" i="17"/>
  <c r="F35" i="17"/>
  <c r="B35" i="17"/>
  <c r="I29" i="17"/>
  <c r="H29" i="17"/>
  <c r="G29" i="17"/>
  <c r="F29" i="17"/>
  <c r="B29" i="17"/>
  <c r="I34" i="17"/>
  <c r="H34" i="17"/>
  <c r="G34" i="17"/>
  <c r="F34" i="17"/>
  <c r="B34" i="17"/>
  <c r="I33" i="17"/>
  <c r="H33" i="17"/>
  <c r="G33" i="17"/>
  <c r="F33" i="17"/>
  <c r="B33" i="17"/>
  <c r="I32" i="17"/>
  <c r="H32" i="17"/>
  <c r="G32" i="17"/>
  <c r="F32" i="17"/>
  <c r="B32" i="17"/>
  <c r="I31" i="17"/>
  <c r="H31" i="17"/>
  <c r="G31" i="17"/>
  <c r="F31" i="17"/>
  <c r="B31" i="17"/>
  <c r="I30" i="17"/>
  <c r="H30" i="17"/>
  <c r="G30" i="17"/>
  <c r="F30" i="17"/>
  <c r="B30" i="17"/>
  <c r="I28" i="17"/>
  <c r="H28" i="17"/>
  <c r="G28" i="17"/>
  <c r="F28" i="17"/>
  <c r="B28" i="17"/>
  <c r="I27" i="17"/>
  <c r="H27" i="17"/>
  <c r="G27" i="17"/>
  <c r="F27" i="17"/>
  <c r="B27" i="17"/>
  <c r="I26" i="17"/>
  <c r="H26" i="17"/>
  <c r="G26" i="17"/>
  <c r="F26" i="17"/>
  <c r="B26" i="17"/>
  <c r="I25" i="17"/>
  <c r="H25" i="17"/>
  <c r="G25" i="17"/>
  <c r="F25" i="17"/>
  <c r="B25" i="17"/>
  <c r="I24" i="17"/>
  <c r="H24" i="17"/>
  <c r="G24" i="17"/>
  <c r="F24" i="17"/>
  <c r="B24" i="17"/>
  <c r="J7" i="57"/>
  <c r="I7" i="57"/>
  <c r="J7" i="22"/>
  <c r="J6" i="22"/>
  <c r="I7" i="22"/>
  <c r="I6" i="22"/>
  <c r="H6" i="22"/>
  <c r="G6" i="22"/>
  <c r="J7" i="37"/>
  <c r="I7" i="37"/>
  <c r="P13" i="21"/>
  <c r="P14" i="21"/>
  <c r="P15" i="21"/>
  <c r="P12" i="21"/>
  <c r="M13" i="21"/>
  <c r="M14" i="21"/>
  <c r="M15" i="21"/>
  <c r="L13" i="21"/>
  <c r="L14" i="21"/>
  <c r="L15" i="21"/>
  <c r="L12" i="21"/>
  <c r="F15" i="21"/>
  <c r="B15" i="21"/>
  <c r="F14" i="21"/>
  <c r="B14" i="21"/>
  <c r="P15" i="57"/>
  <c r="P16" i="57"/>
  <c r="P14" i="57"/>
  <c r="M14" i="57"/>
  <c r="M15" i="57"/>
  <c r="M16" i="57"/>
  <c r="M13" i="57"/>
  <c r="L14" i="57"/>
  <c r="L15" i="57"/>
  <c r="L16" i="57"/>
  <c r="L13" i="57"/>
  <c r="I16" i="57"/>
  <c r="H16" i="57"/>
  <c r="G16" i="57"/>
  <c r="F16" i="57"/>
  <c r="B16" i="57"/>
  <c r="I15" i="57"/>
  <c r="H15" i="57"/>
  <c r="G15" i="57"/>
  <c r="F15" i="57"/>
  <c r="B15" i="57"/>
  <c r="H7" i="37"/>
  <c r="G7" i="37"/>
  <c r="H7" i="22"/>
  <c r="G7" i="22"/>
  <c r="F15" i="22"/>
  <c r="I32" i="67"/>
  <c r="H32" i="67"/>
  <c r="G32" i="67"/>
  <c r="F32" i="67"/>
  <c r="B32" i="67"/>
  <c r="I31" i="67"/>
  <c r="H31" i="67"/>
  <c r="G31" i="67"/>
  <c r="F31" i="67"/>
  <c r="B31" i="67"/>
  <c r="I30" i="67"/>
  <c r="H30" i="67"/>
  <c r="G30" i="67"/>
  <c r="F30" i="67"/>
  <c r="B30" i="67"/>
  <c r="I29" i="67"/>
  <c r="H29" i="67"/>
  <c r="G29" i="67"/>
  <c r="F29" i="67"/>
  <c r="B29" i="67"/>
  <c r="I28" i="67"/>
  <c r="H28" i="67"/>
  <c r="G28" i="67"/>
  <c r="F28" i="67"/>
  <c r="B28" i="67"/>
  <c r="I27" i="67"/>
  <c r="H27" i="67"/>
  <c r="G27" i="67"/>
  <c r="F27" i="67"/>
  <c r="B27" i="67"/>
  <c r="I26" i="67"/>
  <c r="H26" i="67"/>
  <c r="G26" i="67"/>
  <c r="F26" i="67"/>
  <c r="B26" i="67"/>
  <c r="I25" i="67"/>
  <c r="H25" i="67"/>
  <c r="G25" i="67"/>
  <c r="F25" i="67"/>
  <c r="B25" i="67"/>
  <c r="I24" i="67"/>
  <c r="H24" i="67"/>
  <c r="G24" i="67"/>
  <c r="F24" i="67"/>
  <c r="B24" i="67"/>
  <c r="I23" i="67"/>
  <c r="H23" i="67"/>
  <c r="G23" i="67"/>
  <c r="F23" i="67"/>
  <c r="B23" i="67"/>
  <c r="F16" i="11"/>
  <c r="F15" i="11"/>
  <c r="B16" i="11"/>
  <c r="B15" i="11"/>
  <c r="M16" i="37"/>
  <c r="M15" i="37"/>
  <c r="M14" i="37"/>
  <c r="M13" i="37"/>
  <c r="L16" i="37"/>
  <c r="O16" i="37" s="1"/>
  <c r="L15" i="37"/>
  <c r="O15" i="37" s="1"/>
  <c r="L14" i="37"/>
  <c r="O14" i="37" s="1"/>
  <c r="L13" i="37"/>
  <c r="O13" i="37" s="1"/>
  <c r="P13" i="65"/>
  <c r="P14" i="65"/>
  <c r="P15" i="65"/>
  <c r="L14" i="65"/>
  <c r="N15" i="65"/>
  <c r="M15" i="65"/>
  <c r="L15" i="65"/>
  <c r="I15" i="65"/>
  <c r="H15" i="65"/>
  <c r="G15" i="65"/>
  <c r="F15" i="65"/>
  <c r="B15" i="65"/>
  <c r="N14" i="65"/>
  <c r="M14" i="65"/>
  <c r="I14" i="65"/>
  <c r="H14" i="65"/>
  <c r="G14" i="65"/>
  <c r="F14" i="65"/>
  <c r="B14" i="65"/>
  <c r="N12" i="65"/>
  <c r="N13" i="65"/>
  <c r="M12" i="65"/>
  <c r="M13" i="65"/>
  <c r="L13" i="65"/>
  <c r="I18" i="14"/>
  <c r="I19" i="14"/>
  <c r="I20" i="14"/>
  <c r="I21" i="14"/>
  <c r="I22" i="14"/>
  <c r="I23" i="14"/>
  <c r="H18" i="14"/>
  <c r="H19" i="14"/>
  <c r="H20" i="14"/>
  <c r="H21" i="14"/>
  <c r="H22" i="14"/>
  <c r="H23" i="14"/>
  <c r="G19" i="14"/>
  <c r="G20" i="14"/>
  <c r="G21" i="14"/>
  <c r="G22" i="14"/>
  <c r="G23" i="14"/>
  <c r="G18" i="14"/>
  <c r="F18" i="14"/>
  <c r="F19" i="14"/>
  <c r="F20" i="14"/>
  <c r="F21" i="14"/>
  <c r="F22" i="14"/>
  <c r="F23" i="14"/>
  <c r="B23" i="14"/>
  <c r="B22" i="14"/>
  <c r="B21" i="14"/>
  <c r="B20" i="14"/>
  <c r="B19" i="14"/>
  <c r="B18" i="14"/>
  <c r="B3" i="69"/>
  <c r="S17" i="18" l="1"/>
  <c r="S23" i="18"/>
  <c r="S20" i="18"/>
  <c r="G8" i="22"/>
  <c r="H8" i="22"/>
  <c r="R28" i="20"/>
  <c r="S23" i="20"/>
  <c r="R23" i="18"/>
  <c r="J8" i="22"/>
  <c r="I8" i="22"/>
  <c r="S28" i="20" l="1"/>
  <c r="T28" i="20" s="1"/>
  <c r="R23" i="20"/>
  <c r="T23" i="20" s="1"/>
  <c r="T23" i="18"/>
  <c r="R20" i="18"/>
  <c r="T20" i="18" s="1"/>
  <c r="F12" i="15"/>
  <c r="J283" i="15"/>
  <c r="K283" i="15" s="1"/>
  <c r="K14" i="56" l="1"/>
  <c r="K25" i="56" l="1"/>
  <c r="K26" i="56"/>
  <c r="K27" i="56"/>
  <c r="K28" i="56"/>
  <c r="K29" i="56"/>
  <c r="K30" i="56"/>
  <c r="K31" i="56"/>
  <c r="K18" i="56"/>
  <c r="K17" i="56"/>
  <c r="K16" i="56"/>
  <c r="K12" i="56"/>
  <c r="K13" i="56"/>
  <c r="K81" i="17" l="1"/>
  <c r="T31" i="52" l="1"/>
  <c r="AA31" i="52" s="1"/>
  <c r="T32" i="52"/>
  <c r="AA32" i="52" s="1"/>
  <c r="J150" i="52" l="1" a="1"/>
  <c r="N150" i="52" s="1" a="1"/>
  <c r="N150" i="52" s="1"/>
  <c r="O150" i="52" s="1"/>
  <c r="J149" i="52" a="1"/>
  <c r="J149" i="52" s="1"/>
  <c r="J148" i="52" a="1"/>
  <c r="N148" i="52" s="1" a="1"/>
  <c r="N148" i="52" s="1"/>
  <c r="O148" i="52" s="1"/>
  <c r="J147" i="52" a="1"/>
  <c r="J147" i="52" s="1"/>
  <c r="J146" i="52" a="1"/>
  <c r="N146" i="52" s="1" a="1"/>
  <c r="N146" i="52" s="1"/>
  <c r="O146" i="52" s="1"/>
  <c r="J145" i="52" a="1"/>
  <c r="N145" i="52" s="1" a="1"/>
  <c r="N145" i="52" s="1"/>
  <c r="O145" i="52" s="1"/>
  <c r="J144" i="52" a="1"/>
  <c r="J144" i="52" s="1"/>
  <c r="J143" i="52" a="1"/>
  <c r="N143" i="52" s="1" a="1"/>
  <c r="N143" i="52" s="1"/>
  <c r="O143" i="52" s="1"/>
  <c r="J142" i="52" a="1"/>
  <c r="N142" i="52" s="1" a="1"/>
  <c r="N142" i="52" s="1"/>
  <c r="O142" i="52" s="1"/>
  <c r="J141" i="52" a="1"/>
  <c r="J141" i="52" s="1"/>
  <c r="J140" i="52" a="1"/>
  <c r="N140" i="52" s="1" a="1"/>
  <c r="N140" i="52" s="1"/>
  <c r="O140" i="52" s="1"/>
  <c r="J139" i="52" a="1"/>
  <c r="J139" i="52" s="1"/>
  <c r="J138" i="52" a="1"/>
  <c r="J138" i="52" s="1"/>
  <c r="J137" i="52" a="1"/>
  <c r="J137" i="52" s="1"/>
  <c r="J136" i="52" a="1"/>
  <c r="N136" i="52" s="1" a="1"/>
  <c r="N136" i="52" s="1"/>
  <c r="O136" i="52" s="1"/>
  <c r="J135" i="52" a="1"/>
  <c r="J135" i="52" s="1"/>
  <c r="J134" i="52" a="1"/>
  <c r="N134" i="52" s="1" a="1"/>
  <c r="N134" i="52" s="1"/>
  <c r="O134" i="52" s="1"/>
  <c r="J133" i="52" a="1"/>
  <c r="J133" i="52" s="1"/>
  <c r="J132" i="52" a="1"/>
  <c r="N132" i="52" s="1" a="1"/>
  <c r="N132" i="52" s="1"/>
  <c r="O132" i="52" s="1"/>
  <c r="J131" i="52" a="1"/>
  <c r="J131" i="52" s="1"/>
  <c r="J130" i="52" a="1"/>
  <c r="N130" i="52" s="1" a="1"/>
  <c r="N130" i="52" s="1"/>
  <c r="O130" i="52" s="1"/>
  <c r="J129" i="52" a="1"/>
  <c r="J129" i="52" s="1"/>
  <c r="J128" i="52" a="1"/>
  <c r="N128" i="52" s="1" a="1"/>
  <c r="N128" i="52" s="1"/>
  <c r="O128" i="52" s="1"/>
  <c r="J127" i="52" a="1"/>
  <c r="N127" i="52" s="1" a="1"/>
  <c r="N127" i="52" s="1"/>
  <c r="O127" i="52" s="1"/>
  <c r="J126" i="52" a="1"/>
  <c r="N126" i="52" s="1" a="1"/>
  <c r="N126" i="52" s="1"/>
  <c r="O126" i="52" s="1"/>
  <c r="J125" i="52" a="1"/>
  <c r="J125" i="52" s="1"/>
  <c r="J124" i="52" a="1"/>
  <c r="N124" i="52" s="1" a="1"/>
  <c r="N124" i="52" s="1"/>
  <c r="O124" i="52" s="1"/>
  <c r="J123" i="52" a="1"/>
  <c r="J123" i="52" s="1"/>
  <c r="J122" i="52" a="1"/>
  <c r="N122" i="52" s="1" a="1"/>
  <c r="N122" i="52" s="1"/>
  <c r="O122" i="52" s="1"/>
  <c r="J121" i="52" a="1"/>
  <c r="J121" i="52" s="1"/>
  <c r="J120" i="52" a="1"/>
  <c r="J120" i="52" s="1"/>
  <c r="J119" i="52" a="1"/>
  <c r="J119" i="52" s="1"/>
  <c r="J118" i="52" a="1"/>
  <c r="N118" i="52" s="1" a="1"/>
  <c r="N118" i="52" s="1"/>
  <c r="O118" i="52" s="1"/>
  <c r="J117" i="52" a="1"/>
  <c r="J117" i="52" s="1"/>
  <c r="J116" i="52" a="1"/>
  <c r="N116" i="52" s="1" a="1"/>
  <c r="N116" i="52" s="1"/>
  <c r="O116" i="52" s="1"/>
  <c r="J115" i="52" a="1"/>
  <c r="J115" i="52" s="1"/>
  <c r="J114" i="52" a="1"/>
  <c r="N114" i="52" s="1" a="1"/>
  <c r="N114" i="52" s="1"/>
  <c r="O114" i="52" s="1"/>
  <c r="J113" i="52" a="1"/>
  <c r="J113" i="52" s="1"/>
  <c r="J112" i="52" a="1"/>
  <c r="N112" i="52" s="1" a="1"/>
  <c r="N112" i="52" s="1"/>
  <c r="O112" i="52" s="1"/>
  <c r="J111" i="52" a="1"/>
  <c r="J111" i="52" s="1"/>
  <c r="J110" i="52" a="1"/>
  <c r="N110" i="52" s="1" a="1"/>
  <c r="N110" i="52" s="1"/>
  <c r="O110" i="52" s="1"/>
  <c r="J109" i="52" a="1"/>
  <c r="J109" i="52" s="1"/>
  <c r="J108" i="52" a="1"/>
  <c r="N108" i="52" s="1" a="1"/>
  <c r="N108" i="52" s="1"/>
  <c r="O108" i="52" s="1"/>
  <c r="J107" i="52" a="1"/>
  <c r="J107" i="52" s="1"/>
  <c r="J106" i="52" a="1"/>
  <c r="N106" i="52" s="1" a="1"/>
  <c r="N106" i="52" s="1"/>
  <c r="O106" i="52" s="1"/>
  <c r="J105" i="52" a="1"/>
  <c r="J105" i="52" s="1"/>
  <c r="J104" i="52" a="1"/>
  <c r="N104" i="52" s="1" a="1"/>
  <c r="N104" i="52" s="1"/>
  <c r="O104" i="52" s="1"/>
  <c r="J103" i="52" a="1"/>
  <c r="N103" i="52" s="1" a="1"/>
  <c r="N103" i="52" s="1"/>
  <c r="O103" i="52" s="1"/>
  <c r="J102" i="52" a="1"/>
  <c r="N102" i="52" s="1" a="1"/>
  <c r="N102" i="52" s="1"/>
  <c r="O102" i="52" s="1"/>
  <c r="J101" i="52" a="1"/>
  <c r="J101" i="52" s="1"/>
  <c r="J100" i="52" a="1"/>
  <c r="N100" i="52" s="1" a="1"/>
  <c r="N100" i="52" s="1"/>
  <c r="O100" i="52" s="1"/>
  <c r="J99" i="52" a="1"/>
  <c r="J99" i="52" s="1"/>
  <c r="J98" i="52" a="1"/>
  <c r="J98" i="52" s="1"/>
  <c r="J97" i="52" a="1"/>
  <c r="J97" i="52" s="1"/>
  <c r="J96" i="52" a="1"/>
  <c r="J96" i="52" s="1"/>
  <c r="J95" i="52" a="1"/>
  <c r="J94" i="52" a="1"/>
  <c r="J94" i="52" s="1"/>
  <c r="J93" i="52" a="1"/>
  <c r="J93" i="52" s="1"/>
  <c r="J92" i="52" a="1"/>
  <c r="N92" i="52" s="1" a="1"/>
  <c r="N92" i="52" s="1"/>
  <c r="O92" i="52" s="1"/>
  <c r="J91" i="52" a="1"/>
  <c r="J91" i="52" s="1"/>
  <c r="J90" i="52" a="1"/>
  <c r="N90" i="52" s="1" a="1"/>
  <c r="N90" i="52" s="1"/>
  <c r="O90" i="52" s="1"/>
  <c r="J89" i="52" a="1"/>
  <c r="J89" i="52" s="1"/>
  <c r="J88" i="52" a="1"/>
  <c r="N88" i="52" s="1" a="1"/>
  <c r="N88" i="52" s="1"/>
  <c r="O88" i="52" s="1"/>
  <c r="J87" i="52" a="1"/>
  <c r="J86" i="52" a="1"/>
  <c r="N86" i="52" s="1" a="1"/>
  <c r="N86" i="52" s="1"/>
  <c r="O86" i="52" s="1"/>
  <c r="J85" i="52" a="1"/>
  <c r="J85" i="52" s="1"/>
  <c r="J84" i="52" a="1"/>
  <c r="N84" i="52" s="1" a="1"/>
  <c r="N84" i="52" s="1"/>
  <c r="O84" i="52" s="1"/>
  <c r="J83" i="52" a="1"/>
  <c r="J83" i="52" s="1"/>
  <c r="J82" i="52" a="1"/>
  <c r="N82" i="52" s="1" a="1"/>
  <c r="N82" i="52" s="1"/>
  <c r="O82" i="52" s="1"/>
  <c r="J81" i="52" a="1"/>
  <c r="J81" i="52" s="1"/>
  <c r="J80" i="52" a="1"/>
  <c r="J80" i="52" s="1"/>
  <c r="J79" i="52" a="1"/>
  <c r="J78" i="52" a="1"/>
  <c r="N78" i="52" s="1" a="1"/>
  <c r="N78" i="52" s="1"/>
  <c r="O78" i="52" s="1"/>
  <c r="J77" i="52" a="1"/>
  <c r="J77" i="52" s="1"/>
  <c r="J76" i="52" a="1"/>
  <c r="N76" i="52" s="1" a="1"/>
  <c r="N76" i="52" s="1"/>
  <c r="O76" i="52" s="1"/>
  <c r="J75" i="52" a="1"/>
  <c r="J75" i="52" s="1"/>
  <c r="J74" i="52" a="1"/>
  <c r="N74" i="52" s="1" a="1"/>
  <c r="N74" i="52" s="1"/>
  <c r="O74" i="52" s="1"/>
  <c r="J73" i="52" a="1"/>
  <c r="J73" i="52" s="1"/>
  <c r="J72" i="52" a="1"/>
  <c r="N72" i="52" s="1" a="1"/>
  <c r="N72" i="52" s="1"/>
  <c r="O72" i="52" s="1"/>
  <c r="J71" i="52" a="1"/>
  <c r="J70" i="52" a="1"/>
  <c r="N70" i="52" s="1" a="1"/>
  <c r="N70" i="52" s="1"/>
  <c r="O70" i="52" s="1"/>
  <c r="J69" i="52" a="1"/>
  <c r="J69" i="52" s="1"/>
  <c r="J68" i="52" a="1"/>
  <c r="N68" i="52" s="1" a="1"/>
  <c r="N68" i="52" s="1"/>
  <c r="O68" i="52" s="1"/>
  <c r="J67" i="52" a="1"/>
  <c r="J67" i="52" s="1"/>
  <c r="J66" i="52" a="1"/>
  <c r="J66" i="52" s="1"/>
  <c r="J65" i="52" a="1"/>
  <c r="J65" i="52" s="1"/>
  <c r="J64" i="52" a="1"/>
  <c r="J64" i="52" s="1"/>
  <c r="J63" i="52" a="1"/>
  <c r="J62" i="52" a="1"/>
  <c r="N62" i="52" s="1" a="1"/>
  <c r="N62" i="52" s="1"/>
  <c r="O62" i="52" s="1"/>
  <c r="J61" i="52" a="1"/>
  <c r="J61" i="52" s="1"/>
  <c r="J60" i="52" a="1"/>
  <c r="J59" i="52" a="1"/>
  <c r="J59" i="52" s="1"/>
  <c r="J58" i="52" a="1"/>
  <c r="J57" i="52" a="1"/>
  <c r="J57" i="52" s="1"/>
  <c r="J56" i="52" a="1"/>
  <c r="J55" i="52" a="1"/>
  <c r="J54" i="52" a="1"/>
  <c r="J54" i="52" s="1"/>
  <c r="J53" i="52" a="1"/>
  <c r="J53" i="52" s="1"/>
  <c r="J52" i="52" a="1"/>
  <c r="J51" i="52" a="1"/>
  <c r="J51" i="52" s="1"/>
  <c r="S44" i="52"/>
  <c r="J50" i="52" a="1"/>
  <c r="J50" i="52" s="1"/>
  <c r="S43" i="52"/>
  <c r="J49" i="52" a="1"/>
  <c r="S42" i="52"/>
  <c r="J48" i="52" a="1"/>
  <c r="J48" i="52" s="1"/>
  <c r="J47" i="52" a="1"/>
  <c r="J46" i="52" a="1"/>
  <c r="J45" i="52" a="1"/>
  <c r="J45" i="52" s="1"/>
  <c r="J44" i="52" a="1"/>
  <c r="J44" i="52" s="1"/>
  <c r="J43" i="52" a="1"/>
  <c r="J43" i="52" s="1"/>
  <c r="J42" i="52" a="1"/>
  <c r="J41" i="52" a="1"/>
  <c r="J40" i="52" a="1"/>
  <c r="J40" i="52" s="1"/>
  <c r="J39" i="52" a="1"/>
  <c r="J39" i="52" s="1"/>
  <c r="J38" i="52" a="1"/>
  <c r="J38" i="52" s="1"/>
  <c r="J37" i="52" a="1"/>
  <c r="J37" i="52" s="1"/>
  <c r="J36" i="52" a="1"/>
  <c r="J36" i="52" s="1"/>
  <c r="J35" i="52" a="1"/>
  <c r="J35" i="52" s="1"/>
  <c r="J34" i="52" a="1"/>
  <c r="J33" i="52" a="1"/>
  <c r="J33" i="52" s="1"/>
  <c r="J32" i="52" a="1"/>
  <c r="J32" i="52" s="1"/>
  <c r="J31" i="52" a="1"/>
  <c r="N50" i="52" l="1" a="1"/>
  <c r="N50" i="52" s="1"/>
  <c r="O50" i="52" s="1"/>
  <c r="N98" i="52" a="1"/>
  <c r="N98" i="52" s="1"/>
  <c r="O98" i="52" s="1"/>
  <c r="N83" i="52" a="1"/>
  <c r="N83" i="52" s="1"/>
  <c r="O83" i="52" s="1"/>
  <c r="N64" i="52" a="1"/>
  <c r="N64" i="52" s="1"/>
  <c r="O64" i="52" s="1"/>
  <c r="N65" i="52" a="1"/>
  <c r="N65" i="52" s="1"/>
  <c r="O65" i="52" s="1"/>
  <c r="N80" i="52" a="1"/>
  <c r="N80" i="52" s="1"/>
  <c r="O80" i="52" s="1"/>
  <c r="N56" i="52" a="1"/>
  <c r="N56" i="52" s="1"/>
  <c r="O56" i="52" s="1"/>
  <c r="N94" i="52" a="1"/>
  <c r="N94" i="52" s="1"/>
  <c r="O94" i="52" s="1"/>
  <c r="N121" i="52" a="1"/>
  <c r="N121" i="52" s="1"/>
  <c r="O121" i="52" s="1"/>
  <c r="N43" i="52" a="1"/>
  <c r="N43" i="52" s="1"/>
  <c r="O43" i="52" s="1"/>
  <c r="N58" i="52" a="1"/>
  <c r="N58" i="52" s="1"/>
  <c r="O58" i="52" s="1"/>
  <c r="N137" i="52" a="1"/>
  <c r="N137" i="52" s="1"/>
  <c r="O137" i="52" s="1"/>
  <c r="J62" i="52"/>
  <c r="N47" i="52" a="1"/>
  <c r="N47" i="52" s="1"/>
  <c r="O47" i="52" s="1"/>
  <c r="N99" i="52" a="1"/>
  <c r="N99" i="52" s="1"/>
  <c r="O99" i="52" s="1"/>
  <c r="J128" i="52"/>
  <c r="J78" i="52"/>
  <c r="N66" i="52" a="1"/>
  <c r="N66" i="52" s="1"/>
  <c r="O66" i="52" s="1"/>
  <c r="N93" i="52" a="1"/>
  <c r="N93" i="52" s="1"/>
  <c r="O93" i="52" s="1"/>
  <c r="J104" i="52"/>
  <c r="N33" i="52" a="1"/>
  <c r="N33" i="52" s="1"/>
  <c r="O33" i="52" s="1"/>
  <c r="N81" i="52" a="1"/>
  <c r="N81" i="52" s="1"/>
  <c r="O81" i="52" s="1"/>
  <c r="J126" i="52"/>
  <c r="N138" i="52" a="1"/>
  <c r="N138" i="52" s="1"/>
  <c r="O138" i="52" s="1"/>
  <c r="J88" i="52"/>
  <c r="N31" i="52" a="1"/>
  <c r="N31" i="52" s="1"/>
  <c r="O31" i="52" s="1"/>
  <c r="N51" i="52" a="1"/>
  <c r="N51" i="52" s="1"/>
  <c r="O51" i="52" s="1"/>
  <c r="J72" i="52"/>
  <c r="J82" i="52"/>
  <c r="N61" i="52" a="1"/>
  <c r="N61" i="52" s="1"/>
  <c r="O61" i="52" s="1"/>
  <c r="N52" i="52" a="1"/>
  <c r="N52" i="52" s="1"/>
  <c r="O52" i="52" s="1"/>
  <c r="N120" i="52" a="1"/>
  <c r="N120" i="52" s="1"/>
  <c r="O120" i="52" s="1"/>
  <c r="N141" i="52" a="1"/>
  <c r="N141" i="52" s="1"/>
  <c r="O141" i="52" s="1"/>
  <c r="N96" i="52" a="1"/>
  <c r="N96" i="52" s="1"/>
  <c r="O96" i="52" s="1"/>
  <c r="N97" i="52" a="1"/>
  <c r="N97" i="52" s="1"/>
  <c r="O97" i="52" s="1"/>
  <c r="J122" i="52"/>
  <c r="N77" i="52" a="1"/>
  <c r="N77" i="52" s="1"/>
  <c r="O77" i="52" s="1"/>
  <c r="N36" i="52" a="1"/>
  <c r="N36" i="52" s="1"/>
  <c r="O36" i="52" s="1"/>
  <c r="J56" i="52"/>
  <c r="N144" i="52" a="1"/>
  <c r="N144" i="52" s="1"/>
  <c r="O144" i="52" s="1"/>
  <c r="N123" i="52" a="1"/>
  <c r="N123" i="52" s="1"/>
  <c r="O123" i="52" s="1"/>
  <c r="N37" i="52" a="1"/>
  <c r="N37" i="52" s="1"/>
  <c r="O37" i="52" s="1"/>
  <c r="N67" i="52" a="1"/>
  <c r="N67" i="52" s="1"/>
  <c r="O67" i="52" s="1"/>
  <c r="N125" i="52" a="1"/>
  <c r="N125" i="52" s="1"/>
  <c r="O125" i="52" s="1"/>
  <c r="N45" i="52" a="1"/>
  <c r="N45" i="52" s="1"/>
  <c r="O45" i="52" s="1"/>
  <c r="N48" i="52" a="1"/>
  <c r="N48" i="52" s="1"/>
  <c r="O48" i="52" s="1"/>
  <c r="N39" i="52" a="1"/>
  <c r="N39" i="52" s="1"/>
  <c r="O39" i="52" s="1"/>
  <c r="N60" i="52" a="1"/>
  <c r="N60" i="52" s="1"/>
  <c r="O60" i="52" s="1"/>
  <c r="N54" i="52" a="1"/>
  <c r="N54" i="52" s="1"/>
  <c r="O54" i="52" s="1"/>
  <c r="N32" i="52" a="1"/>
  <c r="N32" i="52" s="1"/>
  <c r="O32" i="52" s="1"/>
  <c r="N38" i="52" a="1"/>
  <c r="N38" i="52" s="1"/>
  <c r="O38" i="52" s="1"/>
  <c r="J58" i="52"/>
  <c r="J74" i="52"/>
  <c r="J90" i="52"/>
  <c r="J106" i="52"/>
  <c r="J110" i="52"/>
  <c r="N131" i="52" a="1"/>
  <c r="N131" i="52" s="1"/>
  <c r="O131" i="52" s="1"/>
  <c r="J136" i="52"/>
  <c r="J146" i="52"/>
  <c r="N35" i="52" a="1"/>
  <c r="N35" i="52" s="1"/>
  <c r="O35" i="52" s="1"/>
  <c r="N113" i="52" a="1"/>
  <c r="N113" i="52" s="1"/>
  <c r="O113" i="52" s="1"/>
  <c r="N117" i="52" a="1"/>
  <c r="N117" i="52" s="1"/>
  <c r="O117" i="52" s="1"/>
  <c r="N139" i="52" a="1"/>
  <c r="N139" i="52" s="1"/>
  <c r="O139" i="52" s="1"/>
  <c r="J31" i="52"/>
  <c r="J47" i="52"/>
  <c r="N53" i="52" a="1"/>
  <c r="N53" i="52" s="1"/>
  <c r="O53" i="52" s="1"/>
  <c r="N59" i="52" a="1"/>
  <c r="N59" i="52" s="1"/>
  <c r="O59" i="52" s="1"/>
  <c r="N69" i="52" a="1"/>
  <c r="N69" i="52" s="1"/>
  <c r="O69" i="52" s="1"/>
  <c r="N75" i="52" a="1"/>
  <c r="N75" i="52" s="1"/>
  <c r="O75" i="52" s="1"/>
  <c r="N85" i="52" a="1"/>
  <c r="N85" i="52" s="1"/>
  <c r="O85" i="52" s="1"/>
  <c r="N91" i="52" a="1"/>
  <c r="N91" i="52" s="1"/>
  <c r="O91" i="52" s="1"/>
  <c r="N101" i="52" a="1"/>
  <c r="N101" i="52" s="1"/>
  <c r="O101" i="52" s="1"/>
  <c r="N107" i="52" a="1"/>
  <c r="N107" i="52" s="1"/>
  <c r="O107" i="52" s="1"/>
  <c r="J114" i="52"/>
  <c r="J118" i="52"/>
  <c r="N129" i="52" a="1"/>
  <c r="N129" i="52" s="1"/>
  <c r="O129" i="52" s="1"/>
  <c r="N133" i="52" a="1"/>
  <c r="N133" i="52" s="1"/>
  <c r="O133" i="52" s="1"/>
  <c r="N147" i="52" a="1"/>
  <c r="N147" i="52" s="1"/>
  <c r="O147" i="52" s="1"/>
  <c r="N44" i="52" a="1"/>
  <c r="N44" i="52" s="1"/>
  <c r="O44" i="52" s="1"/>
  <c r="J70" i="52"/>
  <c r="J86" i="52"/>
  <c r="J102" i="52"/>
  <c r="J112" i="52"/>
  <c r="J130" i="52"/>
  <c r="J134" i="52"/>
  <c r="J145" i="52"/>
  <c r="N40" i="52" a="1"/>
  <c r="N40" i="52" s="1"/>
  <c r="O40" i="52" s="1"/>
  <c r="N41" i="52" a="1"/>
  <c r="N41" i="52" s="1"/>
  <c r="O41" i="52" s="1"/>
  <c r="N57" i="52" a="1"/>
  <c r="N57" i="52" s="1"/>
  <c r="O57" i="52" s="1"/>
  <c r="N73" i="52" a="1"/>
  <c r="N73" i="52" s="1"/>
  <c r="O73" i="52" s="1"/>
  <c r="N89" i="52" a="1"/>
  <c r="N89" i="52" s="1"/>
  <c r="O89" i="52" s="1"/>
  <c r="N105" i="52" a="1"/>
  <c r="N105" i="52" s="1"/>
  <c r="O105" i="52" s="1"/>
  <c r="N109" i="52" a="1"/>
  <c r="N109" i="52" s="1"/>
  <c r="O109" i="52" s="1"/>
  <c r="N115" i="52" a="1"/>
  <c r="N115" i="52" s="1"/>
  <c r="O115" i="52" s="1"/>
  <c r="J142" i="52"/>
  <c r="N149" i="52" a="1"/>
  <c r="N149" i="52" s="1"/>
  <c r="O149" i="52" s="1"/>
  <c r="J71" i="52"/>
  <c r="N71" i="52" a="1"/>
  <c r="N71" i="52" s="1"/>
  <c r="O71" i="52" s="1"/>
  <c r="J49" i="52"/>
  <c r="N49" i="52" a="1"/>
  <c r="N49" i="52" s="1"/>
  <c r="O49" i="52" s="1"/>
  <c r="J46" i="52"/>
  <c r="N46" i="52" a="1"/>
  <c r="N46" i="52" s="1"/>
  <c r="O46" i="52" s="1"/>
  <c r="J79" i="52"/>
  <c r="N79" i="52" a="1"/>
  <c r="N79" i="52" s="1"/>
  <c r="O79" i="52" s="1"/>
  <c r="N87" i="52" a="1"/>
  <c r="N87" i="52" s="1"/>
  <c r="O87" i="52" s="1"/>
  <c r="J87" i="52"/>
  <c r="N95" i="52" a="1"/>
  <c r="N95" i="52" s="1"/>
  <c r="O95" i="52" s="1"/>
  <c r="J95" i="52"/>
  <c r="J55" i="52"/>
  <c r="N55" i="52" a="1"/>
  <c r="N55" i="52" s="1"/>
  <c r="O55" i="52" s="1"/>
  <c r="J34" i="52"/>
  <c r="N34" i="52" a="1"/>
  <c r="N34" i="52" s="1"/>
  <c r="O34" i="52" s="1"/>
  <c r="J63" i="52"/>
  <c r="N63" i="52" a="1"/>
  <c r="N63" i="52" s="1"/>
  <c r="O63" i="52" s="1"/>
  <c r="J42" i="52"/>
  <c r="N42" i="52" a="1"/>
  <c r="N42" i="52" s="1"/>
  <c r="O42" i="52" s="1"/>
  <c r="J103" i="52"/>
  <c r="J127" i="52"/>
  <c r="J143" i="52"/>
  <c r="J41" i="52"/>
  <c r="J52" i="52"/>
  <c r="J60" i="52"/>
  <c r="J68" i="52"/>
  <c r="J76" i="52"/>
  <c r="J84" i="52"/>
  <c r="J92" i="52"/>
  <c r="J100" i="52"/>
  <c r="J108" i="52"/>
  <c r="N111" i="52" a="1"/>
  <c r="N111" i="52" s="1"/>
  <c r="O111" i="52" s="1"/>
  <c r="J116" i="52"/>
  <c r="N119" i="52" a="1"/>
  <c r="N119" i="52" s="1"/>
  <c r="O119" i="52" s="1"/>
  <c r="J124" i="52"/>
  <c r="J132" i="52"/>
  <c r="N135" i="52" a="1"/>
  <c r="N135" i="52" s="1"/>
  <c r="O135" i="52" s="1"/>
  <c r="J140" i="52"/>
  <c r="J148" i="52"/>
  <c r="J150" i="52"/>
  <c r="S32" i="52" l="1"/>
  <c r="S34" i="52"/>
  <c r="Z32" i="52" s="1"/>
  <c r="S31" i="52"/>
  <c r="S33" i="52"/>
  <c r="Z31" i="52" l="1"/>
  <c r="M96" i="8"/>
  <c r="M94" i="8" s="1"/>
  <c r="N94" i="8" s="1"/>
  <c r="M87" i="8" l="1"/>
  <c r="N87" i="8" s="1"/>
  <c r="M82" i="8"/>
  <c r="N82" i="8" s="1"/>
  <c r="M90" i="8"/>
  <c r="N90" i="8" s="1"/>
  <c r="M88" i="8"/>
  <c r="N88" i="8" s="1"/>
  <c r="M89" i="8"/>
  <c r="N89" i="8" s="1"/>
  <c r="M83" i="8"/>
  <c r="N83" i="8" s="1"/>
  <c r="M91" i="8"/>
  <c r="N91" i="8" s="1"/>
  <c r="M95" i="8"/>
  <c r="N95" i="8" s="1"/>
  <c r="M80" i="8"/>
  <c r="N80" i="8" s="1"/>
  <c r="M81" i="8"/>
  <c r="N81" i="8" s="1"/>
  <c r="M84" i="8"/>
  <c r="N84" i="8" s="1"/>
  <c r="M92" i="8"/>
  <c r="N92" i="8" s="1"/>
  <c r="M79" i="8"/>
  <c r="N79" i="8" s="1"/>
  <c r="M85" i="8"/>
  <c r="N85" i="8" s="1"/>
  <c r="M93" i="8"/>
  <c r="N93" i="8" s="1"/>
  <c r="M78" i="8"/>
  <c r="N78" i="8" s="1"/>
  <c r="M86" i="8"/>
  <c r="N86" i="8" s="1"/>
  <c r="I18" i="67" l="1"/>
  <c r="H7" i="57" l="1"/>
  <c r="G7" i="57"/>
  <c r="O12" i="57"/>
  <c r="B13" i="57"/>
  <c r="F13" i="57"/>
  <c r="G13" i="57"/>
  <c r="H13" i="57"/>
  <c r="I13" i="57"/>
  <c r="B14" i="57" l="1"/>
  <c r="F14" i="57"/>
  <c r="G14" i="57"/>
  <c r="H14" i="57"/>
  <c r="I14" i="57"/>
  <c r="I15" i="8" l="1"/>
  <c r="I19" i="8"/>
  <c r="I23" i="8"/>
  <c r="B12" i="8"/>
  <c r="F12" i="8"/>
  <c r="B15" i="8"/>
  <c r="F15" i="8"/>
  <c r="B16" i="8"/>
  <c r="F16" i="8"/>
  <c r="B19" i="8"/>
  <c r="F19" i="8"/>
  <c r="B20" i="8" l="1"/>
  <c r="F20" i="8"/>
  <c r="B23" i="8" l="1"/>
  <c r="F23" i="8"/>
  <c r="I20" i="67" l="1"/>
  <c r="F19" i="67"/>
  <c r="G19" i="67"/>
  <c r="H19" i="67"/>
  <c r="I19" i="67"/>
  <c r="F20" i="67"/>
  <c r="G20" i="67"/>
  <c r="H20" i="67"/>
  <c r="B19" i="67"/>
  <c r="B20" i="67"/>
  <c r="I22" i="67"/>
  <c r="H22" i="67"/>
  <c r="G22" i="67"/>
  <c r="F22" i="67"/>
  <c r="B22" i="67"/>
  <c r="I21" i="67"/>
  <c r="H21" i="67"/>
  <c r="G21" i="67"/>
  <c r="F21" i="67"/>
  <c r="B21" i="67"/>
  <c r="H18" i="67"/>
  <c r="G18" i="67"/>
  <c r="F18" i="67"/>
  <c r="B18" i="67"/>
  <c r="I17" i="67"/>
  <c r="H17" i="67"/>
  <c r="G17" i="67"/>
  <c r="F17" i="67"/>
  <c r="B17" i="67"/>
  <c r="I16" i="67"/>
  <c r="H16" i="67"/>
  <c r="G16" i="67"/>
  <c r="F16" i="67"/>
  <c r="B16" i="67"/>
  <c r="I13" i="67"/>
  <c r="H13" i="67"/>
  <c r="G13" i="67"/>
  <c r="F2" i="67" s="1"/>
  <c r="G2" i="67" s="1"/>
  <c r="F13" i="67"/>
  <c r="B13" i="67"/>
  <c r="Q12" i="67"/>
  <c r="E28" i="63" l="1"/>
  <c r="B6" i="78"/>
  <c r="D6" i="78" s="1"/>
  <c r="C6" i="78" s="1"/>
  <c r="K29" i="63"/>
  <c r="G29" i="63"/>
  <c r="M29" i="63" s="1"/>
  <c r="E29" i="69"/>
  <c r="G29" i="69" s="1"/>
  <c r="G30" i="69"/>
  <c r="B14" i="37"/>
  <c r="B13" i="37"/>
  <c r="B4" i="83" l="1"/>
  <c r="K28" i="63"/>
  <c r="G28" i="63"/>
  <c r="J286" i="15"/>
  <c r="K286" i="15" s="1"/>
  <c r="J285" i="15"/>
  <c r="K285" i="15" s="1"/>
  <c r="J284" i="15"/>
  <c r="K284" i="15" s="1"/>
  <c r="Q249" i="15"/>
  <c r="P249" i="15"/>
  <c r="Q248" i="15"/>
  <c r="P248" i="15"/>
  <c r="Q247" i="15"/>
  <c r="P247" i="15"/>
  <c r="Q246" i="15"/>
  <c r="P246" i="15"/>
  <c r="Q245" i="15"/>
  <c r="P245" i="15"/>
  <c r="Q244" i="15"/>
  <c r="P244" i="15"/>
  <c r="Q243" i="15"/>
  <c r="P243" i="15"/>
  <c r="Q236" i="15"/>
  <c r="Q235" i="15"/>
  <c r="Q234" i="15"/>
  <c r="Q233" i="15"/>
  <c r="I233" i="15"/>
  <c r="Q232" i="15"/>
  <c r="I232" i="15"/>
  <c r="Q231" i="15"/>
  <c r="I231" i="15"/>
  <c r="Q230" i="15"/>
  <c r="I230" i="15"/>
  <c r="Q229" i="15"/>
  <c r="I229" i="15"/>
  <c r="H217" i="15"/>
  <c r="T196" i="15"/>
  <c r="U196" i="15" s="1"/>
  <c r="S196" i="15"/>
  <c r="R196" i="15"/>
  <c r="Q196" i="15"/>
  <c r="T195" i="15"/>
  <c r="U195" i="15" s="1"/>
  <c r="S195" i="15"/>
  <c r="R195" i="15"/>
  <c r="Q195" i="15"/>
  <c r="T194" i="15"/>
  <c r="U194" i="15" s="1"/>
  <c r="S194" i="15"/>
  <c r="R194" i="15"/>
  <c r="Q194" i="15"/>
  <c r="T193" i="15"/>
  <c r="S193" i="15"/>
  <c r="R193" i="15"/>
  <c r="Q193" i="15"/>
  <c r="T192" i="15"/>
  <c r="U192" i="15" s="1"/>
  <c r="S192" i="15"/>
  <c r="R192" i="15"/>
  <c r="Q192" i="15"/>
  <c r="T191" i="15"/>
  <c r="U191" i="15" s="1"/>
  <c r="S191" i="15"/>
  <c r="R191" i="15"/>
  <c r="Q191" i="15"/>
  <c r="T190" i="15"/>
  <c r="U190" i="15" s="1"/>
  <c r="S190" i="15"/>
  <c r="R190" i="15"/>
  <c r="Q190" i="15"/>
  <c r="T189" i="15"/>
  <c r="S189" i="15"/>
  <c r="R189" i="15"/>
  <c r="Q189" i="15"/>
  <c r="T188" i="15"/>
  <c r="U188" i="15" s="1"/>
  <c r="S188" i="15"/>
  <c r="R188" i="15"/>
  <c r="Q188" i="15"/>
  <c r="T187" i="15"/>
  <c r="U187" i="15" s="1"/>
  <c r="S187" i="15"/>
  <c r="R187" i="15"/>
  <c r="Q187" i="15"/>
  <c r="T186" i="15"/>
  <c r="U186" i="15" s="1"/>
  <c r="S186" i="15"/>
  <c r="R186" i="15"/>
  <c r="Q186" i="15"/>
  <c r="T185" i="15"/>
  <c r="S185" i="15"/>
  <c r="R185" i="15"/>
  <c r="Q185" i="15"/>
  <c r="T184" i="15"/>
  <c r="U184" i="15" s="1"/>
  <c r="S184" i="15"/>
  <c r="R184" i="15"/>
  <c r="Q184" i="15"/>
  <c r="T183" i="15"/>
  <c r="U183" i="15" s="1"/>
  <c r="S183" i="15"/>
  <c r="R183" i="15"/>
  <c r="Q183" i="15"/>
  <c r="T182" i="15"/>
  <c r="U182" i="15" s="1"/>
  <c r="S182" i="15"/>
  <c r="R182" i="15"/>
  <c r="Q182" i="15"/>
  <c r="T181" i="15"/>
  <c r="S181" i="15"/>
  <c r="R181" i="15"/>
  <c r="Q181" i="15"/>
  <c r="T180" i="15"/>
  <c r="U180" i="15" s="1"/>
  <c r="S180" i="15"/>
  <c r="R180" i="15"/>
  <c r="Q180" i="15"/>
  <c r="T179" i="15"/>
  <c r="U179" i="15" s="1"/>
  <c r="S179" i="15"/>
  <c r="R179" i="15"/>
  <c r="Q179" i="15"/>
  <c r="T178" i="15"/>
  <c r="U178" i="15" s="1"/>
  <c r="S178" i="15"/>
  <c r="R178" i="15"/>
  <c r="Q178" i="15"/>
  <c r="T177" i="15"/>
  <c r="S177" i="15"/>
  <c r="R177" i="15"/>
  <c r="Q177" i="15"/>
  <c r="T176" i="15"/>
  <c r="U176" i="15" s="1"/>
  <c r="S176" i="15"/>
  <c r="R176" i="15"/>
  <c r="Q176" i="15"/>
  <c r="T175" i="15"/>
  <c r="U175" i="15" s="1"/>
  <c r="S175" i="15"/>
  <c r="R175" i="15"/>
  <c r="Q175" i="15"/>
  <c r="T174" i="15"/>
  <c r="U174" i="15" s="1"/>
  <c r="S174" i="15"/>
  <c r="R174" i="15"/>
  <c r="Q174" i="15"/>
  <c r="T173" i="15"/>
  <c r="S173" i="15"/>
  <c r="R173" i="15"/>
  <c r="Q173" i="15"/>
  <c r="T172" i="15"/>
  <c r="U172" i="15" s="1"/>
  <c r="S172" i="15"/>
  <c r="R172" i="15"/>
  <c r="Q172" i="15"/>
  <c r="T171" i="15"/>
  <c r="U171" i="15" s="1"/>
  <c r="S171" i="15"/>
  <c r="R171" i="15"/>
  <c r="Q171" i="15"/>
  <c r="T170" i="15"/>
  <c r="U170" i="15" s="1"/>
  <c r="S170" i="15"/>
  <c r="R170" i="15"/>
  <c r="Q170" i="15"/>
  <c r="T169" i="15"/>
  <c r="S169" i="15"/>
  <c r="R169" i="15"/>
  <c r="Q169" i="15"/>
  <c r="T168" i="15"/>
  <c r="U168" i="15" s="1"/>
  <c r="S168" i="15"/>
  <c r="R168" i="15"/>
  <c r="Q168" i="15"/>
  <c r="T167" i="15"/>
  <c r="U167" i="15" s="1"/>
  <c r="S167" i="15"/>
  <c r="R167" i="15"/>
  <c r="Q167" i="15"/>
  <c r="T166" i="15"/>
  <c r="U166" i="15" s="1"/>
  <c r="S166" i="15"/>
  <c r="R166" i="15"/>
  <c r="Q166" i="15"/>
  <c r="T165" i="15"/>
  <c r="S165" i="15"/>
  <c r="R165" i="15"/>
  <c r="Q165" i="15"/>
  <c r="T164" i="15"/>
  <c r="U164" i="15" s="1"/>
  <c r="S164" i="15"/>
  <c r="R164" i="15"/>
  <c r="Q164" i="15"/>
  <c r="T163" i="15"/>
  <c r="U163" i="15" s="1"/>
  <c r="S163" i="15"/>
  <c r="R163" i="15"/>
  <c r="Q163" i="15"/>
  <c r="T162" i="15"/>
  <c r="U162" i="15" s="1"/>
  <c r="S162" i="15"/>
  <c r="R162" i="15"/>
  <c r="Q162" i="15"/>
  <c r="T161" i="15"/>
  <c r="S161" i="15"/>
  <c r="R161" i="15"/>
  <c r="Q161" i="15"/>
  <c r="T160" i="15"/>
  <c r="U160" i="15" s="1"/>
  <c r="S160" i="15"/>
  <c r="R160" i="15"/>
  <c r="Q160" i="15"/>
  <c r="T159" i="15"/>
  <c r="U159" i="15" s="1"/>
  <c r="S159" i="15"/>
  <c r="R159" i="15"/>
  <c r="Q159" i="15"/>
  <c r="T158" i="15"/>
  <c r="U158" i="15" s="1"/>
  <c r="S158" i="15"/>
  <c r="R158" i="15"/>
  <c r="Q158" i="15"/>
  <c r="T157" i="15"/>
  <c r="S157" i="15"/>
  <c r="R157" i="15"/>
  <c r="Q157" i="15"/>
  <c r="T156" i="15"/>
  <c r="U156" i="15" s="1"/>
  <c r="S156" i="15"/>
  <c r="R156" i="15"/>
  <c r="Q156" i="15"/>
  <c r="T155" i="15"/>
  <c r="U155" i="15" s="1"/>
  <c r="S155" i="15"/>
  <c r="R155" i="15"/>
  <c r="Q155" i="15"/>
  <c r="T154" i="15"/>
  <c r="U154" i="15" s="1"/>
  <c r="S154" i="15"/>
  <c r="R154" i="15"/>
  <c r="Q154" i="15"/>
  <c r="T153" i="15"/>
  <c r="S153" i="15"/>
  <c r="R153" i="15"/>
  <c r="Q153" i="15"/>
  <c r="T152" i="15"/>
  <c r="U152" i="15" s="1"/>
  <c r="S152" i="15"/>
  <c r="R152" i="15"/>
  <c r="Q152" i="15"/>
  <c r="T151" i="15"/>
  <c r="U151" i="15" s="1"/>
  <c r="S151" i="15"/>
  <c r="R151" i="15"/>
  <c r="Q151" i="15"/>
  <c r="T150" i="15"/>
  <c r="U150" i="15" s="1"/>
  <c r="S150" i="15"/>
  <c r="R150" i="15"/>
  <c r="Q150" i="15"/>
  <c r="T149" i="15"/>
  <c r="S149" i="15"/>
  <c r="R149" i="15"/>
  <c r="Q149" i="15"/>
  <c r="T148" i="15"/>
  <c r="U148" i="15" s="1"/>
  <c r="S148" i="15"/>
  <c r="R148" i="15"/>
  <c r="Q148" i="15"/>
  <c r="T147" i="15"/>
  <c r="U147" i="15" s="1"/>
  <c r="S147" i="15"/>
  <c r="R147" i="15"/>
  <c r="Q147" i="15"/>
  <c r="T146" i="15"/>
  <c r="U146" i="15" s="1"/>
  <c r="S146" i="15"/>
  <c r="R146" i="15"/>
  <c r="Q146" i="15"/>
  <c r="T145" i="15"/>
  <c r="S145" i="15"/>
  <c r="R145" i="15"/>
  <c r="Q145" i="15"/>
  <c r="T144" i="15"/>
  <c r="U144" i="15" s="1"/>
  <c r="S144" i="15"/>
  <c r="R144" i="15"/>
  <c r="Q144" i="15"/>
  <c r="T143" i="15"/>
  <c r="U143" i="15" s="1"/>
  <c r="S143" i="15"/>
  <c r="R143" i="15"/>
  <c r="Q143" i="15"/>
  <c r="T142" i="15"/>
  <c r="U142" i="15" s="1"/>
  <c r="S142" i="15"/>
  <c r="R142" i="15"/>
  <c r="Q142" i="15"/>
  <c r="T141" i="15"/>
  <c r="S141" i="15"/>
  <c r="R141" i="15"/>
  <c r="Q141" i="15"/>
  <c r="T140" i="15"/>
  <c r="U140" i="15" s="1"/>
  <c r="S140" i="15"/>
  <c r="R140" i="15"/>
  <c r="Q140" i="15"/>
  <c r="T139" i="15"/>
  <c r="U139" i="15" s="1"/>
  <c r="S139" i="15"/>
  <c r="R139" i="15"/>
  <c r="Q139" i="15"/>
  <c r="T138" i="15"/>
  <c r="U138" i="15" s="1"/>
  <c r="S138" i="15"/>
  <c r="R138" i="15"/>
  <c r="Q138" i="15"/>
  <c r="T137" i="15"/>
  <c r="S137" i="15"/>
  <c r="R137" i="15"/>
  <c r="Q137" i="15"/>
  <c r="T136" i="15"/>
  <c r="U136" i="15" s="1"/>
  <c r="S136" i="15"/>
  <c r="R136" i="15"/>
  <c r="Q136" i="15"/>
  <c r="T135" i="15"/>
  <c r="U135" i="15" s="1"/>
  <c r="S135" i="15"/>
  <c r="R135" i="15"/>
  <c r="Q135" i="15"/>
  <c r="T134" i="15"/>
  <c r="U134" i="15" s="1"/>
  <c r="S134" i="15"/>
  <c r="R134" i="15"/>
  <c r="Q134" i="15"/>
  <c r="T133" i="15"/>
  <c r="S133" i="15"/>
  <c r="R133" i="15"/>
  <c r="Q133" i="15"/>
  <c r="T132" i="15"/>
  <c r="U132" i="15" s="1"/>
  <c r="S132" i="15"/>
  <c r="R132" i="15"/>
  <c r="Q132" i="15"/>
  <c r="T131" i="15"/>
  <c r="U131" i="15" s="1"/>
  <c r="S131" i="15"/>
  <c r="R131" i="15"/>
  <c r="Q131" i="15"/>
  <c r="T130" i="15"/>
  <c r="U130" i="15" s="1"/>
  <c r="S130" i="15"/>
  <c r="R130" i="15"/>
  <c r="Q130" i="15"/>
  <c r="T129" i="15"/>
  <c r="S129" i="15"/>
  <c r="R129" i="15"/>
  <c r="Q129" i="15"/>
  <c r="T128" i="15"/>
  <c r="U128" i="15" s="1"/>
  <c r="S128" i="15"/>
  <c r="R128" i="15"/>
  <c r="Q128" i="15"/>
  <c r="T127" i="15"/>
  <c r="U127" i="15" s="1"/>
  <c r="S127" i="15"/>
  <c r="R127" i="15"/>
  <c r="Q127" i="15"/>
  <c r="T126" i="15"/>
  <c r="U126" i="15" s="1"/>
  <c r="S126" i="15"/>
  <c r="R126" i="15"/>
  <c r="Q126" i="15"/>
  <c r="T125" i="15"/>
  <c r="S125" i="15"/>
  <c r="R125" i="15"/>
  <c r="Q125" i="15"/>
  <c r="T124" i="15"/>
  <c r="U124" i="15" s="1"/>
  <c r="S124" i="15"/>
  <c r="R124" i="15"/>
  <c r="Q124" i="15"/>
  <c r="T123" i="15"/>
  <c r="U123" i="15" s="1"/>
  <c r="S123" i="15"/>
  <c r="R123" i="15"/>
  <c r="Q123" i="15"/>
  <c r="T122" i="15"/>
  <c r="U122" i="15" s="1"/>
  <c r="S122" i="15"/>
  <c r="R122" i="15"/>
  <c r="Q122" i="15"/>
  <c r="T121" i="15"/>
  <c r="S121" i="15"/>
  <c r="R121" i="15"/>
  <c r="Q121" i="15"/>
  <c r="T120" i="15"/>
  <c r="U120" i="15" s="1"/>
  <c r="S120" i="15"/>
  <c r="R120" i="15"/>
  <c r="Q120" i="15"/>
  <c r="T119" i="15"/>
  <c r="U119" i="15" s="1"/>
  <c r="S119" i="15"/>
  <c r="R119" i="15"/>
  <c r="Q119" i="15"/>
  <c r="T118" i="15"/>
  <c r="U118" i="15" s="1"/>
  <c r="S118" i="15"/>
  <c r="R118" i="15"/>
  <c r="Q118" i="15"/>
  <c r="T117" i="15"/>
  <c r="S117" i="15"/>
  <c r="R117" i="15"/>
  <c r="Q117" i="15"/>
  <c r="T116" i="15"/>
  <c r="U116" i="15" s="1"/>
  <c r="S116" i="15"/>
  <c r="R116" i="15"/>
  <c r="Q116" i="15"/>
  <c r="T115" i="15"/>
  <c r="U115" i="15" s="1"/>
  <c r="S115" i="15"/>
  <c r="R115" i="15"/>
  <c r="Q115" i="15"/>
  <c r="T114" i="15"/>
  <c r="U114" i="15" s="1"/>
  <c r="S114" i="15"/>
  <c r="R114" i="15"/>
  <c r="Q114" i="15"/>
  <c r="T113" i="15"/>
  <c r="S113" i="15"/>
  <c r="R113" i="15"/>
  <c r="Q113" i="15"/>
  <c r="T112" i="15"/>
  <c r="U112" i="15" s="1"/>
  <c r="S112" i="15"/>
  <c r="R112" i="15"/>
  <c r="Q112" i="15"/>
  <c r="T111" i="15"/>
  <c r="U111" i="15" s="1"/>
  <c r="S111" i="15"/>
  <c r="R111" i="15"/>
  <c r="Q111" i="15"/>
  <c r="T110" i="15"/>
  <c r="U110" i="15" s="1"/>
  <c r="S110" i="15"/>
  <c r="R110" i="15"/>
  <c r="Q110" i="15"/>
  <c r="M28" i="63" l="1"/>
  <c r="D4" i="83"/>
  <c r="S229" i="15"/>
  <c r="R230" i="15"/>
  <c r="T231" i="15"/>
  <c r="R229" i="15"/>
  <c r="T229" i="15"/>
  <c r="S231" i="15"/>
  <c r="R231" i="15"/>
  <c r="S230" i="15"/>
  <c r="T230" i="15"/>
  <c r="V115" i="15"/>
  <c r="V110" i="15"/>
  <c r="V112" i="15"/>
  <c r="V118" i="15"/>
  <c r="V120" i="15"/>
  <c r="V122" i="15"/>
  <c r="V124" i="15"/>
  <c r="V126" i="15"/>
  <c r="V128" i="15"/>
  <c r="V130" i="15"/>
  <c r="V140" i="15"/>
  <c r="V142" i="15"/>
  <c r="V144" i="15"/>
  <c r="V146" i="15"/>
  <c r="V148" i="15"/>
  <c r="V150" i="15"/>
  <c r="V152" i="15"/>
  <c r="V154" i="15"/>
  <c r="V164" i="15"/>
  <c r="V166" i="15"/>
  <c r="V168" i="15"/>
  <c r="V170" i="15"/>
  <c r="V172" i="15"/>
  <c r="V174" i="15"/>
  <c r="V176" i="15"/>
  <c r="V178" i="15"/>
  <c r="V188" i="15"/>
  <c r="V190" i="15"/>
  <c r="V192" i="15"/>
  <c r="V194" i="15"/>
  <c r="V196" i="15"/>
  <c r="V116" i="15"/>
  <c r="V114" i="15"/>
  <c r="V111" i="15"/>
  <c r="V117" i="15"/>
  <c r="V119" i="15"/>
  <c r="V121" i="15"/>
  <c r="V123" i="15"/>
  <c r="V125" i="15"/>
  <c r="V127" i="15"/>
  <c r="V129" i="15"/>
  <c r="V141" i="15"/>
  <c r="V143" i="15"/>
  <c r="V145" i="15"/>
  <c r="V147" i="15"/>
  <c r="V149" i="15"/>
  <c r="V151" i="15"/>
  <c r="V153" i="15"/>
  <c r="V165" i="15"/>
  <c r="V167" i="15"/>
  <c r="V169" i="15"/>
  <c r="V171" i="15"/>
  <c r="V173" i="15"/>
  <c r="V175" i="15"/>
  <c r="V177" i="15"/>
  <c r="V189" i="15"/>
  <c r="V191" i="15"/>
  <c r="V193" i="15"/>
  <c r="V195" i="15"/>
  <c r="V113" i="15"/>
  <c r="L234" i="15"/>
  <c r="U113" i="15"/>
  <c r="U117" i="15"/>
  <c r="U121" i="15"/>
  <c r="U125" i="15"/>
  <c r="U129" i="15"/>
  <c r="U133" i="15"/>
  <c r="U137" i="15"/>
  <c r="U141" i="15"/>
  <c r="U145" i="15"/>
  <c r="U149" i="15"/>
  <c r="U153" i="15"/>
  <c r="U157" i="15"/>
  <c r="U161" i="15"/>
  <c r="U165" i="15"/>
  <c r="U169" i="15"/>
  <c r="U173" i="15"/>
  <c r="U177" i="15"/>
  <c r="U181" i="15"/>
  <c r="U185" i="15"/>
  <c r="U189" i="15"/>
  <c r="U193" i="15"/>
  <c r="J243" i="15" l="1"/>
  <c r="I243" i="15"/>
  <c r="K243" i="15"/>
  <c r="D13" i="51"/>
  <c r="D10" i="51"/>
  <c r="J7" i="63"/>
  <c r="J6" i="63"/>
  <c r="O243" i="15" l="1"/>
  <c r="D9" i="51"/>
  <c r="D8" i="51"/>
  <c r="D12" i="51"/>
  <c r="D11" i="51"/>
  <c r="J20" i="63"/>
  <c r="J18" i="63"/>
  <c r="J9" i="63"/>
  <c r="J16" i="63"/>
  <c r="J8" i="63"/>
  <c r="J14" i="63"/>
  <c r="J26" i="63"/>
  <c r="H22" i="63"/>
  <c r="I22" i="63"/>
  <c r="J24" i="63"/>
  <c r="J11" i="63"/>
  <c r="J27" i="63"/>
  <c r="H17" i="63"/>
  <c r="D7" i="51" s="1"/>
  <c r="H25" i="63"/>
  <c r="J13" i="63"/>
  <c r="I5" i="63"/>
  <c r="J12" i="63"/>
  <c r="I17" i="63"/>
  <c r="J10" i="63"/>
  <c r="I25" i="63"/>
  <c r="H5" i="63"/>
  <c r="J23" i="63"/>
  <c r="I87" i="15" l="1"/>
  <c r="R87" i="15"/>
  <c r="O87" i="15"/>
  <c r="L87" i="15"/>
  <c r="H4" i="63"/>
  <c r="D5" i="51" s="1"/>
  <c r="G5" i="51" s="1"/>
  <c r="I4" i="63"/>
  <c r="D6" i="51"/>
  <c r="J22" i="63"/>
  <c r="I21" i="63"/>
  <c r="J25" i="63"/>
  <c r="H21" i="63"/>
  <c r="J17" i="63"/>
  <c r="J5" i="63"/>
  <c r="Q61" i="15" l="1"/>
  <c r="Q60" i="15"/>
  <c r="Q28" i="15"/>
  <c r="Q29" i="15"/>
  <c r="Q45" i="15"/>
  <c r="Q44" i="15"/>
  <c r="Q13" i="15"/>
  <c r="Q12" i="15"/>
  <c r="J4" i="63"/>
  <c r="H3" i="63"/>
  <c r="D4" i="51" s="1"/>
  <c r="J21" i="63"/>
  <c r="I3" i="63"/>
  <c r="J3" i="63" l="1"/>
  <c r="P14" i="18"/>
  <c r="K346" i="61" l="1"/>
  <c r="K347" i="61"/>
  <c r="K348" i="61"/>
  <c r="K349" i="61"/>
  <c r="K350" i="61"/>
  <c r="K351" i="61"/>
  <c r="K352" i="61"/>
  <c r="K353" i="61"/>
  <c r="K354" i="61"/>
  <c r="K355" i="61"/>
  <c r="K356" i="61"/>
  <c r="K357" i="61"/>
  <c r="K358" i="61"/>
  <c r="K359" i="61"/>
  <c r="K360" i="61"/>
  <c r="K361" i="61"/>
  <c r="K362" i="61"/>
  <c r="K363" i="61"/>
  <c r="K364" i="61"/>
  <c r="K365" i="61"/>
  <c r="K366" i="61"/>
  <c r="K367" i="61"/>
  <c r="K368" i="61"/>
  <c r="K369" i="61"/>
  <c r="K370" i="61"/>
  <c r="K371" i="61"/>
  <c r="K372" i="61"/>
  <c r="K373" i="61"/>
  <c r="K374" i="61"/>
  <c r="K375" i="61"/>
  <c r="K376" i="61"/>
  <c r="K377" i="61"/>
  <c r="K378" i="61"/>
  <c r="K379" i="61"/>
  <c r="K380" i="61"/>
  <c r="K381" i="61"/>
  <c r="K382" i="61"/>
  <c r="K383" i="61"/>
  <c r="K384" i="61"/>
  <c r="K385" i="61"/>
  <c r="K386" i="61"/>
  <c r="K387" i="61"/>
  <c r="K388" i="61"/>
  <c r="K389" i="61"/>
  <c r="K390" i="61"/>
  <c r="K391" i="61"/>
  <c r="K392" i="61"/>
  <c r="K393" i="61"/>
  <c r="K394" i="61"/>
  <c r="K395" i="61"/>
  <c r="K396" i="61"/>
  <c r="K397" i="61"/>
  <c r="K398" i="61"/>
  <c r="K399" i="61"/>
  <c r="K400" i="61"/>
  <c r="K401" i="61"/>
  <c r="K402" i="61"/>
  <c r="K403" i="61"/>
  <c r="K404" i="61"/>
  <c r="K405" i="61"/>
  <c r="K406" i="61"/>
  <c r="K407" i="61"/>
  <c r="K408" i="61"/>
  <c r="K409" i="61"/>
  <c r="K410" i="61"/>
  <c r="K411" i="61"/>
  <c r="K412" i="61"/>
  <c r="K413" i="61"/>
  <c r="K414" i="61"/>
  <c r="K415" i="61"/>
  <c r="K416" i="61"/>
  <c r="K417" i="61"/>
  <c r="K418" i="61"/>
  <c r="K419" i="61"/>
  <c r="K420" i="61"/>
  <c r="K421" i="61"/>
  <c r="K422" i="61"/>
  <c r="K423" i="61"/>
  <c r="K424" i="61"/>
  <c r="K425" i="61"/>
  <c r="K426" i="61"/>
  <c r="K427" i="61"/>
  <c r="K428" i="61"/>
  <c r="K429" i="61"/>
  <c r="K430" i="61"/>
  <c r="K431" i="61"/>
  <c r="K432" i="61"/>
  <c r="K433" i="61"/>
  <c r="K434" i="61"/>
  <c r="K435" i="61"/>
  <c r="K436" i="61"/>
  <c r="K437" i="61"/>
  <c r="K438" i="61"/>
  <c r="K439" i="61"/>
  <c r="K440" i="61"/>
  <c r="K441" i="61"/>
  <c r="K442" i="61"/>
  <c r="K443" i="61"/>
  <c r="K444" i="61"/>
  <c r="K445" i="61"/>
  <c r="K446" i="61"/>
  <c r="K447" i="61"/>
  <c r="K448" i="61"/>
  <c r="K449" i="61"/>
  <c r="K450" i="61"/>
  <c r="K451" i="61"/>
  <c r="K452" i="61"/>
  <c r="K453" i="61"/>
  <c r="K454" i="61"/>
  <c r="K455" i="61"/>
  <c r="K456" i="61"/>
  <c r="K457" i="61"/>
  <c r="K458" i="61"/>
  <c r="K459" i="61"/>
  <c r="K460" i="61"/>
  <c r="K461" i="61"/>
  <c r="K462" i="61"/>
  <c r="K463" i="61"/>
  <c r="K464" i="61"/>
  <c r="K465" i="61"/>
  <c r="K466" i="61"/>
  <c r="K467" i="61"/>
  <c r="K468" i="61"/>
  <c r="K469" i="61"/>
  <c r="K470" i="61"/>
  <c r="K471" i="61"/>
  <c r="K472" i="61"/>
  <c r="K473" i="61"/>
  <c r="K474" i="61"/>
  <c r="K475" i="61"/>
  <c r="K476" i="61"/>
  <c r="K477" i="61"/>
  <c r="K478" i="61"/>
  <c r="K479" i="61"/>
  <c r="K480" i="61"/>
  <c r="K481" i="61"/>
  <c r="K482" i="61"/>
  <c r="K483" i="61"/>
  <c r="K484" i="61"/>
  <c r="K485" i="61"/>
  <c r="K486" i="61"/>
  <c r="K487" i="61"/>
  <c r="K488" i="61"/>
  <c r="K489" i="61"/>
  <c r="K490" i="61"/>
  <c r="K491" i="61"/>
  <c r="K492" i="61"/>
  <c r="K493" i="61"/>
  <c r="K494" i="61"/>
  <c r="K495" i="61"/>
  <c r="K496" i="61"/>
  <c r="K497" i="61"/>
  <c r="K498" i="61"/>
  <c r="K499" i="61"/>
  <c r="K500" i="61"/>
  <c r="K501" i="61"/>
  <c r="K502" i="61"/>
  <c r="K503" i="61"/>
  <c r="K504" i="61"/>
  <c r="K505" i="61"/>
  <c r="K506" i="61"/>
  <c r="K507" i="61"/>
  <c r="K508" i="61"/>
  <c r="K509" i="61"/>
  <c r="K510" i="61"/>
  <c r="K511" i="61"/>
  <c r="K512" i="61"/>
  <c r="K513" i="61"/>
  <c r="K514" i="61"/>
  <c r="K515" i="61"/>
  <c r="K516" i="61"/>
  <c r="K517" i="61"/>
  <c r="K518" i="61"/>
  <c r="K519" i="61"/>
  <c r="K520" i="61"/>
  <c r="K521" i="61"/>
  <c r="K522" i="61"/>
  <c r="K523" i="61"/>
  <c r="K524" i="61"/>
  <c r="K525" i="61"/>
  <c r="K526" i="61"/>
  <c r="K527" i="61"/>
  <c r="K528" i="61"/>
  <c r="K529" i="61"/>
  <c r="K530" i="61"/>
  <c r="K531" i="61"/>
  <c r="K532" i="61"/>
  <c r="K533" i="61"/>
  <c r="K534" i="61"/>
  <c r="K535" i="61"/>
  <c r="K536" i="61"/>
  <c r="K537" i="61"/>
  <c r="K538" i="61"/>
  <c r="K539" i="61"/>
  <c r="K540" i="61"/>
  <c r="K541" i="61"/>
  <c r="K542" i="61"/>
  <c r="K543" i="61"/>
  <c r="K544" i="61"/>
  <c r="K545" i="61"/>
  <c r="K546" i="61"/>
  <c r="K547" i="61"/>
  <c r="K548" i="61"/>
  <c r="K549" i="61"/>
  <c r="K550" i="61"/>
  <c r="K551" i="61"/>
  <c r="K552" i="61"/>
  <c r="K553" i="61"/>
  <c r="K554" i="61"/>
  <c r="K555" i="61"/>
  <c r="K556" i="61"/>
  <c r="K557" i="61"/>
  <c r="K558" i="61"/>
  <c r="K559" i="61"/>
  <c r="K560" i="61"/>
  <c r="K561" i="61"/>
  <c r="K562" i="61"/>
  <c r="K563" i="61"/>
  <c r="K564" i="61"/>
  <c r="K565" i="61"/>
  <c r="K566" i="61"/>
  <c r="K567" i="61"/>
  <c r="K568" i="61"/>
  <c r="K569" i="61"/>
  <c r="K570" i="61"/>
  <c r="K571" i="61"/>
  <c r="K572" i="61"/>
  <c r="K573" i="61"/>
  <c r="K574" i="61"/>
  <c r="K575" i="61"/>
  <c r="K576" i="61"/>
  <c r="K577" i="61"/>
  <c r="K578" i="61"/>
  <c r="K579" i="61"/>
  <c r="K580" i="61"/>
  <c r="K581" i="61"/>
  <c r="K582" i="61"/>
  <c r="K583" i="61"/>
  <c r="K584" i="61"/>
  <c r="K585" i="61"/>
  <c r="K586" i="61"/>
  <c r="K587" i="61"/>
  <c r="K588" i="61"/>
  <c r="K589" i="61"/>
  <c r="K590" i="61"/>
  <c r="K591" i="61"/>
  <c r="K592" i="61"/>
  <c r="K593" i="61"/>
  <c r="K594" i="61"/>
  <c r="K595" i="61"/>
  <c r="K596" i="61"/>
  <c r="K597" i="61"/>
  <c r="K598" i="61"/>
  <c r="K599" i="61"/>
  <c r="K600" i="61"/>
  <c r="K601" i="61"/>
  <c r="K602" i="61"/>
  <c r="K603" i="61"/>
  <c r="K604" i="61"/>
  <c r="K605" i="61"/>
  <c r="K606" i="61"/>
  <c r="K607" i="61"/>
  <c r="K608" i="61"/>
  <c r="K609" i="61"/>
  <c r="K610" i="61"/>
  <c r="K611" i="61"/>
  <c r="K612" i="61"/>
  <c r="K613" i="61"/>
  <c r="K614" i="61"/>
  <c r="K615" i="61"/>
  <c r="K616" i="61"/>
  <c r="K617" i="61"/>
  <c r="K618" i="61"/>
  <c r="K619" i="61"/>
  <c r="K620" i="61"/>
  <c r="K621" i="61"/>
  <c r="K622" i="61"/>
  <c r="K623" i="61"/>
  <c r="K624" i="61"/>
  <c r="K625" i="61"/>
  <c r="K626" i="61"/>
  <c r="K627" i="61"/>
  <c r="K628" i="61"/>
  <c r="K629" i="61"/>
  <c r="K630" i="61"/>
  <c r="K631" i="61"/>
  <c r="K632" i="61"/>
  <c r="K633" i="61"/>
  <c r="K634" i="61"/>
  <c r="K635" i="61"/>
  <c r="K636" i="61"/>
  <c r="K637" i="61"/>
  <c r="K638" i="61"/>
  <c r="K639" i="61"/>
  <c r="K640" i="61"/>
  <c r="K641" i="61"/>
  <c r="K642" i="61"/>
  <c r="K643" i="61"/>
  <c r="K644" i="61"/>
  <c r="K645" i="61"/>
  <c r="K646" i="61"/>
  <c r="K647" i="61"/>
  <c r="K648" i="61"/>
  <c r="K649" i="61"/>
  <c r="K650" i="61"/>
  <c r="K651" i="61"/>
  <c r="K652" i="61"/>
  <c r="K653" i="61"/>
  <c r="K654" i="61"/>
  <c r="K655" i="61"/>
  <c r="K656" i="61"/>
  <c r="K657" i="61"/>
  <c r="K658" i="61"/>
  <c r="K659" i="61"/>
  <c r="K660" i="61"/>
  <c r="K661" i="61"/>
  <c r="K662" i="61"/>
  <c r="K663" i="61"/>
  <c r="K664" i="61"/>
  <c r="K665" i="61"/>
  <c r="K666" i="61"/>
  <c r="K667" i="61"/>
  <c r="K668" i="61"/>
  <c r="K669" i="61"/>
  <c r="K670" i="61"/>
  <c r="K671" i="61"/>
  <c r="K672" i="61"/>
  <c r="K673" i="61"/>
  <c r="K674" i="61"/>
  <c r="K675" i="61"/>
  <c r="K676" i="61"/>
  <c r="K677" i="61"/>
  <c r="K678" i="61"/>
  <c r="K679" i="61"/>
  <c r="K680" i="61"/>
  <c r="K681" i="61"/>
  <c r="K682" i="61"/>
  <c r="K683" i="61"/>
  <c r="K684" i="61"/>
  <c r="K685" i="61"/>
  <c r="K686" i="61"/>
  <c r="K687" i="61"/>
  <c r="K688" i="61"/>
  <c r="K689" i="61"/>
  <c r="K690" i="61"/>
  <c r="K691" i="61"/>
  <c r="K692" i="61"/>
  <c r="K693" i="61"/>
  <c r="K694" i="61"/>
  <c r="K695" i="61"/>
  <c r="K696" i="61"/>
  <c r="K697" i="61"/>
  <c r="K698" i="61"/>
  <c r="K699" i="61"/>
  <c r="K700" i="61"/>
  <c r="K701" i="61"/>
  <c r="K702" i="61"/>
  <c r="K703" i="61"/>
  <c r="K704" i="61"/>
  <c r="K705" i="61"/>
  <c r="K706" i="61"/>
  <c r="K707" i="61"/>
  <c r="K708" i="61"/>
  <c r="K709" i="61"/>
  <c r="K710" i="61"/>
  <c r="K711" i="61"/>
  <c r="K712" i="61"/>
  <c r="K713" i="61"/>
  <c r="K714" i="61"/>
  <c r="K715" i="61"/>
  <c r="K716" i="61"/>
  <c r="K717" i="61"/>
  <c r="K718" i="61"/>
  <c r="K719" i="61"/>
  <c r="K720" i="61"/>
  <c r="K721" i="61"/>
  <c r="K722" i="61"/>
  <c r="K723" i="61"/>
  <c r="K724" i="61"/>
  <c r="K725" i="61"/>
  <c r="K726" i="61"/>
  <c r="K727" i="61"/>
  <c r="K728" i="61"/>
  <c r="K729" i="61"/>
  <c r="K730" i="61"/>
  <c r="K731" i="61"/>
  <c r="K732" i="61"/>
  <c r="K733" i="61"/>
  <c r="K734" i="61"/>
  <c r="K735" i="61"/>
  <c r="K736" i="61"/>
  <c r="K737" i="61"/>
  <c r="K738" i="61"/>
  <c r="K739" i="61"/>
  <c r="K740" i="61"/>
  <c r="K741" i="61"/>
  <c r="K742" i="61"/>
  <c r="K743" i="61"/>
  <c r="K744" i="61"/>
  <c r="K745" i="61"/>
  <c r="K746" i="61"/>
  <c r="K747" i="61"/>
  <c r="K748" i="61"/>
  <c r="K749" i="61"/>
  <c r="K750" i="61"/>
  <c r="K751" i="61"/>
  <c r="K752" i="61"/>
  <c r="K753" i="61"/>
  <c r="K754" i="61"/>
  <c r="K755" i="61"/>
  <c r="K756" i="61"/>
  <c r="K757" i="61"/>
  <c r="K758" i="61"/>
  <c r="K759" i="61"/>
  <c r="K760" i="61"/>
  <c r="K761" i="61"/>
  <c r="K762" i="61"/>
  <c r="K763" i="61"/>
  <c r="K764" i="61"/>
  <c r="K765" i="61"/>
  <c r="K766" i="61"/>
  <c r="K767" i="61"/>
  <c r="K768" i="61"/>
  <c r="K769" i="61"/>
  <c r="K770" i="61"/>
  <c r="K771" i="61"/>
  <c r="K772" i="61"/>
  <c r="K773" i="61"/>
  <c r="K774" i="61"/>
  <c r="K775" i="61"/>
  <c r="K776" i="61"/>
  <c r="K777" i="61"/>
  <c r="K778" i="61"/>
  <c r="K779" i="61"/>
  <c r="K780" i="61"/>
  <c r="K781" i="61"/>
  <c r="K782" i="61"/>
  <c r="K783" i="61"/>
  <c r="K784" i="61"/>
  <c r="K785" i="61"/>
  <c r="K786" i="61"/>
  <c r="K787" i="61"/>
  <c r="K788" i="61"/>
  <c r="K789" i="61"/>
  <c r="K790" i="61"/>
  <c r="K791" i="61"/>
  <c r="K792" i="61"/>
  <c r="K793" i="61"/>
  <c r="K794" i="61"/>
  <c r="K795" i="61"/>
  <c r="K796" i="61"/>
  <c r="K797" i="61"/>
  <c r="K798" i="61"/>
  <c r="K799" i="61"/>
  <c r="K800" i="61"/>
  <c r="K801" i="61"/>
  <c r="K802" i="61"/>
  <c r="K803" i="61"/>
  <c r="K804" i="61"/>
  <c r="K805" i="61"/>
  <c r="K806" i="61"/>
  <c r="K807" i="61"/>
  <c r="K808" i="61"/>
  <c r="K809" i="61"/>
  <c r="K810" i="61"/>
  <c r="K811" i="61"/>
  <c r="K812" i="61"/>
  <c r="K813" i="61"/>
  <c r="K814" i="61"/>
  <c r="K815" i="61"/>
  <c r="K816" i="61"/>
  <c r="K817" i="61"/>
  <c r="K818" i="61"/>
  <c r="K819" i="61"/>
  <c r="K820" i="61"/>
  <c r="K821" i="61"/>
  <c r="K822" i="61"/>
  <c r="K823" i="61"/>
  <c r="K824" i="61"/>
  <c r="K825" i="61"/>
  <c r="K826" i="61"/>
  <c r="K827" i="61"/>
  <c r="K828" i="61"/>
  <c r="K829" i="61"/>
  <c r="K830" i="61"/>
  <c r="K831" i="61"/>
  <c r="K832" i="61"/>
  <c r="K833" i="61"/>
  <c r="K834" i="61"/>
  <c r="K835" i="61"/>
  <c r="K836" i="61"/>
  <c r="K837" i="61"/>
  <c r="K838" i="61"/>
  <c r="K839" i="61"/>
  <c r="K840" i="61"/>
  <c r="K841" i="61"/>
  <c r="K842" i="61"/>
  <c r="K843" i="61"/>
  <c r="K844" i="61"/>
  <c r="K845" i="61"/>
  <c r="K846" i="61"/>
  <c r="K847" i="61"/>
  <c r="K848" i="61"/>
  <c r="K849" i="61"/>
  <c r="K850" i="61"/>
  <c r="K851" i="61"/>
  <c r="K852" i="61"/>
  <c r="K853" i="61"/>
  <c r="K854" i="61"/>
  <c r="K855" i="61"/>
  <c r="K856" i="61"/>
  <c r="K857" i="61"/>
  <c r="K858" i="61"/>
  <c r="K859" i="61"/>
  <c r="K860" i="61"/>
  <c r="K861" i="61"/>
  <c r="K862" i="61"/>
  <c r="K863" i="61"/>
  <c r="K864" i="61"/>
  <c r="K865" i="61"/>
  <c r="K866" i="61"/>
  <c r="K867" i="61"/>
  <c r="K868" i="61"/>
  <c r="K869" i="61"/>
  <c r="K870" i="61"/>
  <c r="K871" i="61"/>
  <c r="K872" i="61"/>
  <c r="K873" i="61"/>
  <c r="K874" i="61"/>
  <c r="K875" i="61"/>
  <c r="K876" i="61"/>
  <c r="K877" i="61"/>
  <c r="K878" i="61"/>
  <c r="K879" i="61"/>
  <c r="K880" i="61"/>
  <c r="K881" i="61"/>
  <c r="K882" i="61"/>
  <c r="K883" i="61"/>
  <c r="K884" i="61"/>
  <c r="K885" i="61"/>
  <c r="K886" i="61"/>
  <c r="K887" i="61"/>
  <c r="K888" i="61"/>
  <c r="K889" i="61"/>
  <c r="K890" i="61"/>
  <c r="K891" i="61"/>
  <c r="K892" i="61"/>
  <c r="K893" i="61"/>
  <c r="K894" i="61"/>
  <c r="K895" i="61"/>
  <c r="K896" i="61"/>
  <c r="K897" i="61"/>
  <c r="K898" i="61"/>
  <c r="K899" i="61"/>
  <c r="K900" i="61"/>
  <c r="K901" i="61"/>
  <c r="K902" i="61"/>
  <c r="K903" i="61"/>
  <c r="K904" i="61"/>
  <c r="K905" i="61"/>
  <c r="K906" i="61"/>
  <c r="K907" i="61"/>
  <c r="K908" i="61"/>
  <c r="K909" i="61"/>
  <c r="K910" i="61"/>
  <c r="K911" i="61"/>
  <c r="K912" i="61"/>
  <c r="K913" i="61"/>
  <c r="K914" i="61"/>
  <c r="K915" i="61"/>
  <c r="K916" i="61"/>
  <c r="K917" i="61"/>
  <c r="K918" i="61"/>
  <c r="K919" i="61"/>
  <c r="K920" i="61"/>
  <c r="K921" i="61"/>
  <c r="K922" i="61"/>
  <c r="K923" i="61"/>
  <c r="K924" i="61"/>
  <c r="K925" i="61"/>
  <c r="K926" i="61"/>
  <c r="K927" i="61"/>
  <c r="K928" i="61"/>
  <c r="K929" i="61"/>
  <c r="K930" i="61"/>
  <c r="K931" i="61"/>
  <c r="K932" i="61"/>
  <c r="K933" i="61"/>
  <c r="K934" i="61"/>
  <c r="K935" i="61"/>
  <c r="K936" i="61"/>
  <c r="K937" i="61"/>
  <c r="K938" i="61"/>
  <c r="K939" i="61"/>
  <c r="K940" i="61"/>
  <c r="K941" i="61"/>
  <c r="K942" i="61"/>
  <c r="K943" i="61"/>
  <c r="K944" i="61"/>
  <c r="K945" i="61"/>
  <c r="K946" i="61"/>
  <c r="K947" i="61"/>
  <c r="K948" i="61"/>
  <c r="K949" i="61"/>
  <c r="K950" i="61"/>
  <c r="K951" i="61"/>
  <c r="K952" i="61"/>
  <c r="K953" i="61"/>
  <c r="K954" i="61"/>
  <c r="K955" i="61"/>
  <c r="K956" i="61"/>
  <c r="K957" i="61"/>
  <c r="K958" i="61"/>
  <c r="K959" i="61"/>
  <c r="K960" i="61"/>
  <c r="K961" i="61"/>
  <c r="K962" i="61"/>
  <c r="K963" i="61"/>
  <c r="K964" i="61"/>
  <c r="K965" i="61"/>
  <c r="K966" i="61"/>
  <c r="K967" i="61"/>
  <c r="K968" i="61"/>
  <c r="K969" i="61"/>
  <c r="K970" i="61"/>
  <c r="K971" i="61"/>
  <c r="K972" i="61"/>
  <c r="K973" i="61"/>
  <c r="K974" i="61"/>
  <c r="K975" i="61"/>
  <c r="K976" i="61"/>
  <c r="K977" i="61"/>
  <c r="K978" i="61"/>
  <c r="K979" i="61"/>
  <c r="K980" i="61"/>
  <c r="K981" i="61"/>
  <c r="K982" i="61"/>
  <c r="K983" i="61"/>
  <c r="K984" i="61"/>
  <c r="K985" i="61"/>
  <c r="K986" i="61"/>
  <c r="K987" i="61"/>
  <c r="K988" i="61"/>
  <c r="K989" i="61"/>
  <c r="K990" i="61"/>
  <c r="K991" i="61"/>
  <c r="K992" i="61"/>
  <c r="K993" i="61"/>
  <c r="K994" i="61"/>
  <c r="K995" i="61"/>
  <c r="K996" i="61"/>
  <c r="K997" i="61"/>
  <c r="K998" i="61"/>
  <c r="K999" i="61"/>
  <c r="K1000" i="61"/>
  <c r="K1001" i="61"/>
  <c r="K1002" i="61"/>
  <c r="K1003" i="61"/>
  <c r="K1004" i="61"/>
  <c r="K1005" i="61"/>
  <c r="K1006" i="61"/>
  <c r="K1007" i="61"/>
  <c r="K1008" i="61"/>
  <c r="K1009" i="61"/>
  <c r="K1010" i="61"/>
  <c r="K1011" i="61"/>
  <c r="K1012" i="61"/>
  <c r="K1013" i="61"/>
  <c r="K1014" i="61"/>
  <c r="K1015" i="61"/>
  <c r="K1016" i="61"/>
  <c r="K1017" i="61"/>
  <c r="K1018" i="61"/>
  <c r="K1019" i="61"/>
  <c r="K1020" i="61"/>
  <c r="K1021" i="61"/>
  <c r="K1022" i="61"/>
  <c r="K1023" i="61"/>
  <c r="K1024" i="61"/>
  <c r="I13" i="65" l="1"/>
  <c r="H13" i="65"/>
  <c r="G13" i="65"/>
  <c r="I12" i="65"/>
  <c r="H12" i="65"/>
  <c r="F12" i="65"/>
  <c r="F13" i="65" l="1"/>
  <c r="B13" i="65"/>
  <c r="B12" i="65"/>
  <c r="O11" i="65"/>
  <c r="F2" i="65"/>
  <c r="G2" i="65" s="1"/>
  <c r="A3" i="27" a="1"/>
  <c r="A3" i="27" s="1"/>
  <c r="G2" i="20" l="1"/>
  <c r="J4" i="60"/>
  <c r="J5" i="60"/>
  <c r="J6" i="60"/>
  <c r="J7" i="60"/>
  <c r="J8" i="60"/>
  <c r="J9" i="60"/>
  <c r="J10" i="60"/>
  <c r="J11" i="60"/>
  <c r="J12" i="60"/>
  <c r="J13" i="60"/>
  <c r="J14" i="60"/>
  <c r="J15" i="60"/>
  <c r="J16" i="60"/>
  <c r="J17" i="60"/>
  <c r="J18" i="60"/>
  <c r="J19" i="60"/>
  <c r="J20" i="60"/>
  <c r="J21" i="60"/>
  <c r="J22" i="60"/>
  <c r="J23" i="60"/>
  <c r="J24" i="60"/>
  <c r="J25" i="60"/>
  <c r="J26" i="60"/>
  <c r="J27" i="60"/>
  <c r="J28" i="60"/>
  <c r="J29" i="60"/>
  <c r="J30" i="60"/>
  <c r="J31" i="60"/>
  <c r="J32" i="60"/>
  <c r="J33" i="60"/>
  <c r="J34" i="60"/>
  <c r="J35" i="60"/>
  <c r="J36" i="60"/>
  <c r="J37" i="60"/>
  <c r="J38" i="60"/>
  <c r="J39" i="60"/>
  <c r="J40" i="60"/>
  <c r="J41" i="60"/>
  <c r="J42" i="60"/>
  <c r="J43" i="60"/>
  <c r="J44" i="60"/>
  <c r="J45" i="60"/>
  <c r="J46" i="60"/>
  <c r="J47" i="60"/>
  <c r="J48" i="60"/>
  <c r="J49" i="60"/>
  <c r="J50" i="60"/>
  <c r="J51" i="60"/>
  <c r="J52" i="60"/>
  <c r="J53" i="60"/>
  <c r="J54" i="60"/>
  <c r="J55" i="60"/>
  <c r="J56" i="60"/>
  <c r="J57" i="60"/>
  <c r="J58" i="60"/>
  <c r="J59" i="60"/>
  <c r="J60" i="60"/>
  <c r="J61" i="60"/>
  <c r="J62" i="60"/>
  <c r="J63" i="60"/>
  <c r="J64" i="60"/>
  <c r="J65" i="60"/>
  <c r="J66" i="60"/>
  <c r="J67" i="60"/>
  <c r="J68" i="60"/>
  <c r="J69" i="60"/>
  <c r="J70" i="60"/>
  <c r="J71" i="60"/>
  <c r="J72" i="60"/>
  <c r="J73" i="60"/>
  <c r="J74" i="60"/>
  <c r="J75" i="60"/>
  <c r="J76" i="60"/>
  <c r="J77" i="60"/>
  <c r="J78" i="60"/>
  <c r="J79" i="60"/>
  <c r="J80" i="60"/>
  <c r="J81" i="60"/>
  <c r="J82" i="60"/>
  <c r="J83" i="60"/>
  <c r="J84" i="60"/>
  <c r="J85" i="60"/>
  <c r="J86" i="60"/>
  <c r="J87" i="60"/>
  <c r="J88" i="60"/>
  <c r="J89" i="60"/>
  <c r="J90" i="60"/>
  <c r="J91" i="60"/>
  <c r="J92" i="60"/>
  <c r="J93" i="60"/>
  <c r="J94" i="60"/>
  <c r="J95" i="60"/>
  <c r="J96"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198" i="60"/>
  <c r="J199" i="60"/>
  <c r="J200" i="60"/>
  <c r="J201" i="60"/>
  <c r="J202" i="60"/>
  <c r="J203" i="60"/>
  <c r="J204" i="60"/>
  <c r="J205" i="60"/>
  <c r="J206" i="60"/>
  <c r="J207" i="60"/>
  <c r="J208" i="60"/>
  <c r="J209" i="60"/>
  <c r="J210" i="60"/>
  <c r="J211" i="60"/>
  <c r="J212" i="60"/>
  <c r="J213" i="60"/>
  <c r="J214" i="60"/>
  <c r="J215" i="60"/>
  <c r="J216" i="60"/>
  <c r="J217" i="60"/>
  <c r="J218" i="60"/>
  <c r="J219" i="60"/>
  <c r="J220" i="60"/>
  <c r="J221" i="60"/>
  <c r="J222" i="60"/>
  <c r="J223" i="60"/>
  <c r="J224" i="60"/>
  <c r="J225" i="60"/>
  <c r="J226" i="60"/>
  <c r="J227" i="60"/>
  <c r="J228" i="60"/>
  <c r="J229" i="60"/>
  <c r="J230" i="60"/>
  <c r="J231" i="60"/>
  <c r="J232" i="60"/>
  <c r="J233" i="60"/>
  <c r="J234" i="60"/>
  <c r="J235" i="60"/>
  <c r="J236" i="60"/>
  <c r="J237" i="60"/>
  <c r="J238" i="60"/>
  <c r="J239" i="60"/>
  <c r="J240" i="60"/>
  <c r="J241" i="60"/>
  <c r="J242" i="60"/>
  <c r="J243" i="60"/>
  <c r="J244" i="60"/>
  <c r="J245" i="60"/>
  <c r="J246" i="60"/>
  <c r="J247" i="60"/>
  <c r="J248" i="60"/>
  <c r="J249" i="60"/>
  <c r="J250" i="60"/>
  <c r="J251" i="60"/>
  <c r="J252" i="60"/>
  <c r="J253" i="60"/>
  <c r="J254" i="60"/>
  <c r="J255" i="60"/>
  <c r="J256" i="60"/>
  <c r="J257" i="60"/>
  <c r="J258" i="60"/>
  <c r="J259" i="60"/>
  <c r="J260" i="60"/>
  <c r="J261" i="60"/>
  <c r="J262" i="60"/>
  <c r="J263" i="60"/>
  <c r="J264" i="60"/>
  <c r="J265" i="60"/>
  <c r="J266" i="60"/>
  <c r="J267" i="60"/>
  <c r="J268" i="60"/>
  <c r="J269" i="60"/>
  <c r="J270" i="60"/>
  <c r="J271" i="60"/>
  <c r="J272" i="60"/>
  <c r="J273" i="60"/>
  <c r="J274" i="60"/>
  <c r="J275" i="60"/>
  <c r="J276" i="60"/>
  <c r="J277" i="60"/>
  <c r="J278" i="60"/>
  <c r="J279" i="60"/>
  <c r="J280" i="60"/>
  <c r="J281" i="60"/>
  <c r="J282" i="60"/>
  <c r="J283" i="60"/>
  <c r="J284" i="60"/>
  <c r="J285" i="60"/>
  <c r="J286" i="60"/>
  <c r="J287" i="60"/>
  <c r="J288" i="60"/>
  <c r="J289" i="60"/>
  <c r="J290" i="60"/>
  <c r="J291" i="60"/>
  <c r="J292" i="60"/>
  <c r="J293" i="60"/>
  <c r="J294" i="60"/>
  <c r="J295" i="60"/>
  <c r="J296" i="60"/>
  <c r="J297" i="60"/>
  <c r="J298" i="60"/>
  <c r="J299" i="60"/>
  <c r="J300" i="60"/>
  <c r="J301" i="60"/>
  <c r="J302" i="60"/>
  <c r="J303" i="60"/>
  <c r="J304" i="60"/>
  <c r="J305" i="60"/>
  <c r="J306" i="60"/>
  <c r="J307" i="60"/>
  <c r="J308" i="60"/>
  <c r="J309" i="60"/>
  <c r="J310" i="60"/>
  <c r="J311" i="60"/>
  <c r="J312" i="60"/>
  <c r="J313" i="60"/>
  <c r="J314" i="60"/>
  <c r="J315" i="60"/>
  <c r="J316" i="60"/>
  <c r="J317" i="60"/>
  <c r="J318" i="60"/>
  <c r="J319" i="60"/>
  <c r="J320" i="60"/>
  <c r="J321" i="60"/>
  <c r="J322" i="60"/>
  <c r="J323" i="60"/>
  <c r="J324" i="60"/>
  <c r="J325" i="60"/>
  <c r="J326" i="60"/>
  <c r="J327" i="60"/>
  <c r="J328" i="60"/>
  <c r="J329" i="60"/>
  <c r="J330" i="60"/>
  <c r="J331" i="60"/>
  <c r="J332" i="60"/>
  <c r="J333" i="60"/>
  <c r="J334" i="60"/>
  <c r="J335" i="60"/>
  <c r="J336" i="60"/>
  <c r="J337" i="60"/>
  <c r="J338" i="60"/>
  <c r="J339" i="60"/>
  <c r="J340" i="60"/>
  <c r="J341" i="60"/>
  <c r="J342" i="60"/>
  <c r="J343" i="60"/>
  <c r="J344" i="60"/>
  <c r="J345" i="60"/>
  <c r="J346" i="60"/>
  <c r="J347" i="60"/>
  <c r="J348" i="60"/>
  <c r="J349" i="60"/>
  <c r="J350" i="60"/>
  <c r="J351" i="60"/>
  <c r="J352" i="60"/>
  <c r="J353" i="60"/>
  <c r="J354" i="60"/>
  <c r="J355" i="60"/>
  <c r="J356" i="60"/>
  <c r="J357" i="60"/>
  <c r="J358" i="60"/>
  <c r="J359" i="60"/>
  <c r="J360" i="60"/>
  <c r="J361" i="60"/>
  <c r="J362" i="60"/>
  <c r="J363" i="60"/>
  <c r="J364" i="60"/>
  <c r="J365" i="60"/>
  <c r="J366" i="60"/>
  <c r="J367" i="60"/>
  <c r="J368" i="60"/>
  <c r="J369" i="60"/>
  <c r="J370" i="60"/>
  <c r="J371" i="60"/>
  <c r="J372" i="60"/>
  <c r="J373" i="60"/>
  <c r="J374" i="60"/>
  <c r="J375" i="60"/>
  <c r="J376" i="60"/>
  <c r="J377" i="60"/>
  <c r="J378" i="60"/>
  <c r="J379" i="60"/>
  <c r="J380" i="60"/>
  <c r="J381" i="60"/>
  <c r="J382" i="60"/>
  <c r="J383" i="60"/>
  <c r="J384" i="60"/>
  <c r="J385" i="60"/>
  <c r="J386" i="60"/>
  <c r="J387" i="60"/>
  <c r="J388" i="60"/>
  <c r="J389" i="60"/>
  <c r="J390" i="60"/>
  <c r="J391" i="60"/>
  <c r="J392" i="60"/>
  <c r="J393" i="60"/>
  <c r="J394" i="60"/>
  <c r="J395" i="60"/>
  <c r="J396" i="60"/>
  <c r="J397" i="60"/>
  <c r="J398" i="60"/>
  <c r="J399" i="60"/>
  <c r="J400" i="60"/>
  <c r="J401" i="60"/>
  <c r="J402" i="60"/>
  <c r="J403" i="60"/>
  <c r="J404" i="60"/>
  <c r="J405" i="60"/>
  <c r="J406" i="60"/>
  <c r="J407" i="60"/>
  <c r="J408" i="60"/>
  <c r="J409" i="60"/>
  <c r="J410" i="60"/>
  <c r="J411" i="60"/>
  <c r="J412" i="60"/>
  <c r="J413" i="60"/>
  <c r="J414" i="60"/>
  <c r="J415" i="60"/>
  <c r="J416" i="60"/>
  <c r="J417" i="60"/>
  <c r="J418" i="60"/>
  <c r="J419" i="60"/>
  <c r="J420" i="60"/>
  <c r="J421" i="60"/>
  <c r="J422" i="60"/>
  <c r="J423" i="60"/>
  <c r="J424" i="60"/>
  <c r="J425" i="60"/>
  <c r="J426" i="60"/>
  <c r="J427" i="60"/>
  <c r="J428" i="60"/>
  <c r="J429" i="60"/>
  <c r="J430" i="60"/>
  <c r="J431" i="60"/>
  <c r="J432" i="60"/>
  <c r="J433" i="60"/>
  <c r="J434" i="60"/>
  <c r="J435" i="60"/>
  <c r="J436" i="60"/>
  <c r="J437" i="60"/>
  <c r="J438" i="60"/>
  <c r="J439" i="60"/>
  <c r="J440" i="60"/>
  <c r="J441" i="60"/>
  <c r="J442" i="60"/>
  <c r="J443" i="60"/>
  <c r="J444" i="60"/>
  <c r="J445" i="60"/>
  <c r="J446" i="60"/>
  <c r="J447" i="60"/>
  <c r="J448" i="60"/>
  <c r="J449" i="60"/>
  <c r="J450" i="60"/>
  <c r="J451" i="60"/>
  <c r="J452" i="60"/>
  <c r="J453" i="60"/>
  <c r="J454" i="60"/>
  <c r="J455" i="60"/>
  <c r="J456" i="60"/>
  <c r="J457" i="60"/>
  <c r="J458" i="60"/>
  <c r="J459" i="60"/>
  <c r="J460" i="60"/>
  <c r="J461" i="60"/>
  <c r="J462" i="60"/>
  <c r="J463" i="60"/>
  <c r="J464" i="60"/>
  <c r="J465" i="60"/>
  <c r="J466" i="60"/>
  <c r="J467" i="60"/>
  <c r="J468" i="60"/>
  <c r="J469" i="60"/>
  <c r="J470" i="60"/>
  <c r="J471" i="60"/>
  <c r="J472" i="60"/>
  <c r="J473" i="60"/>
  <c r="J474" i="60"/>
  <c r="J475" i="60"/>
  <c r="J476" i="60"/>
  <c r="J477" i="60"/>
  <c r="J478" i="60"/>
  <c r="J479" i="60"/>
  <c r="J480" i="60"/>
  <c r="J481" i="60"/>
  <c r="J482" i="60"/>
  <c r="J483" i="60"/>
  <c r="J484" i="60"/>
  <c r="J485" i="60"/>
  <c r="J486" i="60"/>
  <c r="J487" i="60"/>
  <c r="J488" i="60"/>
  <c r="J489" i="60"/>
  <c r="J490" i="60"/>
  <c r="J491" i="60"/>
  <c r="J492" i="60"/>
  <c r="J493" i="60"/>
  <c r="J494" i="60"/>
  <c r="J495" i="60"/>
  <c r="J3" i="60"/>
  <c r="D8" i="27" l="1"/>
  <c r="C8" i="27"/>
  <c r="B8" i="27"/>
  <c r="G19" i="24"/>
  <c r="G20" i="24"/>
  <c r="B16" i="24"/>
  <c r="K89" i="17" l="1"/>
  <c r="K88" i="17"/>
  <c r="K87" i="17"/>
  <c r="K86" i="17"/>
  <c r="K85" i="17"/>
  <c r="K100" i="17" s="1"/>
  <c r="K84" i="17"/>
  <c r="K83" i="17"/>
  <c r="K82" i="17"/>
  <c r="K80" i="17"/>
  <c r="K79" i="17"/>
  <c r="K78" i="17"/>
  <c r="G13" i="15" l="1"/>
  <c r="H13" i="15"/>
  <c r="I13" i="15"/>
  <c r="G14" i="15"/>
  <c r="H14" i="15"/>
  <c r="I14" i="15"/>
  <c r="G15" i="15"/>
  <c r="H15" i="15"/>
  <c r="I15" i="15"/>
  <c r="G17" i="15"/>
  <c r="H17" i="15"/>
  <c r="I17" i="15"/>
  <c r="G19" i="15"/>
  <c r="H19" i="15"/>
  <c r="I19" i="15"/>
  <c r="G20" i="15"/>
  <c r="H20" i="15"/>
  <c r="I20" i="15"/>
  <c r="G21" i="15"/>
  <c r="H21" i="15"/>
  <c r="I21" i="15"/>
  <c r="G22" i="15"/>
  <c r="H22" i="15"/>
  <c r="I22" i="15"/>
  <c r="G23" i="15"/>
  <c r="H23" i="15"/>
  <c r="I23" i="15"/>
  <c r="G24" i="15"/>
  <c r="H24" i="15"/>
  <c r="I24" i="15"/>
  <c r="G25" i="15"/>
  <c r="H25" i="15"/>
  <c r="I25" i="15"/>
  <c r="G26" i="15"/>
  <c r="H26" i="15"/>
  <c r="I26" i="15"/>
  <c r="G27" i="15"/>
  <c r="H27" i="15"/>
  <c r="I27" i="15"/>
  <c r="G28" i="15"/>
  <c r="H28" i="15"/>
  <c r="I28" i="15"/>
  <c r="G29" i="15"/>
  <c r="H29" i="15"/>
  <c r="I29" i="15"/>
  <c r="G30" i="15"/>
  <c r="H30" i="15"/>
  <c r="I30" i="15"/>
  <c r="G31" i="15"/>
  <c r="H31" i="15"/>
  <c r="I31" i="15"/>
  <c r="G33" i="15"/>
  <c r="H33" i="15"/>
  <c r="I33" i="15"/>
  <c r="G35" i="15"/>
  <c r="H35" i="15"/>
  <c r="I35" i="15"/>
  <c r="G36" i="15"/>
  <c r="H36" i="15"/>
  <c r="I36" i="15"/>
  <c r="G37" i="15"/>
  <c r="H37" i="15"/>
  <c r="I37" i="15"/>
  <c r="G38" i="15"/>
  <c r="H38" i="15"/>
  <c r="I38" i="15"/>
  <c r="G39" i="15"/>
  <c r="H39" i="15"/>
  <c r="I39" i="15"/>
  <c r="G40" i="15"/>
  <c r="H40" i="15"/>
  <c r="I40" i="15"/>
  <c r="G41" i="15"/>
  <c r="H41" i="15"/>
  <c r="I41" i="15"/>
  <c r="G42" i="15"/>
  <c r="H42" i="15"/>
  <c r="I42" i="15"/>
  <c r="G43" i="15"/>
  <c r="H43" i="15"/>
  <c r="I43" i="15"/>
  <c r="I12" i="15"/>
  <c r="H12" i="15"/>
  <c r="G12" i="15"/>
  <c r="G14" i="17"/>
  <c r="H14" i="17"/>
  <c r="I14" i="17"/>
  <c r="G15" i="17"/>
  <c r="H15" i="17"/>
  <c r="I15" i="17"/>
  <c r="G16" i="17"/>
  <c r="H16" i="17"/>
  <c r="I16" i="17"/>
  <c r="G17" i="17"/>
  <c r="H17" i="17"/>
  <c r="I17" i="17"/>
  <c r="G18" i="17"/>
  <c r="H18" i="17"/>
  <c r="I18" i="17"/>
  <c r="G19" i="17"/>
  <c r="H19" i="17"/>
  <c r="I19" i="17"/>
  <c r="G20" i="17"/>
  <c r="H20" i="17"/>
  <c r="I20" i="17"/>
  <c r="G21" i="17"/>
  <c r="H21" i="17"/>
  <c r="I21" i="17"/>
  <c r="G22" i="17"/>
  <c r="H22" i="17"/>
  <c r="I22" i="17"/>
  <c r="G23" i="17"/>
  <c r="H23" i="17"/>
  <c r="I23" i="17"/>
  <c r="H13" i="17"/>
  <c r="G13" i="17"/>
  <c r="I12" i="17"/>
  <c r="L265" i="15" l="1"/>
  <c r="L263" i="15"/>
  <c r="K265" i="15"/>
  <c r="K263" i="15"/>
  <c r="J265" i="15"/>
  <c r="J263" i="15"/>
  <c r="I265" i="15"/>
  <c r="I263" i="15"/>
  <c r="K264" i="15"/>
  <c r="L264" i="15"/>
  <c r="L262" i="15"/>
  <c r="K262" i="15"/>
  <c r="J264" i="15"/>
  <c r="J262" i="15"/>
  <c r="I264" i="15"/>
  <c r="I262" i="15"/>
  <c r="F16" i="22"/>
  <c r="R14" i="37" l="1"/>
  <c r="S14" i="37"/>
  <c r="R15" i="37"/>
  <c r="S15" i="37"/>
  <c r="S16" i="37"/>
  <c r="R16" i="37"/>
  <c r="T16" i="37" l="1"/>
  <c r="C7" i="37" s="1"/>
  <c r="T15" i="37"/>
  <c r="B7" i="37" s="1"/>
  <c r="T14" i="37"/>
  <c r="C6" i="37" s="1"/>
  <c r="J8" i="37" l="1"/>
  <c r="I8" i="37"/>
  <c r="H8" i="37"/>
  <c r="L16" i="63" l="1"/>
  <c r="K16" i="63"/>
  <c r="M16" i="63" l="1"/>
  <c r="F14" i="22"/>
  <c r="B23" i="17"/>
  <c r="F2" i="21" l="1"/>
  <c r="G2" i="21" s="1"/>
  <c r="J16" i="24" l="1"/>
  <c r="J15" i="24"/>
  <c r="K37" i="56"/>
  <c r="K36" i="56"/>
  <c r="K35" i="56"/>
  <c r="K34" i="56"/>
  <c r="K33" i="56"/>
  <c r="K32" i="56"/>
  <c r="K24" i="56"/>
  <c r="K23" i="56"/>
  <c r="K22" i="56"/>
  <c r="K21" i="56"/>
  <c r="K20" i="56"/>
  <c r="K19" i="56"/>
  <c r="K15" i="56"/>
  <c r="J12" i="20"/>
  <c r="J16" i="20"/>
  <c r="J17" i="20"/>
  <c r="J18" i="20"/>
  <c r="J19" i="20"/>
  <c r="J20" i="20"/>
  <c r="J21" i="20"/>
  <c r="K3" i="61"/>
  <c r="K4" i="61"/>
  <c r="K5" i="61"/>
  <c r="K6" i="61"/>
  <c r="K7" i="61"/>
  <c r="K8" i="61"/>
  <c r="K9" i="61"/>
  <c r="K10" i="61"/>
  <c r="K11" i="61"/>
  <c r="K12" i="61"/>
  <c r="K13" i="61"/>
  <c r="K14" i="61"/>
  <c r="K15" i="61"/>
  <c r="K16" i="61"/>
  <c r="K17" i="61"/>
  <c r="K18" i="61"/>
  <c r="K19" i="61"/>
  <c r="K20" i="61"/>
  <c r="K21" i="61"/>
  <c r="K22" i="61"/>
  <c r="K23" i="61"/>
  <c r="K24" i="61"/>
  <c r="K25" i="61"/>
  <c r="K26" i="61"/>
  <c r="K27" i="61"/>
  <c r="K28" i="61"/>
  <c r="K29" i="61"/>
  <c r="K30" i="61"/>
  <c r="K31" i="61"/>
  <c r="K32" i="61"/>
  <c r="K33" i="61"/>
  <c r="K34" i="61"/>
  <c r="K35" i="61"/>
  <c r="K36" i="61"/>
  <c r="K37" i="61"/>
  <c r="K38" i="61"/>
  <c r="K39" i="61"/>
  <c r="K40" i="61"/>
  <c r="K41" i="61"/>
  <c r="K42" i="61"/>
  <c r="K43" i="61"/>
  <c r="K44" i="61"/>
  <c r="K45" i="61"/>
  <c r="K46" i="61"/>
  <c r="K47" i="61"/>
  <c r="K48" i="61"/>
  <c r="K49" i="61"/>
  <c r="K50" i="61"/>
  <c r="K51" i="61"/>
  <c r="K52" i="61"/>
  <c r="K53" i="61"/>
  <c r="K54" i="61"/>
  <c r="K55" i="61"/>
  <c r="K56" i="61"/>
  <c r="K57" i="61"/>
  <c r="K58" i="61"/>
  <c r="K59" i="61"/>
  <c r="K60" i="61"/>
  <c r="K61" i="61"/>
  <c r="K62" i="61"/>
  <c r="K63" i="61"/>
  <c r="K64" i="61"/>
  <c r="K65" i="61"/>
  <c r="K66" i="61"/>
  <c r="K67" i="61"/>
  <c r="K68" i="61"/>
  <c r="K69" i="61"/>
  <c r="K70" i="61"/>
  <c r="K71" i="61"/>
  <c r="K72" i="61"/>
  <c r="K73" i="61"/>
  <c r="K74" i="61"/>
  <c r="K75" i="61"/>
  <c r="K76" i="61"/>
  <c r="K77" i="61"/>
  <c r="K78" i="61"/>
  <c r="K79" i="61"/>
  <c r="K80" i="61"/>
  <c r="K81" i="61"/>
  <c r="K82" i="61"/>
  <c r="K83" i="61"/>
  <c r="K84" i="61"/>
  <c r="K85" i="61"/>
  <c r="K86" i="61"/>
  <c r="K87" i="61"/>
  <c r="K88" i="61"/>
  <c r="K89" i="61"/>
  <c r="K90" i="61"/>
  <c r="K91" i="61"/>
  <c r="K92" i="61"/>
  <c r="K93" i="61"/>
  <c r="K94" i="61"/>
  <c r="K95" i="61"/>
  <c r="K96" i="61"/>
  <c r="K97" i="61"/>
  <c r="K98" i="61"/>
  <c r="K99" i="61"/>
  <c r="K100" i="61"/>
  <c r="K101" i="61"/>
  <c r="K102" i="61"/>
  <c r="K103" i="61"/>
  <c r="K104" i="61"/>
  <c r="K105" i="61"/>
  <c r="K106" i="61"/>
  <c r="K107" i="61"/>
  <c r="K108" i="61"/>
  <c r="K109" i="61"/>
  <c r="K110" i="61"/>
  <c r="K111" i="61"/>
  <c r="K112" i="61"/>
  <c r="K113" i="61"/>
  <c r="K114" i="61"/>
  <c r="K115" i="61"/>
  <c r="K116" i="61"/>
  <c r="K117" i="61"/>
  <c r="K118" i="61"/>
  <c r="K119" i="61"/>
  <c r="K120" i="61"/>
  <c r="K121" i="61"/>
  <c r="K122" i="61"/>
  <c r="K123" i="61"/>
  <c r="K124" i="61"/>
  <c r="K125" i="61"/>
  <c r="K126" i="61"/>
  <c r="K127" i="61"/>
  <c r="K128" i="61"/>
  <c r="K129" i="61"/>
  <c r="K130" i="61"/>
  <c r="K131" i="61"/>
  <c r="K132" i="61"/>
  <c r="K133" i="61"/>
  <c r="K134" i="61"/>
  <c r="K135" i="61"/>
  <c r="K136" i="61"/>
  <c r="K137" i="61"/>
  <c r="K138" i="61"/>
  <c r="K139" i="61"/>
  <c r="K140" i="61"/>
  <c r="K141" i="61"/>
  <c r="K142" i="61"/>
  <c r="K143" i="61"/>
  <c r="K144" i="61"/>
  <c r="K145" i="61"/>
  <c r="K146" i="61"/>
  <c r="K147" i="61"/>
  <c r="K148" i="61"/>
  <c r="K149" i="61"/>
  <c r="K150" i="61"/>
  <c r="K151" i="61"/>
  <c r="K152" i="61"/>
  <c r="K153" i="61"/>
  <c r="K154" i="61"/>
  <c r="K155" i="61"/>
  <c r="K156" i="61"/>
  <c r="K157" i="61"/>
  <c r="K158" i="61"/>
  <c r="K159" i="61"/>
  <c r="K160" i="61"/>
  <c r="K161" i="61"/>
  <c r="K162" i="61"/>
  <c r="K163" i="61"/>
  <c r="K164" i="61"/>
  <c r="K165" i="61"/>
  <c r="K166" i="61"/>
  <c r="K167" i="61"/>
  <c r="K168" i="61"/>
  <c r="K169" i="61"/>
  <c r="K170" i="61"/>
  <c r="K171" i="61"/>
  <c r="K172" i="61"/>
  <c r="K173" i="61"/>
  <c r="K174" i="61"/>
  <c r="K175" i="61"/>
  <c r="K176" i="61"/>
  <c r="K177" i="61"/>
  <c r="K178" i="61"/>
  <c r="K179" i="61"/>
  <c r="K180" i="61"/>
  <c r="K181" i="61"/>
  <c r="K182" i="61"/>
  <c r="K183" i="61"/>
  <c r="K184" i="61"/>
  <c r="K185" i="61"/>
  <c r="K186" i="61"/>
  <c r="K187" i="61"/>
  <c r="K188" i="61"/>
  <c r="K189" i="61"/>
  <c r="K190" i="61"/>
  <c r="K191" i="61"/>
  <c r="K192" i="61"/>
  <c r="K193" i="61"/>
  <c r="K194" i="61"/>
  <c r="K195" i="61"/>
  <c r="K196" i="61"/>
  <c r="K197" i="61"/>
  <c r="K198" i="61"/>
  <c r="K199" i="61"/>
  <c r="K200" i="61"/>
  <c r="K201" i="61"/>
  <c r="K202" i="61"/>
  <c r="K203" i="61"/>
  <c r="K204" i="61"/>
  <c r="K205" i="61"/>
  <c r="K206" i="61"/>
  <c r="K207" i="61"/>
  <c r="K208" i="61"/>
  <c r="K209" i="61"/>
  <c r="K210" i="61"/>
  <c r="K211" i="61"/>
  <c r="K212" i="61"/>
  <c r="K213" i="61"/>
  <c r="K214" i="61"/>
  <c r="K215" i="61"/>
  <c r="K216" i="61"/>
  <c r="K217" i="61"/>
  <c r="K218" i="61"/>
  <c r="K219" i="61"/>
  <c r="K220" i="61"/>
  <c r="K221" i="61"/>
  <c r="K222" i="61"/>
  <c r="K223" i="61"/>
  <c r="K224" i="61"/>
  <c r="K225" i="61"/>
  <c r="K226" i="61"/>
  <c r="K227" i="61"/>
  <c r="K228" i="61"/>
  <c r="K229" i="61"/>
  <c r="K230" i="61"/>
  <c r="K231" i="61"/>
  <c r="K232" i="61"/>
  <c r="K233" i="61"/>
  <c r="K234" i="61"/>
  <c r="K235" i="61"/>
  <c r="K236" i="61"/>
  <c r="K237" i="61"/>
  <c r="K238" i="61"/>
  <c r="K239" i="61"/>
  <c r="K240" i="61"/>
  <c r="K241" i="61"/>
  <c r="K242" i="61"/>
  <c r="K243" i="61"/>
  <c r="K244" i="61"/>
  <c r="K245" i="61"/>
  <c r="K246" i="61"/>
  <c r="K247" i="61"/>
  <c r="K248" i="61"/>
  <c r="K249" i="61"/>
  <c r="K250" i="61"/>
  <c r="K251" i="61"/>
  <c r="K252" i="61"/>
  <c r="K253" i="61"/>
  <c r="K254" i="61"/>
  <c r="K255" i="61"/>
  <c r="K256" i="61"/>
  <c r="K257" i="61"/>
  <c r="K258" i="61"/>
  <c r="K259" i="61"/>
  <c r="K260" i="61"/>
  <c r="K261" i="61"/>
  <c r="K262" i="61"/>
  <c r="K263" i="61"/>
  <c r="K264" i="61"/>
  <c r="K265" i="61"/>
  <c r="K266" i="61"/>
  <c r="K267" i="61"/>
  <c r="K268" i="61"/>
  <c r="K269" i="61"/>
  <c r="K270" i="61"/>
  <c r="K271" i="61"/>
  <c r="K272" i="61"/>
  <c r="K273" i="61"/>
  <c r="K274" i="61"/>
  <c r="K275" i="61"/>
  <c r="K276" i="61"/>
  <c r="K277" i="61"/>
  <c r="K278" i="61"/>
  <c r="K279" i="61"/>
  <c r="K280" i="61"/>
  <c r="K281" i="61"/>
  <c r="K282" i="61"/>
  <c r="K283" i="61"/>
  <c r="K284" i="61"/>
  <c r="K285" i="61"/>
  <c r="K286" i="61"/>
  <c r="K287" i="61"/>
  <c r="K288" i="61"/>
  <c r="K289" i="61"/>
  <c r="K290" i="61"/>
  <c r="K291" i="61"/>
  <c r="K292" i="61"/>
  <c r="K293" i="61"/>
  <c r="K294" i="61"/>
  <c r="K295" i="61"/>
  <c r="K296" i="61"/>
  <c r="K297" i="61"/>
  <c r="K298" i="61"/>
  <c r="K299" i="61"/>
  <c r="K300" i="61"/>
  <c r="K301" i="61"/>
  <c r="K302" i="61"/>
  <c r="K303" i="61"/>
  <c r="K304" i="61"/>
  <c r="K305" i="61"/>
  <c r="K306" i="61"/>
  <c r="K307" i="61"/>
  <c r="K308" i="61"/>
  <c r="K309" i="61"/>
  <c r="K310" i="61"/>
  <c r="K311" i="61"/>
  <c r="K312" i="61"/>
  <c r="K313" i="61"/>
  <c r="K314" i="61"/>
  <c r="K315" i="61"/>
  <c r="K316" i="61"/>
  <c r="K317" i="61"/>
  <c r="K318" i="61"/>
  <c r="K319" i="61"/>
  <c r="K320" i="61"/>
  <c r="K321" i="61"/>
  <c r="K322" i="61"/>
  <c r="K323" i="61"/>
  <c r="K324" i="61"/>
  <c r="K325" i="61"/>
  <c r="K326" i="61"/>
  <c r="K327" i="61"/>
  <c r="K328" i="61"/>
  <c r="K329" i="61"/>
  <c r="K330" i="61"/>
  <c r="K331" i="61"/>
  <c r="K332" i="61"/>
  <c r="K333" i="61"/>
  <c r="K334" i="61"/>
  <c r="K335" i="61"/>
  <c r="K336" i="61"/>
  <c r="K337" i="61"/>
  <c r="K338" i="61"/>
  <c r="K339" i="61"/>
  <c r="K340" i="61"/>
  <c r="K341" i="61"/>
  <c r="K342" i="61"/>
  <c r="K343" i="61"/>
  <c r="K344" i="61"/>
  <c r="K345" i="61"/>
  <c r="K2" i="61"/>
  <c r="G16" i="24"/>
  <c r="I16" i="24"/>
  <c r="H16" i="24"/>
  <c r="H15" i="24"/>
  <c r="I15" i="24"/>
  <c r="G2" i="37" l="1"/>
  <c r="R13" i="37" l="1"/>
  <c r="O12" i="37"/>
  <c r="S13" i="37" l="1"/>
  <c r="T13" i="37" l="1"/>
  <c r="E7" i="37" l="1" a="1"/>
  <c r="E7" i="37" s="1"/>
  <c r="E6" i="37" a="1"/>
  <c r="E6" i="37" s="1"/>
  <c r="D6" i="37" a="1"/>
  <c r="D6" i="37" s="1"/>
  <c r="D7" i="37" a="1"/>
  <c r="D7" i="37" s="1"/>
  <c r="A7" i="37" s="1"/>
  <c r="B6" i="37"/>
  <c r="G8" i="37"/>
  <c r="A6" i="37" l="1"/>
  <c r="E14" i="37"/>
  <c r="E15" i="37"/>
  <c r="E16" i="37"/>
  <c r="E13" i="37"/>
  <c r="I15" i="52" l="1"/>
  <c r="I14" i="52"/>
  <c r="I13" i="52"/>
  <c r="I12" i="52"/>
  <c r="H15" i="52"/>
  <c r="H14" i="52"/>
  <c r="H13" i="52"/>
  <c r="H12" i="52"/>
  <c r="G15" i="52"/>
  <c r="G14" i="52"/>
  <c r="G13" i="52"/>
  <c r="G12" i="52"/>
  <c r="F2" i="52" s="1"/>
  <c r="G2" i="52" l="1"/>
  <c r="I13" i="14" l="1"/>
  <c r="I14" i="14"/>
  <c r="I15" i="14"/>
  <c r="I16" i="14"/>
  <c r="I17" i="14"/>
  <c r="I12" i="14"/>
  <c r="G13" i="18"/>
  <c r="H13" i="18"/>
  <c r="I13" i="18"/>
  <c r="G14" i="18"/>
  <c r="H14" i="18"/>
  <c r="I14" i="18"/>
  <c r="G15" i="18"/>
  <c r="H15" i="18"/>
  <c r="I15" i="18"/>
  <c r="G16" i="18"/>
  <c r="H16" i="18"/>
  <c r="I16" i="18"/>
  <c r="G17" i="18"/>
  <c r="H17" i="18"/>
  <c r="I17" i="18"/>
  <c r="I12" i="18"/>
  <c r="H12" i="18"/>
  <c r="G12" i="18"/>
  <c r="H12" i="20"/>
  <c r="I12" i="20"/>
  <c r="H14" i="20"/>
  <c r="I14" i="20"/>
  <c r="H15" i="20"/>
  <c r="I15" i="20"/>
  <c r="H16" i="20"/>
  <c r="I16" i="20"/>
  <c r="H17" i="20"/>
  <c r="I17" i="20"/>
  <c r="H18" i="20"/>
  <c r="I18" i="20"/>
  <c r="H19" i="20"/>
  <c r="I19" i="20"/>
  <c r="H20" i="20"/>
  <c r="I20" i="20"/>
  <c r="H21" i="20"/>
  <c r="I21" i="20"/>
  <c r="G12" i="20"/>
  <c r="G14" i="20"/>
  <c r="G15" i="20"/>
  <c r="G16" i="20"/>
  <c r="G17" i="20"/>
  <c r="G18" i="20"/>
  <c r="G19" i="20"/>
  <c r="G20" i="20"/>
  <c r="G21" i="20"/>
  <c r="P17" i="18" l="1"/>
  <c r="P16" i="18"/>
  <c r="P15" i="18"/>
  <c r="O14" i="24" l="1"/>
  <c r="O12" i="11" l="1"/>
  <c r="O12" i="22"/>
  <c r="H17" i="14"/>
  <c r="G17" i="14"/>
  <c r="H16" i="14"/>
  <c r="G16" i="14"/>
  <c r="H15" i="14"/>
  <c r="G15" i="14"/>
  <c r="H14" i="14"/>
  <c r="G14" i="14"/>
  <c r="H13" i="14"/>
  <c r="G13" i="14"/>
  <c r="H12" i="14"/>
  <c r="G12" i="14"/>
  <c r="F12" i="14"/>
  <c r="F13" i="14"/>
  <c r="J37" i="56"/>
  <c r="I37" i="56"/>
  <c r="H37" i="56"/>
  <c r="J36" i="56"/>
  <c r="I36" i="56"/>
  <c r="H36" i="56"/>
  <c r="J35" i="56"/>
  <c r="I35" i="56"/>
  <c r="H35" i="56"/>
  <c r="J34" i="56"/>
  <c r="I34" i="56"/>
  <c r="H34" i="56"/>
  <c r="J33" i="56"/>
  <c r="I33" i="56"/>
  <c r="H33" i="56"/>
  <c r="J32" i="56"/>
  <c r="I32" i="56"/>
  <c r="H32" i="56"/>
  <c r="J31" i="56"/>
  <c r="I31" i="56"/>
  <c r="H31" i="56"/>
  <c r="J30" i="56"/>
  <c r="I30" i="56"/>
  <c r="H30" i="56"/>
  <c r="J29" i="56"/>
  <c r="I29" i="56"/>
  <c r="H29" i="56"/>
  <c r="J28" i="56"/>
  <c r="I28" i="56"/>
  <c r="H28" i="56"/>
  <c r="J27" i="56"/>
  <c r="I27" i="56"/>
  <c r="H27" i="56"/>
  <c r="J26" i="56"/>
  <c r="I26" i="56"/>
  <c r="H26" i="56"/>
  <c r="J25" i="56"/>
  <c r="I25" i="56"/>
  <c r="H25" i="56"/>
  <c r="J24" i="56"/>
  <c r="I24" i="56"/>
  <c r="H24" i="56"/>
  <c r="J23" i="56"/>
  <c r="I23" i="56"/>
  <c r="H23" i="56"/>
  <c r="J22" i="56"/>
  <c r="I22" i="56"/>
  <c r="H22" i="56"/>
  <c r="J21" i="56"/>
  <c r="I21" i="56"/>
  <c r="H21" i="56"/>
  <c r="J20" i="56"/>
  <c r="I20" i="56"/>
  <c r="H20" i="56"/>
  <c r="J19" i="56"/>
  <c r="I19" i="56"/>
  <c r="H19" i="56"/>
  <c r="J18" i="56"/>
  <c r="I18" i="56"/>
  <c r="H18" i="56"/>
  <c r="J17" i="56"/>
  <c r="I17" i="56"/>
  <c r="H17" i="56"/>
  <c r="J16" i="56"/>
  <c r="I16" i="56"/>
  <c r="H16" i="56"/>
  <c r="J15" i="56"/>
  <c r="I15" i="56"/>
  <c r="H15" i="56"/>
  <c r="J14" i="56"/>
  <c r="I14" i="56"/>
  <c r="H14" i="56"/>
  <c r="J13" i="56"/>
  <c r="I13" i="56"/>
  <c r="H13" i="56"/>
  <c r="J12" i="56"/>
  <c r="I12" i="56"/>
  <c r="H12" i="56"/>
  <c r="O11" i="21"/>
  <c r="O11" i="17"/>
  <c r="O11" i="18"/>
  <c r="O11" i="20"/>
  <c r="P11" i="52"/>
  <c r="P11" i="56"/>
  <c r="B12" i="14" l="1"/>
  <c r="B13" i="14"/>
  <c r="B14" i="14"/>
  <c r="F14" i="14"/>
  <c r="B15" i="14"/>
  <c r="F15" i="14"/>
  <c r="B16" i="14"/>
  <c r="F16" i="14"/>
  <c r="B17" i="14"/>
  <c r="F17" i="14"/>
  <c r="O265" i="15" l="1"/>
  <c r="R265" i="15" s="1"/>
  <c r="P265" i="15"/>
  <c r="S265" i="15" s="1"/>
  <c r="O264" i="15"/>
  <c r="R264" i="15" s="1"/>
  <c r="P264" i="15"/>
  <c r="S264" i="15" s="1"/>
  <c r="R17" i="18"/>
  <c r="S14" i="18"/>
  <c r="O263" i="15"/>
  <c r="R263" i="15" s="1"/>
  <c r="P262" i="15"/>
  <c r="S262" i="15" s="1"/>
  <c r="P263" i="15"/>
  <c r="S263" i="15" s="1"/>
  <c r="U15" i="14"/>
  <c r="Q91" i="15" l="1"/>
  <c r="Q56" i="15" s="1"/>
  <c r="P91" i="15"/>
  <c r="Q52" i="15" s="1"/>
  <c r="T91" i="15"/>
  <c r="Q72" i="15" s="1"/>
  <c r="S91" i="15"/>
  <c r="Q68" i="15" s="1"/>
  <c r="K91" i="15"/>
  <c r="N91" i="15"/>
  <c r="Q40" i="15" s="1"/>
  <c r="M91" i="15"/>
  <c r="Q36" i="15" s="1"/>
  <c r="O262" i="15"/>
  <c r="R262" i="15" s="1"/>
  <c r="R14" i="18"/>
  <c r="J91" i="15" l="1"/>
  <c r="F2" i="57"/>
  <c r="G2" i="57" s="1"/>
  <c r="E2" i="57"/>
  <c r="F12" i="21" l="1"/>
  <c r="F13" i="21"/>
  <c r="B13" i="21"/>
  <c r="B12" i="21"/>
  <c r="G22" i="56" l="1"/>
  <c r="G37" i="56"/>
  <c r="G36" i="56"/>
  <c r="G35" i="56"/>
  <c r="G34" i="56"/>
  <c r="G33" i="56"/>
  <c r="G32" i="56"/>
  <c r="G31" i="56"/>
  <c r="G30" i="56"/>
  <c r="G29" i="56"/>
  <c r="G28" i="56"/>
  <c r="G27" i="56"/>
  <c r="G26" i="56"/>
  <c r="G25" i="56"/>
  <c r="B37" i="56"/>
  <c r="B36" i="56"/>
  <c r="B35" i="56"/>
  <c r="B34" i="56"/>
  <c r="B33" i="56"/>
  <c r="B32" i="56"/>
  <c r="B31" i="56"/>
  <c r="B30" i="56"/>
  <c r="B29" i="56"/>
  <c r="B28" i="56"/>
  <c r="B27" i="56"/>
  <c r="B26" i="56"/>
  <c r="B25" i="56"/>
  <c r="G23" i="56" l="1"/>
  <c r="G24" i="56"/>
  <c r="G17" i="56"/>
  <c r="G18" i="56"/>
  <c r="G19" i="56"/>
  <c r="G20" i="56"/>
  <c r="G21" i="56"/>
  <c r="B18" i="56"/>
  <c r="B19" i="56"/>
  <c r="B20" i="56"/>
  <c r="B21" i="56"/>
  <c r="B22" i="56"/>
  <c r="B23" i="56"/>
  <c r="B24" i="56"/>
  <c r="B17" i="56"/>
  <c r="G16" i="56"/>
  <c r="B16" i="56"/>
  <c r="G15" i="56"/>
  <c r="B15" i="56"/>
  <c r="G14" i="56"/>
  <c r="B14" i="56"/>
  <c r="G13" i="56"/>
  <c r="B13" i="56"/>
  <c r="G12" i="56"/>
  <c r="B12" i="56"/>
  <c r="G2" i="56" l="1"/>
  <c r="H2" i="56" s="1"/>
  <c r="F2" i="14" l="1"/>
  <c r="G2" i="14" s="1"/>
  <c r="F2" i="22"/>
  <c r="G2" i="22" s="1"/>
  <c r="U12" i="14" l="1"/>
  <c r="B15" i="52" l="1"/>
  <c r="B14" i="52"/>
  <c r="B13" i="52"/>
  <c r="B12" i="52"/>
  <c r="O11" i="14" l="1"/>
  <c r="B15" i="24" l="1"/>
  <c r="G2" i="24" s="1"/>
  <c r="F14" i="11" l="1"/>
  <c r="B14" i="11"/>
  <c r="F23" i="17"/>
  <c r="F22" i="17"/>
  <c r="B22" i="17"/>
  <c r="F21" i="17"/>
  <c r="B21" i="17"/>
  <c r="F20" i="17"/>
  <c r="B20" i="17"/>
  <c r="F19" i="17"/>
  <c r="B19" i="17"/>
  <c r="F18" i="17"/>
  <c r="B18" i="17"/>
  <c r="F17" i="18" l="1"/>
  <c r="B17" i="18"/>
  <c r="F16" i="18"/>
  <c r="B16" i="18"/>
  <c r="F15" i="18"/>
  <c r="B15" i="18"/>
  <c r="F21" i="20" l="1"/>
  <c r="B21" i="20"/>
  <c r="F20" i="20"/>
  <c r="B20" i="20"/>
  <c r="F19" i="20"/>
  <c r="B19" i="20"/>
  <c r="F18" i="20"/>
  <c r="B18" i="20"/>
  <c r="F17" i="20"/>
  <c r="B17" i="20"/>
  <c r="F16" i="20"/>
  <c r="B16" i="20"/>
  <c r="F15" i="20"/>
  <c r="B15" i="20"/>
  <c r="F14" i="20"/>
  <c r="B14" i="20"/>
  <c r="F12" i="20"/>
  <c r="B12" i="20"/>
  <c r="F43" i="15" l="1"/>
  <c r="B43" i="15"/>
  <c r="F42" i="15"/>
  <c r="B42" i="15"/>
  <c r="F41" i="15"/>
  <c r="B41" i="15"/>
  <c r="F40" i="15"/>
  <c r="B40" i="15"/>
  <c r="F39" i="15"/>
  <c r="B39" i="15"/>
  <c r="F38" i="15"/>
  <c r="B38" i="15"/>
  <c r="F37" i="15"/>
  <c r="B37" i="15"/>
  <c r="F36" i="15"/>
  <c r="B36" i="15"/>
  <c r="F35" i="15"/>
  <c r="B35" i="15"/>
  <c r="F33" i="15"/>
  <c r="B33" i="15"/>
  <c r="F31" i="15"/>
  <c r="B31" i="15"/>
  <c r="F30" i="15"/>
  <c r="B30" i="15"/>
  <c r="F29" i="15"/>
  <c r="B29" i="15"/>
  <c r="F28" i="15"/>
  <c r="B28" i="15"/>
  <c r="K104" i="17" l="1"/>
  <c r="K103" i="17"/>
  <c r="K102" i="17"/>
  <c r="K101" i="17"/>
  <c r="K99" i="17"/>
  <c r="K98" i="17"/>
  <c r="K97" i="17"/>
  <c r="K96" i="17"/>
  <c r="O97" i="17" s="1"/>
  <c r="K95" i="17"/>
  <c r="K94" i="17"/>
  <c r="O95" i="17" s="1"/>
  <c r="K93" i="17"/>
  <c r="O94" i="17" s="1"/>
  <c r="P24" i="17" l="1"/>
  <c r="P30" i="17"/>
  <c r="P12" i="17"/>
  <c r="P18" i="17"/>
  <c r="P15" i="17"/>
  <c r="P21" i="17"/>
  <c r="P27" i="17"/>
  <c r="P33" i="17"/>
  <c r="P31" i="17"/>
  <c r="P25" i="17"/>
  <c r="P13" i="17"/>
  <c r="P19" i="17"/>
  <c r="O98" i="17"/>
  <c r="O99" i="17"/>
  <c r="O96" i="17"/>
  <c r="P32" i="17" l="1"/>
  <c r="P14" i="17"/>
  <c r="P20" i="17"/>
  <c r="P26" i="17"/>
  <c r="P16" i="17"/>
  <c r="P22" i="17"/>
  <c r="P28" i="17"/>
  <c r="P34" i="17"/>
  <c r="P23" i="17"/>
  <c r="P29" i="17"/>
  <c r="P17" i="17"/>
  <c r="P35" i="17"/>
  <c r="S34" i="17" l="1"/>
  <c r="R34" i="17"/>
  <c r="S28" i="17"/>
  <c r="R28" i="17"/>
  <c r="S26" i="17"/>
  <c r="R26" i="17"/>
  <c r="R32" i="17"/>
  <c r="S32" i="17"/>
  <c r="R14" i="17"/>
  <c r="S14" i="17"/>
  <c r="S22" i="17"/>
  <c r="R22" i="17"/>
  <c r="S16" i="17"/>
  <c r="R16" i="17"/>
  <c r="S20" i="17"/>
  <c r="R20" i="17"/>
  <c r="T26" i="17" l="1"/>
  <c r="T34" i="17"/>
  <c r="T32" i="17"/>
  <c r="T28" i="17"/>
  <c r="T22" i="17"/>
  <c r="T20" i="17"/>
  <c r="J95" i="15" l="1"/>
  <c r="K95" i="15"/>
  <c r="L95" i="15"/>
  <c r="M95" i="15"/>
  <c r="F27" i="15" l="1"/>
  <c r="B27" i="15"/>
  <c r="F26" i="15"/>
  <c r="B26" i="15"/>
  <c r="F25" i="15"/>
  <c r="B25" i="15"/>
  <c r="F24" i="15"/>
  <c r="B24" i="15"/>
  <c r="F23" i="15"/>
  <c r="B23" i="15"/>
  <c r="F22" i="15"/>
  <c r="B22" i="15"/>
  <c r="F21" i="15"/>
  <c r="B21" i="15"/>
  <c r="F20" i="15"/>
  <c r="B20" i="15"/>
  <c r="F19" i="15"/>
  <c r="B19" i="15"/>
  <c r="F17" i="15"/>
  <c r="B17" i="15"/>
  <c r="W12" i="15" l="1"/>
  <c r="F17" i="17" l="1"/>
  <c r="B17" i="17"/>
  <c r="F16" i="17"/>
  <c r="B16" i="17"/>
  <c r="F15" i="17"/>
  <c r="B15" i="17"/>
  <c r="F14" i="17"/>
  <c r="B14" i="17"/>
  <c r="F13" i="17"/>
  <c r="B13" i="17"/>
  <c r="F12" i="17"/>
  <c r="B12" i="17"/>
  <c r="F13" i="15"/>
  <c r="B13" i="15"/>
  <c r="A9" i="27"/>
  <c r="F13" i="22"/>
  <c r="B13" i="22"/>
  <c r="F14" i="18"/>
  <c r="B14" i="18"/>
  <c r="F13" i="18"/>
  <c r="B13" i="18"/>
  <c r="B12" i="18"/>
  <c r="F2" i="18"/>
  <c r="G2" i="18" s="1"/>
  <c r="B14" i="15"/>
  <c r="F14" i="15"/>
  <c r="B15" i="15"/>
  <c r="F15" i="15"/>
  <c r="F2" i="15"/>
  <c r="G2" i="15" s="1"/>
  <c r="B12" i="15"/>
  <c r="F2" i="11"/>
  <c r="G2" i="11" s="1"/>
  <c r="F13" i="11"/>
  <c r="B13" i="11"/>
  <c r="E9" i="27" l="1"/>
  <c r="C9" i="27"/>
  <c r="B9" i="27"/>
  <c r="D9" i="27"/>
  <c r="A10" i="27"/>
  <c r="D10" i="27" s="1"/>
  <c r="F2" i="17"/>
  <c r="G2" i="17" s="1"/>
  <c r="V137" i="15" l="1"/>
  <c r="V185" i="15"/>
  <c r="V161" i="15"/>
  <c r="V186" i="15"/>
  <c r="V162" i="15"/>
  <c r="V138" i="15"/>
  <c r="V139" i="15"/>
  <c r="V187" i="15"/>
  <c r="V163" i="15"/>
  <c r="V160" i="15"/>
  <c r="V136" i="15"/>
  <c r="V184" i="15"/>
  <c r="V132" i="15"/>
  <c r="V180" i="15"/>
  <c r="V156" i="15"/>
  <c r="V157" i="15"/>
  <c r="V133" i="15"/>
  <c r="V181" i="15"/>
  <c r="V134" i="15"/>
  <c r="V182" i="15"/>
  <c r="V158" i="15"/>
  <c r="V155" i="15"/>
  <c r="V131" i="15"/>
  <c r="V179" i="15"/>
  <c r="V159" i="15"/>
  <c r="V135" i="15"/>
  <c r="V183" i="15"/>
  <c r="E10" i="27"/>
  <c r="B10" i="27"/>
  <c r="C10" i="27"/>
  <c r="A11" i="27"/>
  <c r="Q15" i="67" l="1"/>
  <c r="N46" i="84"/>
  <c r="Q46" i="84" s="1"/>
  <c r="R46" i="84" s="1"/>
  <c r="N34" i="84"/>
  <c r="Q34" i="84" s="1"/>
  <c r="R34" i="84" s="1"/>
  <c r="Q14" i="67"/>
  <c r="N12" i="84"/>
  <c r="Q12" i="84" s="1"/>
  <c r="R12" i="84" s="1"/>
  <c r="P18" i="15"/>
  <c r="N14" i="84"/>
  <c r="Q14" i="84" s="1"/>
  <c r="R14" i="84" s="1"/>
  <c r="N20" i="84"/>
  <c r="Q20" i="84" s="1"/>
  <c r="R20" i="84" s="1"/>
  <c r="N32" i="84"/>
  <c r="Q32" i="84" s="1"/>
  <c r="R32" i="84" s="1"/>
  <c r="N38" i="84"/>
  <c r="Q38" i="84" s="1"/>
  <c r="R38" i="84" s="1"/>
  <c r="N16" i="84"/>
  <c r="Q16" i="84" s="1"/>
  <c r="R16" i="84" s="1"/>
  <c r="N40" i="84"/>
  <c r="Q40" i="84" s="1"/>
  <c r="R40" i="84" s="1"/>
  <c r="N22" i="84"/>
  <c r="Q22" i="84" s="1"/>
  <c r="R22" i="84" s="1"/>
  <c r="N18" i="84"/>
  <c r="Q18" i="84" s="1"/>
  <c r="R18" i="84" s="1"/>
  <c r="N30" i="84"/>
  <c r="Q30" i="84" s="1"/>
  <c r="R30" i="84" s="1"/>
  <c r="N42" i="84"/>
  <c r="Q42" i="84" s="1"/>
  <c r="R42" i="84" s="1"/>
  <c r="N36" i="84"/>
  <c r="Q36" i="84" s="1"/>
  <c r="R36" i="84" s="1"/>
  <c r="N44" i="84"/>
  <c r="Q44" i="84" s="1"/>
  <c r="R44" i="84" s="1"/>
  <c r="N24" i="84"/>
  <c r="Q24" i="84" s="1"/>
  <c r="R24" i="84" s="1"/>
  <c r="N26" i="84"/>
  <c r="Q26" i="84" s="1"/>
  <c r="R26" i="84" s="1"/>
  <c r="P16" i="15"/>
  <c r="N28" i="84"/>
  <c r="Q28" i="84" s="1"/>
  <c r="R28" i="84" s="1"/>
  <c r="K248" i="15"/>
  <c r="J248" i="15"/>
  <c r="I248" i="15"/>
  <c r="J244" i="15"/>
  <c r="K244" i="15"/>
  <c r="I244" i="15"/>
  <c r="K246" i="15"/>
  <c r="J246" i="15"/>
  <c r="I246" i="15"/>
  <c r="O13" i="11"/>
  <c r="O13" i="14"/>
  <c r="O13" i="57"/>
  <c r="R13" i="57" s="1"/>
  <c r="O12" i="65"/>
  <c r="P12" i="15"/>
  <c r="S12" i="15" s="1"/>
  <c r="O12" i="14"/>
  <c r="O14" i="14"/>
  <c r="O15" i="24"/>
  <c r="O14" i="20"/>
  <c r="O19" i="24"/>
  <c r="Q17" i="67"/>
  <c r="O12" i="17"/>
  <c r="O12" i="21"/>
  <c r="P13" i="52"/>
  <c r="O15" i="17"/>
  <c r="P20" i="56"/>
  <c r="O12" i="18"/>
  <c r="R12" i="18" s="1"/>
  <c r="P13" i="15"/>
  <c r="P14" i="56"/>
  <c r="P24" i="15"/>
  <c r="P25" i="15"/>
  <c r="P12" i="56"/>
  <c r="P22" i="56"/>
  <c r="P19" i="56"/>
  <c r="P13" i="56"/>
  <c r="O13" i="18"/>
  <c r="P18" i="56"/>
  <c r="P22" i="15"/>
  <c r="O16" i="20"/>
  <c r="P21" i="56"/>
  <c r="P20" i="15"/>
  <c r="P16" i="56"/>
  <c r="P17" i="56"/>
  <c r="P15" i="56"/>
  <c r="P23" i="56"/>
  <c r="P21" i="15"/>
  <c r="P14" i="15"/>
  <c r="P24" i="56"/>
  <c r="O12" i="20"/>
  <c r="P27" i="15"/>
  <c r="P15" i="15"/>
  <c r="O15" i="20"/>
  <c r="P12" i="52"/>
  <c r="O17" i="17"/>
  <c r="P17" i="15"/>
  <c r="O13" i="17"/>
  <c r="P23" i="15"/>
  <c r="Q12" i="8"/>
  <c r="R12" i="8" s="1"/>
  <c r="Q16" i="67"/>
  <c r="P19" i="15"/>
  <c r="Q16" i="8"/>
  <c r="R16" i="8" s="1"/>
  <c r="Q20" i="8"/>
  <c r="R20" i="8" s="1"/>
  <c r="Q13" i="67"/>
  <c r="P26" i="15"/>
  <c r="E11" i="27"/>
  <c r="E12" i="27" s="1"/>
  <c r="D11" i="27"/>
  <c r="D12" i="27" s="1"/>
  <c r="D13" i="27" s="1"/>
  <c r="B11" i="27"/>
  <c r="C11" i="27"/>
  <c r="C12" i="27" s="1"/>
  <c r="C13" i="27" s="1"/>
  <c r="U16" i="14"/>
  <c r="U17" i="14"/>
  <c r="U14" i="14"/>
  <c r="E23" i="63" l="1"/>
  <c r="E26" i="63"/>
  <c r="N39" i="84"/>
  <c r="Q39" i="84" s="1"/>
  <c r="R39" i="84" s="1"/>
  <c r="N13" i="84"/>
  <c r="Q13" i="84" s="1"/>
  <c r="R13" i="84" s="1"/>
  <c r="N45" i="84"/>
  <c r="Q45" i="84" s="1"/>
  <c r="R45" i="84" s="1"/>
  <c r="N15" i="84"/>
  <c r="Q15" i="84" s="1"/>
  <c r="R15" i="84" s="1"/>
  <c r="N33" i="84"/>
  <c r="Q33" i="84" s="1"/>
  <c r="R33" i="84" s="1"/>
  <c r="P34" i="15"/>
  <c r="N43" i="84"/>
  <c r="Q43" i="84" s="1"/>
  <c r="R43" i="84" s="1"/>
  <c r="N21" i="84"/>
  <c r="Q21" i="84" s="1"/>
  <c r="R21" i="84" s="1"/>
  <c r="N31" i="84"/>
  <c r="Q31" i="84" s="1"/>
  <c r="R31" i="84" s="1"/>
  <c r="N27" i="84"/>
  <c r="Q27" i="84" s="1"/>
  <c r="R27" i="84" s="1"/>
  <c r="N17" i="84"/>
  <c r="Q17" i="84" s="1"/>
  <c r="R17" i="84" s="1"/>
  <c r="N47" i="84"/>
  <c r="R47" i="84" s="1"/>
  <c r="N25" i="84"/>
  <c r="Q25" i="84" s="1"/>
  <c r="R25" i="84" s="1"/>
  <c r="N19" i="84"/>
  <c r="Q19" i="84" s="1"/>
  <c r="R19" i="84" s="1"/>
  <c r="N37" i="84"/>
  <c r="Q37" i="84" s="1"/>
  <c r="R37" i="84" s="1"/>
  <c r="P32" i="15"/>
  <c r="N41" i="84"/>
  <c r="Q41" i="84" s="1"/>
  <c r="R41" i="84" s="1"/>
  <c r="N29" i="84"/>
  <c r="Q29" i="84" s="1"/>
  <c r="R29" i="84" s="1"/>
  <c r="N23" i="84"/>
  <c r="Q23" i="84" s="1"/>
  <c r="R23" i="84" s="1"/>
  <c r="N35" i="84"/>
  <c r="Q35" i="84" s="1"/>
  <c r="R35" i="84" s="1"/>
  <c r="B5" i="84"/>
  <c r="B4" i="84"/>
  <c r="T14" i="67"/>
  <c r="U14" i="67"/>
  <c r="T15" i="67"/>
  <c r="U15" i="67"/>
  <c r="O248" i="15"/>
  <c r="O244" i="15"/>
  <c r="O245" i="15" s="1"/>
  <c r="O88" i="15" s="1"/>
  <c r="O246" i="15"/>
  <c r="O247" i="15" s="1"/>
  <c r="L88" i="15"/>
  <c r="I88" i="15"/>
  <c r="O249" i="15"/>
  <c r="O14" i="11"/>
  <c r="Q18" i="67"/>
  <c r="Q19" i="67"/>
  <c r="Q20" i="67"/>
  <c r="Q21" i="67"/>
  <c r="Q22" i="67"/>
  <c r="O14" i="57"/>
  <c r="O13" i="65"/>
  <c r="O15" i="14"/>
  <c r="O16" i="14"/>
  <c r="O17" i="14"/>
  <c r="O20" i="24"/>
  <c r="O16" i="24"/>
  <c r="P25" i="56"/>
  <c r="O16" i="18"/>
  <c r="P35" i="56"/>
  <c r="P14" i="52"/>
  <c r="P32" i="56"/>
  <c r="P34" i="56"/>
  <c r="P33" i="56"/>
  <c r="P35" i="15"/>
  <c r="O15" i="18"/>
  <c r="O21" i="17"/>
  <c r="O19" i="17"/>
  <c r="O18" i="17"/>
  <c r="O13" i="21"/>
  <c r="P36" i="56"/>
  <c r="P15" i="52"/>
  <c r="P37" i="56"/>
  <c r="P30" i="56"/>
  <c r="P31" i="56"/>
  <c r="P26" i="56"/>
  <c r="P40" i="15"/>
  <c r="P30" i="15"/>
  <c r="P28" i="56"/>
  <c r="P27" i="56"/>
  <c r="P28" i="15"/>
  <c r="P42" i="15"/>
  <c r="P29" i="56"/>
  <c r="P38" i="15"/>
  <c r="P29" i="15"/>
  <c r="P37" i="15"/>
  <c r="P31" i="15"/>
  <c r="O17" i="20"/>
  <c r="Q13" i="8"/>
  <c r="R13" i="8" s="1"/>
  <c r="Q17" i="8"/>
  <c r="R17" i="8" s="1"/>
  <c r="P33" i="15"/>
  <c r="O21" i="20"/>
  <c r="P39" i="15"/>
  <c r="O20" i="20"/>
  <c r="O19" i="20"/>
  <c r="O23" i="17"/>
  <c r="Q21" i="8"/>
  <c r="R21" i="8" s="1"/>
  <c r="P43" i="15"/>
  <c r="P36" i="15"/>
  <c r="P41" i="15"/>
  <c r="B4" i="8"/>
  <c r="B5" i="8"/>
  <c r="R19" i="24"/>
  <c r="R12" i="65"/>
  <c r="S12" i="65"/>
  <c r="T13" i="67"/>
  <c r="U13" i="67"/>
  <c r="S13" i="57"/>
  <c r="U16" i="67"/>
  <c r="T16" i="67"/>
  <c r="B12" i="27"/>
  <c r="U17" i="67"/>
  <c r="T17" i="67"/>
  <c r="R15" i="17"/>
  <c r="S15" i="17"/>
  <c r="E13" i="27"/>
  <c r="T20" i="56"/>
  <c r="S20" i="56"/>
  <c r="S13" i="11"/>
  <c r="R13" i="11"/>
  <c r="F26" i="63" l="1"/>
  <c r="D8" i="84" a="1"/>
  <c r="D8" i="84" s="1"/>
  <c r="E8" i="84" a="1"/>
  <c r="E8" i="84" s="1"/>
  <c r="F23" i="63"/>
  <c r="E7" i="84" a="1"/>
  <c r="E7" i="84" s="1"/>
  <c r="D7" i="84" a="1"/>
  <c r="D7" i="84" s="1"/>
  <c r="V14" i="67"/>
  <c r="O15" i="11"/>
  <c r="R15" i="11" s="1"/>
  <c r="P50" i="15"/>
  <c r="P48" i="15"/>
  <c r="C4" i="84"/>
  <c r="V15" i="67"/>
  <c r="C5" i="84"/>
  <c r="R88" i="15"/>
  <c r="O90" i="15"/>
  <c r="Q50" i="15" s="1"/>
  <c r="R90" i="15"/>
  <c r="Q66" i="15" s="1"/>
  <c r="L90" i="15"/>
  <c r="Q34" i="15" s="1"/>
  <c r="I90" i="15"/>
  <c r="Q18" i="15" s="1"/>
  <c r="K92" i="15"/>
  <c r="Q92" i="15"/>
  <c r="Q57" i="15" s="1"/>
  <c r="J92" i="15"/>
  <c r="Q21" i="15" s="1"/>
  <c r="Q63" i="15"/>
  <c r="Q62" i="15"/>
  <c r="S92" i="15"/>
  <c r="Q69" i="15" s="1"/>
  <c r="T92" i="15"/>
  <c r="Q73" i="15" s="1"/>
  <c r="Q30" i="15"/>
  <c r="Q31" i="15"/>
  <c r="N92" i="15"/>
  <c r="Q41" i="15" s="1"/>
  <c r="M92" i="15"/>
  <c r="Q47" i="15"/>
  <c r="Q46" i="15"/>
  <c r="P92" i="15"/>
  <c r="Q53" i="15" s="1"/>
  <c r="R89" i="15"/>
  <c r="Q64" i="15" s="1"/>
  <c r="O89" i="15"/>
  <c r="Q48" i="15" s="1"/>
  <c r="L89" i="15"/>
  <c r="Q32" i="15" s="1"/>
  <c r="I89" i="15"/>
  <c r="Q16" i="15" s="1"/>
  <c r="Q14" i="15"/>
  <c r="Q15" i="15"/>
  <c r="Q23" i="67"/>
  <c r="Q24" i="67"/>
  <c r="Q26" i="67"/>
  <c r="Q27" i="67"/>
  <c r="Q25" i="67"/>
  <c r="O14" i="65"/>
  <c r="R14" i="65" s="1"/>
  <c r="O15" i="57"/>
  <c r="S15" i="57" s="1"/>
  <c r="O20" i="14"/>
  <c r="O19" i="14"/>
  <c r="O18" i="14"/>
  <c r="O21" i="24"/>
  <c r="R21" i="24" s="1"/>
  <c r="O17" i="24"/>
  <c r="O19" i="18"/>
  <c r="S19" i="18" s="1"/>
  <c r="O25" i="17"/>
  <c r="S25" i="17" s="1"/>
  <c r="P16" i="52"/>
  <c r="T16" i="52" s="1"/>
  <c r="O14" i="21"/>
  <c r="R14" i="21" s="1"/>
  <c r="P17" i="52"/>
  <c r="T17" i="52" s="1"/>
  <c r="O29" i="17"/>
  <c r="R29" i="17" s="1"/>
  <c r="O27" i="17"/>
  <c r="R27" i="17" s="1"/>
  <c r="P50" i="56"/>
  <c r="S50" i="56" s="1"/>
  <c r="P46" i="56"/>
  <c r="T46" i="56" s="1"/>
  <c r="P47" i="56"/>
  <c r="S47" i="56" s="1"/>
  <c r="P42" i="56"/>
  <c r="S42" i="56" s="1"/>
  <c r="P46" i="15"/>
  <c r="S46" i="15" s="1"/>
  <c r="P43" i="56"/>
  <c r="S43" i="56" s="1"/>
  <c r="P59" i="15"/>
  <c r="P54" i="15"/>
  <c r="O18" i="18"/>
  <c r="S18" i="18" s="1"/>
  <c r="R22" i="8"/>
  <c r="P38" i="56"/>
  <c r="T38" i="56" s="1"/>
  <c r="P48" i="56"/>
  <c r="S48" i="56" s="1"/>
  <c r="P49" i="56"/>
  <c r="T49" i="56" s="1"/>
  <c r="P57" i="15"/>
  <c r="P52" i="15"/>
  <c r="S52" i="15" s="1"/>
  <c r="P55" i="15"/>
  <c r="O24" i="20"/>
  <c r="R24" i="20" s="1"/>
  <c r="P51" i="15"/>
  <c r="P39" i="56"/>
  <c r="S39" i="56" s="1"/>
  <c r="P44" i="15"/>
  <c r="T44" i="15" s="1"/>
  <c r="P58" i="15"/>
  <c r="P45" i="15"/>
  <c r="S45" i="15" s="1"/>
  <c r="P56" i="15"/>
  <c r="S56" i="15" s="1"/>
  <c r="P45" i="56"/>
  <c r="T45" i="56" s="1"/>
  <c r="P53" i="15"/>
  <c r="P47" i="15"/>
  <c r="T47" i="15" s="1"/>
  <c r="O25" i="20"/>
  <c r="S25" i="20" s="1"/>
  <c r="Q14" i="8"/>
  <c r="R14" i="8" s="1"/>
  <c r="P49" i="15"/>
  <c r="P40" i="56"/>
  <c r="T40" i="56" s="1"/>
  <c r="O22" i="20"/>
  <c r="S22" i="20" s="1"/>
  <c r="Q18" i="8"/>
  <c r="R18" i="8" s="1"/>
  <c r="O26" i="20"/>
  <c r="S26" i="20" s="1"/>
  <c r="P41" i="56"/>
  <c r="S41" i="56" s="1"/>
  <c r="O24" i="17"/>
  <c r="R24" i="17" s="1"/>
  <c r="P44" i="56"/>
  <c r="S44" i="56" s="1"/>
  <c r="R20" i="24"/>
  <c r="C4" i="8"/>
  <c r="C5" i="8"/>
  <c r="R17" i="14"/>
  <c r="S17" i="14"/>
  <c r="T19" i="24"/>
  <c r="E27" i="63" s="1"/>
  <c r="U20" i="56"/>
  <c r="T13" i="57"/>
  <c r="V13" i="67"/>
  <c r="R13" i="65"/>
  <c r="S13" i="65"/>
  <c r="B13" i="27"/>
  <c r="S15" i="22"/>
  <c r="R14" i="57"/>
  <c r="S14" i="57"/>
  <c r="V16" i="67"/>
  <c r="V17" i="67"/>
  <c r="S33" i="56"/>
  <c r="T33" i="56"/>
  <c r="R14" i="11"/>
  <c r="S14" i="11"/>
  <c r="S21" i="17"/>
  <c r="R21" i="17"/>
  <c r="T12" i="65"/>
  <c r="K26" i="63"/>
  <c r="E10" i="51"/>
  <c r="S15" i="11" l="1"/>
  <c r="A7" i="84"/>
  <c r="A8" i="84"/>
  <c r="T50" i="56"/>
  <c r="S53" i="15"/>
  <c r="O16" i="11"/>
  <c r="R16" i="11" s="1"/>
  <c r="P66" i="15"/>
  <c r="S66" i="15" s="1"/>
  <c r="P64" i="15"/>
  <c r="S64" i="15" s="1"/>
  <c r="E14" i="63"/>
  <c r="K14" i="63" s="1"/>
  <c r="S50" i="15"/>
  <c r="T50" i="15"/>
  <c r="S48" i="15"/>
  <c r="T48" i="15"/>
  <c r="T34" i="15"/>
  <c r="S34" i="15"/>
  <c r="T57" i="15"/>
  <c r="S32" i="15"/>
  <c r="T32" i="15"/>
  <c r="S18" i="15"/>
  <c r="T18" i="15"/>
  <c r="S16" i="15"/>
  <c r="T16" i="15"/>
  <c r="T46" i="15"/>
  <c r="U46" i="15" s="1"/>
  <c r="Q49" i="15"/>
  <c r="S49" i="15" s="1"/>
  <c r="Q93" i="15"/>
  <c r="Q58" i="15" s="1"/>
  <c r="T58" i="15" s="1"/>
  <c r="K93" i="15"/>
  <c r="J93" i="15"/>
  <c r="Q33" i="15"/>
  <c r="M93" i="15"/>
  <c r="Q38" i="15" s="1"/>
  <c r="N93" i="15"/>
  <c r="Q42" i="15" s="1"/>
  <c r="P93" i="15"/>
  <c r="Q54" i="15" s="1"/>
  <c r="T54" i="15" s="1"/>
  <c r="Q51" i="15"/>
  <c r="S51" i="15" s="1"/>
  <c r="Q94" i="15"/>
  <c r="Q59" i="15" s="1"/>
  <c r="S59" i="15" s="1"/>
  <c r="K94" i="15"/>
  <c r="J94" i="15"/>
  <c r="Q65" i="15"/>
  <c r="S93" i="15"/>
  <c r="Q70" i="15" s="1"/>
  <c r="T93" i="15"/>
  <c r="Q74" i="15" s="1"/>
  <c r="Q35" i="15"/>
  <c r="N94" i="15"/>
  <c r="Q43" i="15" s="1"/>
  <c r="M94" i="15"/>
  <c r="Q39" i="15" s="1"/>
  <c r="Q67" i="15"/>
  <c r="T94" i="15"/>
  <c r="Q75" i="15" s="1"/>
  <c r="S94" i="15"/>
  <c r="Q71" i="15" s="1"/>
  <c r="P94" i="15"/>
  <c r="Q55" i="15" s="1"/>
  <c r="T55" i="15" s="1"/>
  <c r="R25" i="17"/>
  <c r="S46" i="56"/>
  <c r="U46" i="56" s="1"/>
  <c r="T52" i="15"/>
  <c r="U52" i="15" s="1"/>
  <c r="T47" i="56"/>
  <c r="U47" i="56" s="1"/>
  <c r="S14" i="65"/>
  <c r="T14" i="65" s="1"/>
  <c r="R15" i="57"/>
  <c r="T15" i="57" s="1"/>
  <c r="B7" i="57" s="1"/>
  <c r="S29" i="17"/>
  <c r="S24" i="20"/>
  <c r="T15" i="11"/>
  <c r="E21" i="69" s="1"/>
  <c r="T42" i="56"/>
  <c r="S27" i="17"/>
  <c r="T27" i="17" s="1"/>
  <c r="T39" i="56"/>
  <c r="U39" i="56" s="1"/>
  <c r="E27" i="69"/>
  <c r="T45" i="15"/>
  <c r="U45" i="15" s="1"/>
  <c r="S47" i="15"/>
  <c r="U47" i="15" s="1"/>
  <c r="T53" i="15"/>
  <c r="Q17" i="15"/>
  <c r="Q19" i="15"/>
  <c r="S24" i="17"/>
  <c r="T24" i="17" s="1"/>
  <c r="S17" i="52"/>
  <c r="U17" i="52" s="1"/>
  <c r="S38" i="56"/>
  <c r="U38" i="56" s="1"/>
  <c r="S16" i="52"/>
  <c r="U16" i="52" s="1"/>
  <c r="E24" i="69"/>
  <c r="S44" i="15"/>
  <c r="U44" i="15" s="1"/>
  <c r="S40" i="56"/>
  <c r="U40" i="56" s="1"/>
  <c r="R19" i="18"/>
  <c r="T19" i="18" s="1"/>
  <c r="T43" i="56"/>
  <c r="U43" i="56" s="1"/>
  <c r="S57" i="15"/>
  <c r="B8" i="8"/>
  <c r="B5" i="24"/>
  <c r="R18" i="18"/>
  <c r="T18" i="18" s="1"/>
  <c r="R17" i="24"/>
  <c r="T17" i="24" s="1"/>
  <c r="R25" i="20"/>
  <c r="T25" i="20" s="1"/>
  <c r="R26" i="20"/>
  <c r="S49" i="56"/>
  <c r="U49" i="56" s="1"/>
  <c r="S45" i="56"/>
  <c r="B7" i="8"/>
  <c r="S14" i="21"/>
  <c r="T14" i="21" s="1"/>
  <c r="E14" i="69" s="1"/>
  <c r="D7" i="67" a="1"/>
  <c r="D7" i="67" s="1"/>
  <c r="D6" i="67" a="1"/>
  <c r="D6" i="67" s="1"/>
  <c r="E7" i="67" a="1"/>
  <c r="E7" i="67" s="1"/>
  <c r="E6" i="67" a="1"/>
  <c r="E6" i="67" s="1"/>
  <c r="S18" i="14"/>
  <c r="R18" i="14"/>
  <c r="T56" i="15"/>
  <c r="U56" i="15" s="1"/>
  <c r="T41" i="56"/>
  <c r="U41" i="56" s="1"/>
  <c r="Q30" i="67"/>
  <c r="Q31" i="67"/>
  <c r="Q32" i="67"/>
  <c r="Q28" i="67"/>
  <c r="Q29" i="67"/>
  <c r="O15" i="65"/>
  <c r="S15" i="65" s="1"/>
  <c r="O16" i="57"/>
  <c r="S16" i="57" s="1"/>
  <c r="O22" i="14"/>
  <c r="O22" i="24"/>
  <c r="R22" i="24" s="1"/>
  <c r="O23" i="14"/>
  <c r="O21" i="14"/>
  <c r="O18" i="24"/>
  <c r="R18" i="24" s="1"/>
  <c r="O22" i="18"/>
  <c r="R22" i="18" s="1"/>
  <c r="O35" i="17"/>
  <c r="R35" i="17" s="1"/>
  <c r="Q23" i="8"/>
  <c r="R23" i="8" s="1"/>
  <c r="O31" i="17"/>
  <c r="R31" i="17" s="1"/>
  <c r="P67" i="15"/>
  <c r="T67" i="15" s="1"/>
  <c r="P53" i="56"/>
  <c r="S53" i="56" s="1"/>
  <c r="P58" i="56"/>
  <c r="S58" i="56" s="1"/>
  <c r="P18" i="52"/>
  <c r="S18" i="52" s="1"/>
  <c r="P62" i="15"/>
  <c r="S62" i="15" s="1"/>
  <c r="P60" i="56"/>
  <c r="T60" i="56" s="1"/>
  <c r="P54" i="56"/>
  <c r="S54" i="56" s="1"/>
  <c r="P52" i="56"/>
  <c r="T52" i="56" s="1"/>
  <c r="P51" i="56"/>
  <c r="T51" i="56" s="1"/>
  <c r="P62" i="56"/>
  <c r="T62" i="56" s="1"/>
  <c r="O30" i="17"/>
  <c r="R30" i="17" s="1"/>
  <c r="P63" i="56"/>
  <c r="T63" i="56" s="1"/>
  <c r="O15" i="21"/>
  <c r="R15" i="21" s="1"/>
  <c r="P59" i="56"/>
  <c r="S59" i="56" s="1"/>
  <c r="P55" i="56"/>
  <c r="S55" i="56" s="1"/>
  <c r="P60" i="15"/>
  <c r="S60" i="15" s="1"/>
  <c r="P71" i="15"/>
  <c r="O33" i="17"/>
  <c r="R33" i="17" s="1"/>
  <c r="O29" i="20"/>
  <c r="R29" i="20" s="1"/>
  <c r="P74" i="15"/>
  <c r="P61" i="15"/>
  <c r="S61" i="15" s="1"/>
  <c r="P72" i="15"/>
  <c r="S72" i="15" s="1"/>
  <c r="P61" i="56"/>
  <c r="S61" i="56" s="1"/>
  <c r="P68" i="15"/>
  <c r="S68" i="15" s="1"/>
  <c r="P19" i="52"/>
  <c r="T19" i="52" s="1"/>
  <c r="P75" i="15"/>
  <c r="P70" i="15"/>
  <c r="P73" i="15"/>
  <c r="T73" i="15" s="1"/>
  <c r="P63" i="15"/>
  <c r="T63" i="15" s="1"/>
  <c r="P65" i="15"/>
  <c r="T65" i="15" s="1"/>
  <c r="O31" i="20"/>
  <c r="R31" i="20" s="1"/>
  <c r="Q15" i="8"/>
  <c r="R15" i="8" s="1"/>
  <c r="Q19" i="8"/>
  <c r="R19" i="8" s="1"/>
  <c r="P56" i="56"/>
  <c r="S56" i="56" s="1"/>
  <c r="O27" i="20"/>
  <c r="R27" i="20" s="1"/>
  <c r="P69" i="15"/>
  <c r="T69" i="15" s="1"/>
  <c r="P57" i="56"/>
  <c r="S57" i="56" s="1"/>
  <c r="O21" i="18"/>
  <c r="R21" i="18" s="1"/>
  <c r="O30" i="20"/>
  <c r="S30" i="20" s="1"/>
  <c r="R19" i="14"/>
  <c r="S19" i="14"/>
  <c r="R20" i="14"/>
  <c r="S20" i="14"/>
  <c r="T48" i="56"/>
  <c r="U48" i="56" s="1"/>
  <c r="T44" i="56"/>
  <c r="U44" i="56" s="1"/>
  <c r="T29" i="17"/>
  <c r="T21" i="24"/>
  <c r="E28" i="69" s="1"/>
  <c r="B6" i="65"/>
  <c r="B6" i="67"/>
  <c r="B6" i="57"/>
  <c r="E19" i="63"/>
  <c r="G19" i="63" s="1"/>
  <c r="T17" i="14"/>
  <c r="G8" i="57"/>
  <c r="T20" i="24"/>
  <c r="R22" i="20"/>
  <c r="T22" i="20" s="1"/>
  <c r="T24" i="20"/>
  <c r="U42" i="56"/>
  <c r="U50" i="56"/>
  <c r="U33" i="56"/>
  <c r="T26" i="20"/>
  <c r="U45" i="56"/>
  <c r="T21" i="17"/>
  <c r="T25" i="17"/>
  <c r="T14" i="57"/>
  <c r="L26" i="63"/>
  <c r="G26" i="63"/>
  <c r="M26" i="63" s="1"/>
  <c r="T13" i="65"/>
  <c r="F14" i="63" s="1"/>
  <c r="S16" i="11" l="1"/>
  <c r="C5" i="24"/>
  <c r="F27" i="63"/>
  <c r="T66" i="15"/>
  <c r="U53" i="15"/>
  <c r="S35" i="17"/>
  <c r="T35" i="17" s="1"/>
  <c r="E13" i="69"/>
  <c r="U48" i="15"/>
  <c r="E5" i="84" a="1"/>
  <c r="E5" i="84" s="1"/>
  <c r="D4" i="84" a="1"/>
  <c r="D4" i="84" s="1"/>
  <c r="T64" i="15"/>
  <c r="U64" i="15" s="1"/>
  <c r="T58" i="56"/>
  <c r="U58" i="56" s="1"/>
  <c r="E11" i="69"/>
  <c r="B7" i="21"/>
  <c r="E12" i="69"/>
  <c r="U66" i="15"/>
  <c r="D5" i="84" a="1"/>
  <c r="D5" i="84" s="1"/>
  <c r="B7" i="65"/>
  <c r="E15" i="69"/>
  <c r="U50" i="15"/>
  <c r="E4" i="84" a="1"/>
  <c r="E4" i="84" s="1"/>
  <c r="U34" i="15"/>
  <c r="U16" i="15"/>
  <c r="U57" i="15"/>
  <c r="U32" i="15"/>
  <c r="U18" i="15"/>
  <c r="S58" i="15"/>
  <c r="U58" i="15" s="1"/>
  <c r="S70" i="15"/>
  <c r="T49" i="15"/>
  <c r="U49" i="15" s="1"/>
  <c r="S74" i="15"/>
  <c r="S71" i="15"/>
  <c r="T51" i="15"/>
  <c r="U51" i="15" s="1"/>
  <c r="S55" i="15"/>
  <c r="U55" i="15" s="1"/>
  <c r="T75" i="15"/>
  <c r="T59" i="15"/>
  <c r="U59" i="15" s="1"/>
  <c r="S54" i="15"/>
  <c r="U54" i="15" s="1"/>
  <c r="C6" i="57"/>
  <c r="R15" i="65"/>
  <c r="T15" i="65" s="1"/>
  <c r="B7" i="11"/>
  <c r="T16" i="11"/>
  <c r="F21" i="69" s="1"/>
  <c r="G21" i="69" s="1"/>
  <c r="S29" i="20"/>
  <c r="T29" i="20" s="1"/>
  <c r="T62" i="15"/>
  <c r="U62" i="15" s="1"/>
  <c r="S63" i="56"/>
  <c r="R16" i="57"/>
  <c r="T16" i="57" s="1"/>
  <c r="C7" i="57" s="1"/>
  <c r="S31" i="20"/>
  <c r="T31" i="20" s="1"/>
  <c r="S31" i="17"/>
  <c r="T31" i="17" s="1"/>
  <c r="A6" i="67"/>
  <c r="C6" i="65"/>
  <c r="L14" i="63"/>
  <c r="S52" i="56"/>
  <c r="U52" i="56" s="1"/>
  <c r="S51" i="56"/>
  <c r="U51" i="56" s="1"/>
  <c r="S60" i="56"/>
  <c r="U60" i="56" s="1"/>
  <c r="T59" i="56"/>
  <c r="U59" i="56" s="1"/>
  <c r="S62" i="56"/>
  <c r="U62" i="56" s="1"/>
  <c r="T55" i="56"/>
  <c r="U55" i="56" s="1"/>
  <c r="T53" i="56"/>
  <c r="U53" i="56" s="1"/>
  <c r="S22" i="18"/>
  <c r="T22" i="18" s="1"/>
  <c r="S67" i="15"/>
  <c r="U67" i="15" s="1"/>
  <c r="T60" i="15"/>
  <c r="U60" i="15" s="1"/>
  <c r="S63" i="15"/>
  <c r="U63" i="15" s="1"/>
  <c r="S75" i="15"/>
  <c r="S65" i="15"/>
  <c r="U65" i="15" s="1"/>
  <c r="T70" i="15"/>
  <c r="T72" i="15"/>
  <c r="U72" i="15" s="1"/>
  <c r="T71" i="15"/>
  <c r="T74" i="15"/>
  <c r="S30" i="17"/>
  <c r="T30" i="17" s="1"/>
  <c r="S19" i="52"/>
  <c r="U19" i="52" s="1"/>
  <c r="T18" i="52"/>
  <c r="U18" i="52" s="1"/>
  <c r="S15" i="21"/>
  <c r="T15" i="21" s="1"/>
  <c r="C8" i="8"/>
  <c r="S69" i="15"/>
  <c r="U69" i="15" s="1"/>
  <c r="R30" i="20"/>
  <c r="T30" i="20" s="1"/>
  <c r="E4" i="8" a="1"/>
  <c r="E4" i="8" s="1"/>
  <c r="T18" i="14"/>
  <c r="T61" i="15"/>
  <c r="U61" i="15" s="1"/>
  <c r="T61" i="56"/>
  <c r="U61" i="56" s="1"/>
  <c r="T68" i="15"/>
  <c r="U68" i="15" s="1"/>
  <c r="S33" i="17"/>
  <c r="T33" i="17" s="1"/>
  <c r="E26" i="69"/>
  <c r="B9" i="24"/>
  <c r="D5" i="8" a="1"/>
  <c r="D5" i="8" s="1"/>
  <c r="S21" i="18"/>
  <c r="T21" i="18" s="1"/>
  <c r="T54" i="56"/>
  <c r="U54" i="56" s="1"/>
  <c r="T18" i="24"/>
  <c r="F25" i="69" s="1"/>
  <c r="T22" i="24"/>
  <c r="C9" i="24" s="1"/>
  <c r="T57" i="56"/>
  <c r="U57" i="56" s="1"/>
  <c r="C7" i="8"/>
  <c r="E5" i="8" a="1"/>
  <c r="E5" i="8" s="1"/>
  <c r="F27" i="69"/>
  <c r="G27" i="69" s="1"/>
  <c r="E8" i="8" a="1"/>
  <c r="E8" i="8" s="1"/>
  <c r="S73" i="15"/>
  <c r="U73" i="15" s="1"/>
  <c r="S27" i="20"/>
  <c r="T27" i="20" s="1"/>
  <c r="B7" i="17"/>
  <c r="D4" i="8" a="1"/>
  <c r="D4" i="8" s="1"/>
  <c r="T20" i="14"/>
  <c r="E7" i="8" a="1"/>
  <c r="E7" i="8" s="1"/>
  <c r="S21" i="14"/>
  <c r="R21" i="14"/>
  <c r="T56" i="56"/>
  <c r="U56" i="56" s="1"/>
  <c r="F24" i="69"/>
  <c r="G24" i="69" s="1"/>
  <c r="T19" i="14"/>
  <c r="S23" i="14"/>
  <c r="R23" i="14"/>
  <c r="D8" i="8" a="1"/>
  <c r="D8" i="8" s="1"/>
  <c r="A7" i="67"/>
  <c r="R22" i="14"/>
  <c r="S22" i="14"/>
  <c r="D7" i="8" a="1"/>
  <c r="D7" i="8" s="1"/>
  <c r="E25" i="69"/>
  <c r="E23" i="69" s="1"/>
  <c r="B7" i="52"/>
  <c r="B7" i="20"/>
  <c r="B7" i="18"/>
  <c r="B8" i="24"/>
  <c r="B8" i="56"/>
  <c r="B7" i="56"/>
  <c r="E8" i="69"/>
  <c r="E19" i="69"/>
  <c r="E10" i="69"/>
  <c r="I6" i="57"/>
  <c r="I8" i="57" s="1"/>
  <c r="H6" i="57"/>
  <c r="H8" i="57" s="1"/>
  <c r="I6" i="24"/>
  <c r="I8" i="24" s="1"/>
  <c r="U63" i="56"/>
  <c r="C7" i="11" l="1"/>
  <c r="A4" i="84"/>
  <c r="D23" i="63" s="1"/>
  <c r="A5" i="84"/>
  <c r="D26" i="63" s="1"/>
  <c r="T23" i="14"/>
  <c r="E25" i="84"/>
  <c r="C7" i="65"/>
  <c r="F15" i="69"/>
  <c r="F12" i="69"/>
  <c r="G12" i="69" s="1"/>
  <c r="F13" i="69"/>
  <c r="G13" i="69" s="1"/>
  <c r="U70" i="15"/>
  <c r="C7" i="21"/>
  <c r="F14" i="69"/>
  <c r="G14" i="69" s="1"/>
  <c r="F11" i="69"/>
  <c r="G11" i="69" s="1"/>
  <c r="U71" i="15"/>
  <c r="U74" i="15"/>
  <c r="U75" i="15"/>
  <c r="B7" i="15"/>
  <c r="E9" i="69"/>
  <c r="E15" i="67"/>
  <c r="E14" i="67"/>
  <c r="E30" i="67"/>
  <c r="A8" i="8"/>
  <c r="D27" i="69" s="1"/>
  <c r="T21" i="14"/>
  <c r="A4" i="8"/>
  <c r="E13" i="67"/>
  <c r="A5" i="8"/>
  <c r="E6" i="57" a="1"/>
  <c r="E6" i="57" s="1"/>
  <c r="B7" i="14"/>
  <c r="D20" i="69"/>
  <c r="A7" i="8"/>
  <c r="D24" i="69" s="1"/>
  <c r="D7" i="57" a="1"/>
  <c r="D7" i="57" s="1"/>
  <c r="T22" i="14"/>
  <c r="E25" i="67"/>
  <c r="E7" i="69"/>
  <c r="C7" i="18"/>
  <c r="D7" i="65" a="1"/>
  <c r="D7" i="65" s="1"/>
  <c r="D6" i="65" a="1"/>
  <c r="D6" i="65" s="1"/>
  <c r="E7" i="65" a="1"/>
  <c r="E7" i="65" s="1"/>
  <c r="E17" i="67"/>
  <c r="E22" i="67"/>
  <c r="E28" i="67"/>
  <c r="E32" i="67"/>
  <c r="E29" i="67"/>
  <c r="E20" i="67"/>
  <c r="E24" i="67"/>
  <c r="E21" i="67"/>
  <c r="E27" i="67"/>
  <c r="E19" i="67"/>
  <c r="E31" i="67"/>
  <c r="E16" i="67"/>
  <c r="D19" i="63"/>
  <c r="E26" i="67"/>
  <c r="E23" i="67"/>
  <c r="E18" i="67"/>
  <c r="E7" i="57" a="1"/>
  <c r="E7" i="57" s="1"/>
  <c r="C7" i="20"/>
  <c r="D6" i="57" a="1"/>
  <c r="D6" i="57" s="1"/>
  <c r="C7" i="17"/>
  <c r="C7" i="52"/>
  <c r="E6" i="65" a="1"/>
  <c r="E6" i="65" s="1"/>
  <c r="F19" i="69"/>
  <c r="F18" i="69" s="1"/>
  <c r="C8" i="56"/>
  <c r="J6" i="57"/>
  <c r="J8" i="57" s="1"/>
  <c r="F10" i="69"/>
  <c r="G10" i="69" s="1"/>
  <c r="C8" i="24"/>
  <c r="C7" i="56"/>
  <c r="F28" i="69"/>
  <c r="G28" i="69" s="1"/>
  <c r="F23" i="69"/>
  <c r="G23" i="69" s="1"/>
  <c r="E18" i="69"/>
  <c r="F8" i="69"/>
  <c r="G8" i="69" s="1"/>
  <c r="E22" i="69"/>
  <c r="G14" i="63"/>
  <c r="Q23" i="15"/>
  <c r="Q26" i="15"/>
  <c r="E45" i="84" l="1"/>
  <c r="E31" i="84"/>
  <c r="E23" i="84"/>
  <c r="E38" i="84"/>
  <c r="E39" i="84"/>
  <c r="E21" i="84"/>
  <c r="E41" i="84"/>
  <c r="E20" i="84"/>
  <c r="E14" i="84"/>
  <c r="E12" i="84"/>
  <c r="E37" i="84"/>
  <c r="E47" i="84"/>
  <c r="E42" i="84"/>
  <c r="E15" i="84"/>
  <c r="E46" i="84"/>
  <c r="E27" i="84"/>
  <c r="E36" i="84"/>
  <c r="E43" i="84"/>
  <c r="E44" i="84"/>
  <c r="E24" i="84"/>
  <c r="E32" i="84"/>
  <c r="E34" i="84"/>
  <c r="E35" i="84"/>
  <c r="E18" i="84"/>
  <c r="E33" i="84"/>
  <c r="E30" i="84"/>
  <c r="E16" i="84"/>
  <c r="E22" i="84"/>
  <c r="E17" i="84"/>
  <c r="E26" i="84"/>
  <c r="E28" i="84"/>
  <c r="E40" i="84"/>
  <c r="E29" i="84"/>
  <c r="E19" i="84"/>
  <c r="E13" i="84"/>
  <c r="A6" i="57"/>
  <c r="D15" i="63" s="1"/>
  <c r="F9" i="69"/>
  <c r="G9" i="69" s="1"/>
  <c r="C7" i="15"/>
  <c r="E23" i="8"/>
  <c r="E6" i="69"/>
  <c r="M14" i="63"/>
  <c r="C7" i="14"/>
  <c r="E21" i="8"/>
  <c r="E20" i="8"/>
  <c r="E15" i="8"/>
  <c r="E14" i="8"/>
  <c r="E12" i="8"/>
  <c r="E22" i="8"/>
  <c r="E19" i="8"/>
  <c r="E18" i="8"/>
  <c r="E17" i="8"/>
  <c r="E16" i="8"/>
  <c r="E13" i="8"/>
  <c r="F7" i="69"/>
  <c r="A7" i="65"/>
  <c r="D15" i="69" s="1"/>
  <c r="G18" i="69"/>
  <c r="G19" i="69"/>
  <c r="G15" i="69"/>
  <c r="A6" i="65"/>
  <c r="F26" i="69"/>
  <c r="F22" i="69" s="1"/>
  <c r="G22" i="69" s="1"/>
  <c r="A7" i="57"/>
  <c r="D16" i="69" s="1"/>
  <c r="G25" i="69"/>
  <c r="Q20" i="15"/>
  <c r="Q25" i="15"/>
  <c r="Q24" i="15"/>
  <c r="Q27" i="15"/>
  <c r="Q22" i="15"/>
  <c r="F6" i="69" l="1"/>
  <c r="G6" i="69" s="1"/>
  <c r="G7" i="69"/>
  <c r="E15" i="57"/>
  <c r="E14" i="57"/>
  <c r="E13" i="57"/>
  <c r="E16" i="57"/>
  <c r="E13" i="65"/>
  <c r="E14" i="65"/>
  <c r="E15" i="65"/>
  <c r="E12" i="65"/>
  <c r="D14" i="63"/>
  <c r="G26" i="69"/>
  <c r="T16" i="17"/>
  <c r="T14" i="18" l="1"/>
  <c r="T17" i="18"/>
  <c r="T15" i="17" l="1"/>
  <c r="T13" i="11"/>
  <c r="T14" i="11"/>
  <c r="F20" i="63" s="1"/>
  <c r="T14" i="17"/>
  <c r="E20" i="63" l="1"/>
  <c r="K20" i="63" s="1"/>
  <c r="C6" i="11"/>
  <c r="L20" i="63"/>
  <c r="D7" i="11" a="1"/>
  <c r="D7" i="11" s="1"/>
  <c r="D6" i="11" a="1"/>
  <c r="D6" i="11" s="1"/>
  <c r="E7" i="11" a="1"/>
  <c r="E7" i="11" s="1"/>
  <c r="E6" i="11" a="1"/>
  <c r="E6" i="11" s="1"/>
  <c r="B6" i="11"/>
  <c r="A7" i="11" l="1"/>
  <c r="D21" i="69" s="1"/>
  <c r="A6" i="11"/>
  <c r="K27" i="63"/>
  <c r="E13" i="51"/>
  <c r="E25" i="63"/>
  <c r="K25" i="63" s="1"/>
  <c r="G20" i="63"/>
  <c r="M20" i="63" s="1"/>
  <c r="E16" i="11" l="1"/>
  <c r="E13" i="11"/>
  <c r="E14" i="11"/>
  <c r="E15" i="11"/>
  <c r="D20" i="63"/>
  <c r="U13" i="14" l="1"/>
  <c r="R12" i="21" l="1"/>
  <c r="S12" i="21"/>
  <c r="S13" i="22"/>
  <c r="S29" i="15"/>
  <c r="S19" i="20"/>
  <c r="S17" i="20"/>
  <c r="S18" i="20"/>
  <c r="S20" i="20"/>
  <c r="S21" i="20"/>
  <c r="S15" i="20"/>
  <c r="S16" i="22"/>
  <c r="S14" i="20"/>
  <c r="S14" i="22"/>
  <c r="E9" i="51" l="1"/>
  <c r="R16" i="20"/>
  <c r="S16" i="20"/>
  <c r="L23" i="63"/>
  <c r="S23" i="56"/>
  <c r="T23" i="56"/>
  <c r="S21" i="15"/>
  <c r="T21" i="15"/>
  <c r="S37" i="56"/>
  <c r="T37" i="56"/>
  <c r="R12" i="14"/>
  <c r="S12" i="14"/>
  <c r="R14" i="20"/>
  <c r="S16" i="56"/>
  <c r="T16" i="56"/>
  <c r="T20" i="15"/>
  <c r="S20" i="15"/>
  <c r="T24" i="15"/>
  <c r="S24" i="15"/>
  <c r="S15" i="15"/>
  <c r="T15" i="15"/>
  <c r="R21" i="20"/>
  <c r="S34" i="56"/>
  <c r="T34" i="56"/>
  <c r="R17" i="20"/>
  <c r="S31" i="56"/>
  <c r="T31" i="56"/>
  <c r="T29" i="15"/>
  <c r="T41" i="15"/>
  <c r="S41" i="15"/>
  <c r="T30" i="15"/>
  <c r="S30" i="15"/>
  <c r="S14" i="14"/>
  <c r="R14" i="14"/>
  <c r="R19" i="17"/>
  <c r="S19" i="17"/>
  <c r="S14" i="56"/>
  <c r="T14" i="56"/>
  <c r="R15" i="20"/>
  <c r="S19" i="15"/>
  <c r="T19" i="15"/>
  <c r="S14" i="15"/>
  <c r="T14" i="15"/>
  <c r="T13" i="15"/>
  <c r="S13" i="15"/>
  <c r="S26" i="56"/>
  <c r="T26" i="56"/>
  <c r="S32" i="56"/>
  <c r="T32" i="56"/>
  <c r="S28" i="56"/>
  <c r="T28" i="56"/>
  <c r="R15" i="18"/>
  <c r="S15" i="18"/>
  <c r="T36" i="15"/>
  <c r="S36" i="15"/>
  <c r="R12" i="20"/>
  <c r="S12" i="20"/>
  <c r="R15" i="24"/>
  <c r="R13" i="18"/>
  <c r="S13" i="18"/>
  <c r="S17" i="15"/>
  <c r="T17" i="15"/>
  <c r="R18" i="17"/>
  <c r="S18" i="17"/>
  <c r="R13" i="21"/>
  <c r="S13" i="21"/>
  <c r="R19" i="20"/>
  <c r="S40" i="15"/>
  <c r="T40" i="15"/>
  <c r="S39" i="15"/>
  <c r="T39" i="15"/>
  <c r="S15" i="56"/>
  <c r="T15" i="56"/>
  <c r="R17" i="17"/>
  <c r="S17" i="17"/>
  <c r="S43" i="15"/>
  <c r="T43" i="15"/>
  <c r="S18" i="56"/>
  <c r="T18" i="56"/>
  <c r="S22" i="15"/>
  <c r="T22" i="15"/>
  <c r="R15" i="14"/>
  <c r="S15" i="14"/>
  <c r="S35" i="56"/>
  <c r="T35" i="56"/>
  <c r="R16" i="14"/>
  <c r="S16" i="14"/>
  <c r="S35" i="15"/>
  <c r="T35" i="15"/>
  <c r="S37" i="15"/>
  <c r="T37" i="15"/>
  <c r="S38" i="15"/>
  <c r="T38" i="15"/>
  <c r="S25" i="56"/>
  <c r="T25" i="56"/>
  <c r="S17" i="56"/>
  <c r="T17" i="56"/>
  <c r="R13" i="17"/>
  <c r="S13" i="17"/>
  <c r="R13" i="14"/>
  <c r="S13" i="14"/>
  <c r="S19" i="56"/>
  <c r="T19" i="56"/>
  <c r="S25" i="15"/>
  <c r="T25" i="15"/>
  <c r="S36" i="56"/>
  <c r="T36" i="56"/>
  <c r="R18" i="20"/>
  <c r="S27" i="56"/>
  <c r="T27" i="56"/>
  <c r="S28" i="15"/>
  <c r="T28" i="15"/>
  <c r="S13" i="56"/>
  <c r="T13" i="56"/>
  <c r="T12" i="15"/>
  <c r="S12" i="56"/>
  <c r="T12" i="56"/>
  <c r="S12" i="18"/>
  <c r="S21" i="56"/>
  <c r="T21" i="56"/>
  <c r="S23" i="15"/>
  <c r="T23" i="15"/>
  <c r="S29" i="56"/>
  <c r="T29" i="56"/>
  <c r="R20" i="20"/>
  <c r="S42" i="15"/>
  <c r="T42" i="15"/>
  <c r="S24" i="56"/>
  <c r="T24" i="56"/>
  <c r="S22" i="56"/>
  <c r="T22" i="56"/>
  <c r="R12" i="17"/>
  <c r="S12" i="17"/>
  <c r="S26" i="15"/>
  <c r="T26" i="15"/>
  <c r="S27" i="15"/>
  <c r="T27" i="15"/>
  <c r="S23" i="17"/>
  <c r="R23" i="17"/>
  <c r="S30" i="56"/>
  <c r="T30" i="56"/>
  <c r="R16" i="18"/>
  <c r="S16" i="18"/>
  <c r="S33" i="15"/>
  <c r="T33" i="15"/>
  <c r="T31" i="15"/>
  <c r="S31" i="15"/>
  <c r="R16" i="24"/>
  <c r="T12" i="21"/>
  <c r="E13" i="63" s="1"/>
  <c r="U13" i="56" l="1"/>
  <c r="B6" i="21"/>
  <c r="K13" i="63"/>
  <c r="E8" i="51"/>
  <c r="K23" i="63"/>
  <c r="U25" i="15"/>
  <c r="T23" i="17"/>
  <c r="U31" i="15"/>
  <c r="U36" i="56"/>
  <c r="T13" i="14"/>
  <c r="T12" i="17"/>
  <c r="U24" i="56"/>
  <c r="U42" i="15"/>
  <c r="T20" i="20"/>
  <c r="U21" i="56"/>
  <c r="T12" i="18"/>
  <c r="U12" i="15"/>
  <c r="U27" i="56"/>
  <c r="U35" i="15"/>
  <c r="T15" i="14"/>
  <c r="U43" i="15"/>
  <c r="U40" i="15"/>
  <c r="T18" i="17"/>
  <c r="T12" i="20"/>
  <c r="T15" i="18"/>
  <c r="T15" i="20"/>
  <c r="U29" i="15"/>
  <c r="U19" i="56"/>
  <c r="T14" i="14"/>
  <c r="U41" i="15"/>
  <c r="U24" i="15"/>
  <c r="U36" i="15"/>
  <c r="U34" i="56"/>
  <c r="U13" i="15"/>
  <c r="U21" i="15"/>
  <c r="U33" i="15"/>
  <c r="U15" i="15"/>
  <c r="U30" i="15"/>
  <c r="U28" i="15"/>
  <c r="U38" i="15"/>
  <c r="U15" i="56"/>
  <c r="T19" i="20"/>
  <c r="U32" i="56"/>
  <c r="U14" i="15"/>
  <c r="U16" i="56"/>
  <c r="T16" i="24"/>
  <c r="F24" i="63" s="1"/>
  <c r="U30" i="56"/>
  <c r="U26" i="15"/>
  <c r="U22" i="56"/>
  <c r="U23" i="15"/>
  <c r="U12" i="56"/>
  <c r="U17" i="56"/>
  <c r="U37" i="15"/>
  <c r="U35" i="56"/>
  <c r="U18" i="56"/>
  <c r="U39" i="15"/>
  <c r="T13" i="21"/>
  <c r="U17" i="15"/>
  <c r="T15" i="24"/>
  <c r="U26" i="56"/>
  <c r="U19" i="15"/>
  <c r="T19" i="17"/>
  <c r="T17" i="20"/>
  <c r="T14" i="20"/>
  <c r="G23" i="63"/>
  <c r="U20" i="15"/>
  <c r="T12" i="14"/>
  <c r="U23" i="56"/>
  <c r="U27" i="15"/>
  <c r="T16" i="18"/>
  <c r="U29" i="56"/>
  <c r="T18" i="20"/>
  <c r="T13" i="17"/>
  <c r="T16" i="20"/>
  <c r="U25" i="56"/>
  <c r="T16" i="14"/>
  <c r="U22" i="15"/>
  <c r="T17" i="17"/>
  <c r="T13" i="18"/>
  <c r="U28" i="56"/>
  <c r="U14" i="56"/>
  <c r="U31" i="56"/>
  <c r="T21" i="20"/>
  <c r="U37" i="56"/>
  <c r="E7" i="63" l="1"/>
  <c r="E6" i="63"/>
  <c r="E12" i="63"/>
  <c r="F11" i="63"/>
  <c r="L11" i="63" s="1"/>
  <c r="F12" i="63"/>
  <c r="L12" i="63" s="1"/>
  <c r="E24" i="63"/>
  <c r="E10" i="24" a="1"/>
  <c r="E10" i="24" s="1"/>
  <c r="D4" i="24" a="1"/>
  <c r="D4" i="24" s="1"/>
  <c r="D6" i="24" a="1"/>
  <c r="D6" i="24" s="1"/>
  <c r="E5" i="24" a="1"/>
  <c r="E5" i="24" s="1"/>
  <c r="D8" i="24" a="1"/>
  <c r="D8" i="24" s="1"/>
  <c r="D5" i="24" a="1"/>
  <c r="D5" i="24" s="1"/>
  <c r="E9" i="24" a="1"/>
  <c r="E9" i="24" s="1"/>
  <c r="D9" i="24" a="1"/>
  <c r="D9" i="24" s="1"/>
  <c r="D10" i="24" a="1"/>
  <c r="D10" i="24" s="1"/>
  <c r="E4" i="24" a="1"/>
  <c r="E4" i="24" s="1"/>
  <c r="E6" i="24" a="1"/>
  <c r="E6" i="24" s="1"/>
  <c r="E8" i="24" a="1"/>
  <c r="E8" i="24" s="1"/>
  <c r="E10" i="63"/>
  <c r="K10" i="63" s="1"/>
  <c r="E11" i="63"/>
  <c r="K11" i="63" s="1"/>
  <c r="C6" i="21"/>
  <c r="F13" i="63"/>
  <c r="L13" i="63" s="1"/>
  <c r="F10" i="63"/>
  <c r="L10" i="63" s="1"/>
  <c r="C6" i="14"/>
  <c r="C6" i="17"/>
  <c r="D7" i="14" a="1"/>
  <c r="D7" i="14" s="1"/>
  <c r="C6" i="18"/>
  <c r="F8" i="63"/>
  <c r="L8" i="63" s="1"/>
  <c r="B6" i="20"/>
  <c r="E6" i="20" a="1"/>
  <c r="E6" i="20" s="1"/>
  <c r="E7" i="20" a="1"/>
  <c r="E7" i="20" s="1"/>
  <c r="D7" i="20" a="1"/>
  <c r="D7" i="20" s="1"/>
  <c r="D6" i="20" a="1"/>
  <c r="D6" i="20" s="1"/>
  <c r="C6" i="15"/>
  <c r="D6" i="18" a="1"/>
  <c r="D6" i="18" s="1"/>
  <c r="E7" i="18" a="1"/>
  <c r="E7" i="18" s="1"/>
  <c r="B6" i="18"/>
  <c r="D7" i="18" a="1"/>
  <c r="D7" i="18" s="1"/>
  <c r="E6" i="18" a="1"/>
  <c r="E6" i="18" s="1"/>
  <c r="E8" i="63"/>
  <c r="E7" i="21" a="1"/>
  <c r="E7" i="21" s="1"/>
  <c r="E6" i="21" a="1"/>
  <c r="E6" i="21" s="1"/>
  <c r="C6" i="20"/>
  <c r="D7" i="21" a="1"/>
  <c r="D7" i="21" s="1"/>
  <c r="E7" i="17" a="1"/>
  <c r="E7" i="17" s="1"/>
  <c r="E6" i="17" a="1"/>
  <c r="E6" i="17" s="1"/>
  <c r="D7" i="17" a="1"/>
  <c r="D7" i="17" s="1"/>
  <c r="D6" i="17" a="1"/>
  <c r="D6" i="17" s="1"/>
  <c r="B6" i="17"/>
  <c r="D6" i="21" a="1"/>
  <c r="D6" i="21" s="1"/>
  <c r="E7" i="14" a="1"/>
  <c r="E7" i="14" s="1"/>
  <c r="B6" i="14"/>
  <c r="D6" i="14" a="1"/>
  <c r="D6" i="14" s="1"/>
  <c r="E6" i="14" a="1"/>
  <c r="E6" i="14" s="1"/>
  <c r="B6" i="15"/>
  <c r="E7" i="15" a="1"/>
  <c r="E7" i="15" s="1"/>
  <c r="E6" i="15" a="1"/>
  <c r="E6" i="15" s="1"/>
  <c r="D6" i="15" a="1"/>
  <c r="D6" i="15" s="1"/>
  <c r="D7" i="15" a="1"/>
  <c r="D7" i="15" s="1"/>
  <c r="C5" i="56"/>
  <c r="E5" i="56" a="1"/>
  <c r="E5" i="56" s="1"/>
  <c r="E4" i="56" a="1"/>
  <c r="E4" i="56" s="1"/>
  <c r="E8" i="56" a="1"/>
  <c r="E8" i="56" s="1"/>
  <c r="D8" i="56" a="1"/>
  <c r="D8" i="56" s="1"/>
  <c r="D5" i="56" a="1"/>
  <c r="D5" i="56" s="1"/>
  <c r="E7" i="56" a="1"/>
  <c r="E7" i="56" s="1"/>
  <c r="D4" i="56" a="1"/>
  <c r="D4" i="56" s="1"/>
  <c r="B4" i="56"/>
  <c r="D7" i="56" a="1"/>
  <c r="D7" i="56" s="1"/>
  <c r="C4" i="24"/>
  <c r="F6" i="63"/>
  <c r="F7" i="63"/>
  <c r="C4" i="56"/>
  <c r="B4" i="24"/>
  <c r="B5" i="56"/>
  <c r="F18" i="63"/>
  <c r="L18" i="63" s="1"/>
  <c r="E18" i="63"/>
  <c r="B5" i="78" s="1"/>
  <c r="L24" i="63"/>
  <c r="L15" i="63"/>
  <c r="K15" i="63"/>
  <c r="M23" i="63"/>
  <c r="A4" i="24" l="1"/>
  <c r="A6" i="24"/>
  <c r="A7" i="14"/>
  <c r="D7" i="69" s="1"/>
  <c r="A10" i="24"/>
  <c r="D29" i="63" s="1"/>
  <c r="A9" i="24"/>
  <c r="D28" i="69" s="1"/>
  <c r="A5" i="24"/>
  <c r="D27" i="63" s="1"/>
  <c r="D5" i="78"/>
  <c r="C5" i="78" s="1"/>
  <c r="A7" i="20"/>
  <c r="D11" i="69" s="1"/>
  <c r="A7" i="17"/>
  <c r="D13" i="69" s="1"/>
  <c r="K6" i="63"/>
  <c r="A8" i="24"/>
  <c r="D25" i="69" s="1"/>
  <c r="A7" i="21"/>
  <c r="D14" i="69" s="1"/>
  <c r="A6" i="18"/>
  <c r="A7" i="56"/>
  <c r="D8" i="69" s="1"/>
  <c r="A8" i="56"/>
  <c r="D19" i="69" s="1"/>
  <c r="A7" i="18"/>
  <c r="D12" i="69" s="1"/>
  <c r="A5" i="56"/>
  <c r="D18" i="63" s="1"/>
  <c r="A6" i="15"/>
  <c r="A7" i="15"/>
  <c r="D9" i="69" s="1"/>
  <c r="A6" i="17"/>
  <c r="A6" i="14"/>
  <c r="A6" i="21"/>
  <c r="G18" i="63"/>
  <c r="M18" i="63" s="1"/>
  <c r="A4" i="56"/>
  <c r="A6" i="20"/>
  <c r="E11" i="51"/>
  <c r="E12" i="51"/>
  <c r="K18" i="63"/>
  <c r="M15" i="63"/>
  <c r="L27" i="63"/>
  <c r="F25" i="63"/>
  <c r="G27" i="63"/>
  <c r="M27" i="63" s="1"/>
  <c r="K24" i="63"/>
  <c r="K12" i="63"/>
  <c r="K7" i="63"/>
  <c r="K8" i="63"/>
  <c r="G8" i="63"/>
  <c r="F22" i="63"/>
  <c r="L22" i="63" s="1"/>
  <c r="G13" i="63"/>
  <c r="M13" i="63" s="1"/>
  <c r="G11" i="63"/>
  <c r="F17" i="63"/>
  <c r="G10" i="63"/>
  <c r="G24" i="63"/>
  <c r="M24" i="63" s="1"/>
  <c r="E22" i="63"/>
  <c r="K22" i="63" s="1"/>
  <c r="E17" i="63"/>
  <c r="B3" i="83" s="1"/>
  <c r="G12" i="63"/>
  <c r="M12" i="63" s="1"/>
  <c r="E24" i="24" l="1"/>
  <c r="E25" i="24"/>
  <c r="E23" i="24"/>
  <c r="E26" i="24"/>
  <c r="E64" i="15"/>
  <c r="E66" i="15"/>
  <c r="E48" i="15"/>
  <c r="E50" i="15"/>
  <c r="E32" i="15"/>
  <c r="E34" i="15"/>
  <c r="E16" i="15"/>
  <c r="E18" i="15"/>
  <c r="L17" i="63"/>
  <c r="C3" i="83"/>
  <c r="M10" i="63"/>
  <c r="M11" i="63"/>
  <c r="M8" i="63"/>
  <c r="E12" i="14"/>
  <c r="D30" i="69"/>
  <c r="E13" i="20"/>
  <c r="E19" i="20"/>
  <c r="E27" i="20"/>
  <c r="E12" i="20"/>
  <c r="E20" i="20"/>
  <c r="E28" i="20"/>
  <c r="E21" i="20"/>
  <c r="E29" i="20"/>
  <c r="E14" i="20"/>
  <c r="E22" i="20"/>
  <c r="E30" i="20"/>
  <c r="E15" i="20"/>
  <c r="E23" i="20"/>
  <c r="E31" i="20"/>
  <c r="E16" i="20"/>
  <c r="E24" i="20"/>
  <c r="E17" i="20"/>
  <c r="E25" i="20"/>
  <c r="E18" i="20"/>
  <c r="E26" i="20"/>
  <c r="E13" i="21"/>
  <c r="E14" i="21"/>
  <c r="E15" i="21"/>
  <c r="E12" i="21"/>
  <c r="E17" i="17"/>
  <c r="E25" i="17"/>
  <c r="E33" i="17"/>
  <c r="E18" i="17"/>
  <c r="E26" i="17"/>
  <c r="E34" i="17"/>
  <c r="E19" i="17"/>
  <c r="E27" i="17"/>
  <c r="E35" i="17"/>
  <c r="E20" i="17"/>
  <c r="E28" i="17"/>
  <c r="E12" i="17"/>
  <c r="E13" i="17"/>
  <c r="E21" i="17"/>
  <c r="E29" i="17"/>
  <c r="E14" i="17"/>
  <c r="E22" i="17"/>
  <c r="E30" i="17"/>
  <c r="E15" i="17"/>
  <c r="E23" i="17"/>
  <c r="E31" i="17"/>
  <c r="E16" i="17"/>
  <c r="E24" i="17"/>
  <c r="E32" i="17"/>
  <c r="E17" i="18"/>
  <c r="E18" i="18"/>
  <c r="E19" i="18"/>
  <c r="E20" i="18"/>
  <c r="E13" i="18"/>
  <c r="E21" i="18"/>
  <c r="E14" i="18"/>
  <c r="E22" i="18"/>
  <c r="E15" i="18"/>
  <c r="E23" i="18"/>
  <c r="E16" i="18"/>
  <c r="E12" i="18"/>
  <c r="D7" i="63"/>
  <c r="E17" i="56"/>
  <c r="E25" i="56"/>
  <c r="E33" i="56"/>
  <c r="E41" i="56"/>
  <c r="E49" i="56"/>
  <c r="E57" i="56"/>
  <c r="E18" i="56"/>
  <c r="E26" i="56"/>
  <c r="E34" i="56"/>
  <c r="E42" i="56"/>
  <c r="E50" i="56"/>
  <c r="E58" i="56"/>
  <c r="E12" i="56"/>
  <c r="E19" i="56"/>
  <c r="E27" i="56"/>
  <c r="E35" i="56"/>
  <c r="E43" i="56"/>
  <c r="E51" i="56"/>
  <c r="E59" i="56"/>
  <c r="E20" i="56"/>
  <c r="E28" i="56"/>
  <c r="E36" i="56"/>
  <c r="E44" i="56"/>
  <c r="E52" i="56"/>
  <c r="E60" i="56"/>
  <c r="E21" i="56"/>
  <c r="E29" i="56"/>
  <c r="E37" i="56"/>
  <c r="E45" i="56"/>
  <c r="E53" i="56"/>
  <c r="E61" i="56"/>
  <c r="E14" i="56"/>
  <c r="E22" i="56"/>
  <c r="E30" i="56"/>
  <c r="E38" i="56"/>
  <c r="E46" i="56"/>
  <c r="E54" i="56"/>
  <c r="E62" i="56"/>
  <c r="E15" i="56"/>
  <c r="E23" i="56"/>
  <c r="E31" i="56"/>
  <c r="E39" i="56"/>
  <c r="E47" i="56"/>
  <c r="E55" i="56"/>
  <c r="E63" i="56"/>
  <c r="E16" i="56"/>
  <c r="E24" i="56"/>
  <c r="E32" i="56"/>
  <c r="E40" i="56"/>
  <c r="E48" i="56"/>
  <c r="E56" i="56"/>
  <c r="E13" i="56"/>
  <c r="E15" i="24"/>
  <c r="E22" i="24"/>
  <c r="E17" i="24"/>
  <c r="E18" i="24"/>
  <c r="E21" i="24"/>
  <c r="E16" i="24"/>
  <c r="E19" i="24"/>
  <c r="E20" i="24"/>
  <c r="E16" i="14"/>
  <c r="E17" i="14"/>
  <c r="E18" i="14"/>
  <c r="E19" i="14"/>
  <c r="E20" i="14"/>
  <c r="E21" i="14"/>
  <c r="E23" i="14"/>
  <c r="E22" i="14"/>
  <c r="E13" i="14"/>
  <c r="E14" i="14"/>
  <c r="E15" i="14"/>
  <c r="E19" i="15"/>
  <c r="E20" i="15"/>
  <c r="E36" i="15"/>
  <c r="E52" i="15"/>
  <c r="E68" i="15"/>
  <c r="E37" i="15"/>
  <c r="E53" i="15"/>
  <c r="E69" i="15"/>
  <c r="E56" i="15"/>
  <c r="E21" i="15"/>
  <c r="E22" i="15"/>
  <c r="E38" i="15"/>
  <c r="E54" i="15"/>
  <c r="E70" i="15"/>
  <c r="E39" i="15"/>
  <c r="E55" i="15"/>
  <c r="E71" i="15"/>
  <c r="E40" i="15"/>
  <c r="E72" i="15"/>
  <c r="E35" i="15"/>
  <c r="E23" i="15"/>
  <c r="E24" i="15"/>
  <c r="E25" i="15"/>
  <c r="E41" i="15"/>
  <c r="E57" i="15"/>
  <c r="E73" i="15"/>
  <c r="E27" i="15"/>
  <c r="E59" i="15"/>
  <c r="E26" i="15"/>
  <c r="E42" i="15"/>
  <c r="E58" i="15"/>
  <c r="E74" i="15"/>
  <c r="E43" i="15"/>
  <c r="E75" i="15"/>
  <c r="E13" i="15"/>
  <c r="E49" i="15"/>
  <c r="E65" i="15"/>
  <c r="E28" i="15"/>
  <c r="E44" i="15"/>
  <c r="E60" i="15"/>
  <c r="E12" i="15"/>
  <c r="E51" i="15"/>
  <c r="E29" i="15"/>
  <c r="E45" i="15"/>
  <c r="E61" i="15"/>
  <c r="E67" i="15"/>
  <c r="E14" i="15"/>
  <c r="E30" i="15"/>
  <c r="E46" i="15"/>
  <c r="E62" i="15"/>
  <c r="E31" i="15"/>
  <c r="E47" i="15"/>
  <c r="E63" i="15"/>
  <c r="E17" i="15"/>
  <c r="E15" i="15"/>
  <c r="E33" i="15"/>
  <c r="D11" i="63"/>
  <c r="D6" i="63"/>
  <c r="D12" i="63"/>
  <c r="D8" i="63"/>
  <c r="D10" i="63"/>
  <c r="D13" i="63"/>
  <c r="L25" i="63"/>
  <c r="G25" i="63"/>
  <c r="M25" i="63" s="1"/>
  <c r="K17" i="63"/>
  <c r="E7" i="51"/>
  <c r="F21" i="63"/>
  <c r="L21" i="63" s="1"/>
  <c r="G17" i="63"/>
  <c r="E21" i="63"/>
  <c r="G22" i="63"/>
  <c r="M22" i="63" s="1"/>
  <c r="M17" i="63" l="1"/>
  <c r="D3" i="83"/>
  <c r="K21" i="63"/>
  <c r="G21" i="63"/>
  <c r="M21" i="63" s="1"/>
  <c r="T14" i="52" l="1"/>
  <c r="S14" i="52"/>
  <c r="S12" i="52"/>
  <c r="T12" i="52"/>
  <c r="S15" i="52"/>
  <c r="T15" i="52"/>
  <c r="T13" i="52"/>
  <c r="S13" i="52"/>
  <c r="U14" i="52" l="1"/>
  <c r="U13" i="52"/>
  <c r="U15" i="52"/>
  <c r="U12" i="52"/>
  <c r="C6" i="52" l="1"/>
  <c r="B6" i="52"/>
  <c r="D7" i="52" a="1"/>
  <c r="D7" i="52" s="1"/>
  <c r="E9" i="63"/>
  <c r="B4" i="78" s="1"/>
  <c r="D6" i="52" a="1"/>
  <c r="D6" i="52" s="1"/>
  <c r="E7" i="52" a="1"/>
  <c r="E7" i="52" s="1"/>
  <c r="E6" i="52" a="1"/>
  <c r="E6" i="52" s="1"/>
  <c r="F9" i="63"/>
  <c r="L9" i="63" s="1"/>
  <c r="D4" i="78" l="1"/>
  <c r="C4" i="78" s="1"/>
  <c r="B7" i="78"/>
  <c r="D7" i="78" s="1"/>
  <c r="C7" i="78" s="1"/>
  <c r="A7" i="52"/>
  <c r="D10" i="69" s="1"/>
  <c r="A6" i="52"/>
  <c r="E5" i="69"/>
  <c r="F5" i="69"/>
  <c r="K9" i="63"/>
  <c r="G9" i="63"/>
  <c r="M9" i="63" s="1"/>
  <c r="E5" i="63"/>
  <c r="B2" i="83" l="1"/>
  <c r="B7" i="83" s="1"/>
  <c r="E4" i="63"/>
  <c r="E3" i="63" s="1"/>
  <c r="D9" i="63"/>
  <c r="E16" i="52"/>
  <c r="E17" i="52"/>
  <c r="E18" i="52"/>
  <c r="E19" i="52"/>
  <c r="E12" i="52"/>
  <c r="E13" i="52"/>
  <c r="E14" i="52"/>
  <c r="E15" i="52"/>
  <c r="E6" i="51"/>
  <c r="K5" i="63"/>
  <c r="G5" i="69" l="1"/>
  <c r="E5" i="51"/>
  <c r="G4" i="51" s="1"/>
  <c r="E4" i="69"/>
  <c r="F4" i="69"/>
  <c r="K4" i="63"/>
  <c r="E4" i="78" l="1" a="1"/>
  <c r="E4" i="78" s="1"/>
  <c r="E6" i="78" a="1"/>
  <c r="E6" i="78" s="1"/>
  <c r="E7" i="78" a="1"/>
  <c r="E7" i="78" s="1"/>
  <c r="E5" i="78" a="1"/>
  <c r="E5" i="78" s="1"/>
  <c r="B5" i="83"/>
  <c r="J17" i="83"/>
  <c r="J11" i="83"/>
  <c r="L7" i="63"/>
  <c r="G7" i="63"/>
  <c r="M7" i="63" s="1"/>
  <c r="E4" i="51"/>
  <c r="G4" i="69"/>
  <c r="K3" i="63"/>
  <c r="J18" i="83" l="1"/>
  <c r="L6" i="63"/>
  <c r="G6" i="63"/>
  <c r="F5" i="63"/>
  <c r="C2" i="83" s="1"/>
  <c r="C7" i="83" s="1"/>
  <c r="M6" i="63" l="1"/>
  <c r="F4" i="63"/>
  <c r="L5" i="63"/>
  <c r="G5" i="63"/>
  <c r="H30" i="83" l="1"/>
  <c r="H35" i="83"/>
  <c r="D2" i="83"/>
  <c r="D7" i="83" s="1"/>
  <c r="H34" i="83"/>
  <c r="H31" i="83"/>
  <c r="M5" i="63"/>
  <c r="G4" i="63"/>
  <c r="F3" i="63"/>
  <c r="L4" i="63"/>
  <c r="G34" i="83" l="1"/>
  <c r="G32" i="83"/>
  <c r="G35" i="83"/>
  <c r="G33" i="83"/>
  <c r="G31" i="83"/>
  <c r="G30" i="83"/>
  <c r="L3" i="63"/>
  <c r="C5" i="83"/>
  <c r="K17" i="83"/>
  <c r="K11" i="83"/>
  <c r="H32" i="83"/>
  <c r="H33" i="83"/>
  <c r="G3" i="63"/>
  <c r="H27" i="83" s="1"/>
  <c r="M4" i="63"/>
  <c r="K18" i="83" l="1"/>
  <c r="M3" i="63"/>
  <c r="D5" i="83"/>
  <c r="H24" i="83"/>
  <c r="H25" i="83"/>
  <c r="H26" i="83"/>
  <c r="H23" i="83"/>
  <c r="H22"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Christina Steinhoff</author>
    <author xml:space="preserve"> </author>
  </authors>
  <commentList>
    <comment ref="L11" authorId="0" shapeId="0" xr:uid="{00000000-0006-0000-1100-000003000000}">
      <text>
        <r>
          <rPr>
            <b/>
            <sz val="9"/>
            <color indexed="81"/>
            <rFont val="Tahoma"/>
            <family val="2"/>
          </rPr>
          <t>Christina Steinhoff:</t>
        </r>
        <r>
          <rPr>
            <sz val="9"/>
            <color indexed="81"/>
            <rFont val="Tahoma"/>
            <family val="2"/>
          </rPr>
          <t xml:space="preserve">
Estimate of regional installs</t>
        </r>
      </text>
    </comment>
    <comment ref="M11" authorId="0" shapeId="0" xr:uid="{00000000-0006-0000-1100-000004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F120" authorId="1" shapeId="0" xr:uid="{5E67F015-1B15-4605-B672-7BC515AF54F8}">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120" authorId="1" shapeId="0" xr:uid="{677A4D0B-6A94-4257-9287-16FF0E5B0D9A}">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120" authorId="1" shapeId="0" xr:uid="{30A4B8F6-5D0F-4493-B735-37B73426D896}">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120" authorId="1" shapeId="0" xr:uid="{88AD3750-16F7-409C-93F9-85118EAC3207}">
      <text>
        <r>
          <rPr>
            <b/>
            <sz val="8"/>
            <color indexed="81"/>
            <rFont val="Tahoma"/>
            <family val="2"/>
          </rPr>
          <t xml:space="preserve"> :ProCost</t>
        </r>
        <r>
          <rPr>
            <sz val="8"/>
            <color indexed="81"/>
            <rFont val="Tahoma"/>
            <family val="2"/>
          </rPr>
          <t xml:space="preserve">
Physical life of the measure in years.  Must be &gt;=1.</t>
        </r>
      </text>
    </comment>
    <comment ref="K120" authorId="1" shapeId="0" xr:uid="{C8C55EF4-99B9-45D3-9E13-5BDD83E34C53}">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L120" authorId="1" shapeId="0" xr:uid="{CCB90805-90D3-4DE5-80E6-66A11AAA8859}">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M120" authorId="1" shapeId="0" xr:uid="{47651DD1-8666-4AAF-9B5E-54F479BA3B05}">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N120" authorId="1" shapeId="0" xr:uid="{12C3B754-F380-417F-B314-E7C1CC6AC585}">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F167" authorId="1" shapeId="0" xr:uid="{6F2DA40A-2510-4380-AAD3-3ABF6079A8DA}">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167" authorId="1" shapeId="0" xr:uid="{10286275-5078-4270-BBE3-ABFBCB3030B5}">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167" authorId="1" shapeId="0" xr:uid="{2700CCB2-FA0F-471E-8CA8-59A6B5161A07}">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167" authorId="1" shapeId="0" xr:uid="{0728CFF4-1C7C-45A7-80EB-0C639BD962AC}">
      <text>
        <r>
          <rPr>
            <b/>
            <sz val="8"/>
            <color indexed="81"/>
            <rFont val="Tahoma"/>
            <family val="2"/>
          </rPr>
          <t xml:space="preserve"> :ProCost</t>
        </r>
        <r>
          <rPr>
            <sz val="8"/>
            <color indexed="81"/>
            <rFont val="Tahoma"/>
            <family val="2"/>
          </rPr>
          <t xml:space="preserve">
Physical life of the measure in years.  Must be &gt;=1.</t>
        </r>
      </text>
    </comment>
    <comment ref="K167" authorId="1" shapeId="0" xr:uid="{E5813CC8-312B-4E39-9DDC-428D1D6A86DC}">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L167" authorId="1" shapeId="0" xr:uid="{EA7EB9C8-3F69-4616-BA55-14F5E847C771}">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M167" authorId="1" shapeId="0" xr:uid="{1D28692D-33A5-4DE5-A4B9-24F596CCCEAE}">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N167" authorId="1" shapeId="0" xr:uid="{26F5D7A3-9535-4ABE-835E-0DFF1C4F8A9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2" authorId="0" shapeId="0" xr:uid="{4BE77A6B-B134-4798-903A-DF7FC84FF61D}">
      <text>
        <r>
          <rPr>
            <b/>
            <sz val="9"/>
            <color indexed="81"/>
            <rFont val="Tahoma"/>
            <family val="2"/>
          </rPr>
          <t>Christina Steinhoff:</t>
        </r>
        <r>
          <rPr>
            <sz val="9"/>
            <color indexed="81"/>
            <rFont val="Tahoma"/>
            <family val="2"/>
          </rPr>
          <t xml:space="preserve">
Pulling total sales</t>
        </r>
      </text>
    </comment>
    <comment ref="M12" authorId="0" shapeId="0" xr:uid="{E80E9704-46CE-48D2-A9A1-67CFAA93708D}">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L12" authorId="0" shapeId="0" xr:uid="{00000000-0006-0000-1900-000001000000}">
      <text>
        <r>
          <rPr>
            <b/>
            <sz val="9"/>
            <color indexed="81"/>
            <rFont val="Tahoma"/>
            <family val="2"/>
          </rPr>
          <t>Christina Steinhoff:</t>
        </r>
        <r>
          <rPr>
            <sz val="9"/>
            <color indexed="81"/>
            <rFont val="Tahoma"/>
            <family val="2"/>
          </rPr>
          <t xml:space="preserve">
Pulling total sales</t>
        </r>
      </text>
    </comment>
    <comment ref="M12" authorId="0" shapeId="0" xr:uid="{00000000-0006-0000-19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12" authorId="1" shapeId="0" xr:uid="{B2FF177A-87E8-4353-89C9-A4FCE2C2E4A9}">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I12" authorId="0" shapeId="0" xr:uid="{B8230D1F-41AD-4A91-8D93-A0E6F0BD5389}">
      <text>
        <r>
          <rPr>
            <b/>
            <sz val="9"/>
            <color indexed="81"/>
            <rFont val="Tahoma"/>
            <family val="2"/>
          </rPr>
          <t>Christina Steinhoff:</t>
        </r>
        <r>
          <rPr>
            <sz val="9"/>
            <color indexed="81"/>
            <rFont val="Tahoma"/>
            <family val="2"/>
          </rPr>
          <t xml:space="preserve">
efficiency level</t>
        </r>
      </text>
    </comment>
    <comment ref="L12" authorId="0" shapeId="0" xr:uid="{BC921F2E-D968-44C4-9F10-BFD8F4FC9FB7}">
      <text>
        <r>
          <rPr>
            <b/>
            <sz val="9"/>
            <color indexed="81"/>
            <rFont val="Tahoma"/>
            <family val="2"/>
          </rPr>
          <t>Christina Steinhoff:</t>
        </r>
        <r>
          <rPr>
            <sz val="9"/>
            <color indexed="81"/>
            <rFont val="Tahoma"/>
            <family val="2"/>
          </rPr>
          <t xml:space="preserve">
Estimate of regional installs</t>
        </r>
      </text>
    </comment>
    <comment ref="N12" authorId="0" shapeId="0" xr:uid="{A96D425E-143C-4A37-9788-8B0B1282521F}">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Christina Steinhoff</author>
    <author>Charlie Grist</author>
  </authors>
  <commentList>
    <comment ref="M12" authorId="0" shapeId="0" xr:uid="{00000000-0006-0000-1D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AO76" authorId="1" shapeId="0" xr:uid="{B6273375-B325-4110-A7B0-E385C152E646}">
      <text>
        <r>
          <rPr>
            <b/>
            <sz val="8"/>
            <color indexed="81"/>
            <rFont val="Tahoma"/>
            <family val="2"/>
          </rPr>
          <t>Charlie Grist:</t>
        </r>
        <r>
          <rPr>
            <sz val="8"/>
            <color indexed="81"/>
            <rFont val="Tahoma"/>
            <family val="2"/>
          </rPr>
          <t xml:space="preserve">
These are weighted for fraction of cooled floor area.</t>
        </r>
      </text>
    </comment>
    <comment ref="AP76" authorId="1" shapeId="0" xr:uid="{7E3EAE18-12BF-4B88-8B23-1A8089F1B175}">
      <text>
        <r>
          <rPr>
            <b/>
            <sz val="8"/>
            <color indexed="81"/>
            <rFont val="Tahoma"/>
            <family val="2"/>
          </rPr>
          <t>Charlie Grist:</t>
        </r>
        <r>
          <rPr>
            <sz val="8"/>
            <color indexed="81"/>
            <rFont val="Tahoma"/>
            <family val="2"/>
          </rPr>
          <t xml:space="preserve">
These are weighted for fraction of cooled floor area.</t>
        </r>
      </text>
    </comment>
    <comment ref="AQ76" authorId="1" shapeId="0" xr:uid="{80EA0630-F096-4ADC-AA19-0A0C7E7DA8C1}">
      <text>
        <r>
          <rPr>
            <b/>
            <sz val="8"/>
            <color indexed="81"/>
            <rFont val="Tahoma"/>
            <family val="2"/>
          </rPr>
          <t>Charlie Grist:</t>
        </r>
        <r>
          <rPr>
            <sz val="8"/>
            <color indexed="81"/>
            <rFont val="Tahoma"/>
            <family val="2"/>
          </rPr>
          <t xml:space="preserve">
These are weighted for fraction of cooled floor area.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I11" authorId="0" shapeId="0" xr:uid="{98238812-70F4-4586-A904-2C21C68870DA}">
      <text>
        <r>
          <rPr>
            <b/>
            <sz val="9"/>
            <color indexed="81"/>
            <rFont val="Tahoma"/>
            <family val="2"/>
          </rPr>
          <t>Christina Steinhoff:</t>
        </r>
        <r>
          <rPr>
            <sz val="9"/>
            <color indexed="81"/>
            <rFont val="Tahoma"/>
            <family val="2"/>
          </rPr>
          <t xml:space="preserve">
Note: OR, ID and MT code savings are included because NEEA reports savings using funding shares of the regional savings. This approach is consistent for all measures.</t>
        </r>
      </text>
    </comment>
    <comment ref="L11" authorId="0" shapeId="0" xr:uid="{5FC41913-2607-4048-9E3B-324771B9908D}">
      <text>
        <r>
          <rPr>
            <b/>
            <sz val="9"/>
            <color indexed="81"/>
            <rFont val="Tahoma"/>
            <family val="2"/>
          </rPr>
          <t>Christina Steinhoff:</t>
        </r>
        <r>
          <rPr>
            <sz val="9"/>
            <color indexed="81"/>
            <rFont val="Tahoma"/>
            <family val="2"/>
          </rPr>
          <t xml:space="preserve">
Code savings are above the 2021 Power Plan baseline if adopted after December 31, 2019</t>
        </r>
      </text>
    </comment>
    <comment ref="L34" authorId="0" shapeId="0" xr:uid="{DB853F00-2EEE-49AA-84F2-9666DA4323D9}">
      <text>
        <r>
          <rPr>
            <b/>
            <sz val="9"/>
            <color indexed="81"/>
            <rFont val="Tahoma"/>
            <family val="2"/>
          </rPr>
          <t>Christina Steinhoff:</t>
        </r>
        <r>
          <rPr>
            <sz val="9"/>
            <color indexed="81"/>
            <rFont val="Tahoma"/>
            <family val="2"/>
          </rPr>
          <t xml:space="preserve">
delay in the effective date</t>
        </r>
      </text>
    </comment>
    <comment ref="L42" authorId="0" shapeId="0" xr:uid="{A922E514-213E-44F3-8354-64CDE2848F8D}">
      <text>
        <r>
          <rPr>
            <b/>
            <sz val="9"/>
            <color indexed="81"/>
            <rFont val="Tahoma"/>
            <family val="2"/>
          </rPr>
          <t>Christina Steinhoff:</t>
        </r>
        <r>
          <rPr>
            <sz val="9"/>
            <color indexed="81"/>
            <rFont val="Tahoma"/>
            <family val="2"/>
          </rPr>
          <t xml:space="preserve">
NEEA will be updating the fuel selection assumptions in 2024.</t>
        </r>
      </text>
    </comment>
    <comment ref="L46" authorId="0" shapeId="0" xr:uid="{DD43706F-C695-4EF3-89F0-0CAD88E9EAB5}">
      <text>
        <r>
          <rPr>
            <b/>
            <sz val="9"/>
            <color indexed="81"/>
            <rFont val="Tahoma"/>
            <family val="2"/>
          </rPr>
          <t>Christina Steinhoff:</t>
        </r>
        <r>
          <rPr>
            <sz val="9"/>
            <color indexed="81"/>
            <rFont val="Tahoma"/>
            <family val="2"/>
          </rPr>
          <t xml:space="preserve">
Conservative analysis to account for delays in the effective date.</t>
        </r>
      </text>
    </comment>
    <comment ref="O46" authorId="0" shapeId="0" xr:uid="{724A5805-1C7D-4475-9B0C-C81E6DFC74BC}">
      <text>
        <r>
          <rPr>
            <b/>
            <sz val="9"/>
            <color indexed="81"/>
            <rFont val="Tahoma"/>
            <family val="2"/>
          </rPr>
          <t>Christina Steinhoff:</t>
        </r>
        <r>
          <rPr>
            <sz val="9"/>
            <color indexed="81"/>
            <rFont val="Tahoma"/>
            <family val="2"/>
          </rPr>
          <t xml:space="preserve">
79% of homes use electric heat based on NEEA's WA Code Compliance study.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I11" authorId="0" shapeId="0" xr:uid="{00000000-0006-0000-1400-000001000000}">
      <text>
        <r>
          <rPr>
            <b/>
            <sz val="9"/>
            <color indexed="81"/>
            <rFont val="Tahoma"/>
            <family val="2"/>
          </rPr>
          <t>Christina Steinhoff:</t>
        </r>
        <r>
          <rPr>
            <sz val="9"/>
            <color indexed="81"/>
            <rFont val="Tahoma"/>
            <family val="2"/>
          </rPr>
          <t xml:space="preserve">
Note: OR, ID and MT code savings are included because NEEA reports savings using funding shares of the regional savings. This approach is consistent for all measures.</t>
        </r>
      </text>
    </comment>
    <comment ref="L11" authorId="0" shapeId="0" xr:uid="{61E20E70-1E51-4A57-A04F-A27316F8A7E3}">
      <text>
        <r>
          <rPr>
            <b/>
            <sz val="9"/>
            <color indexed="81"/>
            <rFont val="Tahoma"/>
            <family val="2"/>
          </rPr>
          <t>Christina Steinhoff:</t>
        </r>
        <r>
          <rPr>
            <sz val="9"/>
            <color indexed="81"/>
            <rFont val="Tahoma"/>
            <family val="2"/>
          </rPr>
          <t xml:space="preserve">
Code savings are above the 2021 Power Plan baseline if adopted after December 31, 2019</t>
        </r>
      </text>
    </comment>
    <comment ref="L16" authorId="0" shapeId="0" xr:uid="{C9894CB0-78CC-4FE9-9F2E-C7A1F3596C8A}">
      <text>
        <r>
          <rPr>
            <b/>
            <sz val="9"/>
            <color indexed="81"/>
            <rFont val="Tahoma"/>
            <family val="2"/>
          </rPr>
          <t>Christina Steinhoff:</t>
        </r>
        <r>
          <rPr>
            <sz val="9"/>
            <color indexed="81"/>
            <rFont val="Tahoma"/>
            <family val="2"/>
          </rPr>
          <t xml:space="preserve">
accounts for delay in the effective date &amp; compliance</t>
        </r>
      </text>
    </comment>
    <comment ref="L20" authorId="0" shapeId="0" xr:uid="{0B459D37-BFE4-48F0-A649-9283C77C361D}">
      <text>
        <r>
          <rPr>
            <b/>
            <sz val="9"/>
            <color indexed="81"/>
            <rFont val="Tahoma"/>
            <family val="2"/>
          </rPr>
          <t>Christina Steinhoff:</t>
        </r>
        <r>
          <rPr>
            <sz val="9"/>
            <color indexed="81"/>
            <rFont val="Tahoma"/>
            <family val="2"/>
          </rPr>
          <t xml:space="preserve">
Conservative analysis to account for delays in the effective date and compliance.</t>
        </r>
      </text>
    </comment>
    <comment ref="O20" authorId="0" shapeId="0" xr:uid="{CFAFF9CA-AB3D-4A0E-AA06-D28B528912FF}">
      <text>
        <r>
          <rPr>
            <b/>
            <sz val="9"/>
            <color indexed="81"/>
            <rFont val="Tahoma"/>
            <family val="2"/>
          </rPr>
          <t>Christina Steinhoff:</t>
        </r>
        <r>
          <rPr>
            <sz val="9"/>
            <color indexed="81"/>
            <rFont val="Tahoma"/>
            <family val="2"/>
          </rPr>
          <t xml:space="preserve">
79% of homes use electric space and water heating</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12" authorId="0" shapeId="0" xr:uid="{D1D7E104-1559-4A40-A3C3-E8A7A0AB7242}">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12" authorId="1" shapeId="0" xr:uid="{95AA84A1-E8F3-4FA7-B0B6-C64C09DC7A27}">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N11" authorId="0" shapeId="0" xr:uid="{F6D1EB51-D08E-40BC-825A-AAA393595869}">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00000000-0006-0000-1200-000002000000}">
      <text>
        <r>
          <rPr>
            <b/>
            <sz val="9"/>
            <color indexed="81"/>
            <rFont val="Tahoma"/>
            <family val="2"/>
          </rPr>
          <t>Christina Steinhoff:</t>
        </r>
        <r>
          <rPr>
            <sz val="9"/>
            <color indexed="81"/>
            <rFont val="Tahoma"/>
            <family val="2"/>
          </rPr>
          <t xml:space="preserve">
Units are subsets to the lower efficiency tier.</t>
        </r>
      </text>
    </comment>
    <comment ref="M11" authorId="0" shapeId="0" xr:uid="{00000000-0006-0000-12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N11" authorId="0" shapeId="0" xr:uid="{00000000-0006-0000-1200-000004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M11" authorId="0" shapeId="0" xr:uid="{DB6F9D89-AC80-4C7E-8D68-6BC0983E391D}">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00000000-0006-0000-1B00-000002000000}">
      <text>
        <r>
          <rPr>
            <b/>
            <sz val="9"/>
            <color indexed="81"/>
            <rFont val="Tahoma"/>
            <family val="2"/>
          </rPr>
          <t>Christina Steinhoff:</t>
        </r>
        <r>
          <rPr>
            <sz val="9"/>
            <color indexed="81"/>
            <rFont val="Tahoma"/>
            <family val="2"/>
          </rPr>
          <t xml:space="preserve">
Pulling total sales
values are additive</t>
        </r>
      </text>
    </comment>
    <comment ref="M11" authorId="0" shapeId="0" xr:uid="{00000000-0006-0000-1B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9F53707E-E04B-4652-9A0C-9F1F76552BAE}">
      <text>
        <r>
          <rPr>
            <b/>
            <sz val="9"/>
            <color indexed="81"/>
            <rFont val="Tahoma"/>
            <family val="2"/>
          </rPr>
          <t>Christina Steinhoff:</t>
        </r>
        <r>
          <rPr>
            <sz val="9"/>
            <color indexed="81"/>
            <rFont val="Tahoma"/>
            <family val="2"/>
          </rPr>
          <t xml:space="preserve">
Pulling total sales
values are additive</t>
        </r>
      </text>
    </comment>
    <comment ref="M11" authorId="0" shapeId="0" xr:uid="{49E23EBD-0601-431C-A907-65450B16AAC3}">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Christina Steinhoff</author>
    <author>Ryan Brown</author>
  </authors>
  <commentList>
    <comment ref="L11" authorId="0" shapeId="0" xr:uid="{00000000-0006-0000-1300-000002000000}">
      <text>
        <r>
          <rPr>
            <b/>
            <sz val="9"/>
            <color indexed="81"/>
            <rFont val="Tahoma"/>
            <family val="2"/>
          </rPr>
          <t>Christina Steinhoff:</t>
        </r>
        <r>
          <rPr>
            <sz val="9"/>
            <color indexed="81"/>
            <rFont val="Tahoma"/>
            <family val="2"/>
          </rPr>
          <t xml:space="preserve">
Units are additive</t>
        </r>
      </text>
    </comment>
    <comment ref="M11" authorId="0" shapeId="0" xr:uid="{00000000-0006-0000-13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I93" authorId="1" shapeId="0" xr:uid="{00000000-0006-0000-1300-000016000000}">
      <text>
        <r>
          <rPr>
            <b/>
            <sz val="9"/>
            <color indexed="81"/>
            <rFont val="Tahoma"/>
            <family val="2"/>
          </rPr>
          <t>Ryan Brown:</t>
        </r>
        <r>
          <rPr>
            <sz val="9"/>
            <color indexed="81"/>
            <rFont val="Tahoma"/>
            <family val="2"/>
          </rPr>
          <t xml:space="preserve">
Based upon current available products on markets. To be reviewed in future evaluation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00000000-0006-0000-1800-000001000000}">
      <text>
        <r>
          <rPr>
            <b/>
            <sz val="9"/>
            <color indexed="81"/>
            <rFont val="Tahoma"/>
            <family val="2"/>
          </rPr>
          <t>Christina Steinhoff:</t>
        </r>
        <r>
          <rPr>
            <sz val="9"/>
            <color indexed="81"/>
            <rFont val="Tahoma"/>
            <family val="2"/>
          </rPr>
          <t xml:space="preserve">
Pulling total sales</t>
        </r>
      </text>
    </comment>
    <comment ref="M11" authorId="0" shapeId="0" xr:uid="{00000000-0006-0000-18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1C8A23EF-8884-420D-B13E-3861AFF3094A}">
      <text>
        <r>
          <rPr>
            <b/>
            <sz val="9"/>
            <color indexed="81"/>
            <rFont val="Tahoma"/>
            <family val="2"/>
          </rPr>
          <t>Christina Steinhoff:</t>
        </r>
        <r>
          <rPr>
            <sz val="9"/>
            <color indexed="81"/>
            <rFont val="Tahoma"/>
            <family val="2"/>
          </rPr>
          <t xml:space="preserve">
Pulling total sales</t>
        </r>
      </text>
    </comment>
    <comment ref="M11" authorId="0" shapeId="0" xr:uid="{5E1154EB-16EC-40A1-B17B-488C9B59ABBA}">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4A297EE-1CCC-458E-8AAD-7D5B69510DA1}" keepAlive="1" name="ModelConnection_ExternalData_1" description="Data Model" type="5" refreshedVersion="8" minRefreshableVersion="5" saveData="1">
    <dbPr connection="Data Model Connection" command="vwFlags" commandType="3"/>
    <extLst>
      <ext xmlns:x15="http://schemas.microsoft.com/office/spreadsheetml/2010/11/main" uri="{DE250136-89BD-433C-8126-D09CA5730AF9}">
        <x15:connection id="" model="1"/>
      </ext>
    </extLst>
  </connection>
  <connection id="2" xr16:uid="{CFA1C9E5-3263-4D15-A1F9-A96CEF5D7173}" name="Query - Com_Shares_Elect" description="Connection to the 'Com_Shares_Elect' query in the workbook." type="100" refreshedVersion="8" minRefreshableVersion="5">
    <extLst>
      <ext xmlns:x15="http://schemas.microsoft.com/office/spreadsheetml/2010/11/main" uri="{DE250136-89BD-433C-8126-D09CA5730AF9}">
        <x15:connection id="d91cb289-413c-49d4-8a57-a311e729709b"/>
      </ext>
    </extLst>
  </connection>
  <connection id="3" xr16:uid="{2CBCD6A5-E92B-482B-87AA-217887285376}" name="Query - Funder_Shares_Elect" description="Connection to the 'Funder_Shares_Elect' query in the workbook." type="100" refreshedVersion="8" minRefreshableVersion="5">
    <extLst>
      <ext xmlns:x15="http://schemas.microsoft.com/office/spreadsheetml/2010/11/main" uri="{DE250136-89BD-433C-8126-D09CA5730AF9}">
        <x15:connection id="145a6e60-8ccb-4054-840e-8a7471f0be10"/>
      </ext>
    </extLst>
  </connection>
  <connection id="4" xr16:uid="{DE755D32-D81D-4EE7-8A8D-1D22D6734C56}" name="Query - Merge1" description="Connection to the 'Merge1' query in the workbook." type="100" refreshedVersion="8" minRefreshableVersion="5">
    <extLst>
      <ext xmlns:x15="http://schemas.microsoft.com/office/spreadsheetml/2010/11/main" uri="{DE250136-89BD-433C-8126-D09CA5730AF9}">
        <x15:connection id="4120a0b8-2700-4ccc-9729-9d7dad494c7a"/>
      </ext>
    </extLst>
  </connection>
  <connection id="5" xr16:uid="{59387E25-5223-46E4-9012-48A983B81B1F}" name="Query - Res_Shares_Elect5" description="Connection to the 'Res_Shares_Elect5' query in the workbook." type="100" refreshedVersion="8" minRefreshableVersion="5">
    <extLst>
      <ext xmlns:x15="http://schemas.microsoft.com/office/spreadsheetml/2010/11/main" uri="{DE250136-89BD-433C-8126-D09CA5730AF9}">
        <x15:connection id="a0cc018f-559a-442f-910b-3ba705731fd0"/>
      </ext>
    </extLst>
  </connection>
  <connection id="6" xr16:uid="{C99EC37C-2052-4648-897A-3BD52ECB59EF}" name="Query - State Shares for Codes" description="Connection to the 'State Shares for Codes' query in the workbook." type="100" refreshedVersion="8" minRefreshableVersion="5">
    <extLst>
      <ext xmlns:x15="http://schemas.microsoft.com/office/spreadsheetml/2010/11/main" uri="{DE250136-89BD-433C-8126-D09CA5730AF9}">
        <x15:connection id="ddcd4617-3dca-4853-a11f-8f8d4a54c2d6"/>
      </ext>
    </extLst>
  </connection>
  <connection id="7" xr16:uid="{1DCC2325-EF3F-446B-8AF1-A67D71062091}" name="Query - UnitsFunderShareAllocation" description="Connection to the 'UnitsFunderShareAllocation' query in the workbook." type="100" refreshedVersion="8" minRefreshableVersion="5">
    <extLst>
      <ext xmlns:x15="http://schemas.microsoft.com/office/spreadsheetml/2010/11/main" uri="{DE250136-89BD-433C-8126-D09CA5730AF9}">
        <x15:connection id="76ee26c8-7050-4d5b-8efa-49097a1904e5"/>
      </ext>
    </extLst>
  </connection>
  <connection id="8" xr16:uid="{4054B139-98B4-4BEC-B708-F97FBFBED4EB}" name="Query - vwFlags" description="Connection to the 'vwFlags' query in the workbook." type="100" refreshedVersion="8" minRefreshableVersion="5">
    <extLst>
      <ext xmlns:x15="http://schemas.microsoft.com/office/spreadsheetml/2010/11/main" uri="{DE250136-89BD-433C-8126-D09CA5730AF9}">
        <x15:connection id="3833bb70-20f0-407f-8c21-d299c82d6b1d"/>
      </ext>
    </extLst>
  </connection>
  <connection id="9" xr16:uid="{30052B1F-DB44-4522-9816-69968F766E8D}" name="Query - vwFunderShare1" description="Connection to the 'vwFunderShare' query in the workbook." type="100" refreshedVersion="8" minRefreshableVersion="5">
    <extLst>
      <ext xmlns:x15="http://schemas.microsoft.com/office/spreadsheetml/2010/11/main" uri="{DE250136-89BD-433C-8126-D09CA5730AF9}">
        <x15:connection id="c15b68aa-d8ce-43ec-9e36-155735d7fc0b"/>
      </ext>
    </extLst>
  </connection>
  <connection id="10" xr16:uid="{A9777C27-5887-4CDA-A69F-702FD2756BA7}" keepAlive="1" name="Query - vwFundingCycleFlagsWAIOU" description="Connection to the 'vwFundingCycleFlagsWAIOU' query in the workbook." type="5" refreshedVersion="8" background="1" saveData="1">
    <dbPr connection="Provider=Microsoft.Mashup.OleDb.1;Data Source=$Workbook$;Location=vwFundingCycleFlagsWAIOU;Extended Properties=&quot;&quot;" command="SELECT * FROM [vwFundingCycleFlagsWAIOU]"/>
  </connection>
  <connection id="11" xr16:uid="{086D95A0-635E-4B97-914F-9839D64BF957}" name="Query - vwMeasures" description="Connection to the 'vwMeasures' query in the workbook." type="100" refreshedVersion="8" minRefreshableVersion="5">
    <extLst>
      <ext xmlns:x15="http://schemas.microsoft.com/office/spreadsheetml/2010/11/main" uri="{DE250136-89BD-433C-8126-D09CA5730AF9}">
        <x15:connection id="a613dd8a-5da2-40d3-8682-0a1925d7f924"/>
      </ext>
    </extLst>
  </connection>
  <connection id="12" xr16:uid="{A8BC715E-28E4-4058-B6D7-3225242CBDC4}" name="Query - vwSavingsRates" description="Connection to the 'vwSavingsRates' query in the workbook." type="100" refreshedVersion="8" minRefreshableVersion="5">
    <extLst>
      <ext xmlns:x15="http://schemas.microsoft.com/office/spreadsheetml/2010/11/main" uri="{DE250136-89BD-433C-8126-D09CA5730AF9}">
        <x15:connection id="c180479b-6ffa-4329-b490-dbf328c186c0"/>
      </ext>
    </extLst>
  </connection>
  <connection id="13" xr16:uid="{D9589451-AB89-4FD7-B26A-0C24DD9F9DEE}" name="Query - vwUnits" description="Connection to the 'vwUnits' query in the workbook." type="100" refreshedVersion="8" minRefreshableVersion="5">
    <extLst>
      <ext xmlns:x15="http://schemas.microsoft.com/office/spreadsheetml/2010/11/main" uri="{DE250136-89BD-433C-8126-D09CA5730AF9}">
        <x15:connection id="55fd05d5-6ad5-4472-af6f-b694d93a3a74"/>
      </ext>
    </extLst>
  </connection>
  <connection id="14" xr16:uid="{C56B7312-DB42-4975-A83F-BD51AD903E86}" name="Query - vwWAIOU(1)" description="Connection to the 'vwWAIOU' query in the workbook." type="100" refreshedVersion="8" minRefreshableVersion="5">
    <extLst>
      <ext xmlns:x15="http://schemas.microsoft.com/office/spreadsheetml/2010/11/main" uri="{DE250136-89BD-433C-8126-D09CA5730AF9}">
        <x15:connection id="d676982d-1981-48ba-ac83-9716002345c8"/>
      </ext>
    </extLst>
  </connection>
  <connection id="15" xr16:uid="{922DA24C-5050-48E1-A97F-4FA73798DE8C}"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16" xr16:uid="{00000000-0015-0000-FFFF-FFFF00000000}" odcFile="\\vFP01\USER$\kbilleci\Documents\My Data Sources\VAMMOPROD02 Planning.odc" keepAlive="1" name="VAMMOPROD02 Planning" type="5" refreshedVersion="8" background="1">
    <dbPr connection="Provider=MSOLAP.8;Integrated Security=SSPI;Persist Security Info=True;Initial Catalog=Planning;Data Source=VAMMOPROD02;MDX Compatibility=1;Safety Options=2;MDX Missing Member Mode=Error;Update Isolation Level=2" command="Planning" commandType="1"/>
    <olapPr sendLocale="1" rowDrillCount="1000"/>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2">
    <s v="ThisWorkbookDataModel"/>
    <s v="{[vwWAIOU].[Snapshot].&amp;[Current Data]}"/>
  </metadataStrings>
  <mdxMetadata count="1">
    <mdx n="0" f="s">
      <ms ns="1" c="0"/>
    </mdx>
  </mdxMetadata>
  <futureMetadata name="XLDAPR" count="1">
    <bk>
      <extLst>
        <ext uri="{bdbb8cdc-fa1e-496e-a857-3c3f30c029c3}">
          <xda:dynamicArrayProperties fDynamic="1" fCollapsed="0"/>
        </ext>
      </extLst>
    </bk>
  </futureMetadata>
  <cellMetadata count="1">
    <bk>
      <rc t="2" v="0"/>
    </bk>
  </cellMetadata>
  <valueMetadata count="1">
    <bk>
      <rc t="1" v="0"/>
    </bk>
  </valueMetadata>
</metadata>
</file>

<file path=xl/sharedStrings.xml><?xml version="1.0" encoding="utf-8"?>
<sst xmlns="http://schemas.openxmlformats.org/spreadsheetml/2006/main" count="29359" uniqueCount="2823">
  <si>
    <t>Measure Index</t>
  </si>
  <si>
    <t>Code</t>
  </si>
  <si>
    <t>Standard</t>
  </si>
  <si>
    <t>Sector</t>
  </si>
  <si>
    <t>Initiative</t>
  </si>
  <si>
    <t>Product</t>
  </si>
  <si>
    <t>Tier</t>
  </si>
  <si>
    <t>Measure</t>
  </si>
  <si>
    <t>Year</t>
  </si>
  <si>
    <t>Savings Rate</t>
  </si>
  <si>
    <t>Initiative Index</t>
  </si>
  <si>
    <t>Total Regional Savings</t>
  </si>
  <si>
    <t>Gross Local Program</t>
  </si>
  <si>
    <t>Baseline</t>
  </si>
  <si>
    <t>Funder Share</t>
  </si>
  <si>
    <t>Remaining Savings</t>
  </si>
  <si>
    <t>COM_200002_P1T1</t>
  </si>
  <si>
    <t>COM_200002_P2T1</t>
  </si>
  <si>
    <t>COM_200202_P1T5</t>
  </si>
  <si>
    <t>COM_200202_P2T4</t>
  </si>
  <si>
    <t>COM_200202_P3T5</t>
  </si>
  <si>
    <t>COM_200202_P4T6</t>
  </si>
  <si>
    <t>COM_200802_P1T1</t>
  </si>
  <si>
    <t>COM_200803_P1T1</t>
  </si>
  <si>
    <t>COM_201201_P1T1</t>
  </si>
  <si>
    <t>COM_201305_P1T1</t>
  </si>
  <si>
    <t>COM_201401_P1T1</t>
  </si>
  <si>
    <t>COM_201403_P1T1</t>
  </si>
  <si>
    <t>COM_201403_P2T1</t>
  </si>
  <si>
    <t>Industrial</t>
  </si>
  <si>
    <t>IND_199902_P1T1</t>
  </si>
  <si>
    <t>IND_199902_P2T1</t>
  </si>
  <si>
    <t>IND_200402_P1T1</t>
  </si>
  <si>
    <t>IND_200402_P2T1</t>
  </si>
  <si>
    <t>IND_200602_P1T1</t>
  </si>
  <si>
    <t>IND_201301_P1T1</t>
  </si>
  <si>
    <t>RES_199702_P1T4</t>
  </si>
  <si>
    <t>RES_199702_P1T5</t>
  </si>
  <si>
    <t>RES_199702_P1T6</t>
  </si>
  <si>
    <t>RES_199702_P1T7</t>
  </si>
  <si>
    <t>RES_199702_P1T8</t>
  </si>
  <si>
    <t>RES_199703_P1T1</t>
  </si>
  <si>
    <t>RES_199703_P2T1</t>
  </si>
  <si>
    <t>RES_200401_P11T1</t>
  </si>
  <si>
    <t>RES_200401_P5T1</t>
  </si>
  <si>
    <t>RES_200401_P6T1</t>
  </si>
  <si>
    <t>RES_200401_P7T1</t>
  </si>
  <si>
    <t>RES_200804_P1T1</t>
  </si>
  <si>
    <t>RES_200804_P2T1</t>
  </si>
  <si>
    <t>RES_200804_P3T1</t>
  </si>
  <si>
    <t>RES_201101_P1T1</t>
  </si>
  <si>
    <t>RES_201202_P1T1</t>
  </si>
  <si>
    <t>RES_201202_P1T2</t>
  </si>
  <si>
    <t>RES_201202_P2T1</t>
  </si>
  <si>
    <t>RES_201202_P2T2</t>
  </si>
  <si>
    <t>RES_201301_P10T1</t>
  </si>
  <si>
    <t>RES_201301_P12T1</t>
  </si>
  <si>
    <t>RES_201301_P1T4</t>
  </si>
  <si>
    <t>RES_201301_P1T5</t>
  </si>
  <si>
    <t>RES_201301_P2T4</t>
  </si>
  <si>
    <t>RES_201301_P2T5</t>
  </si>
  <si>
    <t>RES_201301_P3T4</t>
  </si>
  <si>
    <t>RES_201301_P3T5</t>
  </si>
  <si>
    <t>RES_201301_P4T4</t>
  </si>
  <si>
    <t>RES_201301_P4T5</t>
  </si>
  <si>
    <t>RES_201301_P8T1</t>
  </si>
  <si>
    <t>RES_201301_P9T1</t>
  </si>
  <si>
    <t>COM_200701_P1T3</t>
  </si>
  <si>
    <t>RES_200601_P4T4</t>
  </si>
  <si>
    <t>RES_200601_P4T5</t>
  </si>
  <si>
    <t>RES_200601_P1T5</t>
  </si>
  <si>
    <t>RES_200601_P2T5</t>
  </si>
  <si>
    <t>RES_201301_P14T1</t>
  </si>
  <si>
    <t>RES_201301_P15T1</t>
  </si>
  <si>
    <t>RES_201301_P15T2</t>
  </si>
  <si>
    <t>RES_201301_P15T3</t>
  </si>
  <si>
    <t>RES_201301_P15T4</t>
  </si>
  <si>
    <t>RES_201301_P13T1</t>
  </si>
  <si>
    <t>RES_201301_P13T2</t>
  </si>
  <si>
    <t>RES_201301_P13T3</t>
  </si>
  <si>
    <t>RES_201301_P13T4</t>
  </si>
  <si>
    <t>RES_201301_P3T3</t>
  </si>
  <si>
    <t>RES_201403_P7T1</t>
  </si>
  <si>
    <t>RES_201403_P2T3</t>
  </si>
  <si>
    <t>RES_201101_P1T2</t>
  </si>
  <si>
    <t>RES_201101_P1T3</t>
  </si>
  <si>
    <t>RES_201101_P1T4</t>
  </si>
  <si>
    <t>RES_201101_P1T5</t>
  </si>
  <si>
    <t>RES_201403_P4T3</t>
  </si>
  <si>
    <t>COM_201403_P3T1</t>
  </si>
  <si>
    <t>COM_201403_P4T1</t>
  </si>
  <si>
    <t>RES_201403_P6T1</t>
  </si>
  <si>
    <t>RES_201403_P6T2</t>
  </si>
  <si>
    <t>RES_201403_P8T1</t>
  </si>
  <si>
    <t>RES_201403_P8T2</t>
  </si>
  <si>
    <t>RES_201403_P8T3</t>
  </si>
  <si>
    <t>RES_199702_P1T0</t>
  </si>
  <si>
    <t>RES_199702_P1T9</t>
  </si>
  <si>
    <t>RES_199703_P3T1</t>
  </si>
  <si>
    <t>RES_199703_P4T1</t>
  </si>
  <si>
    <t>COM_201403_P3T0</t>
  </si>
  <si>
    <t>COM_201403_P4T0</t>
  </si>
  <si>
    <t>RES_201403_P9T0</t>
  </si>
  <si>
    <t>RES_201403_P9T1</t>
  </si>
  <si>
    <t>RES_201403_P9T2</t>
  </si>
  <si>
    <t>COM_200803_P2T1</t>
  </si>
  <si>
    <t>COM_200803_P3T1</t>
  </si>
  <si>
    <t>COM_200803_P4T1</t>
  </si>
  <si>
    <t>COM_201403_P1T0</t>
  </si>
  <si>
    <t>COM_201403_P2T0</t>
  </si>
  <si>
    <t>RES_201403_P10T1</t>
  </si>
  <si>
    <t>RES_201403_P10T0</t>
  </si>
  <si>
    <t>RES_201403_P5T1</t>
  </si>
  <si>
    <t>RES_201101_P1T6</t>
  </si>
  <si>
    <t>RES_201301_P17T1</t>
  </si>
  <si>
    <t>RES_201301_P18T1</t>
  </si>
  <si>
    <t>RES_201403_P3T1</t>
  </si>
  <si>
    <t>RES_201403_P4T1</t>
  </si>
  <si>
    <t>COM_201304_P7T1</t>
  </si>
  <si>
    <t>Council Baseline</t>
  </si>
  <si>
    <t>Baseline Assumption</t>
  </si>
  <si>
    <t>Comments</t>
  </si>
  <si>
    <t>Units</t>
  </si>
  <si>
    <t xml:space="preserve">Savings Rate </t>
  </si>
  <si>
    <t>aMW Savings</t>
  </si>
  <si>
    <t>Lookups</t>
  </si>
  <si>
    <t>Current Data</t>
  </si>
  <si>
    <t>RES_201403_P8T0</t>
  </si>
  <si>
    <t>Commissioning Buildings</t>
  </si>
  <si>
    <t>Desktop Power Supplies</t>
  </si>
  <si>
    <t>Commercial Real Estate</t>
  </si>
  <si>
    <t>Building Operator Certification Expansion</t>
  </si>
  <si>
    <t>Luminaire Level Lighting Controls</t>
  </si>
  <si>
    <t>Reduced Wattage Lamp Replacement</t>
  </si>
  <si>
    <t>Other Strategic Energy Management</t>
  </si>
  <si>
    <t>Drive Power</t>
  </si>
  <si>
    <t>Certified Refrigeration Energy Specialist (CRES)</t>
  </si>
  <si>
    <t>Clothes Washers</t>
  </si>
  <si>
    <t>Residential Lighting</t>
  </si>
  <si>
    <t>Ductless Heat Pumps</t>
  </si>
  <si>
    <t>Super-Efficient Dryers</t>
  </si>
  <si>
    <t>Heat Pump Water Heaters</t>
  </si>
  <si>
    <t>Retail Product Portfolio</t>
  </si>
  <si>
    <t>BOC</t>
  </si>
  <si>
    <t>Clothes Washers Front Loading</t>
  </si>
  <si>
    <t>Tier 1</t>
  </si>
  <si>
    <t>Tier 2</t>
  </si>
  <si>
    <t>Existing Building Renewal</t>
  </si>
  <si>
    <t>CEE Tier 1</t>
  </si>
  <si>
    <t>CEE Tier 2</t>
  </si>
  <si>
    <t>CEE Tier 3</t>
  </si>
  <si>
    <t>ENERGY STAR Most Efficient</t>
  </si>
  <si>
    <t>Initiative Description</t>
  </si>
  <si>
    <t>Accelerate the adoption and market acceptance of inverter-driven ductless heat pumps in electrically heated homes.</t>
  </si>
  <si>
    <t>Achieve lasting improvement in the energy efficient and maintenance (O&amp;M) of commercial buildings by developing market demand for and increasing the supply of educated and credentialed building operators.</t>
  </si>
  <si>
    <t>CRES certification becomes a required credential to work as a refrigeration operator in the Industrial Refrigeration Market.</t>
  </si>
  <si>
    <t>Establish Strategic Energy Management as a common business practice in select commercial and industrial sectors</t>
  </si>
  <si>
    <t>NEEA collaborated with the region to develop and implement strategic market interventions that accelerated the market adoption of ENERGY STAR compact fluorescent lamps.</t>
  </si>
  <si>
    <t>NEEA engaged with computer manufacturers to expedite the adoption of highly efficient power supplies while also developing and advocating for a standard thereby dramatically improving the energy efficiency of commercial desktops.</t>
  </si>
  <si>
    <t>NEEA helped make commissioning standard practice in public buildings in the Northwest by educating and building awareness of the value of commissioning, supporting the Building Commissioning Association and supporting projects like the commissioning certification.</t>
  </si>
  <si>
    <t>NEEA influenced more stringent efficiency standards for clothes washers and accelerated market adoption by partnering with manufacturers, utilities and retailers to increase availability and increase consumer demand through targeted public outreach and marketing campaigns.</t>
  </si>
  <si>
    <t>NEEA partnered with the League of the Pacific Northwest to increase the region’s motor fleet efficiency by influencing end-users to incorporate life-cycle analysis in investment decisions and helping motor service centers improve repair and motor management services.</t>
  </si>
  <si>
    <t>Providing information and technical expertise to create new and more stringent building codes and providing technical support and training after code adoption.</t>
  </si>
  <si>
    <t>Supporting manufacturer development and US market entry of super-efficient dryers; influencing improved federal test protocols and efficiency standards requiring heat pump technology for residential clothes dryers.</t>
  </si>
  <si>
    <t>The Existing Building Renewal (EBR) initiative demonstrates the competitive advantages and investment opportunity of energy efficiency gained through comprehensive deep-energy retrofits to owners and investors of commercial real estate office buildings over 20,000 sq. ft.</t>
  </si>
  <si>
    <t>ElecHt%TYP</t>
  </si>
  <si>
    <t>GasHt%TYP</t>
  </si>
  <si>
    <t>HtPmpHt%TYP</t>
  </si>
  <si>
    <t>Large Off</t>
  </si>
  <si>
    <t>Medium Off</t>
  </si>
  <si>
    <t>Small Off</t>
  </si>
  <si>
    <t>Xlarge Ret</t>
  </si>
  <si>
    <t>Large Ret</t>
  </si>
  <si>
    <t>Medium Ret</t>
  </si>
  <si>
    <t>Small Ret</t>
  </si>
  <si>
    <t>School K-12</t>
  </si>
  <si>
    <t>University</t>
  </si>
  <si>
    <t>Warehouse</t>
  </si>
  <si>
    <t>Supermarket</t>
  </si>
  <si>
    <t>MiniMart</t>
  </si>
  <si>
    <t>Restaurant</t>
  </si>
  <si>
    <t>Lodging</t>
  </si>
  <si>
    <t>Hospital</t>
  </si>
  <si>
    <t>Residential Care</t>
  </si>
  <si>
    <t>Assembly</t>
  </si>
  <si>
    <t>Other</t>
  </si>
  <si>
    <t>Savings Rates</t>
  </si>
  <si>
    <t>Duplicate?</t>
  </si>
  <si>
    <t xml:space="preserve">Total Regional </t>
  </si>
  <si>
    <t>7th PP</t>
  </si>
  <si>
    <t>Category Name</t>
  </si>
  <si>
    <t>Measure Name</t>
  </si>
  <si>
    <t>Savings (kwh/yr)</t>
  </si>
  <si>
    <t>Life (yrs)</t>
  </si>
  <si>
    <t>Capital Cost</t>
  </si>
  <si>
    <t>Annual O&amp;M</t>
  </si>
  <si>
    <t>Shape Pointer</t>
  </si>
  <si>
    <t>Non-E Val ($/yr)</t>
  </si>
  <si>
    <t>Install Ductless Heat Pump in House with Existing FAF - Single Family Home - HZ1</t>
  </si>
  <si>
    <t>ResSpHtHPZ1</t>
  </si>
  <si>
    <t>Install Ductless Heat Pump in House with Existing FAF - Single Family Home - HZ2</t>
  </si>
  <si>
    <t>ResSpHtHPZ2</t>
  </si>
  <si>
    <t>Install Ductless Heat Pump in House with Existing FAF - Single Family Home - HZ3</t>
  </si>
  <si>
    <t>ResSpHtHPZ3</t>
  </si>
  <si>
    <t>Install Ductless Heat Pump in House with Existing FAF - Manufactured Home - HZ1</t>
  </si>
  <si>
    <t>Install Ductless Heat Pump in House with Existing FAF - Manufactured Home - HZ2</t>
  </si>
  <si>
    <t>Install Ductless Heat Pump in House with Existing FAF - Manufactured Home - HZ3</t>
  </si>
  <si>
    <t>Residential</t>
  </si>
  <si>
    <t>COM_201201</t>
  </si>
  <si>
    <t>COM_200803</t>
  </si>
  <si>
    <t>COM_200002</t>
  </si>
  <si>
    <t>COM_200701</t>
  </si>
  <si>
    <t>COM_201305</t>
  </si>
  <si>
    <t>COM_201401</t>
  </si>
  <si>
    <t>COM_200202</t>
  </si>
  <si>
    <t>COM_201403</t>
  </si>
  <si>
    <t>IND_200402</t>
  </si>
  <si>
    <t>IND_201301</t>
  </si>
  <si>
    <t>RES_199702</t>
  </si>
  <si>
    <t>RES_200804</t>
  </si>
  <si>
    <t>RES_201202</t>
  </si>
  <si>
    <t>RES_200601</t>
  </si>
  <si>
    <t>RES_201301</t>
  </si>
  <si>
    <t>RES_199703</t>
  </si>
  <si>
    <t>RES_201403</t>
  </si>
  <si>
    <t>RES_201101</t>
  </si>
  <si>
    <t>COM_201304</t>
  </si>
  <si>
    <t>COM_201405</t>
  </si>
  <si>
    <t>Res_201403</t>
  </si>
  <si>
    <t>RES_201403_P11T1</t>
  </si>
  <si>
    <t>RES_201403_P11T2</t>
  </si>
  <si>
    <t>RES_201403_P11T3</t>
  </si>
  <si>
    <t>frozen</t>
  </si>
  <si>
    <t>actual</t>
  </si>
  <si>
    <t>2018</t>
  </si>
  <si>
    <t>2019</t>
  </si>
  <si>
    <t>Air Cleaner</t>
  </si>
  <si>
    <t>Battery Chargers</t>
  </si>
  <si>
    <t>BOC_Expansion</t>
  </si>
  <si>
    <t>Clothes Dryers</t>
  </si>
  <si>
    <t>Clothes Washers Top Loading</t>
  </si>
  <si>
    <t>Commercial SEM</t>
  </si>
  <si>
    <t>Cx</t>
  </si>
  <si>
    <t>DHP FAF</t>
  </si>
  <si>
    <t>DHP MH FAF</t>
  </si>
  <si>
    <t>DHP Zonal</t>
  </si>
  <si>
    <t>Dishwashers</t>
  </si>
  <si>
    <t>Efficient Motor Rewinds</t>
  </si>
  <si>
    <t>External Power Supplies</t>
  </si>
  <si>
    <t>Home Audio</t>
  </si>
  <si>
    <t>ID Code</t>
  </si>
  <si>
    <t>ID Commercial Codes</t>
  </si>
  <si>
    <t>ID Homes (Next Step)</t>
  </si>
  <si>
    <t>ID Multifamily Code</t>
  </si>
  <si>
    <t>Industrial SEM</t>
  </si>
  <si>
    <t>LED General Purpose</t>
  </si>
  <si>
    <t>LED Specialty</t>
  </si>
  <si>
    <t>Motors Federal Standard</t>
  </si>
  <si>
    <t>MT Code</t>
  </si>
  <si>
    <t>MT Commercial Codes</t>
  </si>
  <si>
    <t>MT Homes (Next Step)</t>
  </si>
  <si>
    <t>MT Multifamily Code</t>
  </si>
  <si>
    <t>NEMA Premium Motors (Non-Standard)</t>
  </si>
  <si>
    <t>Northwest</t>
  </si>
  <si>
    <t>OR Code</t>
  </si>
  <si>
    <t>OR Commercial Codes</t>
  </si>
  <si>
    <t>OR Homes (Next Step)</t>
  </si>
  <si>
    <t>OR Multifamily Code</t>
  </si>
  <si>
    <t>rCx</t>
  </si>
  <si>
    <t>Refrigerators</t>
  </si>
  <si>
    <t>Refrigerators- Bottom Freezers</t>
  </si>
  <si>
    <t>Refrigerators- Other</t>
  </si>
  <si>
    <t>Refrigerators- Side Freezers</t>
  </si>
  <si>
    <t>Residential Central AC</t>
  </si>
  <si>
    <t>Residential Heat Pumps</t>
  </si>
  <si>
    <t>Small Electric Motors</t>
  </si>
  <si>
    <t>T8 Fluorescent 25W- Commercial</t>
  </si>
  <si>
    <t>T8 Fluorescent 25W- Industrial</t>
  </si>
  <si>
    <t>T8 Fluorescent 28W- Commercial</t>
  </si>
  <si>
    <t>T8 Fluorescent 28W- Industrial</t>
  </si>
  <si>
    <t>Upright Freezers</t>
  </si>
  <si>
    <t>WA Code</t>
  </si>
  <si>
    <t>WA Commercial Codes</t>
  </si>
  <si>
    <t>WA Homes (Next Step)</t>
  </si>
  <si>
    <t>WA Multifamily Code</t>
  </si>
  <si>
    <t>Furnace Fans</t>
  </si>
  <si>
    <t>TBD</t>
  </si>
  <si>
    <t>All Product Classes</t>
  </si>
  <si>
    <t>Single Tier</t>
  </si>
  <si>
    <t>Below Fed Stnd (IMEF 0.88-1.02)</t>
  </si>
  <si>
    <t>Below Fed Stnd (IMEF 1.03-1.31)</t>
  </si>
  <si>
    <t>Energy Star (IMEF 2.06-2.37)</t>
  </si>
  <si>
    <t>Fed Standard (IMEF 1.32-1.58)</t>
  </si>
  <si>
    <t>Fed Standard (IMEF 1.59-2.05)</t>
  </si>
  <si>
    <t>Energy Factor 52</t>
  </si>
  <si>
    <t>Energy Factor 58</t>
  </si>
  <si>
    <t>Energy Factor 65</t>
  </si>
  <si>
    <t>Energy Factor 68</t>
  </si>
  <si>
    <t>IECC 2006</t>
  </si>
  <si>
    <t>IECC 2009</t>
  </si>
  <si>
    <t>IECC 2012 w ID amend.</t>
  </si>
  <si>
    <t>IECC 2015</t>
  </si>
  <si>
    <t>IECC 2018</t>
  </si>
  <si>
    <t>ID 2000 &amp; 2003 IECC</t>
  </si>
  <si>
    <t>ID 2006 IECC</t>
  </si>
  <si>
    <t>ID 2009 IECC</t>
  </si>
  <si>
    <t>ID 2012 IECC</t>
  </si>
  <si>
    <t>Next Step Home</t>
  </si>
  <si>
    <t>IECC 2003 w MT amend.</t>
  </si>
  <si>
    <t>IECC 2009 w MT amend.</t>
  </si>
  <si>
    <t>IECC 2012 w MT amend.</t>
  </si>
  <si>
    <t>IECC 2021</t>
  </si>
  <si>
    <t>MT 2003 IECC w/ Amend</t>
  </si>
  <si>
    <t>MT 2009 IECC w/ Amend</t>
  </si>
  <si>
    <t>MT 2012 IECC</t>
  </si>
  <si>
    <t>Or. Res Specialty 2008</t>
  </si>
  <si>
    <t>OR 2004 OSSC</t>
  </si>
  <si>
    <t>OR 2007 OSSC</t>
  </si>
  <si>
    <t>OR 2014 OEESC</t>
  </si>
  <si>
    <t>ENERGY STAR +10-15% above Standard (CEE Tier 1)</t>
  </si>
  <si>
    <t>ENERGY STAR +15-20% above Standard (CEE Tier 2; 2016 and 2017 ENERGY STAR Most Efficient)</t>
  </si>
  <si>
    <t>ENERGY STAR +20% or better above Standard (CEE Tier 3)</t>
  </si>
  <si>
    <t>ENERGY STAR 2003</t>
  </si>
  <si>
    <t>ENERGY STAR 2008</t>
  </si>
  <si>
    <t>WSEC 2006</t>
  </si>
  <si>
    <t>WSEC 2009</t>
  </si>
  <si>
    <t>WSEC 2012</t>
  </si>
  <si>
    <t>WSEC 2015</t>
  </si>
  <si>
    <t>WSEC 2018</t>
  </si>
  <si>
    <t>WA 2000 &amp; 2003 WSEC</t>
  </si>
  <si>
    <t>WA 2004 WSEC</t>
  </si>
  <si>
    <t>WA 2009 WSEC</t>
  </si>
  <si>
    <t>WA 2012 WSEC</t>
  </si>
  <si>
    <t>RES_201403_P2T1</t>
  </si>
  <si>
    <t>RES_201403_P2T2</t>
  </si>
  <si>
    <t>RES_201402_P3T1</t>
  </si>
  <si>
    <t>COM_199701_P1T1</t>
  </si>
  <si>
    <t>RES_201402_P6T1</t>
  </si>
  <si>
    <t>RES_199702_P1T1</t>
  </si>
  <si>
    <t>RES_199702_P1T2</t>
  </si>
  <si>
    <t>RES_199702_P1T3</t>
  </si>
  <si>
    <t>COM_201405_P2T1</t>
  </si>
  <si>
    <t>RES_201403_P10T2</t>
  </si>
  <si>
    <t>RES_200005_P1T1</t>
  </si>
  <si>
    <t>RES_200005_P1T2</t>
  </si>
  <si>
    <t>RES_200005_P1T3</t>
  </si>
  <si>
    <t>RES_200005_P1T4</t>
  </si>
  <si>
    <t>RES_201402_P7T1</t>
  </si>
  <si>
    <t>COM_201304_P2T1</t>
  </si>
  <si>
    <t>RES_201402_P8T1</t>
  </si>
  <si>
    <t>RES_201403_P4T2</t>
  </si>
  <si>
    <t>RES_200401_P1T1</t>
  </si>
  <si>
    <t>RES_200401_P1T2</t>
  </si>
  <si>
    <t>RES_200401_P1T3</t>
  </si>
  <si>
    <t>COM_200202_P1T1</t>
  </si>
  <si>
    <t>COM_200202_P1T2</t>
  </si>
  <si>
    <t>COM_200202_P1T3</t>
  </si>
  <si>
    <t>COM_200202_P1T4</t>
  </si>
  <si>
    <t>RES_201301_P5T1</t>
  </si>
  <si>
    <t>RES_200601_P1T1</t>
  </si>
  <si>
    <t>RES_200601_P1T2</t>
  </si>
  <si>
    <t>RES_200601_P1T3</t>
  </si>
  <si>
    <t>COM_201405_P1T1</t>
  </si>
  <si>
    <t>IND_200402_P3T1</t>
  </si>
  <si>
    <t>RES_200401_P2T1</t>
  </si>
  <si>
    <t>RES_200401_P2T2</t>
  </si>
  <si>
    <t>RES_200401_P2T3</t>
  </si>
  <si>
    <t>COM_200202_P2T1</t>
  </si>
  <si>
    <t>COM_200202_P2T2</t>
  </si>
  <si>
    <t>COM_200202_P2T3</t>
  </si>
  <si>
    <t>RES_201301_P6T1</t>
  </si>
  <si>
    <t>RES_200601_P2T1</t>
  </si>
  <si>
    <t>RES_200601_P2T2</t>
  </si>
  <si>
    <t>RES_200601_P2T3</t>
  </si>
  <si>
    <t>RES_200401_P13T1</t>
  </si>
  <si>
    <t>RES_200401_P3T1</t>
  </si>
  <si>
    <t>RES_200401_P3T2</t>
  </si>
  <si>
    <t>COM_200202_P3T1</t>
  </si>
  <si>
    <t>COM_200202_P3T2</t>
  </si>
  <si>
    <t>COM_200202_P3T3</t>
  </si>
  <si>
    <t>COM_200202_P3T4</t>
  </si>
  <si>
    <t>RES_201301_P7T1</t>
  </si>
  <si>
    <t>RES_200601_P3T1</t>
  </si>
  <si>
    <t>RES_200006_P1T3</t>
  </si>
  <si>
    <t>RES_200006_P1T4</t>
  </si>
  <si>
    <t>RES_200006_P1T5</t>
  </si>
  <si>
    <t>RES_200006_P1T1</t>
  </si>
  <si>
    <t>RES_200006_P1T2</t>
  </si>
  <si>
    <t>RES_201403_P12T1</t>
  </si>
  <si>
    <t>RES_201403_P12T2</t>
  </si>
  <si>
    <t>RES_201403_P13T1</t>
  </si>
  <si>
    <t>RES_201403_P13T2</t>
  </si>
  <si>
    <t>RES_201402_P2T1</t>
  </si>
  <si>
    <t>RES_201402_P4T1</t>
  </si>
  <si>
    <t>COM_201304_P4T1</t>
  </si>
  <si>
    <t>RES_201403_P5T3</t>
  </si>
  <si>
    <t>RES_200401_P4T1</t>
  </si>
  <si>
    <t>RES_200401_P4T2</t>
  </si>
  <si>
    <t>RES_200401_P4T3</t>
  </si>
  <si>
    <t>RES_201301_P4T6</t>
  </si>
  <si>
    <t>COM_200202_P4T1</t>
  </si>
  <si>
    <t>COM_200202_P4T2</t>
  </si>
  <si>
    <t>COM_200202_P4T4</t>
  </si>
  <si>
    <t>COM_200202_P4T5</t>
  </si>
  <si>
    <t>RES_201301_P11T1</t>
  </si>
  <si>
    <t>RES_200601_P4T1</t>
  </si>
  <si>
    <t>RES_200601_P4T2</t>
  </si>
  <si>
    <t>RES_200601_P4T3</t>
  </si>
  <si>
    <t>RES_201402_P5T1</t>
  </si>
  <si>
    <t>Building Operator Certification</t>
  </si>
  <si>
    <t>Efficient Homes</t>
  </si>
  <si>
    <t>2019RES_201403_P8T1</t>
  </si>
  <si>
    <t>COM_200202_P4T3</t>
  </si>
  <si>
    <t>WA 2006 WSEC</t>
  </si>
  <si>
    <t>COM_200701_P1T1</t>
  </si>
  <si>
    <t>Commercial Desktops</t>
  </si>
  <si>
    <t>80 PLUS</t>
  </si>
  <si>
    <t>Grocery</t>
  </si>
  <si>
    <t>Healthcare</t>
  </si>
  <si>
    <t>Healthcare SEM</t>
  </si>
  <si>
    <t>CRE SEM</t>
  </si>
  <si>
    <t>WA CRE SEM</t>
  </si>
  <si>
    <t>OR CRE SEM</t>
  </si>
  <si>
    <t>ID CRE SEM</t>
  </si>
  <si>
    <t>Deep Energy Retrofits</t>
  </si>
  <si>
    <t>MagnaDrive Innovative Industrial Speed Control</t>
  </si>
  <si>
    <t>MagnaDrive ASD</t>
  </si>
  <si>
    <t>MagnaDrive Couplings</t>
  </si>
  <si>
    <t>Food Processors</t>
  </si>
  <si>
    <t>Food Processors SEM</t>
  </si>
  <si>
    <t>CRES Certified Operator</t>
  </si>
  <si>
    <t>RES_199705_P1T1</t>
  </si>
  <si>
    <t>Windows</t>
  </si>
  <si>
    <t>Residential Windows (New and Existing Construction)</t>
  </si>
  <si>
    <t>U Factor 0.35</t>
  </si>
  <si>
    <t>ID Multifamily Homes</t>
  </si>
  <si>
    <t>WA Multifamily Homes</t>
  </si>
  <si>
    <t>Res_201301_P20T3</t>
  </si>
  <si>
    <t>Input Data</t>
  </si>
  <si>
    <t>Room AC</t>
  </si>
  <si>
    <t>RES_201403_P4t1</t>
  </si>
  <si>
    <t>Soundbars</t>
  </si>
  <si>
    <t>Source File:</t>
  </si>
  <si>
    <t>Retail</t>
  </si>
  <si>
    <t>State</t>
  </si>
  <si>
    <t>Commercial</t>
  </si>
  <si>
    <t>Program</t>
  </si>
  <si>
    <t>Room Air Conditioners</t>
  </si>
  <si>
    <t>Codes</t>
  </si>
  <si>
    <t>Program Measures</t>
  </si>
  <si>
    <t>Avoiding Double Counting</t>
  </si>
  <si>
    <t>kWh/ Unit-Yr.</t>
  </si>
  <si>
    <t>kWh/ Unit-Year</t>
  </si>
  <si>
    <t>Standards</t>
  </si>
  <si>
    <t>2010-2014</t>
  </si>
  <si>
    <t>2015-2019</t>
  </si>
  <si>
    <t>Business Plan</t>
  </si>
  <si>
    <t>Funder Shares by Year</t>
  </si>
  <si>
    <t>Bonneville Power Administration Plus Publics</t>
  </si>
  <si>
    <t>C4</t>
  </si>
  <si>
    <t>C5</t>
  </si>
  <si>
    <t>C6</t>
  </si>
  <si>
    <t>2018-2019</t>
  </si>
  <si>
    <t xml:space="preserve"> Net Energy Savings (kWh/unit/year)</t>
  </si>
  <si>
    <t>Index ID (first digit is the heating zone, 2nd digit is the cooling zone)</t>
  </si>
  <si>
    <t>Heating Zone</t>
  </si>
  <si>
    <t>Cooling Zone</t>
  </si>
  <si>
    <t>Weight by Market Size</t>
  </si>
  <si>
    <t>Weighted Rate</t>
  </si>
  <si>
    <t>11</t>
  </si>
  <si>
    <t>12</t>
  </si>
  <si>
    <t>13</t>
  </si>
  <si>
    <t>21</t>
  </si>
  <si>
    <t>22</t>
  </si>
  <si>
    <t>23</t>
  </si>
  <si>
    <t>31</t>
  </si>
  <si>
    <t>32</t>
  </si>
  <si>
    <t>33</t>
  </si>
  <si>
    <t>Source:</t>
  </si>
  <si>
    <t>Original Measure Name</t>
  </si>
  <si>
    <t>Heat Savings (kWh)</t>
  </si>
  <si>
    <t>Cool Savings (kWh)</t>
  </si>
  <si>
    <t>Non Electric Savings (kWh/yr)</t>
  </si>
  <si>
    <t>Non Electric Savings ($/year)</t>
  </si>
  <si>
    <t>Cooling NEB</t>
  </si>
  <si>
    <t>Net Savings</t>
  </si>
  <si>
    <t>Heat Pump:Zonal-DHP</t>
  </si>
  <si>
    <t>Savings Rate - SF Zonal</t>
  </si>
  <si>
    <t>RTF Workbook</t>
  </si>
  <si>
    <t>Regionalized</t>
  </si>
  <si>
    <t>Tier_1</t>
  </si>
  <si>
    <t>Tier_2</t>
  </si>
  <si>
    <t>Tier_3</t>
  </si>
  <si>
    <t>Tier3</t>
  </si>
  <si>
    <t>garage</t>
  </si>
  <si>
    <t>HZ1</t>
  </si>
  <si>
    <t>HZ2</t>
  </si>
  <si>
    <t>HZ3</t>
  </si>
  <si>
    <t>basmnt</t>
  </si>
  <si>
    <t>indor2</t>
  </si>
  <si>
    <t>gas</t>
  </si>
  <si>
    <t>resistheat</t>
  </si>
  <si>
    <t>hp85</t>
  </si>
  <si>
    <t>ducted</t>
  </si>
  <si>
    <t>Tier3_garage_HZ1_AnySize</t>
  </si>
  <si>
    <t>AnySize</t>
  </si>
  <si>
    <t>Tier3_garage_HZ2_AnySize</t>
  </si>
  <si>
    <t>Tier3_garage_HZ3_AnySize</t>
  </si>
  <si>
    <t>Tier3_basmnt_HZ1_AnySize</t>
  </si>
  <si>
    <t>Tier3_basmnt_HZ2_AnySize</t>
  </si>
  <si>
    <t>Tier3_basmnt_HZ3_AnySize</t>
  </si>
  <si>
    <t>Tier3_indor2_HZ1_gas_AnySize</t>
  </si>
  <si>
    <t>Tier3_indor2_HZ1_resistheat_AnySize</t>
  </si>
  <si>
    <t>Tier3_indor2_HZ1_hp85_AnySize</t>
  </si>
  <si>
    <t>Tier3_indor2_HZ2_gas_AnySize</t>
  </si>
  <si>
    <t>Tier3_indor2_HZ2_resistheat_AnySize</t>
  </si>
  <si>
    <t>Tier3_indor2_HZ2_hp85_AnySize</t>
  </si>
  <si>
    <t>Tier3_indor2_HZ3_gas_AnySize</t>
  </si>
  <si>
    <t>Tier3_indor2_HZ3_resistheat_AnySize</t>
  </si>
  <si>
    <t>Tier3_indor2_HZ3_hp85_AnySize</t>
  </si>
  <si>
    <t>Tier3_ducted_HZ1_gas_AnySize</t>
  </si>
  <si>
    <t>Tier3_ducted_HZ1_resistheat_AnySize</t>
  </si>
  <si>
    <t>Tier3_ducted_HZ1_hp85_AnySize</t>
  </si>
  <si>
    <t>Tier3_ducted_HZ2_gas_AnySize</t>
  </si>
  <si>
    <t>Tier3_ducted_HZ2_resistheat_AnySize</t>
  </si>
  <si>
    <t>Tier3_ducted_HZ2_hp85_AnySize</t>
  </si>
  <si>
    <t>Tier3_ducted_HZ3_gas_AnySize</t>
  </si>
  <si>
    <t>Tier3_ducted_HZ3_resistheat_AnySize</t>
  </si>
  <si>
    <t>Tier3_ducted_HZ3_hp85_AnySize</t>
  </si>
  <si>
    <t>Water Heating</t>
  </si>
  <si>
    <t>Heating</t>
  </si>
  <si>
    <t>Cooling</t>
  </si>
  <si>
    <t>Savings By Measure</t>
  </si>
  <si>
    <t>Installs Climate Zone Distribution</t>
  </si>
  <si>
    <t>All Installs</t>
  </si>
  <si>
    <t>Interior</t>
  </si>
  <si>
    <t>Garage</t>
  </si>
  <si>
    <t>Unheated Basement</t>
  </si>
  <si>
    <t>Overall</t>
  </si>
  <si>
    <t>Existing Homes Heating System</t>
  </si>
  <si>
    <t>RTF HVAC Categories</t>
  </si>
  <si>
    <t>Gas</t>
  </si>
  <si>
    <t>Electric Resistance</t>
  </si>
  <si>
    <t>Heat Pump HSPF 8.5</t>
  </si>
  <si>
    <t>Interior - Exhaust Ducted</t>
  </si>
  <si>
    <t>Gas Furnace</t>
  </si>
  <si>
    <t>Gas Furnace w/ CAC</t>
  </si>
  <si>
    <t>Sources</t>
  </si>
  <si>
    <t>Location</t>
  </si>
  <si>
    <t>Heating System</t>
  </si>
  <si>
    <t>Index</t>
  </si>
  <si>
    <t>Any</t>
  </si>
  <si>
    <t>Weighting Factors for Climate Zone and Heating Type</t>
  </si>
  <si>
    <t>Heat (therms)</t>
  </si>
  <si>
    <t>Heat (wood kWh)</t>
  </si>
  <si>
    <t>Standard Electric Water Heater</t>
  </si>
  <si>
    <t>Tier 2 HPWH</t>
  </si>
  <si>
    <t>Summary Page</t>
  </si>
  <si>
    <t xml:space="preserve">NEEA avoids double counting by surveying the Bonneville Power Administration, the Energy Trust of Oregon and local utilities about their local programs. This report has a forecast of local program units that it uses to avoid over-reporting savings. NEEA multiplies the Power Plan’s savings rate and baseline saturation assumptions by the units to forecast local program savings. The regional savings minus the program savings are the savings NEEA reports to the Washington Investor Own Utilities. </t>
  </si>
  <si>
    <t>CFL General Purpose</t>
  </si>
  <si>
    <t>CFL Specialty</t>
  </si>
  <si>
    <t>Other General Purpose</t>
  </si>
  <si>
    <t>Other Specialty</t>
  </si>
  <si>
    <t>Res_201301_P19T1</t>
  </si>
  <si>
    <t>Energy Performance Score</t>
  </si>
  <si>
    <t>UHD Televisions</t>
  </si>
  <si>
    <t>ENERGY STAR +20%</t>
  </si>
  <si>
    <t>Smart Water Heat Program Data - Tier 2 Ducted Installs</t>
  </si>
  <si>
    <t>Stakeholders</t>
  </si>
  <si>
    <t>Report Types</t>
  </si>
  <si>
    <t>Period</t>
  </si>
  <si>
    <t>Allocation</t>
  </si>
  <si>
    <t>ReportArchive</t>
  </si>
  <si>
    <t>Report Name</t>
  </si>
  <si>
    <t>Regional</t>
  </si>
  <si>
    <t>Northwest Power and Conservation Council</t>
  </si>
  <si>
    <t>Avista Utilities</t>
  </si>
  <si>
    <t>Montana</t>
  </si>
  <si>
    <t>Bonneville Power Administration</t>
  </si>
  <si>
    <t>Oregon</t>
  </si>
  <si>
    <t>Public Utilities</t>
  </si>
  <si>
    <t>Idaho</t>
  </si>
  <si>
    <t>Washington Investor Owned</t>
  </si>
  <si>
    <t>2016 Q4 Forecast Funder Adjusted</t>
  </si>
  <si>
    <t>Chelan County PUD</t>
  </si>
  <si>
    <t>Washington</t>
  </si>
  <si>
    <t>2016 Q4 Update</t>
  </si>
  <si>
    <t>Clark Public Utilities</t>
  </si>
  <si>
    <t>2017 Q1 Update</t>
  </si>
  <si>
    <t>Cowlitz County PUD</t>
  </si>
  <si>
    <t>Draft 2018-2019 Targets</t>
  </si>
  <si>
    <t>Douglas County PUD</t>
  </si>
  <si>
    <t>Targets 2016 and 2017</t>
  </si>
  <si>
    <t>Energy Trust of Oregon</t>
  </si>
  <si>
    <t>WA IOU 2016-2017 Targets</t>
  </si>
  <si>
    <t>Eugene Water &amp; Electric Board</t>
  </si>
  <si>
    <t>2017 Q4 Update</t>
  </si>
  <si>
    <t>Grant County PUD</t>
  </si>
  <si>
    <t>Idaho Power Company</t>
  </si>
  <si>
    <t>NorthWestern Energy</t>
  </si>
  <si>
    <t>Pacific Power</t>
  </si>
  <si>
    <t>Puget Sound Energy</t>
  </si>
  <si>
    <t>Rocky Mountain Power</t>
  </si>
  <si>
    <t>Seattle City Light</t>
  </si>
  <si>
    <t>Snohomish County PUD</t>
  </si>
  <si>
    <t>Tacoma Power</t>
  </si>
  <si>
    <t>Report Year</t>
  </si>
  <si>
    <t>Prior Report</t>
  </si>
  <si>
    <t>2018 Q1 Update</t>
  </si>
  <si>
    <t>Efficiency Level</t>
  </si>
  <si>
    <t>Source</t>
  </si>
  <si>
    <t>ENERGY STAR 6.0</t>
  </si>
  <si>
    <t>RES_201202_P3T1</t>
  </si>
  <si>
    <t>RES_201202_P3T2</t>
  </si>
  <si>
    <t>Next Step Homes</t>
  </si>
  <si>
    <t>RES_200601_P3T4</t>
  </si>
  <si>
    <t>RES_201301_P26T5</t>
  </si>
  <si>
    <t>RES_201301_P21T1</t>
  </si>
  <si>
    <t>RES_201301_P22T1</t>
  </si>
  <si>
    <t>RES_201301_P23T1</t>
  </si>
  <si>
    <t>RES_201301_P24T1</t>
  </si>
  <si>
    <t>RES_201301_P25T1</t>
  </si>
  <si>
    <t>RES_201202_P2T3</t>
  </si>
  <si>
    <t>RES_201202_P2T4</t>
  </si>
  <si>
    <t>RES_201202_P3T3</t>
  </si>
  <si>
    <t>RES_201202_P3T4</t>
  </si>
  <si>
    <t>RES_201202_P4T1</t>
  </si>
  <si>
    <t>RES_201202_P4T2</t>
  </si>
  <si>
    <t>RES_201202_P4T3</t>
  </si>
  <si>
    <t>RES_201202_P4T4</t>
  </si>
  <si>
    <t>RES_201202_P1T3</t>
  </si>
  <si>
    <t>RES_201202_P1T4</t>
  </si>
  <si>
    <t>COM_201304_P3T1</t>
  </si>
  <si>
    <t>Rooftop Units</t>
  </si>
  <si>
    <t>Current</t>
  </si>
  <si>
    <t>WA IOU 2018-2019 Targets</t>
  </si>
  <si>
    <t>NEEA calculation. See below for details. Update is based on sales data.</t>
  </si>
  <si>
    <t>Small HPWHs Existing</t>
  </si>
  <si>
    <t>Large HPWHs Existing</t>
  </si>
  <si>
    <t>Small Tank HPWHs New Construction</t>
  </si>
  <si>
    <t>Large Tank HPWHs New Construction</t>
  </si>
  <si>
    <t>Small Tank Voluntary New Construction</t>
  </si>
  <si>
    <t>Large Tank Voluntary New Construction</t>
  </si>
  <si>
    <t>Small Tank Code New Construction</t>
  </si>
  <si>
    <t>Large Tank Code New Construction</t>
  </si>
  <si>
    <t>Savings Rate Factor - Small</t>
  </si>
  <si>
    <t>Savings Rate Factor - Large</t>
  </si>
  <si>
    <t>HPWH (&lt;=55 gallons) Existing Construction</t>
  </si>
  <si>
    <t>HPWH (&gt;55 gallons) Existing Construction</t>
  </si>
  <si>
    <t>HPWH (&lt;=55 gallons) New Construction</t>
  </si>
  <si>
    <t>HPWH (&gt;55 gallons) New Construction</t>
  </si>
  <si>
    <t>All OR and WA code homes</t>
  </si>
  <si>
    <t>Savings Rate Factor</t>
  </si>
  <si>
    <t>Or. Specialty Code 2017</t>
  </si>
  <si>
    <t>Code Homes with savings accounted for in NEEA New Homes Model</t>
  </si>
  <si>
    <t>NEEA Savings Rate - Or. Specialty Code 2017</t>
  </si>
  <si>
    <t>NEEA Savings Rate - WSEC 2015</t>
  </si>
  <si>
    <t>From Current HPWH Forecast</t>
  </si>
  <si>
    <t>Calculated difference</t>
  </si>
  <si>
    <t>To de-rate the new construction HPWH savings rate to avoid double-counting with codes</t>
  </si>
  <si>
    <t>Tier 3</t>
  </si>
  <si>
    <t>Tier 4</t>
  </si>
  <si>
    <t>RTF Measure Workbook</t>
  </si>
  <si>
    <t>Total Savings for Tier 3</t>
  </si>
  <si>
    <t>Incremental to Tier 2</t>
  </si>
  <si>
    <t>RTF Measure</t>
  </si>
  <si>
    <t>Savings Categories</t>
  </si>
  <si>
    <t>Measure name to columns</t>
  </si>
  <si>
    <t>Corrected Column identifiers</t>
  </si>
  <si>
    <t>Notes</t>
  </si>
  <si>
    <t>Freezer Track Units from:</t>
  </si>
  <si>
    <t>Track Units from:</t>
  </si>
  <si>
    <t>Refrigerator Track Units From:</t>
  </si>
  <si>
    <t>Remaining Tabs</t>
  </si>
  <si>
    <t>These tabs contain:</t>
  </si>
  <si>
    <t>Savings summary by market</t>
  </si>
  <si>
    <t>Summary of data sources</t>
  </si>
  <si>
    <t>Details about the savings rate calculation</t>
  </si>
  <si>
    <t>Methodology</t>
  </si>
  <si>
    <t>The Commercial Real Estate (CRE) Infrastructure program leverages strategic relationships to deliver regional market resources to advance energy efficiency best practices and increase utility program participation by the region's commercial real estate market.</t>
  </si>
  <si>
    <t>Manufactured Homes</t>
  </si>
  <si>
    <t>RES_201601</t>
  </si>
  <si>
    <t>Other ENERGY STAR Products</t>
  </si>
  <si>
    <t>This is a placefholder for Other Energy Star products associated with Desktop Power supplies. This will be tracking desktops and laptops influenced by NEEA, but not directly tied to 80+ efforts.</t>
  </si>
  <si>
    <t>OTH_201601</t>
  </si>
  <si>
    <t>NEEA leveraged its relationships with retailers to accelerate the market adoption of ENERGY STAR refrigerators as part of a “white goods” strategy to increase market awareness of ENERGY STAR “white goods” appliances such as refrigerators and dishwashers.</t>
  </si>
  <si>
    <t>RES_200006</t>
  </si>
  <si>
    <t>The Next Step Homes initiative leverages the infrastructure created by prior Efficient Homes programs to develop and increase market adoption of energy efficient advanced building practices for single-family homes, aimed at influencing and accelerating code adoption.</t>
  </si>
  <si>
    <t>COM_200002_P3T1</t>
  </si>
  <si>
    <t>Cx-Industrial</t>
  </si>
  <si>
    <t>COM_200002_P4T1</t>
  </si>
  <si>
    <t>rCx-Industrial</t>
  </si>
  <si>
    <t>COM_200202_P1T10</t>
  </si>
  <si>
    <t>COM_200202_P1T7</t>
  </si>
  <si>
    <t>COM_200202_P1T8</t>
  </si>
  <si>
    <t>IECC 2024</t>
  </si>
  <si>
    <t>COM_200202_P1T9</t>
  </si>
  <si>
    <t>IECC 2027</t>
  </si>
  <si>
    <t>COM_200202_P2T6</t>
  </si>
  <si>
    <t>COM_200202_P2T7</t>
  </si>
  <si>
    <t>COM_200202_P2T8</t>
  </si>
  <si>
    <t>COM_200202_P3T8</t>
  </si>
  <si>
    <t>WA 2015 WSEC</t>
  </si>
  <si>
    <t>COM_200202_P4T8</t>
  </si>
  <si>
    <t>COM_200202_P4T9</t>
  </si>
  <si>
    <t>WSEC 2021</t>
  </si>
  <si>
    <t>COM_201304_P12T1</t>
  </si>
  <si>
    <t>Pre-rinse Spray Valves</t>
  </si>
  <si>
    <t>WSEC 2024</t>
  </si>
  <si>
    <t>WSEC 2027</t>
  </si>
  <si>
    <t>OTH_201601_P1T1</t>
  </si>
  <si>
    <t>Commercial Laptops</t>
  </si>
  <si>
    <t>OTH_201601_P3T1</t>
  </si>
  <si>
    <t>Residential Laptops</t>
  </si>
  <si>
    <t>RES_199703_P5T1</t>
  </si>
  <si>
    <t>RES_199703_P6T1</t>
  </si>
  <si>
    <t>WA Homes (ENERGY STAR Northwest Homes)</t>
  </si>
  <si>
    <t>Energy Star</t>
  </si>
  <si>
    <t>ID Homes (ENERGY STAR Northwest Homes)</t>
  </si>
  <si>
    <t>MT Homes (ENERGY STAR Northwest Homes)</t>
  </si>
  <si>
    <t>OR Homes (ENERGY STAR Northwest Homes)</t>
  </si>
  <si>
    <t>RES_201202_P1T5</t>
  </si>
  <si>
    <t>Tier 5</t>
  </si>
  <si>
    <t>RES_201202_P2T5</t>
  </si>
  <si>
    <t>RES_201202_P3T5</t>
  </si>
  <si>
    <t>RES_201202_P4T5</t>
  </si>
  <si>
    <t>Above Code Building</t>
  </si>
  <si>
    <t>WA National Green Building Standard Single-family</t>
  </si>
  <si>
    <t>WA BuiltGreen Single-family</t>
  </si>
  <si>
    <t>ID HERS and National ENERGY STAR Homes</t>
  </si>
  <si>
    <t>MT HERS and National ENERGY STAR Homes</t>
  </si>
  <si>
    <t>OR HERS and National ENERGY STAR Homes</t>
  </si>
  <si>
    <t>WA HERS and National ENERGY STAR Homes</t>
  </si>
  <si>
    <t>WA BuiltGreen Multifamily</t>
  </si>
  <si>
    <t>ID Performance Path</t>
  </si>
  <si>
    <t>MT Performance Path</t>
  </si>
  <si>
    <t>OR Performance Path</t>
  </si>
  <si>
    <t>WA Performance Path</t>
  </si>
  <si>
    <t>WA National Green Building Standard Multifamily</t>
  </si>
  <si>
    <t>OR Earth Advantage</t>
  </si>
  <si>
    <t>Or. Specialty Code 2023</t>
  </si>
  <si>
    <t>Freezers- Compact</t>
  </si>
  <si>
    <t>ENERGY STAR 7</t>
  </si>
  <si>
    <t>ENERGY STAR Most Efficient 2017</t>
  </si>
  <si>
    <t>ENERGY STAR V4</t>
  </si>
  <si>
    <t>ENERGY STAR V3</t>
  </si>
  <si>
    <t>ENERGY STAR V3 +15%</t>
  </si>
  <si>
    <t>ENERGY STAR V3 +50%</t>
  </si>
  <si>
    <t>Freezers- Upright</t>
  </si>
  <si>
    <t>Freezers- Chest</t>
  </si>
  <si>
    <t>RES_201601_P1T1</t>
  </si>
  <si>
    <t>HUD Code</t>
  </si>
  <si>
    <t>RES_201601_P1T3</t>
  </si>
  <si>
    <t>OTH_201601_P2T1</t>
  </si>
  <si>
    <t>Existing Construction</t>
  </si>
  <si>
    <t>New Construction</t>
  </si>
  <si>
    <t>NEEA Savings Rate - HPWH (Any tier)</t>
  </si>
  <si>
    <t>Any Size</t>
  </si>
  <si>
    <t>Small Tanks</t>
  </si>
  <si>
    <t>Large Tanks</t>
  </si>
  <si>
    <t>Adjusted from existing construction rate</t>
  </si>
  <si>
    <t>Savings Rate Summary Table</t>
  </si>
  <si>
    <t>Reviewed:</t>
  </si>
  <si>
    <t>Ecotope. 2019. HPWH/DHP ACE Model Review Memo.</t>
  </si>
  <si>
    <t>Here NEEA is calculating the new construction savings rate factor to be applied to HPWHs in new construction. This rate is calculated in order to avoid any double-counting of savings with NEEA's new homes model. 
To do this we remove: 
A) all above-code home savings, and 
B) code savings discounted for the differential in savings rates.</t>
  </si>
  <si>
    <t xml:space="preserve">Hardcoded from HPWH Model Projection of HPWHs installed in voluntary above-code programs.
These are removed entirely by reducing the savings rate proportionally. </t>
  </si>
  <si>
    <t>For code-built homes NEEA calculates the differential in savings rates we attribute to the code homes and HPWHs and then removes that proportion of the savings from our HPWH estimate. This avoids double-counting savings with our new homes model.</t>
  </si>
  <si>
    <t>Application</t>
  </si>
  <si>
    <t>Allpication</t>
  </si>
  <si>
    <t>NEEA ADJUSTMENT TO NEW CONSTRUCTION SAVINGS RATES</t>
  </si>
  <si>
    <r>
      <t xml:space="preserve">All technical assumptions are consistent with those that went into the original target values NEEA sent. NEEA </t>
    </r>
    <r>
      <rPr>
        <b/>
        <i/>
        <sz val="10"/>
        <color theme="1"/>
        <rFont val="Calibri"/>
        <family val="2"/>
        <scheme val="minor"/>
      </rPr>
      <t xml:space="preserve">has </t>
    </r>
    <r>
      <rPr>
        <b/>
        <sz val="10"/>
        <color theme="1"/>
        <rFont val="Calibri"/>
        <family val="2"/>
        <scheme val="minor"/>
      </rPr>
      <t>however updated the split of HPWH installs between new- and existing-construction, the volume of code-built homes tracked in our homes model, as well as the volume of voluntary above-code homes NEEA has tracked with HPWHs. These updates to the units lead to a slight change in the savings rates applied to new-construction HPWHs.</t>
    </r>
  </si>
  <si>
    <t>NEEA Adjustment Factors</t>
  </si>
  <si>
    <t>Single-family Codes</t>
  </si>
  <si>
    <t>Tracked Units</t>
  </si>
  <si>
    <t>Residential Codes</t>
  </si>
  <si>
    <t xml:space="preserve">Multifamily Codes </t>
  </si>
  <si>
    <t>Commercial Codes</t>
  </si>
  <si>
    <t>Savings Rate Source</t>
  </si>
  <si>
    <t>Residential Desktops</t>
  </si>
  <si>
    <t>OTH_201601_P1T0</t>
  </si>
  <si>
    <t>Non-Qualifying</t>
  </si>
  <si>
    <t>OTH_201601_P2T0</t>
  </si>
  <si>
    <t>OTH_201601_P3T0</t>
  </si>
  <si>
    <t/>
  </si>
  <si>
    <t>7th PP Baseline Adjustment</t>
  </si>
  <si>
    <t>Total</t>
  </si>
  <si>
    <t>Hours of Use</t>
  </si>
  <si>
    <t>Tier1_garage_HZ1_AnySize</t>
  </si>
  <si>
    <t>Tier1_garage_HZ2_AnySize</t>
  </si>
  <si>
    <t>Tier1_garage_HZ3_AnySize</t>
  </si>
  <si>
    <t>Tier1_basmnt_HZ1_AnySize</t>
  </si>
  <si>
    <t>Tier1_basmnt_HZ2_AnySize</t>
  </si>
  <si>
    <t>Tier1_basmnt_HZ3_AnySize</t>
  </si>
  <si>
    <t>Tier1_indor2_HZ1_gas_AnySize</t>
  </si>
  <si>
    <t>Tier1_indor2_HZ1_resistheat_AnySize</t>
  </si>
  <si>
    <t>Tier1_indor2_HZ1_hp85_AnySize</t>
  </si>
  <si>
    <t>Tier1_indor2_HZ2_gas_AnySize</t>
  </si>
  <si>
    <t>Tier1_indor2_HZ2_resistheat_AnySize</t>
  </si>
  <si>
    <t>Tier1_indor2_HZ2_hp85_AnySize</t>
  </si>
  <si>
    <t>Tier1_indor2_HZ3_gas_AnySize</t>
  </si>
  <si>
    <t>Tier1_indor2_HZ3_resistheat_AnySize</t>
  </si>
  <si>
    <t>Tier1_indor2_HZ3_hp85_AnySize</t>
  </si>
  <si>
    <t>Tier2_garage_HZ1_AnySize</t>
  </si>
  <si>
    <t>Tier2_garage_HZ2_AnySize</t>
  </si>
  <si>
    <t>Tier2_garage_HZ3_AnySize</t>
  </si>
  <si>
    <t>Tier2_basmnt_HZ1_AnySize</t>
  </si>
  <si>
    <t>Tier2_basmnt_HZ2_AnySize</t>
  </si>
  <si>
    <t>Tier2_basmnt_HZ3_AnySize</t>
  </si>
  <si>
    <t>Tier2_indor2_HZ1_gas_AnySize</t>
  </si>
  <si>
    <t>Tier2_indor2_HZ1_resistheat_AnySize</t>
  </si>
  <si>
    <t>Tier2_indor2_HZ1_hp85_AnySize</t>
  </si>
  <si>
    <t>Tier2_indor2_HZ2_gas_AnySize</t>
  </si>
  <si>
    <t>Tier2_indor2_HZ2_resistheat_AnySize</t>
  </si>
  <si>
    <t>Tier2_indor2_HZ2_hp85_AnySize</t>
  </si>
  <si>
    <t>Tier2_indor2_HZ3_gas_AnySize</t>
  </si>
  <si>
    <t>Tier2_indor2_HZ3_resistheat_AnySize</t>
  </si>
  <si>
    <t>Tier2_indor2_HZ3_hp85_AnySize</t>
  </si>
  <si>
    <t>Tier2_ducted_HZ1_gas_AnySize</t>
  </si>
  <si>
    <t>Tier2_ducted_HZ1_resistheat_AnySize</t>
  </si>
  <si>
    <t>Tier2_ducted_HZ1_hp85_AnySize</t>
  </si>
  <si>
    <t>Tier2_ducted_HZ2_gas_AnySize</t>
  </si>
  <si>
    <t>Tier2_ducted_HZ2_resistheat_AnySize</t>
  </si>
  <si>
    <t>Tier2_ducted_HZ2_hp85_AnySize</t>
  </si>
  <si>
    <t>Tier2_ducted_HZ3_gas_AnySize</t>
  </si>
  <si>
    <t>Tier2_ducted_HZ3_resistheat_AnySize</t>
  </si>
  <si>
    <t>Tier2_ducted_HZ3_hp85_AnySize</t>
  </si>
  <si>
    <t>Tier1</t>
  </si>
  <si>
    <t>Tier2</t>
  </si>
  <si>
    <t>Total Savings for Tier 1</t>
  </si>
  <si>
    <t>Total Savings for Tier 2</t>
  </si>
  <si>
    <t>Incremental to Tier 1</t>
  </si>
  <si>
    <t>Tier 1 HPWH</t>
  </si>
  <si>
    <t>Measure Application</t>
  </si>
  <si>
    <t>Savings Component</t>
  </si>
  <si>
    <t>Measure Life</t>
  </si>
  <si>
    <t>R-All-Plug-Dryer-All-All-R</t>
  </si>
  <si>
    <t>RTF -&gt; NEEA Measure Mapping</t>
  </si>
  <si>
    <t>Vented</t>
  </si>
  <si>
    <t>Tier_4</t>
  </si>
  <si>
    <t>Tier_5</t>
  </si>
  <si>
    <t>Tier_6</t>
  </si>
  <si>
    <t>Ventless</t>
  </si>
  <si>
    <t>COM_200701_P1T4</t>
  </si>
  <si>
    <t>Extended Motor Products</t>
  </si>
  <si>
    <t>Window Attachments</t>
  </si>
  <si>
    <t>ENERGY STAR 7.0</t>
  </si>
  <si>
    <t>Heating and Cooling</t>
  </si>
  <si>
    <t>RTF</t>
  </si>
  <si>
    <t>COM_201304_P9T3</t>
  </si>
  <si>
    <t>COM_201304_P9T1</t>
  </si>
  <si>
    <t>COM_201304_P9T2</t>
  </si>
  <si>
    <t>COM_201304_P6T2</t>
  </si>
  <si>
    <t>There is a Planning RTF UES for medium and large office application: Commercial Secondary Glazing Systems v1.1.xlsm</t>
  </si>
  <si>
    <t>https://nwcouncil.app.box.com/v/ComSecGlazingSys-v1-1</t>
  </si>
  <si>
    <t>ENERGY STAR v5 +5%</t>
  </si>
  <si>
    <t xml:space="preserve">The program is working on getting market data to forecast savings. When NEEA acquires SGS installation data, NEEA will use the RTF UES for medium/large office installations and will likely use a third party to validate savings for the installations in other building types. </t>
  </si>
  <si>
    <t>The Window Attachments Initiative will create market differentiation and leverage policies to accelerate the adoption of high performance window attachment products in commercial buildings.</t>
  </si>
  <si>
    <r>
      <t xml:space="preserve">Location of the installation - </t>
    </r>
    <r>
      <rPr>
        <b/>
        <sz val="10"/>
        <color theme="5"/>
        <rFont val="Calibri"/>
        <family val="2"/>
        <scheme val="minor"/>
      </rPr>
      <t>Tier 1</t>
    </r>
  </si>
  <si>
    <r>
      <t xml:space="preserve">Weights for Location of the installation - </t>
    </r>
    <r>
      <rPr>
        <b/>
        <sz val="10"/>
        <color theme="5"/>
        <rFont val="Calibri"/>
        <family val="2"/>
        <scheme val="minor"/>
      </rPr>
      <t>Tiers 2 &amp; 3</t>
    </r>
  </si>
  <si>
    <r>
      <t xml:space="preserve">Site Savings Rate </t>
    </r>
    <r>
      <rPr>
        <sz val="10"/>
        <color theme="1" tint="0.499984740745262"/>
        <rFont val="Calibri"/>
        <family val="2"/>
        <scheme val="minor"/>
      </rPr>
      <t>(kWh/ Unit-yr)</t>
    </r>
  </si>
  <si>
    <t>Draft WA IOU 2020-2021 Targets</t>
  </si>
  <si>
    <t>Programs</t>
  </si>
  <si>
    <t>Federal Standard, Effective 2019, DOE Final Rule 2016, Pre-rinse Spray Valves</t>
  </si>
  <si>
    <t>C&amp;S List</t>
  </si>
  <si>
    <t>Other Standards</t>
  </si>
  <si>
    <t>ENERGY STAR v5</t>
  </si>
  <si>
    <t>RES_200601_P3T5</t>
  </si>
  <si>
    <t>RES_200601_P1T4</t>
  </si>
  <si>
    <t>RES_200601_P2T4</t>
  </si>
  <si>
    <t>NEEM Plus</t>
  </si>
  <si>
    <t>Walk-In Coolers and Freezers</t>
  </si>
  <si>
    <t>Pumps</t>
  </si>
  <si>
    <t>Air Cleaners</t>
  </si>
  <si>
    <t>Televisions</t>
  </si>
  <si>
    <t>COM_201304_P13T1</t>
  </si>
  <si>
    <t>Ceiling Fans</t>
  </si>
  <si>
    <t>RES_201402_P9T1</t>
  </si>
  <si>
    <t>ID 2030 IECC</t>
  </si>
  <si>
    <t>ID 2015 IECC</t>
  </si>
  <si>
    <t>COM_200202_P1T6</t>
  </si>
  <si>
    <t>ID 2018 IECC</t>
  </si>
  <si>
    <t>ID 2021 IECC</t>
  </si>
  <si>
    <t>ID 2024 IECC</t>
  </si>
  <si>
    <t>ID 2027 IECC</t>
  </si>
  <si>
    <t>MT 2018 IECC</t>
  </si>
  <si>
    <t>COM_200202_P2T5</t>
  </si>
  <si>
    <t>MT 2021 IECC</t>
  </si>
  <si>
    <t>MT 2024 IECC</t>
  </si>
  <si>
    <t>MT 2027 IECC</t>
  </si>
  <si>
    <t>MT 2030 IECC</t>
  </si>
  <si>
    <t>COM_200202_P3T6</t>
  </si>
  <si>
    <t>COM_200202_P3T7</t>
  </si>
  <si>
    <t>COM_200202_P3T9</t>
  </si>
  <si>
    <t>COM_200202_P4T7</t>
  </si>
  <si>
    <t>WA 2018 WSEC</t>
  </si>
  <si>
    <t>WA 2021 WSEC</t>
  </si>
  <si>
    <t>WA 2024 WSEC</t>
  </si>
  <si>
    <t>Nonresidential Fluorescent Lamp Ballasts</t>
  </si>
  <si>
    <t>LLLC</t>
  </si>
  <si>
    <t>WA 2027 WSEC</t>
  </si>
  <si>
    <t>WA 2030 WSEC</t>
  </si>
  <si>
    <t>Energy Star v1.1</t>
  </si>
  <si>
    <t>UCEF 3.00 to 4.19</t>
  </si>
  <si>
    <t>UCEF 4.20 to 5.29</t>
  </si>
  <si>
    <t>UCEF 5.30 to 6.09</t>
  </si>
  <si>
    <t>UCEF 6.10 to 7.19</t>
  </si>
  <si>
    <t>UCEF 7.20 to 8.00</t>
  </si>
  <si>
    <t>Residential Fluorescent Lamp Ballasts</t>
  </si>
  <si>
    <t>ENERGY STAR v7/8</t>
  </si>
  <si>
    <t>ENERGY STAR Most Efficient 2017+</t>
  </si>
  <si>
    <t>RES_201403_P3T2</t>
  </si>
  <si>
    <t>Manufactured Home</t>
  </si>
  <si>
    <t>RES_201601_P1T2</t>
  </si>
  <si>
    <t>NEEM 1.1</t>
  </si>
  <si>
    <t>RES_201301_P16T1</t>
  </si>
  <si>
    <t>ID HERS and National ENERGY STAR Homes - MF</t>
  </si>
  <si>
    <t>RES_201301_P16T2</t>
  </si>
  <si>
    <t>MT HERS and National ENERGY STAR Homes - MF</t>
  </si>
  <si>
    <t>RES_201301_P16T3</t>
  </si>
  <si>
    <t>OR HERS and National ENERGY STAR Homes - MF</t>
  </si>
  <si>
    <t>RES_201301_P16T4</t>
  </si>
  <si>
    <t>WA HERS and National ENERGY STAR Homes - MF</t>
  </si>
  <si>
    <t>Modeling Approach</t>
  </si>
  <si>
    <t>Beverage Vending Machines</t>
  </si>
  <si>
    <t>WA IOU 2020-2021 Targets</t>
  </si>
  <si>
    <t>COM_200701_P1T2</t>
  </si>
  <si>
    <t>ENERGY STAR 5.0</t>
  </si>
  <si>
    <t>2020 Q4 Update</t>
  </si>
  <si>
    <t>COM_200701_P1T0</t>
  </si>
  <si>
    <t>2020 Q3 Update</t>
  </si>
  <si>
    <t>Current Report Name</t>
  </si>
  <si>
    <t>Variance</t>
  </si>
  <si>
    <t>COM_201304_P5T1</t>
  </si>
  <si>
    <t>Commercial Refrigeration Equipment</t>
  </si>
  <si>
    <t>COM_201304_P6T1</t>
  </si>
  <si>
    <t>2014 Standard</t>
  </si>
  <si>
    <t>2017 Standard</t>
  </si>
  <si>
    <t>COM_201304_P8T1</t>
  </si>
  <si>
    <t>Electric Motors</t>
  </si>
  <si>
    <t xml:space="preserve">Source: </t>
  </si>
  <si>
    <t>Heat Shape</t>
  </si>
  <si>
    <t>Cool Shape</t>
  </si>
  <si>
    <t>Zonal to DHP No Screen HZ1CZ1</t>
  </si>
  <si>
    <t>ResCACZ1</t>
  </si>
  <si>
    <t>Zonal to DHP No Screen HZ2CZ1</t>
  </si>
  <si>
    <t>Zonal to DHP No Screen HZ3CZ1</t>
  </si>
  <si>
    <t>Zonal to DHP No Screen HZ1CZ2</t>
  </si>
  <si>
    <t>ResCACZ2</t>
  </si>
  <si>
    <t>Zonal to DHP No Screen HZ2CZ2</t>
  </si>
  <si>
    <t>Zonal to DHP No Screen HZ3CZ2</t>
  </si>
  <si>
    <t>Zonal to DHP No Screen HZ1CZ3</t>
  </si>
  <si>
    <t>ResCACZ3</t>
  </si>
  <si>
    <t>Zonal to DHP No Screen HZ2CZ3</t>
  </si>
  <si>
    <t>Zonal to DHP No Screen HZ3CZ3</t>
  </si>
  <si>
    <t>Market Size</t>
  </si>
  <si>
    <t>Existing Homes</t>
  </si>
  <si>
    <t>SF Zonal Incented Unit Regional Weights</t>
  </si>
  <si>
    <t>SF Zonal Incented vs Non-Incented Weights</t>
  </si>
  <si>
    <t>Unit Type</t>
  </si>
  <si>
    <t>Incented</t>
  </si>
  <si>
    <t>Non-Incented</t>
  </si>
  <si>
    <t>OR 2010 OEESC</t>
  </si>
  <si>
    <t>OR 2019 OZERCC</t>
  </si>
  <si>
    <t>COM_200701_P1T5</t>
  </si>
  <si>
    <t>ENERGY STAR 8.0</t>
  </si>
  <si>
    <t>Or. Res Specialty 2011</t>
  </si>
  <si>
    <t>RES_200601_P1T6</t>
  </si>
  <si>
    <t>RES_200601_P2T6</t>
  </si>
  <si>
    <t>RES_200601_P3T2</t>
  </si>
  <si>
    <t>RES_200601_P3T3</t>
  </si>
  <si>
    <t>Or. Specialty Code 2014</t>
  </si>
  <si>
    <t>RES_200601_P3T6</t>
  </si>
  <si>
    <t>RES_200601_P4T6</t>
  </si>
  <si>
    <t>RES_200902_P1T0</t>
  </si>
  <si>
    <t>Above 2009 Baseline</t>
  </si>
  <si>
    <t>ID National Green Building Standard Single-family</t>
  </si>
  <si>
    <t>MT National Green Building Standard Single-family</t>
  </si>
  <si>
    <t>OR National Green Building Standard Single-family</t>
  </si>
  <si>
    <t>ENERGY STAR v5 Most Efficient</t>
  </si>
  <si>
    <t>RES_201403_P14T1</t>
  </si>
  <si>
    <t>Clothes Dryers (Standard)</t>
  </si>
  <si>
    <t>ENERGY STAR v1</t>
  </si>
  <si>
    <t>RES_201403_P14T2</t>
  </si>
  <si>
    <t>RES_201403_P14T3</t>
  </si>
  <si>
    <t>RES_201403_P14T4</t>
  </si>
  <si>
    <t>RES_201403_P14T5</t>
  </si>
  <si>
    <t>RES_201403_P14T6</t>
  </si>
  <si>
    <t>ENERGY STAR v2</t>
  </si>
  <si>
    <t>RES_201403_P5T2</t>
  </si>
  <si>
    <t>RES_201402</t>
  </si>
  <si>
    <t>Unit Energy Savings (UES)</t>
  </si>
  <si>
    <t>XMP_202001_P1T1</t>
  </si>
  <si>
    <t>XMP_202001_P1T2</t>
  </si>
  <si>
    <t>XMP_202001_P2T1</t>
  </si>
  <si>
    <t>XMP_202001_P2T2</t>
  </si>
  <si>
    <t>XMP_202001_P3T1</t>
  </si>
  <si>
    <t>XMP_202001_P3T2</t>
  </si>
  <si>
    <t>XMP_202001_P3T3</t>
  </si>
  <si>
    <t>XMP_202001_P4T1</t>
  </si>
  <si>
    <t>XMP_202001_P4T2</t>
  </si>
  <si>
    <t>XMP_202001_P4T3</t>
  </si>
  <si>
    <t>XMP_202001_P5T1</t>
  </si>
  <si>
    <t>XMP_202001_P6T1</t>
  </si>
  <si>
    <t>XMP_202001_P6T2</t>
  </si>
  <si>
    <t>XMP_202001</t>
  </si>
  <si>
    <t>Or. Specialty Code 2021</t>
  </si>
  <si>
    <t>ENERGY STAR Most Efficient 2018 through 2020</t>
  </si>
  <si>
    <t>ENERGY STAR Most Efficient TBD</t>
  </si>
  <si>
    <t>Residential HH Circulator</t>
  </si>
  <si>
    <t>Commercial HH Circulator</t>
  </si>
  <si>
    <t>Residential DHW Circulator</t>
  </si>
  <si>
    <t>Commercial DHW Circulator</t>
  </si>
  <si>
    <t>Luminaire Level Lighting Controls:</t>
  </si>
  <si>
    <t>Commercial CS Pump</t>
  </si>
  <si>
    <t>Commercial Constant Speed Clean Water Pump.</t>
  </si>
  <si>
    <t>Commercial Variable Speed Clean Water Pump.</t>
  </si>
  <si>
    <t>Commercial Variable Speed Clean Water Pump replacing Constant Speed Pump.</t>
  </si>
  <si>
    <t>Savings are based on the CL-&gt;VL deemed savings from the RTF workbook See RTF Efficient Pumps workbook V1.1.</t>
  </si>
  <si>
    <t>Savings are estimated using RTF method.</t>
  </si>
  <si>
    <t>Energy Star v1</t>
  </si>
  <si>
    <t>SPACE TYPE</t>
  </si>
  <si>
    <t>CONTROL TYPE</t>
  </si>
  <si>
    <t>Manual switch (On/Off)</t>
  </si>
  <si>
    <t>Bi-level switch/personal tuning</t>
  </si>
  <si>
    <t>Daylight control - On/Off</t>
  </si>
  <si>
    <t>Daylight control - Multi-step and Continuous</t>
  </si>
  <si>
    <t>Occupancy sensor</t>
  </si>
  <si>
    <t>Occupancy sensor with daylighting control</t>
  </si>
  <si>
    <t>Luminaire Level Lighting Control</t>
  </si>
  <si>
    <t>Break Room</t>
  </si>
  <si>
    <t>Classroom</t>
  </si>
  <si>
    <t>Computer Room</t>
  </si>
  <si>
    <t>Conference</t>
  </si>
  <si>
    <t>Dining</t>
  </si>
  <si>
    <t>Gymnasium</t>
  </si>
  <si>
    <t>Hallway</t>
  </si>
  <si>
    <t>Hospital Room</t>
  </si>
  <si>
    <t>Kitchen</t>
  </si>
  <si>
    <t>Library</t>
  </si>
  <si>
    <t>Lobby</t>
  </si>
  <si>
    <t>Lodging (Guest Rooms)</t>
  </si>
  <si>
    <t>Open Office</t>
  </si>
  <si>
    <t>Parking Garage</t>
  </si>
  <si>
    <t>Private Office</t>
  </si>
  <si>
    <t>Process</t>
  </si>
  <si>
    <t>Public Assembly</t>
  </si>
  <si>
    <t>Restroom</t>
  </si>
  <si>
    <t>Stairs</t>
  </si>
  <si>
    <t>Storage</t>
  </si>
  <si>
    <t>Technical Area</t>
  </si>
  <si>
    <t>Warehouse Aisle</t>
  </si>
  <si>
    <t>Controls Savings Fractions (CSFs)</t>
  </si>
  <si>
    <t>Annual Hours of Use</t>
  </si>
  <si>
    <t>Automotive Repair</t>
  </si>
  <si>
    <t>Retail 5,000 to 50,000 sf</t>
  </si>
  <si>
    <t>Exterior 24 Hour Operation</t>
  </si>
  <si>
    <t>Street &amp; Area Lighting (Photo Sensor Controlled)</t>
  </si>
  <si>
    <t>Other Health, Nursing, Medical Clinic</t>
  </si>
  <si>
    <t>Industrial Plant with One Shift</t>
  </si>
  <si>
    <t>Industrial Plant with Two Shifts</t>
  </si>
  <si>
    <t>Industrial Plant with Three Shifts</t>
  </si>
  <si>
    <t>Office &lt;20,000 sf</t>
  </si>
  <si>
    <t>Office &gt;100,000 sf</t>
  </si>
  <si>
    <t>Office 20,000 to 100,000 sf</t>
  </si>
  <si>
    <t>Retail Anchor Store &gt;50,000 sf Multistory</t>
  </si>
  <si>
    <t>Retail Big Box &gt;50,000 sf One-Story</t>
  </si>
  <si>
    <t>Retail Boutique &lt;5,000 sf</t>
  </si>
  <si>
    <t>Retail Mini Mart</t>
  </si>
  <si>
    <t>Retail Supermarket</t>
  </si>
  <si>
    <t>College or University</t>
  </si>
  <si>
    <t>Manufacturing</t>
  </si>
  <si>
    <t>Default hours of use under the control of a manual (on/off) switch</t>
  </si>
  <si>
    <t>- NEEM database export of all NEEM 1.1 and 2.0 certified homes in the northwest is provided directly to NEEA through Northwest Energy Works.</t>
  </si>
  <si>
    <t>RBSA 2016 Database</t>
  </si>
  <si>
    <t>RES_201301_P25T4</t>
  </si>
  <si>
    <t>Retail Product Portfolio:</t>
  </si>
  <si>
    <t>Electric Savings, Period 1 (kwh/yr)</t>
  </si>
  <si>
    <t>Front Load ENERGY STAR Washer_Electric DHW_Electric Dryer</t>
  </si>
  <si>
    <t>Front Load ENERGY STAR Washer_Gas DHW_Electric Dryer</t>
  </si>
  <si>
    <t>Front Load ENERGY STAR Washer_Electric DHW_Gas Dryer</t>
  </si>
  <si>
    <t>Front Load ENERGY STAR Washer_Gas DHW_Gas Dryer</t>
  </si>
  <si>
    <t>Front Load ENERGY STAR Washer_Any fuel type</t>
  </si>
  <si>
    <t>RTF current practice.</t>
  </si>
  <si>
    <t>NEEA calculation. See https://neea.org/resources/air-cleaner-unit-savings-review</t>
  </si>
  <si>
    <r>
      <rPr>
        <i/>
        <sz val="10"/>
        <color theme="1"/>
        <rFont val="Calibri"/>
        <family val="2"/>
        <scheme val="minor"/>
      </rP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STAR Reports
</t>
    </r>
    <r>
      <rPr>
        <u/>
        <sz val="10"/>
        <color theme="1"/>
        <rFont val="Calibri"/>
        <family val="2"/>
        <scheme val="minor"/>
      </rPr>
      <t>Total Sales:</t>
    </r>
    <r>
      <rPr>
        <sz val="10"/>
        <color theme="1"/>
        <rFont val="Calibri"/>
        <family val="2"/>
        <scheme val="minor"/>
      </rPr>
      <t xml:space="preserve">
-Data from: ENERGY STAR Reports.
Because of a lag in data, NEEA will report 2020 savings in 2021
See https://neea.org/resources/air-cleaner-unit-savings-review
UES is based on ENERGY STAR V2 specification using 2017 program data for CADR estimates.</t>
    </r>
  </si>
  <si>
    <t>Commercial Pumps</t>
  </si>
  <si>
    <t>Circulator Pumps</t>
  </si>
  <si>
    <t>Actuals</t>
  </si>
  <si>
    <t>Federal Standard, Effective 2020, DOE Final Rule 2017, Residential Ceiling Fans</t>
  </si>
  <si>
    <t>2020-2024</t>
  </si>
  <si>
    <t>RTF Savings Rates</t>
  </si>
  <si>
    <t>Savings Rates:</t>
  </si>
  <si>
    <t>Commercial VS Pump</t>
  </si>
  <si>
    <t>RES_201403_P2T0</t>
  </si>
  <si>
    <t>Snapshot</t>
  </si>
  <si>
    <t>Savings Category</t>
  </si>
  <si>
    <t>Local_Incentives_2021PP</t>
  </si>
  <si>
    <t>Regional_Market_2021PP</t>
  </si>
  <si>
    <t>Savings Rate Type</t>
  </si>
  <si>
    <t>Savings_Rate_2021PP</t>
  </si>
  <si>
    <t>Max of Savings Rate</t>
  </si>
  <si>
    <t>XMP Pumps</t>
  </si>
  <si>
    <t>Baseline_2021PP</t>
  </si>
  <si>
    <t>2022</t>
  </si>
  <si>
    <t>2023</t>
  </si>
  <si>
    <t>id_allocation</t>
  </si>
  <si>
    <t>mt_allocation</t>
  </si>
  <si>
    <t>or_allocation</t>
  </si>
  <si>
    <t>wa_allocation</t>
  </si>
  <si>
    <t>MT National Green Building Standard Multifamily</t>
  </si>
  <si>
    <t>Federal Standard, Effective 2020, DOE Final Rule 2017, Nonresidential Ceiling Fans</t>
  </si>
  <si>
    <t>Federal Standard, Effective 2020, DOE Final Rule 2015, Pumps in Commercial Applications</t>
  </si>
  <si>
    <t>Federal Standard, Effective 2019, DOE Final Rule 2016, Refrigerated Beverage Vending Machines</t>
  </si>
  <si>
    <t>Federal Standard, Effective 2020, DOE Final Rule 2015, Pumps in Agricultural Applications</t>
  </si>
  <si>
    <t>Federal Standard, Effective 2020, DOE Final Rule 2015, Pumps in Industrial Applications</t>
  </si>
  <si>
    <t>Federal Standard, Effective 2018 and 2023, DOE Final Rule 2015, Commercial Unitary Air Conditioners (aka RTUs)</t>
  </si>
  <si>
    <t>Federal Standard, Effective 2020, DOE Final Rule 2017, Walk-in Coolers and Freezers</t>
  </si>
  <si>
    <t>Refrigeration Operator Certification Projects</t>
  </si>
  <si>
    <t>Commercial Commissioning, New Construction</t>
  </si>
  <si>
    <t>Commissioning of commercial new construction</t>
  </si>
  <si>
    <t>Commercial Commissioning, Retro</t>
  </si>
  <si>
    <t>Retro Commissioning of commercial existing buildings</t>
  </si>
  <si>
    <t>Commercial Desktops, ENERGY STAR 6.0</t>
  </si>
  <si>
    <t>Commercial Desktop ENERGY STAR 6.0</t>
  </si>
  <si>
    <t>Commercial Desktops, ENERGY STAR 7.0</t>
  </si>
  <si>
    <t>Commercial Desktop ENERGY STAR 7.0</t>
  </si>
  <si>
    <t>Efficient Motor Rewinds, Industrial &amp; Ag</t>
  </si>
  <si>
    <t>Efficient Motor Rewinds for Industrial &amp; Ag Motors</t>
  </si>
  <si>
    <t>Ductless Heat Pumps, Single-Family Home, Existing Displace - eFAF</t>
  </si>
  <si>
    <t>Install Ductless Heat Pump in Single Family Home with Existing  Electric Forced Air Furnace Heat- Any Climate Zone- Weighted for Supplemental Fuel Use</t>
  </si>
  <si>
    <t>Ductless Heat Pumps, Manufactured Home, Existing Displace - eFAF</t>
  </si>
  <si>
    <t>Install Ductless Heat Pump in Manufactured House with Existing  Electric Forced Air Furnace Heat- Any Climate Zone- Weighted for Supplemental Fuel Use</t>
  </si>
  <si>
    <t>Ductless Heat Pumps, Single-Family Home, Existing Displace - Zonal</t>
  </si>
  <si>
    <t>Install Ductless Heat Pump in Single Family House with Existing Zonal Heat- Any Climate Zone- Weighted for Supplemental Fuel Use</t>
  </si>
  <si>
    <t>Manufactured Home, HUD Code</t>
  </si>
  <si>
    <t>Manufactured Home (HUD Code)</t>
  </si>
  <si>
    <t>Manufactured Home, NEEM 1.1</t>
  </si>
  <si>
    <t>NEEM 1.1 Manufactured Home</t>
  </si>
  <si>
    <t>Manufactured Home, NEEM Plus</t>
  </si>
  <si>
    <t>NEEM Plus Manufactured Home</t>
  </si>
  <si>
    <t>Oregon Code, Single-Family, ORSC 2017</t>
  </si>
  <si>
    <t>Oregon Residential Specialty Code 2017, Residential, Single-family</t>
  </si>
  <si>
    <t>Washington Code, Single-Family, WSEC 2015</t>
  </si>
  <si>
    <t>Washington State Energy Code 2015, Residential, Single-family</t>
  </si>
  <si>
    <t>Oregon Code, Single-Family, ORSC 2021</t>
  </si>
  <si>
    <t>Oregon Residential Specialty Code 2020, Residential, Single-family</t>
  </si>
  <si>
    <t>Washington Code, Single-Family, WSEC 2018</t>
  </si>
  <si>
    <t>Washington State Energy Code 2018, Residential, Single-family</t>
  </si>
  <si>
    <t>Montana Code, Single-Family, IECC 2018</t>
  </si>
  <si>
    <t>Montana International Energy Conservation Code 2018,  Residential, Single-family</t>
  </si>
  <si>
    <t>Idaho Code, Single-Family, IECC 2018</t>
  </si>
  <si>
    <t>Idaho International Energy Conservation Code 2018 with Idaho Amendments,  Residential, Single-family</t>
  </si>
  <si>
    <t>Idaho Code, New Commercial, IECC 2015</t>
  </si>
  <si>
    <t>2015 IECC Non-residential new construction built in Idaho</t>
  </si>
  <si>
    <t>Idaho Code, New Commercial, IECC 2018</t>
  </si>
  <si>
    <t>2018 IECC Non-residential new construction built in Idaho</t>
  </si>
  <si>
    <t>Montana Code, New Commercial, IECC 2018</t>
  </si>
  <si>
    <t>2018 IECC Non-residential new construction built in Montana</t>
  </si>
  <si>
    <t>Oregon Code, New Commercial, OZERCC 2019</t>
  </si>
  <si>
    <t>2019 OZERCC Non-residential new construction built in Oregon</t>
  </si>
  <si>
    <t>Washington Code, New Commercial, WSEC 2015</t>
  </si>
  <si>
    <t>2015 WSEC Non-residential new construction built in Washington</t>
  </si>
  <si>
    <t>Washington Code, New Commercial, WSEC 2018</t>
  </si>
  <si>
    <t>2018 WSEC Non-residential new construction built in Washington</t>
  </si>
  <si>
    <t>Oregon Code, New Multifamily, ORSC 2017</t>
  </si>
  <si>
    <t>Oregon Specialty 2017 Code home built in Oregon, regional heating system, any climate zone, multifamily, new construction</t>
  </si>
  <si>
    <t>Washington Code, New Multifamily, WSEC 2015</t>
  </si>
  <si>
    <t>WSEC  2015 home built in Washington, all heating systems, regional climate zone, multifamily, new construction</t>
  </si>
  <si>
    <t>Oregon Code, New Multifamily, ORSC 2021</t>
  </si>
  <si>
    <t>Future Oregon Specialty Code home built in Oregon, regional heating system, any climate zone, single-family, new construction</t>
  </si>
  <si>
    <t>Washington Code, New Multifamily, WSEC 2018</t>
  </si>
  <si>
    <t>WSEC  2018 home built in Washington, all heating systems, regional climate zone, multifamily, new construction</t>
  </si>
  <si>
    <t>Idaho Code, New Multifamily, IECC 2015</t>
  </si>
  <si>
    <t>IECC 2015 Code home built in Idaho, all heating systems, Idaho climate zones, multifamily, new construction</t>
  </si>
  <si>
    <t>Idaho Code, New Multifamily, IECC 2018</t>
  </si>
  <si>
    <t>IECC 2018 Code home built in Idaho, all heating systems, Idaho climate zones, multifamily, new construction</t>
  </si>
  <si>
    <t>Montana Code, New Multifamily, IECC 2015</t>
  </si>
  <si>
    <t>IECC 2015 Code home built in Montana, all heating systems, Idaho climate zones, multifamily, new construction</t>
  </si>
  <si>
    <t>IECC 2018 Code home built in Montana, all heating systems, Idaho climate zones, multifamily, new construction</t>
  </si>
  <si>
    <t>Laptops, Commercial, ENERGY STAR 6.0</t>
  </si>
  <si>
    <t>Commercial Laptop ENERGY STAR 6.0</t>
  </si>
  <si>
    <t>Desktops, Residential, ENERGY STAR 6.0</t>
  </si>
  <si>
    <t>Residential Desktop ENERGY STAR 6.0</t>
  </si>
  <si>
    <t>Laptops, Residential, ENERGY STAR 6.0</t>
  </si>
  <si>
    <t>Residential Laptop ENERGY STAR 6.0</t>
  </si>
  <si>
    <t>Non-Residential, Commercial Unitary Air Conditioners (RTUs) (2015)</t>
  </si>
  <si>
    <t>Non-Residential, Beverage Vending Machines (2016)</t>
  </si>
  <si>
    <t>Non-Residential, Walk-in Coolers and Freezers (2017)</t>
  </si>
  <si>
    <t>Non-Residential, Commercial Pumps (2015)</t>
  </si>
  <si>
    <t>Non-Residential, Industrial Pumps (2015)</t>
  </si>
  <si>
    <t>Non-Residential, Agricultural Pumps (2015)</t>
  </si>
  <si>
    <t>Non-Residential, Pre-rinse Spray Valves (2016)</t>
  </si>
  <si>
    <t>Residential, Ceiling Fans (2017)</t>
  </si>
  <si>
    <t>Commercial T8 Linear Fluorescent, 25W</t>
  </si>
  <si>
    <t>25W 4-foot T8 linear fluorescent lamp replacing 32W 4-foot linear fluorescent lamps for commercial application</t>
  </si>
  <si>
    <t>Commercial T8 Linear Fluorescent, 28W</t>
  </si>
  <si>
    <t>28W 4-foot T8 linear fluorescent lamp replacing 32W 4-foot T8 linear fluorescent lamps for commercial application</t>
  </si>
  <si>
    <t>Industrial T8 Linear Fluorescent, 28W</t>
  </si>
  <si>
    <t>28W 4-foot T8 linear fluorescent lamp replacing 32W 4-foot T8 linear fluorescent lamps for industrial application</t>
  </si>
  <si>
    <t>Industrial T8 Linear Fluorescent, 25W</t>
  </si>
  <si>
    <t>25W 4-foot T8 linear fluorescent lamp replacing 32W 4-foot linear fluorescent lamps for industrial application</t>
  </si>
  <si>
    <t>CFL, General Purpose</t>
  </si>
  <si>
    <t>Retail sales of general purpose CFL bulb in existing residential buildings</t>
  </si>
  <si>
    <t>CFL, Specialty</t>
  </si>
  <si>
    <t>Retail sales of specialty CFL bulb in existing residential buildings</t>
  </si>
  <si>
    <t>LED, General Purpose</t>
  </si>
  <si>
    <t>Retail sales of general purpose LED bulb in existing residential buildings</t>
  </si>
  <si>
    <t>LED, Specialty</t>
  </si>
  <si>
    <t>Retail sales of specialty LED bulb in existing residential buildings</t>
  </si>
  <si>
    <t>Soundbar, ENERGY STAR +50%</t>
  </si>
  <si>
    <t>Clothes Washers, Standard-size Top-Loading, Electric, ENERGY STAR v7 (IMEF 2.09)</t>
  </si>
  <si>
    <t>Clothes Washers, Standard-size Top-Loading, Electric, ENERGY STAR v8 Most Efficient (CEE Tier 1, IMEF 2.76)</t>
  </si>
  <si>
    <t>Clothes Washer, Front-Loading, Electric, ENERGY STAR v8 Most Efficient 2017 (CEE Tier 1, IMEF 2.77)</t>
  </si>
  <si>
    <t>Clothes Washer, Front-Loading, Electric, ENERGY STAR v8 Most Efficient 2018 (CEE Tier 2, IMEF 2.91)</t>
  </si>
  <si>
    <t>Freezers, Compact Chest and Upright, ENERGY STAR v5</t>
  </si>
  <si>
    <t>Freezers, Compact Chest and Upright, ENERGY STAR v5 +5%</t>
  </si>
  <si>
    <t>Freezers, Standard-size Upright, ENERGY STAR v5</t>
  </si>
  <si>
    <t>Freezers, Standard-size Upright, ENERGY STAR v5 +5%</t>
  </si>
  <si>
    <t>Freezers, Standard-size Chest, ENERGY STAR v5</t>
  </si>
  <si>
    <t>Freezers, Standard-size Chest, ENERGY STAR v5 +5%</t>
  </si>
  <si>
    <t>Room Air Conditioners, Med/Large, ENERGY STAR v4</t>
  </si>
  <si>
    <t>Room Air Conditioners, Med/Large, ENERGY STAR Most Efficient</t>
  </si>
  <si>
    <t>Soundbar, ENERGY STAR V3 +15%</t>
  </si>
  <si>
    <t>Clothes Dryers, Standard, Electric, ENERGY STAR v1</t>
  </si>
  <si>
    <t>Clothes Dryer, Standard, Electric, ENERGY STAR v1</t>
  </si>
  <si>
    <t>Clothes Dryers, Standard, Electric, UCEF 3.00 to 4.19</t>
  </si>
  <si>
    <t>Clothes Dryer, Standard, Electric, UCEF 3.00 to 4.19</t>
  </si>
  <si>
    <t>Clothes Dryers, Standard, Electric, UCEF 4.20 to 5.29</t>
  </si>
  <si>
    <t>Clothes Dryer, Standard, Electric, UCEF 4.20 to 5.29</t>
  </si>
  <si>
    <t>Clothes Dryers, Standard, Electric, UCEF 5.30 to 6.09</t>
  </si>
  <si>
    <t>Clothes Dryer, Standard, Electric, UCEF 5.30 to 6.09</t>
  </si>
  <si>
    <t>Clothes Dryers, Standard, Electric, UCEF 6.10 to 7.19</t>
  </si>
  <si>
    <t>Clothes Dryer, Standard, Electric, UCEF 6.10 to 7.19</t>
  </si>
  <si>
    <t>Clothes Dryers, Standard, Electric, UCEF 7.20 to 8.00</t>
  </si>
  <si>
    <t>Clothes Dryer, Standard, Electric, UCEF 7.20 to 8.00</t>
  </si>
  <si>
    <t>RES_201403_P11T0</t>
  </si>
  <si>
    <t>Standards:</t>
  </si>
  <si>
    <t>Lighting Fixtures</t>
  </si>
  <si>
    <t>Pneu-Logic (Sav-Air)</t>
  </si>
  <si>
    <t>Pulp and Paper</t>
  </si>
  <si>
    <t>Solid State Streetlights with Controls</t>
  </si>
  <si>
    <t>Variable Frequency Drives</t>
  </si>
  <si>
    <t>Verdiem Network Energy Management</t>
  </si>
  <si>
    <t>Efficient Motor Rewinds - Ag</t>
  </si>
  <si>
    <t>MT Multifamily Homes</t>
  </si>
  <si>
    <t>OR Multifamily Homes</t>
  </si>
  <si>
    <t>Residential Fixtures</t>
  </si>
  <si>
    <t>ID National Green Building Standard Multifamily</t>
  </si>
  <si>
    <t>OR National Green Building Standard Multifamily</t>
  </si>
  <si>
    <t>WA Home Energy Savings Program</t>
  </si>
  <si>
    <t>Air Compressors</t>
  </si>
  <si>
    <t>Ceiling Fan Light Kits</t>
  </si>
  <si>
    <t>Commercial Package Air Conditioners and Heat Pumps</t>
  </si>
  <si>
    <t>Commercial Packaged Boilers</t>
  </si>
  <si>
    <t>Portable Air Conditioners</t>
  </si>
  <si>
    <t>Uninterruptible Power Supplies</t>
  </si>
  <si>
    <t>Portfolio TBD</t>
  </si>
  <si>
    <t>Pneu-Logic</t>
  </si>
  <si>
    <t>Pulp and Paper Sem</t>
  </si>
  <si>
    <t>Clothes Dryers (Compact)</t>
  </si>
  <si>
    <t>Clothes Dryers (Compact, Gas)</t>
  </si>
  <si>
    <t>Clothes Dryers (Standard, Gas)</t>
  </si>
  <si>
    <t>Clothes Washers (Compact)</t>
  </si>
  <si>
    <t>Dehumidifiers</t>
  </si>
  <si>
    <t>Refrigerators- Compact</t>
  </si>
  <si>
    <t>Solid State Street Lights</t>
  </si>
  <si>
    <t>VFD</t>
  </si>
  <si>
    <t>Verdiem</t>
  </si>
  <si>
    <t>Agricultural Applications</t>
  </si>
  <si>
    <t>Delete</t>
  </si>
  <si>
    <t>Inefficient Unit</t>
  </si>
  <si>
    <t>Or. Specialty Code 2026</t>
  </si>
  <si>
    <t>Or. Specialty Code 2029</t>
  </si>
  <si>
    <t>Commercial Applications</t>
  </si>
  <si>
    <t>Industrial Applications</t>
  </si>
  <si>
    <t>Non-Residential Applications</t>
  </si>
  <si>
    <t>Residential Applications</t>
  </si>
  <si>
    <t>ENERGY STAR v2 +50%</t>
  </si>
  <si>
    <t>ENERGY STAR v1 Most Efficient</t>
  </si>
  <si>
    <t>ENERGY STAR +TBD%</t>
  </si>
  <si>
    <t>ENERGY STAR 3.0 +30%</t>
  </si>
  <si>
    <t>ENERGY STAR 4.1</t>
  </si>
  <si>
    <t>ENERGY STAR 5.3</t>
  </si>
  <si>
    <t>ENERGY STAR 5.3 +20%</t>
  </si>
  <si>
    <t>ENERGY STAR 5.3 +35%</t>
  </si>
  <si>
    <t>ENERGY STAR 6.2 +20%</t>
  </si>
  <si>
    <t>ENERGY STAR 7+35% (UHD)</t>
  </si>
  <si>
    <t>Most Efficient 2013</t>
  </si>
  <si>
    <t>Most Efficient 2015</t>
  </si>
  <si>
    <t>Certified Refrigeration Energy Specialist</t>
  </si>
  <si>
    <t>Commissioning of commercial buildings</t>
  </si>
  <si>
    <t>Commissioning of industrial buildings</t>
  </si>
  <si>
    <t>Retro Commissioning of commercial buildings</t>
  </si>
  <si>
    <t>Retro Commissioning of industrial buildings</t>
  </si>
  <si>
    <t>Commercial Desktop Computers</t>
  </si>
  <si>
    <t>Motor Rewinds Drive Power</t>
  </si>
  <si>
    <t>Motor Rewinds Drive Power - Agricultural Application</t>
  </si>
  <si>
    <t>Old Motors Standards (delete?_</t>
  </si>
  <si>
    <t>Efficient Motors (above standards)</t>
  </si>
  <si>
    <t>Inverter-driven DHP of 1.0 ton or greater heating capacity must be installed in the main living area of a house heated with zonal electric heat.</t>
  </si>
  <si>
    <t>Single-family home, new construction</t>
  </si>
  <si>
    <t>Multifamily home, new construction</t>
  </si>
  <si>
    <t>Small Heat Pump Water Heaters installed in Existing Construction</t>
  </si>
  <si>
    <t>Small Heat Pump Water Heaters installed in New Construction</t>
  </si>
  <si>
    <t>Large Heat Pump Water Heaters installed in Existing Construction</t>
  </si>
  <si>
    <t>Large Heat Pump Water Heaters installed in New Construction</t>
  </si>
  <si>
    <t>Lighting (Res)</t>
  </si>
  <si>
    <t>Combination of Home Energy Scores and EPA ENERGY STAR Idaho, all heating systems, Idaho climate zones, single-family, new construction</t>
  </si>
  <si>
    <t>Combination of Home Energy Scores and EPA ENERGY STAR Idaho, all heating systems, Idaho climate zones, multi-family, new construction</t>
  </si>
  <si>
    <t>National Green Building Standard in Idaho all heating systems, Idaho climate zones, single-family, new construction</t>
  </si>
  <si>
    <t>Performance path utility program for single-family home, new construction</t>
  </si>
  <si>
    <t>Combination of Home Energy Scores and EPA ENERGY STAR Montana, all heating systems, Montana climate zones, single-family, new construction</t>
  </si>
  <si>
    <t>Combination of Home Energy Scores and EPA ENERGY STAR Montana, all heating systems, Montana climate zones, multi-family, new construction</t>
  </si>
  <si>
    <t>National Green Building Standard in Montana all heating systems, Montana climate zones, single-family, new construction</t>
  </si>
  <si>
    <t>Combination of Home Energy Scores and EPA ENERGY STAR Oregon, all heating systems, Oregon climate zones, single-family, new construction</t>
  </si>
  <si>
    <t>Combination of Home Energy Scores and EPA ENERGY STAR Oregon, all heating systems, Oregon climate zones, multi-family, new construction</t>
  </si>
  <si>
    <t>National Green Building Standard in Oregon all heating systems, Oregon climate zones, single-family, new construction</t>
  </si>
  <si>
    <t>Built Green  in Washington, all heating systems, Washington climate zones, multifamily, new construction</t>
  </si>
  <si>
    <t>Built Green  in Washington, all heating systems, Washington climate zones, single-family, new construction</t>
  </si>
  <si>
    <t>Combination of Home Energy Scores and EPA ENERGY STAR Washington, all heating systems, Washington climate zones, single-family, new construction</t>
  </si>
  <si>
    <t>Combination of Home Energy Scores and EPA ENERGY STAR Washington, all heating systems, Washington climate zones, multi-family, new construction</t>
  </si>
  <si>
    <t>New Homes Program PacifiCorp (2017)</t>
  </si>
  <si>
    <t>National Green Building Standard in Washington, all heating systems, Washington climate zones, multifamily, new construction</t>
  </si>
  <si>
    <t>National Green Building Standard in Washington, all heating systems, Washington climate zones, single-family, new construction</t>
  </si>
  <si>
    <t>Commercial building codes</t>
  </si>
  <si>
    <t>Laptops sold in the commercial sector</t>
  </si>
  <si>
    <t>Desktops sold in the residential sector</t>
  </si>
  <si>
    <t>Laptops sold in the residential sector</t>
  </si>
  <si>
    <t>TBD (from Katie)</t>
  </si>
  <si>
    <t>Standards (delete or change eventually)</t>
  </si>
  <si>
    <t>Small, large, and very large commercial package air conditioners and heat pumps are air-cooled, water-cooled, evaporatively-cooled, or water source unitary air conditioners and heat pumps that are used for space conditioning of commercial and industrial buildings.</t>
  </si>
  <si>
    <t>Commercial refrigerator, freezer, and refrigerator-freezer as refrigeration equipment</t>
  </si>
  <si>
    <t>Electric motors are machines that convert electrical power into rotational mechanical power.</t>
  </si>
  <si>
    <t>Federal standard for lamp ballasts effect in 2014</t>
  </si>
  <si>
    <t>Standards (proxy savings forecast)</t>
  </si>
  <si>
    <t>DOE defines a “commercial prerinse spray valve” as a handheld device that has a release-to close valve and is suitable for removing food residue from food service items before cleaning them in commercial dishwashing and ware washing equipment</t>
  </si>
  <si>
    <t>Pumps exist in numerous applications, including agriculture, oil and gas production, water and wastewater, manufacturing, mining, and commercial building systems.</t>
  </si>
  <si>
    <t>DOE defines the term “small electric motor” to mean “a NEMA general-purpose alternating current single-speed induction motor built in a two-digit frame number series in accordance with NEMA Standards Publication MG1–1987.” (42 U.S.C. 6311(13)(G))</t>
  </si>
  <si>
    <t>DOE defines a “walk-in cooler and walk-in freezer” as an enclosed storage space refrigerated to temperatures, respectively, above, and at or below 32 degrees Farenheit that can be walked into, and has a total chilled storage area of less than 3,000 square feet.</t>
  </si>
  <si>
    <t>Standard Battery Chargers</t>
  </si>
  <si>
    <t>DOE defines “electric clothes dryer” under the Energy Policy and Conservation Act (EPCA) of 1975, Pub. L. 94-163, (42 United States Code (U.S.C.) 6291–6309) as “a cabinet-like appliance designed to dry fabrics in a tumble-type drum with forced air circulation.</t>
  </si>
  <si>
    <t>The term "external power supply" means an external power supply circuit that is used to 
convert household electric current into DC current or lower-voltage AC current to operate a 
consumer product. (42 U.S.C. 6291(36)(A))</t>
  </si>
  <si>
    <t>A furnace fan is an electrically-powered device used in residential buildings for the purposes of circulating air through duct work.</t>
  </si>
  <si>
    <t>Retail Products Portfolio</t>
  </si>
  <si>
    <t>A residential central air conditioner is an important part of a home’s central heating
and cooling system that provides cooled air to the conditioned space through ductwork.</t>
  </si>
  <si>
    <t>Federal standard for Heat Pumps effect in 2015</t>
  </si>
  <si>
    <t>SEM</t>
  </si>
  <si>
    <t>Commercial T8 lamps</t>
  </si>
  <si>
    <t>Industrial T8 Lamps</t>
  </si>
  <si>
    <t>General Purpose screw-in bulb</t>
  </si>
  <si>
    <t>Specialty screw-in bulb</t>
  </si>
  <si>
    <t>Other General Purpose bulbs</t>
  </si>
  <si>
    <t>Other Specialty bulbs</t>
  </si>
  <si>
    <t>Residential Small Appliances</t>
  </si>
  <si>
    <t>Compact Clothes Dryers</t>
  </si>
  <si>
    <t>Standard Clothes Dryers</t>
  </si>
  <si>
    <t>Compact Clothes Washers</t>
  </si>
  <si>
    <t>Chest freezers and all other freezers except compact freezers.</t>
  </si>
  <si>
    <t>Compact upright freezers with manual defrost and Regular Compact Freezers</t>
  </si>
  <si>
    <t>Compact Refrigerators</t>
  </si>
  <si>
    <t>Residential Heating and Cooling</t>
  </si>
  <si>
    <t>Residential Ultra High Definition televisions</t>
  </si>
  <si>
    <t>Streets Lights</t>
  </si>
  <si>
    <t>Residential televisions</t>
  </si>
  <si>
    <t>Evaporator Fan Variable Frequency Drive</t>
  </si>
  <si>
    <t>Verdiem Network Management</t>
  </si>
  <si>
    <t>Commissioning of industrial new construction</t>
  </si>
  <si>
    <t>Retro Commissioning of industrial existing buildings</t>
  </si>
  <si>
    <t>Commercial Desktop ENERGY STAR 5.0</t>
  </si>
  <si>
    <t>Commercial Desktop ENERGY STAR 8.0</t>
  </si>
  <si>
    <t>Non-Qualifying Desktop - Commercial</t>
  </si>
  <si>
    <t>Efficient Motor Rewinds for Agricultural Motors</t>
  </si>
  <si>
    <t>NEMA Premium Electric Motors 1-200 HP</t>
  </si>
  <si>
    <t>NEMA Premium Electric Motors 201-500 HP</t>
  </si>
  <si>
    <t>IECC 2006 Code home built in Idaho, all heating systems, Idaho climate zones, single-family, new construction</t>
  </si>
  <si>
    <t>IECC 2009 Code home built in Idaho, all heating systems, Idaho climate zones, single-family, new construction</t>
  </si>
  <si>
    <t>IECC 2012 with Amendments Code home built in Idaho, all heating systems, Idaho climate zones, single-family, new construction</t>
  </si>
  <si>
    <t>ENERGY STAR Home built in Idaho, all heating systems, Idaho climate zones, single-family, new construction</t>
  </si>
  <si>
    <t>ENERGY STAR Home built in Idaho, all heating systems, Idaho climate zones, multifamily, new construction</t>
  </si>
  <si>
    <t>IECC 2003 with Amendments Code home built in Montana, all heating systems, regional climate zone, single-family, new construction</t>
  </si>
  <si>
    <t>IECC 2009 with Amendments Code home built in Montana, all heating systems, regional climate zone, single-family, new construction</t>
  </si>
  <si>
    <t>IECC 2012 with Amendments Code home built in Montana, all heating systems, regional climate zone, single-family, new construction</t>
  </si>
  <si>
    <t>ENERGY STAR Home built in Montana, all heating systems, Montana climate zones, single-family, new construction</t>
  </si>
  <si>
    <t>ENERGY STAR Home built in Montana, all heating systems, Montana climate zones, multifamily, new construction</t>
  </si>
  <si>
    <t>ENERGY STAR Home built in the Northwest, all heating systems, Idaho climate zones, single-family, new construction (measure is for pre 2010 savings)</t>
  </si>
  <si>
    <t>Oregon Specialty 2015 Code home built in Oregon, regional heating system, any climate zone, single-family, new construction</t>
  </si>
  <si>
    <t>Oregon Specialty 2008 Code home built in Oregon, regional heating system, any climate zone, single-family, new construction</t>
  </si>
  <si>
    <t>Oregon Specialty 2011 Code home built in Oregon, regional heating system, any climate zone, single-family, new construction (updated in 2014)</t>
  </si>
  <si>
    <t>ENERGY STAR Home built in Oregon, all heating systems, Oregon climate zones, single-family, new construction</t>
  </si>
  <si>
    <t>ENERGY STAR Home built in Oregon, all heating systems, Oregon climate zones, multifamily, new construction</t>
  </si>
  <si>
    <t>WSEC  2006 home built in Idaho, all heating systems, regional climate zone, single-family, new construction</t>
  </si>
  <si>
    <t>WSEC  2009 home built in Idaho, all heating systems, regional climate zone, single-family, new construction</t>
  </si>
  <si>
    <t>WSEC  2012 home built in Idaho, all heating systems, regional climate zone, single-family, new construction</t>
  </si>
  <si>
    <t>ENERGY STAR Home built in Washington, all heating systems, Washington climate zones, single-family, new construction</t>
  </si>
  <si>
    <t>ENERGY STAR Home built in Washington, all heating systems, Washington climate zones, multifamily, new construction</t>
  </si>
  <si>
    <t>Small Heat Pump Water Heater installed in existing, single-family or manufactured homes</t>
  </si>
  <si>
    <t>Small Heat Pump Water Heater installed in new construction, single-family or manufactured homes</t>
  </si>
  <si>
    <t>Large Heat Pump Water Heater installed in existing, single-family or manufactured homes</t>
  </si>
  <si>
    <t>Large Heat Pump Water Heater installed in new construction, single-family or manufactured homes</t>
  </si>
  <si>
    <t>All</t>
  </si>
  <si>
    <t>Inefficient Manufactured Home</t>
  </si>
  <si>
    <t>Energy Performance Score Homes</t>
  </si>
  <si>
    <t>Idaho International Energy Conservation Code 2015 with Idaho Amendments,  Residential, Single-family</t>
  </si>
  <si>
    <t>Idaho International Energy Conservation Code 2021 with Idaho Amendments,  Residential, Single-family</t>
  </si>
  <si>
    <t>Idaho International Energy Conservation Code 2024,  Residential, Single-family</t>
  </si>
  <si>
    <t>Idaho International Energy Conservation Code 2027,  Residential, Single-family</t>
  </si>
  <si>
    <t>Home with RESNET Home Energy Rating System (HERS) index in Idaho, all heating systems, Idaho climate zones, single-family, new construction.</t>
  </si>
  <si>
    <t>Home with a RESNET Home Energy Rating System (HERS) index in Idaho, all heating systems, Idaho climate zones, multi-family, new construction.</t>
  </si>
  <si>
    <t>Next Step Home built in Idaho, all heating systems, Idaho climate zones, single-family, new construction</t>
  </si>
  <si>
    <t>ENERGY STAR Home built in Washington, all heating systems, Idaho climate zones, multifamily, new construction</t>
  </si>
  <si>
    <t>National Green Building Standard in Idaho, all heating systems, Idaho climate zones, multifamily, new construction</t>
  </si>
  <si>
    <t>New single-family homes built in Idaho incentivized under the BPA residential single-family new construction performance path.</t>
  </si>
  <si>
    <t>Montana International Energy Conservation Code 2021,  Residential, Single-family</t>
  </si>
  <si>
    <t>Montana International Energy Conservation Code 2024,  Residential, Single-family</t>
  </si>
  <si>
    <t>Montana International Energy Conservation Code 2027,  Residential, Single-family</t>
  </si>
  <si>
    <t>Home with RESNET Home Energy Rating System (HERS) index in Montana, all heating systems, Montana climate zones, single-family, new construction.</t>
  </si>
  <si>
    <t>Home with a RESNET Home Energy Rating System (HERS) index in Montana, all heating systems, Montana climate zones, multi-family, new construction.</t>
  </si>
  <si>
    <t>Next Step Home built in Montana, all heating systems, Montana climate zones, single-family, new construction</t>
  </si>
  <si>
    <t>National Green Building Standard in Montana, all heating systems, Montana climate zones, multifamily, new construction</t>
  </si>
  <si>
    <t>New single-family homes built in Montana incentivized under the BPA residential single-family new construction performance path.</t>
  </si>
  <si>
    <t>Oregon Residential Specialty Code 2023, Residential, Single-family</t>
  </si>
  <si>
    <t>Oregon Residential Specialty Code 2026, Residential, Single-family</t>
  </si>
  <si>
    <t>Oregon Residential Specialty Code 2029, Residential, Single-family</t>
  </si>
  <si>
    <t>New single-family homes built in Oregon certified by Earth Advantage's residential single-family new construction specifications.</t>
  </si>
  <si>
    <t>Home with a RESNET Home Energy Rating System (HERS) index in Oregon, all heating systems, Oregon climate zones, single-family, new construction.</t>
  </si>
  <si>
    <t>Home with a RESNET Home Energy Rating System (HERS) index in Oregon, all heating systems, Oregon climate zones, multi-family, new construction.</t>
  </si>
  <si>
    <t>Next Step Home built in Oregon, all heating systems, Oregon climate zones, single-family, new construction</t>
  </si>
  <si>
    <t>National Green Building Standard in Oregon, all heating systems, Oregon climate zones, multifamily, new construction</t>
  </si>
  <si>
    <t>New single-family homes built in Oregon incentivized under the BPA residential single-family new construction performance path.</t>
  </si>
  <si>
    <t>Washington State Energy Code 2021, Residential, Single-family</t>
  </si>
  <si>
    <t>Washington State Energy Code 2024, Residential, Single-family</t>
  </si>
  <si>
    <t>Washington State Energy Code 2027, Residential, Single-family</t>
  </si>
  <si>
    <t>Home with a RESNET Energy Rating System (HERS) index in Washington, all heating systems, Washington climate zones, single-family new construction.</t>
  </si>
  <si>
    <t>Home with a RESNET Home Energy Rating System (HERS) index in Washington, all heating systems, Washington climate zones, multi-family, new construction.</t>
  </si>
  <si>
    <t>New single-family homes built in Washington a part of a Home Energy Program.</t>
  </si>
  <si>
    <t>Next Step Home built in Washington all heating systems, Washington climate zones, single-family, new construction</t>
  </si>
  <si>
    <t>New single-family homes built in Washington incentivized under the BPA residential single-family new construction performance path.</t>
  </si>
  <si>
    <t>2000 IECC and 2003 IECC Non-residential new construction built in Idaho</t>
  </si>
  <si>
    <t>2006 IECC Non-residential new construction built in Idaho</t>
  </si>
  <si>
    <t>2009 IECC Non-residential new construction built in Idaho</t>
  </si>
  <si>
    <t>2012 IECC Non-residential new construction built in Idaho</t>
  </si>
  <si>
    <t>2021 IECC Non-residential new construction built in Idaho</t>
  </si>
  <si>
    <t>2024 IECC Non-residential new construction built in Idaho</t>
  </si>
  <si>
    <t>2027 IECC Non-residential new construction built in Idaho</t>
  </si>
  <si>
    <t>2030 IECC Non-residential new construction built in Idaho</t>
  </si>
  <si>
    <t>2003 IECC Non-residential new construction built in Montana</t>
  </si>
  <si>
    <t>2009 IECC Non-residential new construction built in Montana</t>
  </si>
  <si>
    <t>2012 IECC Non-residential new construction built in Montana</t>
  </si>
  <si>
    <t>2021 IECC Non-residential new construction built in Montana</t>
  </si>
  <si>
    <t>2024 IECC Non-residential new construction built in Montana</t>
  </si>
  <si>
    <t>2027 IECC Non-residential new construction built in Montana</t>
  </si>
  <si>
    <t>2030 IECC Non-residential new construction built in Montana</t>
  </si>
  <si>
    <t>2004 OSSC Non-residential new construction built in Oregon</t>
  </si>
  <si>
    <t>2007 OSSC Non-residential new construction built in Oregon</t>
  </si>
  <si>
    <t>2010 OEESC Non-residential new construction built in Oregon</t>
  </si>
  <si>
    <t>2014 OEESC Non-residential new construction built in Oregon</t>
  </si>
  <si>
    <t>2000 WSEC, 2003 WSEC and emergency changes Non-residential new construction built in Washington</t>
  </si>
  <si>
    <t>2004 WSEC Non-residential new construction built in Washington</t>
  </si>
  <si>
    <t>2006 WSEC Non-residential new construction built in Washington</t>
  </si>
  <si>
    <t>2009 WSEC Non-residential new construction built in Washington</t>
  </si>
  <si>
    <t>2012 WSEC Non-residential new construction built in Washington</t>
  </si>
  <si>
    <t>2021 WSEC Non-residential new construction built in Washington</t>
  </si>
  <si>
    <t>2024 WSEC Non-residential new construction built in Washington</t>
  </si>
  <si>
    <t>2027 WSEC Non-residential new construction built in Washington</t>
  </si>
  <si>
    <t>2030 WSEC Non-residential new construction built in Washington</t>
  </si>
  <si>
    <t>IECC 2006 Code home built in Idaho, all heating systems, Idaho climate zones, multifamily, new construction</t>
  </si>
  <si>
    <t>IECC 2009 Code home built in Idaho, all heating systems, Idaho climate zones, multifamily, new construction</t>
  </si>
  <si>
    <t>IECC 2012 with Amendments Code home built in Idaho, all heating systems, Idaho climate zones, multifamily, new construction</t>
  </si>
  <si>
    <t>Future IECC Code home built in Idaho, all heating systems, Idaho climate zones, multifamily, new construction</t>
  </si>
  <si>
    <t>IECC 2003 with Amendments Code home built in Montana, all heating systems, regional climate zone, multifamily, new construction</t>
  </si>
  <si>
    <t>IECC 2009 with Amendments Code home built in Montana, all heating systems, regional climate zone, multifamily, new construction</t>
  </si>
  <si>
    <t>IECC 2012 with Amendments Code home built in Montana, all heating systems, regional climate zone, multifamily, new construction</t>
  </si>
  <si>
    <t>Oregon Specialty 2008 Code home built in Oregon, regional heating system, any climate zone, multifamily, new construction</t>
  </si>
  <si>
    <t>Oregon Specialty 2011 Code home built in Oregon, regional heating system, any climate zone, multifamily, new construction</t>
  </si>
  <si>
    <t>Oregon Specialty Code 2014 home built in Oregon, regional heating system, any climate zone, single-family, new construction</t>
  </si>
  <si>
    <t>WSEC  2006 home built in Washington, all heating systems, regional climate zone, multifamily, new construction</t>
  </si>
  <si>
    <t>WSEC  2009 home built in Washington, all heating systems, regional climate zone, multifamily, new construction</t>
  </si>
  <si>
    <t>WSEC  2012 home built in Washington, all heating systems, regional climate zone, multifamily, new construction</t>
  </si>
  <si>
    <t>Future WSEC Code home built in Washington, all heating systems, regional climate zone, multifamily, new construction</t>
  </si>
  <si>
    <t>Non-Qualifying Laptop - Commercial</t>
  </si>
  <si>
    <t>Non-Qualifying Desktop - Residential</t>
  </si>
  <si>
    <t>Non-Qualifying Laptop - Residential</t>
  </si>
  <si>
    <t>Federal Standard, Effective 2025, DOE Final Rule 2016, Commercial Air Compressors</t>
  </si>
  <si>
    <t>Federal Standard, Effective 2025, DOE Final Rule 2016, Industrial Air Compressors</t>
  </si>
  <si>
    <t>Federal Standard, Effective 2020, DOE Final Rule 2017, Nonresidential Ceiling Fan Light Kits</t>
  </si>
  <si>
    <t>Federal Standard, Effective 2018 and 2023, DOE Final Rule 2016</t>
  </si>
  <si>
    <t>Federal Standard, Effective 2023, DOE Final Rule 2016, Non-Residential Commercial Packaged Boilers</t>
  </si>
  <si>
    <t>Federal Standard, Effective 2017, DOE Final Rule 2014, Commercial Refrigeration Equipment</t>
  </si>
  <si>
    <t>Federal Standard, Effective 2016, DOE Final Rule 2014, Electric Motors</t>
  </si>
  <si>
    <t>Federal Standard, Effective 2014, DOE Final Rule 2011, Nonresidential Fluorescent Lamp Ballasts</t>
  </si>
  <si>
    <t>Proxy forecast for other standards</t>
  </si>
  <si>
    <t>Federal Standard, Effective 2025, DOE Final Rule 2016, Non-Residential Portable Air Conditioners</t>
  </si>
  <si>
    <t>Federal Standard, Effective 2015, DOE Final Rule 2010, Small Electric Motors</t>
  </si>
  <si>
    <t>Federal Standard, Effective 2022, DOE Final Rule 2016, Non-Residential Uninterruptible Power Supplies</t>
  </si>
  <si>
    <t>Federal Standard, Effective 2017, DOE Final Rule 2014, Walk-in Coolers and Freezers</t>
  </si>
  <si>
    <t>Oregon Standard, Effective 2014, ODOE Rule 2013, Residential/Commercial Battery Chargers</t>
  </si>
  <si>
    <t>Federal Standard, Effective 2020, DOE Final Rule 2017, Residential Ceiling Fan Light Kits</t>
  </si>
  <si>
    <t>Federal Standard, Effective 2015, DOE Final Rule 2011, Clothes Dryers</t>
  </si>
  <si>
    <t>Federal Standard, Effective 2023, DOE Final Rule 2016, Residential Commercial Packaged Boilers</t>
  </si>
  <si>
    <t>Federal Standard, Effective 2016, DOE Final Rule 2014, External Power Supplies</t>
  </si>
  <si>
    <t>Federal Standard, Effective 2019, DOE Final Rule 2014, Furnace Fans</t>
  </si>
  <si>
    <t>Federal Standard, Effective 2025, DOE Final Rule 2016, Residential Portable Air Conditioners</t>
  </si>
  <si>
    <t>Federal Standard, Effective 2015, DOE Final Rule 2015, Residential Central AC</t>
  </si>
  <si>
    <t>Federal Standard, Effective 2014, DOE Final Rule 2011, Residential Fluorescent Lamp Ballasts</t>
  </si>
  <si>
    <t>Federal Standard, Effective 2015, DOE Final Rule 2015, Residential Heat Pumps</t>
  </si>
  <si>
    <t>Federal Standard, Effective 2022, DOE Final Rule 2016, Residential Uninterruptible Power Supplies</t>
  </si>
  <si>
    <t>Strategic Energy Management in commercial facilities</t>
  </si>
  <si>
    <t>Strategic Energy Management in industrial facilities</t>
  </si>
  <si>
    <t>compressed air system</t>
  </si>
  <si>
    <t>Strategic Energy Management</t>
  </si>
  <si>
    <t>Retail sales of other general purpose bulb in existing residential buildings</t>
  </si>
  <si>
    <t>Retail sales of other specialty bulb in existing residential buildings</t>
  </si>
  <si>
    <t>Room Air Cleaners, All Sizes, ENERGY STAR v1</t>
  </si>
  <si>
    <t>Room Air Cleaners, All Sizes, ENERGY STAR v2</t>
  </si>
  <si>
    <t>Room Air Cleaners, All Sizes, ENERGY STAR v2 +50%</t>
  </si>
  <si>
    <t>Room Air Cleaners, All Sizes, Non-Qualifying</t>
  </si>
  <si>
    <t>Clothes Dryer, Compact, Electric, ENERGY STAR v1</t>
  </si>
  <si>
    <t>Clothes Dryer, Compact, Electric, ENERGY STAR v1 Most Efficient</t>
  </si>
  <si>
    <t>Clothes Dryer, Compact, Electric, Non-Qualifying</t>
  </si>
  <si>
    <t>Clothes Dryer, Compact, Gas, ENERGY STAR v1</t>
  </si>
  <si>
    <t>Clothes Dryer, Compact, Gas, ENERGY STAR v1 Most Efficient</t>
  </si>
  <si>
    <t>Clothes Dryer, Compact, Gas, Non-Qualifying</t>
  </si>
  <si>
    <t>Clothes Dryer, Standard, Electric, Non-Qualifying</t>
  </si>
  <si>
    <t>Clothes Dryer, Standard, Gas, ENERGY STAR v1</t>
  </si>
  <si>
    <t>Clothes Dryer, Standard, Gas, ENERGY STAR v1 Most Efficient</t>
  </si>
  <si>
    <t>Clothes Dryer, Standard, Gas, Non-Qualifying</t>
  </si>
  <si>
    <t>Clothes Washer, Compact, Electric, Non-Qualifying</t>
  </si>
  <si>
    <t>Clothes Washer, Front-Loading, Electric, CEE Tier 3, IMEF 2.92+</t>
  </si>
  <si>
    <t>Clothes Washer, Front-Loading, Electric, ENERGY STAR 7/8 (CEE Tier 1, IMEF 2.12)</t>
  </si>
  <si>
    <t>Clothes Washer, Front-Loading, Electric, Non-Qualifying (IMEF 1.84)</t>
  </si>
  <si>
    <t>Clothes Washers, Standard-size Top Loading, Electric, ENERGY STAR Most Efficient 2017+</t>
  </si>
  <si>
    <t>Clothes Washers, Standard-size Top-Loading, Electric, Non-ENERGY STAR</t>
  </si>
  <si>
    <t>Dehumidifier, Standard, Electric, ENERGY STAR v4</t>
  </si>
  <si>
    <t>Dehumidifier, Standard, Electric, Non-Qualifying</t>
  </si>
  <si>
    <t>Freezers, Standard-size Chest, Non-Qualifying</t>
  </si>
  <si>
    <t>Freezers, Compact Chest and Upright, Non-Qualifying</t>
  </si>
  <si>
    <t>Freezers, Standard-size Upright, Non-ENERGY STAR</t>
  </si>
  <si>
    <t>Freezers, Standard-size Upright, TBD</t>
  </si>
  <si>
    <t>Potential Small Applianecs, Electronics, and Television measures- ENERGY STAR and ENERGY STAR +</t>
  </si>
  <si>
    <t>Refrigerators, Standard-size Bottom-mount Freezers, ENERGY STAR +20% or better above Standard</t>
  </si>
  <si>
    <t>Refrigerators, Standard-size Bottom-mount Freezers, Non-ENERGY STAR</t>
  </si>
  <si>
    <t>Refrigerators, Compact, ENERGY STAR v5</t>
  </si>
  <si>
    <t>Refrigerators, Compact, ENERGY STAR v5 Most Efficient</t>
  </si>
  <si>
    <t>Refrigerators, Compact, Non-Qualifying</t>
  </si>
  <si>
    <t>Refrigerators, Standard-size Top-mount Freezers/Other, ENERGY STAR +20% or better above Standard</t>
  </si>
  <si>
    <t>Refrigerators, Standard-size Top-mount Freezers/Other, Non-Qualifying</t>
  </si>
  <si>
    <t>Refrigerators, Standard-size Side-mount Freezers, ENERGY STAR +20% or better above Standard</t>
  </si>
  <si>
    <t>Refrigerators, Standard-size Side-mount Freezers, Non-Qualifying</t>
  </si>
  <si>
    <t>Room Air Conditioners, All Sizes, ENERGY STAR  v5 (proposed)</t>
  </si>
  <si>
    <t>Room Air Conditioners, All Sizes, ENERGY STAR v4</t>
  </si>
  <si>
    <t>Room Air Conditioners, All Sizes, Non-ENERGY STAR</t>
  </si>
  <si>
    <t>Soundbar, ENERGY STAR +60-70%</t>
  </si>
  <si>
    <t>Soundbar, ENERGY STAR</t>
  </si>
  <si>
    <t>Soundbar, Non-Qualifying</t>
  </si>
  <si>
    <t>Television, Ultra High Definition, ENERGY STAR Most Efficient</t>
  </si>
  <si>
    <t>Television, Ultra High Definition, TBD</t>
  </si>
  <si>
    <t>Retail sales of residential clothes dryer-ENERGY STAR</t>
  </si>
  <si>
    <t>Retail sales of residential clothes dryer-Non-qualifying</t>
  </si>
  <si>
    <t>Retail sales of residential clothes dryer-Tier 2 heat pump hybrid</t>
  </si>
  <si>
    <t>Retail sales of residential clothes dryer-Tier 3 heat pump hybrid</t>
  </si>
  <si>
    <t>Retail sales of residential clothes dryer-Tier 4 pure heat pump</t>
  </si>
  <si>
    <t>Retail sales of residential clothes dryer-Tier 5 pure heat pump</t>
  </si>
  <si>
    <t>Retail sales of residential clothes dryer-Tier 6 pure heat pump</t>
  </si>
  <si>
    <t>Any Screen Size Television,  Residential Dwelling- Includes Savings from HD and UHD Sales not Counted through the Retail Products Portfolio program</t>
  </si>
  <si>
    <t>Any Screen Size Television, Residential Dwelling- ENERGY STAR 3.0+ 30%</t>
  </si>
  <si>
    <t>Any Screen Size, Television, Residential Dwelling- ENERGY STAR 4.1</t>
  </si>
  <si>
    <t>Any Screen Size Television, Residential Dwelling- ENERGY STAR 5.3</t>
  </si>
  <si>
    <t>Any Screen Size Television, Residential Dwelling- ENERGY STAR 5.3 +20%</t>
  </si>
  <si>
    <t>Any Screen Size Television, Residential Dwelling- ENERGY STAR 5.3 +35%</t>
  </si>
  <si>
    <t>Any Screen Size Television, Residential Dwelling- ENERGY STAR 6.2+20%</t>
  </si>
  <si>
    <t>Any Screen Size Television, Residential Dwelling- ENERGY STAR 7</t>
  </si>
  <si>
    <t>Any Screen Size Television,  Residential Dwelling- ENERGY STAR 7+35% (UHD)</t>
  </si>
  <si>
    <t>Any Screen Size Television,  Residential Dwelling- Most Efficient 2013</t>
  </si>
  <si>
    <t>Any Screen Size Television,  Residential Dwelling- Most Efficient 2015 and Most Efficient 2016</t>
  </si>
  <si>
    <t>Evap Fan</t>
  </si>
  <si>
    <t>Network Management</t>
  </si>
  <si>
    <t>A commercial circulator pump with induction motor and Run Hours Controls.</t>
  </si>
  <si>
    <t>A residential circulator pump with induction motor and Run Hours Controls.</t>
  </si>
  <si>
    <t>COM_200202_P4T10</t>
  </si>
  <si>
    <t>COM_200202_P4T11</t>
  </si>
  <si>
    <t>COM_200203_P1T1</t>
  </si>
  <si>
    <t>COM_201304_P10T1</t>
  </si>
  <si>
    <t>COM_201304_P11T1</t>
  </si>
  <si>
    <t>COM_201304_P14T1</t>
  </si>
  <si>
    <t>COM_201304_P15T1</t>
  </si>
  <si>
    <t>COM_201304_P15T2</t>
  </si>
  <si>
    <t>COM_201304_P16T1</t>
  </si>
  <si>
    <t>COM_201304_P17T1</t>
  </si>
  <si>
    <t>COM_201304_P18T1</t>
  </si>
  <si>
    <t>COM_201402_P1T1</t>
  </si>
  <si>
    <t>IND_199801_P1T1</t>
  </si>
  <si>
    <t>IND_200004_P1T1</t>
  </si>
  <si>
    <t>IND_200402_P2T2</t>
  </si>
  <si>
    <t>IND_200603_P1T1</t>
  </si>
  <si>
    <t>RES_199802_P1T1</t>
  </si>
  <si>
    <t>RES_200401_P12T1</t>
  </si>
  <si>
    <t>RES_200401_P14T1</t>
  </si>
  <si>
    <t>RES_200401_P15T1</t>
  </si>
  <si>
    <t>RES_200401_P16T1</t>
  </si>
  <si>
    <t>RES_200401_P3T3</t>
  </si>
  <si>
    <t>RES_200902_P1T1</t>
  </si>
  <si>
    <t>RES_200902_P1T10</t>
  </si>
  <si>
    <t>RES_200902_P1T2</t>
  </si>
  <si>
    <t>RES_200902_P1T3</t>
  </si>
  <si>
    <t>RES_200902_P1T4</t>
  </si>
  <si>
    <t>RES_200902_P1T5</t>
  </si>
  <si>
    <t>RES_200902_P1T6</t>
  </si>
  <si>
    <t>RES_200902_P1T7</t>
  </si>
  <si>
    <t>RES_200902_P1T8</t>
  </si>
  <si>
    <t>RES_200902_P1T9</t>
  </si>
  <si>
    <t>RES_201101_P1T0</t>
  </si>
  <si>
    <t>RES_201301_P1T6</t>
  </si>
  <si>
    <t>RES_201301_P1T7</t>
  </si>
  <si>
    <t>RES_201301_P1T8</t>
  </si>
  <si>
    <t>RES_201301_P25T2</t>
  </si>
  <si>
    <t>RES_201301_P25T3</t>
  </si>
  <si>
    <t>RES_201301_P27T1</t>
  </si>
  <si>
    <t>RES_201301_P2T6</t>
  </si>
  <si>
    <t>RES_201301_P2T7</t>
  </si>
  <si>
    <t>RES_201301_P3T6</t>
  </si>
  <si>
    <t>RES_201301_P3T7</t>
  </si>
  <si>
    <t>RES_201301_P4T7</t>
  </si>
  <si>
    <t>RES_201301_P4T8</t>
  </si>
  <si>
    <t>RES_201402_P10T1</t>
  </si>
  <si>
    <t>RES_201402_P11T1</t>
  </si>
  <si>
    <t>RES_201402_P12T1</t>
  </si>
  <si>
    <t>RES_201402_P13T1</t>
  </si>
  <si>
    <t>RES_201402_P1T1</t>
  </si>
  <si>
    <t>RES_201403_P12T0</t>
  </si>
  <si>
    <t>RES_201403_P12T3</t>
  </si>
  <si>
    <t>RES_201403_P13T0</t>
  </si>
  <si>
    <t>RES_201403_P13T3</t>
  </si>
  <si>
    <t>RES_201403_P14T0</t>
  </si>
  <si>
    <t>RES_201403_P15T0</t>
  </si>
  <si>
    <t>RES_201403_P15T1</t>
  </si>
  <si>
    <t>RES_201403_P15T2</t>
  </si>
  <si>
    <t>RES_201403_P16T0</t>
  </si>
  <si>
    <t>RES_201403_P16T1</t>
  </si>
  <si>
    <t>RES_201403_P16T2</t>
  </si>
  <si>
    <t>RES_201403_P17T0</t>
  </si>
  <si>
    <t>RES_201403_P17T1</t>
  </si>
  <si>
    <t>RES_201403_P18T0</t>
  </si>
  <si>
    <t>RES_201403_P18T1</t>
  </si>
  <si>
    <t>RES_201403_P18T2</t>
  </si>
  <si>
    <t>RES_201403_P19T0</t>
  </si>
  <si>
    <t>RES_201403_P19T1</t>
  </si>
  <si>
    <t>RES_201403_P19T2</t>
  </si>
  <si>
    <t>RES_201403_P1T1</t>
  </si>
  <si>
    <t>RES_201403_P20T0</t>
  </si>
  <si>
    <t>RES_201403_P3T0</t>
  </si>
  <si>
    <t>RES_201403_P4T0</t>
  </si>
  <si>
    <t>RES_201403_P4T4</t>
  </si>
  <si>
    <t>RES_201403_P5T0</t>
  </si>
  <si>
    <t>RES_201403_P6T0</t>
  </si>
  <si>
    <t>RES_201403_P6T3</t>
  </si>
  <si>
    <t>RES_201403_P7T1_0</t>
  </si>
  <si>
    <t>RES_201403_P7T2</t>
  </si>
  <si>
    <t>RES_201403_P7T2_0</t>
  </si>
  <si>
    <t>RES_201403_P7T3</t>
  </si>
  <si>
    <t>RES_201403_P8T4</t>
  </si>
  <si>
    <t>RES_201601_P1T0</t>
  </si>
  <si>
    <t>Industrial Commissioning, New Construction</t>
  </si>
  <si>
    <t>Industrial Commissioning, Retro</t>
  </si>
  <si>
    <t>Idaho Code, New Commercial, IECC 2000 &amp; 2003 IECC</t>
  </si>
  <si>
    <t>Idaho Code, New Commercial, IECC 2030</t>
  </si>
  <si>
    <t>Idaho Code, New Commercial, IECC 2006</t>
  </si>
  <si>
    <t>Idaho Code, New Commercial, IECC 2009</t>
  </si>
  <si>
    <t>Idaho Code, New Commercial, IECC 2012</t>
  </si>
  <si>
    <t>Idaho Code, New Commercial, IECC 2021</t>
  </si>
  <si>
    <t>Idaho Code, New Commercial, IECC 2024</t>
  </si>
  <si>
    <t>Idaho Code, New Commercial, IECC 2027</t>
  </si>
  <si>
    <t>Montana Code, New Commercial, IECC 2003 with Amend.</t>
  </si>
  <si>
    <t>Montana Code, New Commercial, IECC 2009 with Amend.</t>
  </si>
  <si>
    <t>Montana Code, New Commercial, IECC 2012</t>
  </si>
  <si>
    <t>Montana Code, New Commercial, IECC 2021</t>
  </si>
  <si>
    <t>Montana Code, New Commercial, IECC 2024</t>
  </si>
  <si>
    <t>Montana Code, New Commercial, IECC 2027</t>
  </si>
  <si>
    <t>Montana Code, New Commercial, IECC 2030</t>
  </si>
  <si>
    <t>Oregon Code, New Commercial, OSSC 2004</t>
  </si>
  <si>
    <t>Oregon Code, New Commercial, OSSC 2007</t>
  </si>
  <si>
    <t>Oregon Code, New Commercial, OEESC 2010</t>
  </si>
  <si>
    <t>Oregon Code, New Commercial, OEESC 2014</t>
  </si>
  <si>
    <t>Washington Code, New Commercial, WSEC 2000 &amp; WSEC 2003 with emergency changes</t>
  </si>
  <si>
    <t>Washington Code, New Commercial, WSEC 2027</t>
  </si>
  <si>
    <t>Washington Code, New Commercial, WSEC 2030</t>
  </si>
  <si>
    <t>Washington Code, New Commercial, WSEC 2004</t>
  </si>
  <si>
    <t>Washington Code, New Commercial, WSEC 2006</t>
  </si>
  <si>
    <t>Washington Code, New Commercial, WSEC 2009</t>
  </si>
  <si>
    <t>Washington Code, New Commercial, WSEC 2012</t>
  </si>
  <si>
    <t>Washington Code, New Commercial, WSEC 2021</t>
  </si>
  <si>
    <t>Washington Code, New Commercial, WSEC 2024</t>
  </si>
  <si>
    <t>Commercial Desktops, Non-Qualifying</t>
  </si>
  <si>
    <t>Commercial Desktops, 80 PLUS</t>
  </si>
  <si>
    <t>Commercial Desktops, ENERGY STAR 5.0</t>
  </si>
  <si>
    <t>Commercial Desktops, ENERGY STAR 8.0</t>
  </si>
  <si>
    <t>Non-Residential, Small, Large, and Very Large Commercial Package Air Conditioners &amp; Heat Pumps</t>
  </si>
  <si>
    <t>Non-Residential, Ceiling Fans (2017)</t>
  </si>
  <si>
    <t>Non-Residential, Ceiling Fan Light Kits (2017)</t>
  </si>
  <si>
    <t>Non-Residential, Commercial Air Compressors (2016)</t>
  </si>
  <si>
    <t>Non-Residential, Industrial Air Compressors (2016)</t>
  </si>
  <si>
    <t>Non-Residential, Portable Air Conditioners (2020)</t>
  </si>
  <si>
    <t>Non-Residential, Uninterruptible Power Supplies (2020)</t>
  </si>
  <si>
    <t>Non-Residential, Commercial Packaged Boilers</t>
  </si>
  <si>
    <t>Non-Residential, Fluorescent Lamp Ballasts (2011)</t>
  </si>
  <si>
    <t>Non-Residential, Small Electric Motors (2010)</t>
  </si>
  <si>
    <t>Non-Residential, Commercial Refrigeration Equipment (2014)</t>
  </si>
  <si>
    <t>Non-Residential, Walk-in Coolers and Freezers (2014)</t>
  </si>
  <si>
    <t>Non-Residential, Electric Motors (2014)</t>
  </si>
  <si>
    <t>Commercial T8 Linear Fluorescent, 28W (7th Power Plan Baseline Adjustment)</t>
  </si>
  <si>
    <t>Commercial T8 Linear Fluorescent, 25W (7th Power Plan Baseline Adjustment)</t>
  </si>
  <si>
    <t>Industrial T8 Linear Fluorescent, 28W (7th Power Plan Baseline Adjustment)</t>
  </si>
  <si>
    <t>Industrial T8 Linear Fluorescent, 25W (7th Power Plan Baseline Adjustment)</t>
  </si>
  <si>
    <t>Industrial Strategic Energy Management (SEM)</t>
  </si>
  <si>
    <t>Commercial Strategic Energy Management (SEM)</t>
  </si>
  <si>
    <t>Motors, Non-Standard, 201-500 HP</t>
  </si>
  <si>
    <t>Efficient Motor Rewinds, Agricultural</t>
  </si>
  <si>
    <t>Motors, Federal Standard, 1-200 HP</t>
  </si>
  <si>
    <t>Laptops, Commercial, Non-Qualifying</t>
  </si>
  <si>
    <t>Desktops, Residential, Non-Qualifying</t>
  </si>
  <si>
    <t>Laptops, Residential, Non-Qualifying</t>
  </si>
  <si>
    <t>Other, General Purpose</t>
  </si>
  <si>
    <t>Other, Specialty</t>
  </si>
  <si>
    <t>Washington ENERGY STAR Home, New Single-Family</t>
  </si>
  <si>
    <t>Idaho ENERGY STAR Home, New Multifamily</t>
  </si>
  <si>
    <t>Regional ENERGY STAR Home, New Single-Family</t>
  </si>
  <si>
    <t>Oregon ENERGY STAR Home, New Multifamily</t>
  </si>
  <si>
    <t>Washington ENERGY STAR Home, New Multifamily</t>
  </si>
  <si>
    <t>Montana ENERGY STAR Home, New Multifamily</t>
  </si>
  <si>
    <t>Idaho Code, New Single-Family, IECC 2006</t>
  </si>
  <si>
    <t>Idaho Code, New Single-Family, IECC 2009</t>
  </si>
  <si>
    <t>Idaho Code, New Single-Family, IECC 2012 with Amend.</t>
  </si>
  <si>
    <t>Montana Code, New Single-Family, IECC 2003 with Amend.</t>
  </si>
  <si>
    <t>Montana Code, New Single-Family, IECC 2009 with Amend.</t>
  </si>
  <si>
    <t>Montana Code, New Single-Family, IECC 2012 with Amend.</t>
  </si>
  <si>
    <t>Oregon Code, New Single-Family, ORSC 2008</t>
  </si>
  <si>
    <t>Oregon Code, New Single-Family, ORSC 2011</t>
  </si>
  <si>
    <t>Oregon Code, New Single-Family, ORSC 2015</t>
  </si>
  <si>
    <t>Washington Code, New Single-Family, WSEC 2006</t>
  </si>
  <si>
    <t>Washington Code, New Single-Family, WSEC 2009</t>
  </si>
  <si>
    <t>Washington Code, New Single-Family WSEC 2012</t>
  </si>
  <si>
    <t>Idaho ENERGY STAR Home, New Single-Family</t>
  </si>
  <si>
    <t>Montana ENERGY STAR Home, New Single-Family</t>
  </si>
  <si>
    <t>Oregon ENERGY STAR Home New Single-Family</t>
  </si>
  <si>
    <t>Idaho Code, New Multifamily, IECC 2006</t>
  </si>
  <si>
    <t>Idaho Code, New Multifamily, IECC 2009</t>
  </si>
  <si>
    <t>Idaho Code, New Multifamily, IECC 2012 with ID Amend.</t>
  </si>
  <si>
    <t>Idaho Code, New Multifamily, IECC 2021</t>
  </si>
  <si>
    <t>Montana Code, New Multifamily, IECC 2003 with MT Amend.</t>
  </si>
  <si>
    <t>Montana Code, New Multifamily, IECC 2009 with MT Amend.</t>
  </si>
  <si>
    <t>Montana Code, New Multifamily, IECC 2012 with MT Amend.</t>
  </si>
  <si>
    <t>Oregon Code, New Multifamily, ORSC 2008</t>
  </si>
  <si>
    <t>Oregon Code, New Multifamily, ORSC 2011</t>
  </si>
  <si>
    <t>Oregon Code, New Multifamily, ORSC 2014</t>
  </si>
  <si>
    <t>Washington Code, New Multifamily, WSEC 2006</t>
  </si>
  <si>
    <t>Washington Code, New Multifamily, WSEC 2009</t>
  </si>
  <si>
    <t>Washington Code, New Multifamily, WSEC 2012</t>
  </si>
  <si>
    <t>Televisions, Above baseline established in NEEA's original Televisions Program (2009-2014)</t>
  </si>
  <si>
    <t>Televisions, ENERGY STAR 3.0 +30%</t>
  </si>
  <si>
    <t>Televisions, Most Efficient 2015</t>
  </si>
  <si>
    <t>Televisions, ENERGY STAR 4.1</t>
  </si>
  <si>
    <t>Televisions, ENERGY STAR 5.3</t>
  </si>
  <si>
    <t>Televisions, ENERGY STAR 5.3 +20%</t>
  </si>
  <si>
    <t>Televisions, ENERGY STAR 5.3 +35%</t>
  </si>
  <si>
    <t>Televisions, ENERGY STAR 6.2 +20%</t>
  </si>
  <si>
    <t>Televisions, Most Efficient 2013</t>
  </si>
  <si>
    <t>Televisions, ENERGY STAR 7</t>
  </si>
  <si>
    <t>Televisions, ENERGY STAR 7 +35%</t>
  </si>
  <si>
    <t>Super Efficient Dryers, Non-Qualifying</t>
  </si>
  <si>
    <t>Super Efficient Dryers, ENERGY STAR</t>
  </si>
  <si>
    <t>Super Efficient Dryers, Tier 2</t>
  </si>
  <si>
    <t>Super Efficient Dryers, Tier 3</t>
  </si>
  <si>
    <t>Super Efficient Dryers, Tier 4</t>
  </si>
  <si>
    <t>Super Efficient Dryers, Tier 5</t>
  </si>
  <si>
    <t>Super Efficient Dryers, Tier 6</t>
  </si>
  <si>
    <t>HPWH, Existing Construction, Small Tank, Tier 1</t>
  </si>
  <si>
    <t>HPWH, Existing Construction, Small Tank, Tier 2</t>
  </si>
  <si>
    <t>HPWH, Existing Construction, Small Tank, Tier 3</t>
  </si>
  <si>
    <t>HPWH, Existing Construction, Small Tank, Tier 4</t>
  </si>
  <si>
    <t>HPWH, Existing Construction, Small Tank, Tier 5</t>
  </si>
  <si>
    <t>HPWH, Existing Construction, Large Tank, Tier 1</t>
  </si>
  <si>
    <t>HPWH, Existing Construction, Large Tank, Tier 2</t>
  </si>
  <si>
    <t>HPWH, Existing Construction, Large Tank, Tier 3</t>
  </si>
  <si>
    <t>HPWH, Existing Construction, Large Tank, Tier 4</t>
  </si>
  <si>
    <t>HPWH, Existing Construction, Large Tank, Tier 5</t>
  </si>
  <si>
    <t>HPWH, New Construction, Small Tank, Tier 1</t>
  </si>
  <si>
    <t>HPWH, New Construction, Small Tank, Tier 2</t>
  </si>
  <si>
    <t>HPWH, New Construction, Small Tank, Tier 3</t>
  </si>
  <si>
    <t>HPWH, New Construction, Small Tank, Tier 4</t>
  </si>
  <si>
    <t>HPWH, New Construction, Small Tank, Tier 5</t>
  </si>
  <si>
    <t>HPWH, New Construction, Large Tank, Tier 1</t>
  </si>
  <si>
    <t>HPWH, New Construction, Large Tank, Tier 2</t>
  </si>
  <si>
    <t>HPWH, New Construction, Large Tank, Tier 3</t>
  </si>
  <si>
    <t>HPWH, New Construction, Large Tank, Tier 4</t>
  </si>
  <si>
    <t>HPWH, New Construction, Large Tank, Tier 5</t>
  </si>
  <si>
    <t>Oregon Next Step Home, New Single-Family</t>
  </si>
  <si>
    <t>Washington Northwest ENERGY STAR Home, New Single-Family</t>
  </si>
  <si>
    <t>Washington Next Step Home, New Single-Family</t>
  </si>
  <si>
    <t>Idaho National Green Building Standard, New Single-Family</t>
  </si>
  <si>
    <t>Montana National Green Building Standard, New Single-Family</t>
  </si>
  <si>
    <t>Oregon National Green Building Standard, New Single-Family</t>
  </si>
  <si>
    <t>Washington National Green Building Standard, New Single-Family</t>
  </si>
  <si>
    <t>Washington BuiltGreen Home, New Single-Family</t>
  </si>
  <si>
    <t>Idaho Home Energy Rating System (HERS)/ENERGY STAR, New Single-Family</t>
  </si>
  <si>
    <t>Montana Home Energy Rating System (HERS)/ENERGY STAR, New Single-Family</t>
  </si>
  <si>
    <t>Oregon Home Energy Rating System (HERS)/ENERGY STAR New Single-Family</t>
  </si>
  <si>
    <t>Washington Home Energy Rating System (HERS)/ENERGY STAR, New Single-Family</t>
  </si>
  <si>
    <t>Idaho Home Energy Rating System (HERS)/ENERGY STAR, New Multifamily</t>
  </si>
  <si>
    <t>Montana Home Energy Rating System (HERS)/ENERGY STAR, New Multifamily</t>
  </si>
  <si>
    <t>Oregon Home Energy Rating System (HERS)/ENERGY STAR, New Multifamily</t>
  </si>
  <si>
    <t>Washington Home Energy Rating System (HERS)/ENERGY STAR, New Multifamily</t>
  </si>
  <si>
    <t>Idaho ENERGY STAR Northwest Home, New Multifamily</t>
  </si>
  <si>
    <t>Washington ENERGY STAR Northwest Home, New Multifamily</t>
  </si>
  <si>
    <t>Oregon Energy Performance Score Home, New Single-Family</t>
  </si>
  <si>
    <t>Idaho Code, Single-Family, IECC 2015</t>
  </si>
  <si>
    <t>Idaho Code, Single-Family, IECC 2021</t>
  </si>
  <si>
    <t>Idaho Code, Single-Family, IECC 2024</t>
  </si>
  <si>
    <t>Idaho Code, Single-Family, IECC 2027</t>
  </si>
  <si>
    <t>Washington BuiltGreen Home, New Multifamily</t>
  </si>
  <si>
    <t>Idaho Performance Path, New Single-Family</t>
  </si>
  <si>
    <t>Montana Performance Path, New Single-Family</t>
  </si>
  <si>
    <t>Oregon Performance Path, New Single-Family</t>
  </si>
  <si>
    <t>Washington Performance Path, New Single-Family</t>
  </si>
  <si>
    <t>Washington National Green Building Standard, New Multifamily</t>
  </si>
  <si>
    <t>Oregon National Green Building Standard, New Multifamily</t>
  </si>
  <si>
    <t>Idaho National Green Building Standard, New Multifamily</t>
  </si>
  <si>
    <t>Montana National Green Building Standard, New Multifamily</t>
  </si>
  <si>
    <t>Oregon Earth Advantage, New Single-Family</t>
  </si>
  <si>
    <t>Washington Home Energy Program, New Single-Family</t>
  </si>
  <si>
    <t>Montana Code, Single-Family, IECC 2021</t>
  </si>
  <si>
    <t>Montana Code, Single-Family, IECC 2024</t>
  </si>
  <si>
    <t>Montana Code, Single-Family, IECC 2027</t>
  </si>
  <si>
    <t>Oregon Code, Single-Family, ORSC 2023</t>
  </si>
  <si>
    <t>Oregon Code, Single-Family, ORSC 2026</t>
  </si>
  <si>
    <t>Oregon Code, Single-Family, ORSC 2029</t>
  </si>
  <si>
    <t>Washington Code, Single-Family, WSEC 2021</t>
  </si>
  <si>
    <t>Washington Code, Single-Family, WSEC 2024</t>
  </si>
  <si>
    <t>Washington Code, Single-Family, WSEC 2027</t>
  </si>
  <si>
    <t>Idaho Northwest ENERGY STAR Home, New Single-Family</t>
  </si>
  <si>
    <t>Montana Northwest ENERGY STAR Home, New Single-Family</t>
  </si>
  <si>
    <t>Oregon Northwest ENERGY STAR Home, New Single-Family</t>
  </si>
  <si>
    <t>Idaho Next Step Home, New Single-Family</t>
  </si>
  <si>
    <t>Montana Next Step Home, New Single-Family</t>
  </si>
  <si>
    <t>Residential, Ceiling Fan Light Kits (2017)</t>
  </si>
  <si>
    <t>Residential, Portable Air Conditioners (2020)</t>
  </si>
  <si>
    <t>Residential, Uninterruptible Power Supplies (2020)</t>
  </si>
  <si>
    <t>Residential, Commercial Packaged Boilers</t>
  </si>
  <si>
    <t>Residential, Central AC (2015)</t>
  </si>
  <si>
    <t>Residential, Battery Chargers (2013)</t>
  </si>
  <si>
    <t>Residential, Heat Pumps (2015)</t>
  </si>
  <si>
    <t>Residential, Furnaces Fans (2014)</t>
  </si>
  <si>
    <t>Residential, Dryers (2011)</t>
  </si>
  <si>
    <t>Residential, External Power Supplies (2014)</t>
  </si>
  <si>
    <t>Residential, Fluorescent Lamp Ballast (2014)</t>
  </si>
  <si>
    <t>Refrigerators, Standard-size Bottom-mount Freezers, Non-Qualifying</t>
  </si>
  <si>
    <t>Clothes Dryers, Standard, Electric, Non-Qualifying</t>
  </si>
  <si>
    <t>Clothes Dryers, Standard, Gas, Non-Qualifying</t>
  </si>
  <si>
    <t>Clothes Dryers, Standard, Gas, ENERGY STAR v1</t>
  </si>
  <si>
    <t>Clothes Dryers, Standard, Gas, ENERGY STAR v1 Most Efficient</t>
  </si>
  <si>
    <t>Clothes Dryers, Compact, Gas, Non-Qualifying</t>
  </si>
  <si>
    <t>Clothes Dryers, Compact, Gas, ENERGY STAR v1</t>
  </si>
  <si>
    <t>Clothes Dryers, Compact, Gas, ENERGY STAR v1 Most Efficient</t>
  </si>
  <si>
    <t>Dehumidifiers, Standard, Electric, Non-Qualifying</t>
  </si>
  <si>
    <t>Dehumidifiers, Standard, Electric, ENERGY STAR v4</t>
  </si>
  <si>
    <t>Clothes Dryers, Compact, Electric, Non-Qualifying</t>
  </si>
  <si>
    <t>Clothes Dryers, Compact, Electric, ENERGY STAR v1</t>
  </si>
  <si>
    <t>Clothes Dryers, Compact, Electric, ENERGY STAR v1 Most Efficient</t>
  </si>
  <si>
    <t>TBD Measures</t>
  </si>
  <si>
    <t>Room Air Conditioners, Med/Large, Non-Qualifying</t>
  </si>
  <si>
    <t>Soundbars, Non-Qualifying</t>
  </si>
  <si>
    <t>Soundbars, ENERGY STAR</t>
  </si>
  <si>
    <t>Soundbars, ENERGY STAR V3 +15%</t>
  </si>
  <si>
    <t>Soundbars, ENERGY STAR V3 +50%</t>
  </si>
  <si>
    <t>Soundbars, ENERGY STAR V3 +60-70%</t>
  </si>
  <si>
    <t>Freezers, Standard-size Upright, Non-Qualifying</t>
  </si>
  <si>
    <t>Televisions, Ultra-High Definition, ENERGY STAR Most Efficient</t>
  </si>
  <si>
    <t>Televisions, Ultra-High Definition, TBD</t>
  </si>
  <si>
    <t>Manufactured Home, Inefficient</t>
  </si>
  <si>
    <t>Residential, Hydronic Heating Circulator with ECM</t>
  </si>
  <si>
    <t>Residential, Hydronic Heating Circulator with ECM and Controls</t>
  </si>
  <si>
    <t>Commercial, Hydronic Heating Circulator with ECM</t>
  </si>
  <si>
    <t>Commercial, Hydronic Heating Circulator with ECM and Controls</t>
  </si>
  <si>
    <t>Residential, DHW ECM Circulator</t>
  </si>
  <si>
    <t>Residential, DHW Induction Circulator with Controls</t>
  </si>
  <si>
    <t>Residential, DHW ECM Circulator with Controls</t>
  </si>
  <si>
    <t>Commercial, DHW ECM Circulator</t>
  </si>
  <si>
    <t>Commercial, DHW Induction Circulator with Controls</t>
  </si>
  <si>
    <t>Commercial, DHW ECM Circulator with Controls</t>
  </si>
  <si>
    <t>Commercial, Constant Speed Clean Water Pump</t>
  </si>
  <si>
    <t>Commercial, Variable Speed Clean Water Pump</t>
  </si>
  <si>
    <t>Measure Description</t>
  </si>
  <si>
    <t>Product Description</t>
  </si>
  <si>
    <t xml:space="preserve">The 2021 PP baseline is 0% because this is a retrofit measure. </t>
  </si>
  <si>
    <t>Applications</t>
  </si>
  <si>
    <t>Tracked Units come from distributor partner sales data. No extrapolation to full market is done.</t>
  </si>
  <si>
    <t>NEEA collects regional LLLC shipments data from participating LLLC manufacturers. 
- Encentiv Energy. NEEA LLLC Report. (dataset)</t>
  </si>
  <si>
    <t>2021 Baseline Sales for LLLC is:</t>
  </si>
  <si>
    <t xml:space="preserve">See 'Lists&amp;Tables' DW39:DW43.  </t>
  </si>
  <si>
    <t>Energy Savings Calculation Basis</t>
  </si>
  <si>
    <t>Building Type</t>
  </si>
  <si>
    <t>LSYieldElecHt&amp;AC</t>
  </si>
  <si>
    <t>LSYieldGasHt&amp;AC</t>
  </si>
  <si>
    <t>LSYieldHtPmpHt&amp;AC</t>
  </si>
  <si>
    <t>Avg HVAC System Electric Savings Yield</t>
  </si>
  <si>
    <t>Therms per kWh Saved</t>
  </si>
  <si>
    <t>Avg HVAC System Gas Penalty (therms per kWh saved)</t>
  </si>
  <si>
    <t>Floor Area %</t>
  </si>
  <si>
    <t>Weighted Avg Bldg</t>
  </si>
  <si>
    <t>NonResLightingCodeCompliantProtocolCalculator_v2_2.xlsm</t>
  </si>
  <si>
    <t xml:space="preserve">Analysis is documented in the supporting document, </t>
  </si>
  <si>
    <t>Building Area Type</t>
  </si>
  <si>
    <t>Council Building Types</t>
  </si>
  <si>
    <t>"NonResidentialLighting_CSFandHOU_v2_1.xlsx"</t>
  </si>
  <si>
    <t>Automotive facility</t>
  </si>
  <si>
    <t>Convention center</t>
  </si>
  <si>
    <t>Court house</t>
  </si>
  <si>
    <t>Dining: Bar lounge/leisure</t>
  </si>
  <si>
    <t>Dining: Cafeteria/fast food</t>
  </si>
  <si>
    <t>Dining: Family</t>
  </si>
  <si>
    <t>Dormitory</t>
  </si>
  <si>
    <t>Exercise center</t>
  </si>
  <si>
    <t>Exterior</t>
  </si>
  <si>
    <t>Fire station</t>
  </si>
  <si>
    <t>Health care clinic</t>
  </si>
  <si>
    <t>Hotel</t>
  </si>
  <si>
    <t>Manufacturing facility (1 shift)</t>
  </si>
  <si>
    <t>Manufacturing facility (2 shifts)</t>
  </si>
  <si>
    <t>Manufacturing facility (3 shifts)</t>
  </si>
  <si>
    <t>Motion picture theater</t>
  </si>
  <si>
    <t>Multifamily</t>
  </si>
  <si>
    <t>Museum</t>
  </si>
  <si>
    <t>Office &lt;20,000 sq ft</t>
  </si>
  <si>
    <t>Office &gt;100,000 sq ft</t>
  </si>
  <si>
    <t>Office 20,000 to 100,000 sq ft</t>
  </si>
  <si>
    <t>Parking garage</t>
  </si>
  <si>
    <t>Penitentiary</t>
  </si>
  <si>
    <t>Performing arts theater</t>
  </si>
  <si>
    <t>Police station</t>
  </si>
  <si>
    <t>Post office</t>
  </si>
  <si>
    <t>Religious building</t>
  </si>
  <si>
    <t>Retail 5,000 to 50,000 sq ft</t>
  </si>
  <si>
    <t>Retail Anchor Store &gt;50,000 sq ft Multistory</t>
  </si>
  <si>
    <t>Retail Big Box &gt;50,000 sq ft One-Story</t>
  </si>
  <si>
    <t>Retail Boutique &lt;5,000 sq ft</t>
  </si>
  <si>
    <t>Sports arena</t>
  </si>
  <si>
    <t>Town hall</t>
  </si>
  <si>
    <t>Transportation</t>
  </si>
  <si>
    <t>Workshop</t>
  </si>
  <si>
    <t>Networked Lighting Control</t>
  </si>
  <si>
    <t>Site savings are estimated using the assumptions in RTF's Non-Residential Lighting Standard Protocol presented below.</t>
  </si>
  <si>
    <t>Savings Rates pulled from NEEA's Savings Models 4/22/2021:</t>
  </si>
  <si>
    <t>Commercial Secondary Windows</t>
  </si>
  <si>
    <t xml:space="preserve">Window Attachments: </t>
  </si>
  <si>
    <t>The 2021 Plan assumes 0% baseline.</t>
  </si>
  <si>
    <t>Savings will likely be site-specific.</t>
  </si>
  <si>
    <t>Measure Life (yrs)</t>
  </si>
  <si>
    <t>MH eFAF Incented Unit Regional Weights</t>
  </si>
  <si>
    <t>MH eFAF Incented vs Non-Incented Weights</t>
  </si>
  <si>
    <t>Savings Rate - Single Family eFAF</t>
  </si>
  <si>
    <t>Savings Rate - MH eFAF</t>
  </si>
  <si>
    <t xml:space="preserve">Incented &amp; Non-Incented weights for future years are forecasted from latest available data </t>
  </si>
  <si>
    <t>Annual Savings Calculation Summary</t>
  </si>
  <si>
    <t>Regionalized Average Savings Rate</t>
  </si>
  <si>
    <t>Source: RBSA II</t>
  </si>
  <si>
    <t>RBSA II</t>
  </si>
  <si>
    <t>Measure Savings Analysis Results</t>
  </si>
  <si>
    <t xml:space="preserve">Incented weights for future years are forecasted from latest available data </t>
  </si>
  <si>
    <t>Weighting Factors - Non-incented units</t>
  </si>
  <si>
    <t>Weighting Factors - Incented units</t>
  </si>
  <si>
    <t>NEEA Local Programs Survey</t>
  </si>
  <si>
    <t>Residential New Construction</t>
  </si>
  <si>
    <t>Track Units</t>
  </si>
  <si>
    <t>No equivalent measure. 2020 current practice baseline incorporated in the savings rate.</t>
  </si>
  <si>
    <t>Will be based on Specification Update</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</si>
  <si>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STAR
</t>
    </r>
    <r>
      <rPr>
        <u/>
        <sz val="10"/>
        <color theme="1"/>
        <rFont val="Calibri"/>
        <family val="2"/>
        <scheme val="minor"/>
      </rPr>
      <t>Total Sales:</t>
    </r>
    <r>
      <rPr>
        <sz val="10"/>
        <color theme="1"/>
        <rFont val="Calibri"/>
        <family val="2"/>
        <scheme val="minor"/>
      </rPr>
      <t xml:space="preserve">
-TBD (review expected in 2022)
</t>
    </r>
  </si>
  <si>
    <t>No equivalent measure.</t>
  </si>
  <si>
    <t>NEEA calculation.</t>
  </si>
  <si>
    <t>See methodology document.</t>
  </si>
  <si>
    <t>(blank)</t>
  </si>
  <si>
    <t>XMP_202001_P1T0</t>
  </si>
  <si>
    <t>Residential, Non-Qualifying Hydronic Heating Circulator with ECM</t>
  </si>
  <si>
    <t>XMP_202001_P2T0</t>
  </si>
  <si>
    <t>Commercial, Non-Qualifying Hydronic Heating Circulator with ECM</t>
  </si>
  <si>
    <t>XMP_202001_P3T0</t>
  </si>
  <si>
    <t>Residential, Non-Qualifying DHW ECM Circulator</t>
  </si>
  <si>
    <t>XMP_202001_P4T0</t>
  </si>
  <si>
    <t>Commercial, Non-Qualifying DHW ECM Circulator</t>
  </si>
  <si>
    <t>XMP_202001_P5T0</t>
  </si>
  <si>
    <t>Commercial, Non-Qualifying Constant Speed Clean Water Pump</t>
  </si>
  <si>
    <t>Non-Qualifying Commercial Constant Speed Clean Water Pump.</t>
  </si>
  <si>
    <t>XMP_202001_P6T0</t>
  </si>
  <si>
    <t>Commercial, Non-Qualifying Variable Speed Clean Water Pump</t>
  </si>
  <si>
    <t>Non-Qualifying Commercial Variable Speed Clean Water Pump.</t>
  </si>
  <si>
    <t>NEEA Stakeholder</t>
  </si>
  <si>
    <t>Funder Type</t>
  </si>
  <si>
    <t>Direct</t>
  </si>
  <si>
    <t>Allocation State</t>
  </si>
  <si>
    <t>2024</t>
  </si>
  <si>
    <t>Refrigerators/Freezers</t>
  </si>
  <si>
    <t>Office large</t>
  </si>
  <si>
    <t>Office medium</t>
  </si>
  <si>
    <t>Office small</t>
  </si>
  <si>
    <t>Multifamily high-rise</t>
  </si>
  <si>
    <t>Multifamily mid-rise</t>
  </si>
  <si>
    <t>Health hospital</t>
  </si>
  <si>
    <t>Health outpatient</t>
  </si>
  <si>
    <t>Health residential care</t>
  </si>
  <si>
    <t>Retail stand-alone</t>
  </si>
  <si>
    <t>Retail strip-mall</t>
  </si>
  <si>
    <t>Restaurant full-service</t>
  </si>
  <si>
    <t>Restaurant quick-service</t>
  </si>
  <si>
    <t>Hotel large</t>
  </si>
  <si>
    <t>Hotel small</t>
  </si>
  <si>
    <t>Warehouse unrefrigerated</t>
  </si>
  <si>
    <t>kBtu/sf</t>
  </si>
  <si>
    <r>
      <rPr>
        <b/>
        <sz val="10"/>
        <color theme="1"/>
        <rFont val="Calibri"/>
        <family val="2"/>
        <scheme val="minor"/>
      </rPr>
      <t xml:space="preserve">Window Attachments measures:  </t>
    </r>
    <r>
      <rPr>
        <sz val="10"/>
        <color theme="1"/>
        <rFont val="Calibri"/>
        <family val="2"/>
        <scheme val="minor"/>
      </rPr>
      <t>Currently in the early phase of program development, may be able to acquire some data to report savings in 2022-2023</t>
    </r>
  </si>
  <si>
    <t>Codes &amp; Standards</t>
  </si>
  <si>
    <t>2025</t>
  </si>
  <si>
    <t>Savings rates reflect RTF updates from mid-2020. See below.</t>
  </si>
  <si>
    <t>https://neea.org/portal/sign-in under Savings Reports, Consumer Products</t>
  </si>
  <si>
    <t>Electric Inputs</t>
  </si>
  <si>
    <t>Gas Inputs</t>
  </si>
  <si>
    <t>Electric Savings, Period 2 (kwh/yr)</t>
  </si>
  <si>
    <t>Electric Savings Shape</t>
  </si>
  <si>
    <t>Gas Savings, Period 1 (therms/yr)</t>
  </si>
  <si>
    <t>Gas Savings, Period 2 (therms/yr)</t>
  </si>
  <si>
    <t>Gas Savings Shape</t>
  </si>
  <si>
    <t>Length of Period 1 (yrs)</t>
  </si>
  <si>
    <t>Electric Dryer_Vented_ENERGY STAR</t>
  </si>
  <si>
    <t>Dryer</t>
  </si>
  <si>
    <t>Electric Dryer_Vented_UCEF 3.00 to 3.19</t>
  </si>
  <si>
    <t>Electric Dryer_Vented_UCEF 3.20 to 3.39</t>
  </si>
  <si>
    <t>Electric Dryer_Vented_UCEF 3.40 to 3.59</t>
  </si>
  <si>
    <t>Electric Dryer_Vented_UCEF 3.60 to 3.79</t>
  </si>
  <si>
    <t>Electric Dryer_Vented_UCEF 3.80 to 4.19</t>
  </si>
  <si>
    <t>Electric Dryer_Vented_UCEF 4.20 to 4.69</t>
  </si>
  <si>
    <t>Electric Dryer_Vented_UCEF 4.70 to 5.29</t>
  </si>
  <si>
    <t>Electric Dryer_Vented_UCEF 5.30 to 6.09</t>
  </si>
  <si>
    <t>Electric Dryer_Vented_UCEF 6.10 to 7.19</t>
  </si>
  <si>
    <t>Electric Dryer_Vented_UCEF 7.20 to 8.00</t>
  </si>
  <si>
    <t>Electric Dryer_Ventless_ENERGY STAR</t>
  </si>
  <si>
    <t>Electric Dryer_Ventless_UCEF 3.00 to 3.19</t>
  </si>
  <si>
    <t>Electric Dryer_Ventless_UCEF 3.20 to 3.39</t>
  </si>
  <si>
    <t>Electric Dryer_Ventless_UCEF 3.40 to 3.59</t>
  </si>
  <si>
    <t>Electric Dryer_Ventless_UCEF 3.60 to 3.79</t>
  </si>
  <si>
    <t>Electric Dryer_Ventless_UCEF 3.80 to 4.19</t>
  </si>
  <si>
    <t>Electric Dryer_Ventless_UCEF 4.20 to 4.69</t>
  </si>
  <si>
    <t>Electric Dryer_Ventless_UCEF 4.70 to 5.29</t>
  </si>
  <si>
    <t>Electric Dryer_Ventless_UCEF 5.30 to 6.09</t>
  </si>
  <si>
    <t>Electric Dryer_Ventless_UCEF 6.10 to 7.19</t>
  </si>
  <si>
    <t>Electric Dryer_Ventless_UCEF 7.20 to 8.00</t>
  </si>
  <si>
    <t>2021 PP Venting Weighting</t>
  </si>
  <si>
    <t>See below for savings rate description detail.</t>
  </si>
  <si>
    <t>The baseline is handled in the savings rate</t>
  </si>
  <si>
    <t>RES_201304</t>
  </si>
  <si>
    <t>NEEA partnered with Verdiem, Inc. to commercialize this software that enables IT administrators to effectively control power management settings of desktop computers through network controls.</t>
  </si>
  <si>
    <t>Solid State Streetlights with Controls Description</t>
  </si>
  <si>
    <t>NEEA accelerated market adoption of variable frequency drives, which allow evaporator fan motors to run at slower speeds, by funding pilot research and strategic market intervention strategies.</t>
  </si>
  <si>
    <t>NEEA partnered with SAV-AIR, LLC on the Pneu-Logic SAV-AIR initiative, which delivered comprehensive compressed air management systems and engineering services to help customers control compressed air systems using sensors, computers and software.</t>
  </si>
  <si>
    <t>Pulp and Paper Description</t>
  </si>
  <si>
    <t>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t>
  </si>
  <si>
    <t>Northwest ENERGY STAR Homes creates a pathway to influence and advance residential building code through voluntary adoption of advanced building practices and technologies.</t>
  </si>
  <si>
    <t>Leverage mid-stream incentives to influence retail buying practices, ultimately driving manufacturing, product specification and standards of energy-efficient televisions sold through the retail channel.</t>
  </si>
  <si>
    <t>Sum of State Funder Share</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</si>
  <si>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</si>
  <si>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</si>
  <si>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</si>
  <si>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</si>
  <si>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</si>
  <si>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</si>
  <si>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</si>
  <si>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</si>
  <si>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</si>
  <si>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</si>
  <si>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</si>
  <si>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</si>
  <si>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</si>
  <si>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</si>
  <si>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</si>
  <si>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</si>
  <si>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</si>
  <si>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</si>
  <si>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</si>
  <si>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</si>
  <si>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</si>
  <si>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2020</t>
  </si>
  <si>
    <t>2021</t>
  </si>
  <si>
    <t>C7</t>
  </si>
  <si>
    <t>2025-2030</t>
  </si>
  <si>
    <t>Uninterruptable Power Supplies</t>
  </si>
  <si>
    <t>The savings rate and units come from Cadeo Group, which uses information from the DOE's rulemaking proceedings.</t>
  </si>
  <si>
    <t>Cadeo's model uses information from DOE's rulemaking proceedings to develop an estimate of energy saved in the Northwest due to DOE publishing the 2020 Residential and Commercial Uninterruptable Power Supplies Final Rule. Product class and efficiency level distribution information from the 2020 Final Rule analyses is used to develop two weighted annual energy consumption values, one representative of the UPS market without the establishment of federal standards (No-New-Standards Case) and one representative of the UPS market with the establishment of federal standards (Standards Case).  The difference between the two annual energy consumption values is the unit energy saving.</t>
  </si>
  <si>
    <t>Cadeo's model uses information from DOE's rulemaking proceedings to develop an estimate of energy saved in the Northwest due to DOE publishing the 2020 Commercial and Industrial Air Compressors Final Rule. Product class and efficiency level distribution information from the 2020 Final Rule analyses is used to develop two weighted annual energy consumption values, one representative of the C&amp;I Air Compressors market without the establishment of federal standards (No-New-Standards Case) and one representative of the C&amp;I Air Compressors market with the establishment of federal standards (Standards Case).  The difference between the two annual energy consumption values is the unit energy saving.</t>
  </si>
  <si>
    <t>Cadeo's model uses information from DOE's rulemaking proceedings to develop an estimate of energy saved in the Northwest due to DOE publishing the 2020 Portable Air Conditioners Final Rule. Product class and efficiency level distribution information from the 2020 Final Rule analyses is used to develop two weighted annual energy consumption values, one representative of the PAC market without the establishment of federal standards (No-New-Standards Case) and one representative of the PAC market with the establishment of federal standards (Standards Case).  The difference between the two annual energy consumption values is the unit energy saving.</t>
  </si>
  <si>
    <t>Windows Attachments</t>
  </si>
  <si>
    <t>Televisions, Ultra-High Definition, ENERGY STAR v9 (On Mode Power)</t>
  </si>
  <si>
    <t>UHD Televisions (On Mode Power)</t>
  </si>
  <si>
    <t>ENERGY STAR v9</t>
  </si>
  <si>
    <t>Montana Code, New Multifamily, IECC 2021</t>
  </si>
  <si>
    <t>Oregon Code, New Multifamily, ORSC 2023</t>
  </si>
  <si>
    <t>Washington Code, New Multifamily, WSEC 2021</t>
  </si>
  <si>
    <t>Televisions, Ultra-High Definition, ENERGY STAR v9 (Standby Mode Power)</t>
  </si>
  <si>
    <t>RES_201403_P20T1</t>
  </si>
  <si>
    <t>UHD Televisions (Standby Mode Power)</t>
  </si>
  <si>
    <t>COM_201304_P19T1</t>
  </si>
  <si>
    <t>Commercial High-CRI Fluorescent Lamp Replacements</t>
  </si>
  <si>
    <t>2019 WA Standard</t>
  </si>
  <si>
    <t>COM_201304_P20T1</t>
  </si>
  <si>
    <t>2021 OR Standard</t>
  </si>
  <si>
    <t>COM_201304_P21T1</t>
  </si>
  <si>
    <t>Industrial High-CRI Fluorescent Lamp Replacements</t>
  </si>
  <si>
    <t>COM_201304_P22T1</t>
  </si>
  <si>
    <t>Secondary windows attached on existing primary windows in commercial buildings</t>
  </si>
  <si>
    <t>Televisions; Residential Applications; Ultra High Definition; &gt;= 39 inches; Meet the ENERGY STAR v9 Standby Mode Requirements</t>
  </si>
  <si>
    <t>Televisions; Residential Applications; Ultra High Definition; &gt;= 39 inches</t>
  </si>
  <si>
    <t>Televisions; Residential Applications; Ultra High Definition; &gt;= 39 inches; Meet the ENERGY STAR v9 On Power Mode Requirements</t>
  </si>
  <si>
    <t>ENERGY STAR v8 +20%</t>
  </si>
  <si>
    <t>Televisions, Ultra-High Definition, ENERGY STAR v8 +20%</t>
  </si>
  <si>
    <t>ENERGY STAR v8 +35%</t>
  </si>
  <si>
    <t>Televisions, Ultra-High Definition, ENERGY STAR v8 +35%</t>
  </si>
  <si>
    <t>AGR_200201_P1T1</t>
  </si>
  <si>
    <t>AM400 Data Logger</t>
  </si>
  <si>
    <t>Ag Data Logger</t>
  </si>
  <si>
    <t>AM 400</t>
  </si>
  <si>
    <t>Irrigation Data Logger</t>
  </si>
  <si>
    <t>Irrigation products</t>
  </si>
  <si>
    <t>NEEA helped accelerate the adoption of AM400, a soil moister data logger that helps reduce the amount of electricity consumed for pumping water into fields, by conducting training and outreach.</t>
  </si>
  <si>
    <t>AGR_201401_P1T1</t>
  </si>
  <si>
    <t>Irrigation</t>
  </si>
  <si>
    <t>Ag Irrigation</t>
  </si>
  <si>
    <t>Level 1</t>
  </si>
  <si>
    <t>20% reduction in energy intensity Electrical Savings by 2020 on AG | IRR on farms greater than 100 acres with Center Pivot</t>
  </si>
  <si>
    <t>Operator Certificate</t>
  </si>
  <si>
    <t>NEEA developed this regional certification program to educate building operator professionals on how to manage commercial building controls to reduce energy and operating costs.</t>
  </si>
  <si>
    <t>COM_200702_P1T1</t>
  </si>
  <si>
    <t>Groceries</t>
  </si>
  <si>
    <t>Accelerate the adoption of energy-efficient building design and operations within the grocery market by working with regional grocery wholesalers and larger chain operators to increase the demand for these products and services while building the capacity of the market.</t>
  </si>
  <si>
    <t>COM_200801_P1T1</t>
  </si>
  <si>
    <t>Building Operations (Non-target Markets)</t>
  </si>
  <si>
    <t>Building Operations</t>
  </si>
  <si>
    <t>BetterBricks (2008-2010)</t>
  </si>
  <si>
    <t>Commerical Building Operations</t>
  </si>
  <si>
    <t>NEEA engaged with supply side market actors (service providers) to encourage more efficient building operations.  This was a component of Better Bricks.</t>
  </si>
  <si>
    <t>Strategic Energy Management in food processing facilities</t>
  </si>
  <si>
    <t>Establish Strategic Energy Management as a common business practice in the healthcare sector</t>
  </si>
  <si>
    <t>Strategic Energy Management COM Existing</t>
  </si>
  <si>
    <t>Strategic Energy Management in existing commercial buildings</t>
  </si>
  <si>
    <t>Strategic Energy Management in commercial real estate</t>
  </si>
  <si>
    <t>Washington Strategic Energy Management COM Existing</t>
  </si>
  <si>
    <t>Strategic Energy Management in existing commercial buildings in Washington</t>
  </si>
  <si>
    <t>Oregon Strategic Energy Management COM Existing</t>
  </si>
  <si>
    <t>Strategic Energy Management in existing commercial buildings in Oregon</t>
  </si>
  <si>
    <t>Idaho Strategic Energy Management COM Existing</t>
  </si>
  <si>
    <t>Strategic Energy Management in existing commercial buildings in Idaho</t>
  </si>
  <si>
    <t>COM_200901_P1T1</t>
  </si>
  <si>
    <t>New Construction (Commercial)</t>
  </si>
  <si>
    <t>New Commercial Construction</t>
  </si>
  <si>
    <t>New Construction Measures</t>
  </si>
  <si>
    <t>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t>
  </si>
  <si>
    <t>COM_201101_P1T1</t>
  </si>
  <si>
    <t>Commercial Lighting Solutions</t>
  </si>
  <si>
    <t>Commercial Lighting</t>
  </si>
  <si>
    <t>Pilot</t>
  </si>
  <si>
    <t>Lighting</t>
  </si>
  <si>
    <t>Commercial Lighting Solutions Description</t>
  </si>
  <si>
    <t>Commercial Building Operator Certification (Existing)</t>
  </si>
  <si>
    <t>Deep Retrofits</t>
  </si>
  <si>
    <t>Deep Energy Retrofits of commercial buildings</t>
  </si>
  <si>
    <t>COM_201404_P1T1</t>
  </si>
  <si>
    <t>Top Tier Trade Ally</t>
  </si>
  <si>
    <t>Single Product</t>
  </si>
  <si>
    <t>Upstream #2</t>
  </si>
  <si>
    <t>General</t>
  </si>
  <si>
    <t>​The Top Tier Trade Ally infrastructure accelerates market adoption of commercial and industrial advanced lighting practices by building connectivity between contractors, training resources and utility program throughout the Northwest.</t>
  </si>
  <si>
    <t>IND_199802_P1T1</t>
  </si>
  <si>
    <t>Microelectronics (Asimi, Silicon Crystal Growing Facilities)</t>
  </si>
  <si>
    <t>ASiMI And Silicon</t>
  </si>
  <si>
    <t>ASiMi and Silicon Crystal Growing Facilities</t>
  </si>
  <si>
    <t>Micro Electronics</t>
  </si>
  <si>
    <t>Microelectronics (Asimi, Silicon Crystal Growing Facilities) Description</t>
  </si>
  <si>
    <t>IND_199802_P2T1</t>
  </si>
  <si>
    <t>ASiMi</t>
  </si>
  <si>
    <t>Asimi Crystal Growing Facilities</t>
  </si>
  <si>
    <t>IND_199802_P3T1</t>
  </si>
  <si>
    <t>Silicon</t>
  </si>
  <si>
    <t>Silicon Crystal Growing Facilities</t>
  </si>
  <si>
    <t>Silicon crystal growers</t>
  </si>
  <si>
    <t>IND_199901_P1T1</t>
  </si>
  <si>
    <t>BacGen Waste Water Optimization Service</t>
  </si>
  <si>
    <t>BacGen</t>
  </si>
  <si>
    <t>BacGen Technologies</t>
  </si>
  <si>
    <t>NEEA and BacGen Technologies, Inc. developed a method for reducing the energy consumption of small- to medium sized wastewater treatment facilities with a proprietary mix of micronutrients and process control technologies.</t>
  </si>
  <si>
    <t>MagnaDrive Adjustable Speed Drive</t>
  </si>
  <si>
    <t>Adjustable Speed Drive</t>
  </si>
  <si>
    <t>NEEA supported development and commercialization of technology that allows older motors to operate more efficiently through a magnetic industrial adjustable speed drive.</t>
  </si>
  <si>
    <t>MagnaDrive Coupling</t>
  </si>
  <si>
    <t>Strategic Energy Management IND Existing</t>
  </si>
  <si>
    <t>Strategic Energy Management in existing food processing facilities</t>
  </si>
  <si>
    <t>If NEEA overcomes Supply, Demand, and Know-How barriers to implementing Strategic Energy Management, SEM will become a recognized best practice for saving energy in the industrial sector.</t>
  </si>
  <si>
    <t>IND_200702_P1T1</t>
  </si>
  <si>
    <t>Distribution Efficiency</t>
  </si>
  <si>
    <t>DEI</t>
  </si>
  <si>
    <t>Building on a BPA study, the region asked NEEA to coordinate a multi-state research effort to look at the savings potential of optimizing substation operations and introduce voltage regulation devices to residential customers.</t>
  </si>
  <si>
    <t>IND_201302_P1T1</t>
  </si>
  <si>
    <t>Small/Medium Industrials</t>
  </si>
  <si>
    <t>Small Medium Industrial SEM</t>
  </si>
  <si>
    <t>Strategic Energy Management in small to medium industrial facilities</t>
  </si>
  <si>
    <t>Small/Medium Industrials Description</t>
  </si>
  <si>
    <t>Less efficient than the 2018 Standard.</t>
  </si>
  <si>
    <t>Clothes Washers, Below Federal Standard, IMEF 0.88-1.02</t>
  </si>
  <si>
    <t>IMEF 0.88-1.02</t>
  </si>
  <si>
    <t>RES_199702_P1T10</t>
  </si>
  <si>
    <t>Clothes Washers, Front-Loading, Less Efficient than the Power Plan Baseline.</t>
  </si>
  <si>
    <t>RES_199702_P1T11</t>
  </si>
  <si>
    <t>Front-loading Residential Clothes Washers above the 7th Power Plan Baseline.</t>
  </si>
  <si>
    <t>Clothes Washers, Below Federal Standard, IMEF 1.03-1.31</t>
  </si>
  <si>
    <t>IMEF 1.03-1.31</t>
  </si>
  <si>
    <t>Clothes Washers, Federal Standard, IMEF 1.32-1.58</t>
  </si>
  <si>
    <t>IMEF 1.32-1.58</t>
  </si>
  <si>
    <t>Clothes Washers, Federal Standard, IMEF 1.59-2.05</t>
  </si>
  <si>
    <t>IMEF 1.59-2.05</t>
  </si>
  <si>
    <t>Clothes Washers, ENERGY STAR, IMEF 2.06-2.37</t>
  </si>
  <si>
    <t>IMEF 2.06-2.37</t>
  </si>
  <si>
    <t>Clothes Washers, CEE TIER 1, IMEF 2.38-2.73</t>
  </si>
  <si>
    <t>IMEF 2.38-2.73</t>
  </si>
  <si>
    <t>Clothes Washers, CEE TIER 2, IMEF 2.74-2.91</t>
  </si>
  <si>
    <t>IMEF 2.74-2.91</t>
  </si>
  <si>
    <t>Clothes Washers, CEE TIER 3, IMEF 2.92+</t>
  </si>
  <si>
    <t>IMEF 2.92+</t>
  </si>
  <si>
    <t>Top-loading Residential Clothes Washers above the 7th Power Plan Baseline</t>
  </si>
  <si>
    <t>U Factor 0.35 (New and Existing Construction)</t>
  </si>
  <si>
    <t>Residential Windows</t>
  </si>
  <si>
    <t>NEEA accelerated the market adoption of high efficiency ENERGY STAR residential windows by working with manufacturers and retailers to increase availability and increase consumer demand through strategic marketing campaigns with manufacturers.</t>
  </si>
  <si>
    <t>RES_199705_P2T1</t>
  </si>
  <si>
    <t>Residential Windows (New Construction)</t>
  </si>
  <si>
    <t>U-value 0.35 New Residential Construction</t>
  </si>
  <si>
    <t>U-value 0.35</t>
  </si>
  <si>
    <t>RES_199705_P3T1</t>
  </si>
  <si>
    <t>Residential Windows (Existing Construction)</t>
  </si>
  <si>
    <t>RES_199706_P1T1</t>
  </si>
  <si>
    <t>Super Good Cents Manufactured Homes</t>
  </si>
  <si>
    <t>Certificate</t>
  </si>
  <si>
    <t>Efficient manufactured homes</t>
  </si>
  <si>
    <t>Super Good Cents Manufactured Homes Description</t>
  </si>
  <si>
    <t>Dishwashers, Energy Factor 52</t>
  </si>
  <si>
    <t>Dishwashers EF 52</t>
  </si>
  <si>
    <t>NEEA accelerated the market adoption of ENERGY STAR dishwashers by partnering with manufacturers, retailers and regional utilities to increase the availability and consumer awareness of these products.</t>
  </si>
  <si>
    <t>Dishwashers, Energy Factor 58</t>
  </si>
  <si>
    <t>Dishwashers EF 58</t>
  </si>
  <si>
    <t>Dishwashers, Energy Factor 65</t>
  </si>
  <si>
    <t>Dishwashers EF 65</t>
  </si>
  <si>
    <t>Dishwashers, Energy Factor 68</t>
  </si>
  <si>
    <t>Dishwashers EF 68</t>
  </si>
  <si>
    <t>RES_200006_P1T0</t>
  </si>
  <si>
    <t>ENERGY STAR and Above</t>
  </si>
  <si>
    <t>Refrigerators, ENERGY STAR &amp; More Efficient</t>
  </si>
  <si>
    <t>Refrigerator ENERGY STAR and more efficient</t>
  </si>
  <si>
    <t>Refrigerators, ENERGY STAR 2003</t>
  </si>
  <si>
    <t>Refrigerator ENERGY STAR 2003</t>
  </si>
  <si>
    <t>Refrigerators, ENERGY STAR 2008</t>
  </si>
  <si>
    <t>Refrigerator  ENERGY STAR 2008</t>
  </si>
  <si>
    <t>Refrigerators, ENERGY STAR V5</t>
  </si>
  <si>
    <t>Refrigerator ENERGY STAR  V5</t>
  </si>
  <si>
    <t>Refrigerators, ENERGY STAR +15-20% above Standard (CEE Tier 2; 2016 and 2017 ENERGY STAR Most Efficient)</t>
  </si>
  <si>
    <t>Refrigerator ENERGY STAR +15-20% above Standard (CEE Tier 2; 2016 and 2017 ENERGY STAR Most Efficient)</t>
  </si>
  <si>
    <t>Refrigerators, ENERGY STAR +20% or better above Standard (CEE Tier 3)</t>
  </si>
  <si>
    <t>Refrigerator ENERGY STAR +20% or better above Standard (CEE Tier 3)</t>
  </si>
  <si>
    <t>RES_200006_P1T6</t>
  </si>
  <si>
    <t>Below Min Efficiency Level for Program</t>
  </si>
  <si>
    <t>Refrigerators, Non-Qualifying</t>
  </si>
  <si>
    <t>Refrigerator Below the 7th Power Plan Baseline (ENERGY STAR and lower efficiency levels)</t>
  </si>
  <si>
    <t>Washington State Energy Code Progress Toward 2030</t>
  </si>
  <si>
    <t>Target: 8.75% savings compared to the 2006 WSEC</t>
  </si>
  <si>
    <t>Target: 14% savings compared to each previous code</t>
  </si>
  <si>
    <t>Commercial Building Energy Use Intensity and Percent Change by Type (page 6)</t>
  </si>
  <si>
    <t>Incremental Improvement Compared to Targets (page 3)</t>
  </si>
  <si>
    <t>2006 EUI</t>
  </si>
  <si>
    <t>2018 EUI</t>
  </si>
  <si>
    <t>*</t>
  </si>
  <si>
    <t>School Primary</t>
  </si>
  <si>
    <t>School Secondary</t>
  </si>
  <si>
    <t>*includes solar offset form section C 406.5</t>
  </si>
  <si>
    <t>EUI Reduction</t>
  </si>
  <si>
    <t>Assume 70% of the reduction is electric savings and apply 25% discount for code compliance</t>
  </si>
  <si>
    <t>NEEA Reported Savings</t>
  </si>
  <si>
    <t>OR 2021 OEESC</t>
  </si>
  <si>
    <t>Oregon Code, New Commercial, OEESC 2021</t>
  </si>
  <si>
    <t>2021 OEESC Non-residential new construction built in Oregon</t>
  </si>
  <si>
    <t>OR 2023 OEESC</t>
  </si>
  <si>
    <t>Oregon Code, New Commercial, OEESC 2023</t>
  </si>
  <si>
    <t>2023 OEESC Non-residential new construction built in Oregon</t>
  </si>
  <si>
    <t>OR 2026 OEESC</t>
  </si>
  <si>
    <t>Oregon Code, New Commercial, OEESC 2026</t>
  </si>
  <si>
    <t>2026 OEESC Non-residential new construction built in Oregon</t>
  </si>
  <si>
    <t>OR 2029 OEESC</t>
  </si>
  <si>
    <t>Oregon Code, New Commercial, OEESC 2029</t>
  </si>
  <si>
    <t>2029 OEESC Non-residential new construction built in Oregon</t>
  </si>
  <si>
    <t>Grocery - All</t>
  </si>
  <si>
    <t>BetterBricks (2008-2010) - Building Operations</t>
  </si>
  <si>
    <t>Healthcare - Strategic Energy Management</t>
  </si>
  <si>
    <t>BetterBricks (2008-2010) - New Commercial Construction</t>
  </si>
  <si>
    <t>Non-Residential Standard TBD</t>
  </si>
  <si>
    <t>Commercial High-CRI Fluorescent Lamps</t>
  </si>
  <si>
    <t>Non-Residential, Washington Commercial High-CRI Fluorescent Lamp (2019)</t>
  </si>
  <si>
    <t>Washington State Standard, Effective 2019 for Commercial High-CRI Fluorescent Lamps</t>
  </si>
  <si>
    <t>Non-Residential, Oregon Commercial High-CRI Fluorescent Lamp (2021)</t>
  </si>
  <si>
    <t>Oregon State Standard, Effective 2021 for Commercial High-CRI Fluorescent Lamps</t>
  </si>
  <si>
    <t>Industrial High-CRI Fluorescent Lamps</t>
  </si>
  <si>
    <t>Non-Residential, Washington Industrial High-CRI Fluorescent Lamp (2019)</t>
  </si>
  <si>
    <t>Washington State Standard, Effective 2019 for Industrial High-CRI Fluorescent Lamps</t>
  </si>
  <si>
    <t>Non-Residential, Oregon Industrial High-CRI Fluorescent Lamp (2021)</t>
  </si>
  <si>
    <t>Oregon State Standard, Effective 2021 for Industrial High-CRI Fluorescent Lamps</t>
  </si>
  <si>
    <t>COM_201304_P23T1</t>
  </si>
  <si>
    <t>Commercial Fryers - Electric</t>
  </si>
  <si>
    <t>Non-Residential, Washington Commercial Fryers - Electric (2019)</t>
  </si>
  <si>
    <t>Washington State Standard, Effective 2019 for Electric Commercial Fryers</t>
  </si>
  <si>
    <t>COM_201304_P24T1</t>
  </si>
  <si>
    <t>Non-Residential, Oregon Commercial Fryers - Electric (2021)</t>
  </si>
  <si>
    <t>Oregon State Standard, Effective 2021 for Electric Commercial Fryers</t>
  </si>
  <si>
    <t>COM_201304_P25T1</t>
  </si>
  <si>
    <t>Commercial Steam Cookers - Electric</t>
  </si>
  <si>
    <t>Non-Residential, Washington Steam Cookers - Electric (2019)</t>
  </si>
  <si>
    <t>Washington State Standard, Effective 2019 for Electric Steam Cookers</t>
  </si>
  <si>
    <t>COM_201304_P26T1</t>
  </si>
  <si>
    <t>Non-Residential, Oregon Steam Cookers - Electric (2021)</t>
  </si>
  <si>
    <t>Oregon State Standard, Effective 2021 for Electric Steam Cookers</t>
  </si>
  <si>
    <t>COM_201304_P27T1</t>
  </si>
  <si>
    <t>Commercial Fryers - Gas</t>
  </si>
  <si>
    <t>Non-Residential, Washington Commercial Fryers - Gas (2019)</t>
  </si>
  <si>
    <t>Washington State Standard, Effective 2019 for Gas Commercial Fryers</t>
  </si>
  <si>
    <t>COM_201304_P28T1</t>
  </si>
  <si>
    <t>Non-Residential, Oregon Commercial Fryers - Gas (2021)</t>
  </si>
  <si>
    <t>Oregon State Standard, Effective 2021 for Gas Commercial Fryers</t>
  </si>
  <si>
    <t>COM_201304_P29T1</t>
  </si>
  <si>
    <t>Commercial Steam Cookers - Gas</t>
  </si>
  <si>
    <t>Non-Residential, Washington Steam Cookers - Gas (2019)</t>
  </si>
  <si>
    <t>Washington State Standard, Effective 2019 for Gas Steam Cookers</t>
  </si>
  <si>
    <t>COM_201304_P30T1</t>
  </si>
  <si>
    <t>Non-Residential, Oregon Steam Cookers - Gas (2021)</t>
  </si>
  <si>
    <t>Oregon State Standard, Effective 2021 for Gas Steam Cookers</t>
  </si>
  <si>
    <t>COM_201601_P1T1</t>
  </si>
  <si>
    <t>Commercial Secondary Windows become established as the standard product and practice for addressing poor performing windows in commercial buildings.</t>
  </si>
  <si>
    <t>Pulp and Paper - Strategic Energy Management</t>
  </si>
  <si>
    <t>Small/Medium Industrials - Strategic Energy Management</t>
  </si>
  <si>
    <t>Lighting Fixtures - All</t>
  </si>
  <si>
    <t>Install a 9.5 HSPF or better DHP, with nominal tonnage 3/4 ton or greater in the main living area of a house with permanently installed electric forced air furnace space heat.</t>
  </si>
  <si>
    <t>Residential Standard TBD</t>
  </si>
  <si>
    <t>ENERGY STAR v5/ENERGY STAR Most Efficient</t>
  </si>
  <si>
    <t>Refrigerators, Standard-size Top-mount Freezers/Other, ENERGY STAR v5+</t>
  </si>
  <si>
    <t>Refrigerators, Standard-size Top-mount Freezers/Other, (TBD)</t>
  </si>
  <si>
    <t>year</t>
  </si>
  <si>
    <t>Federal Standard Commercial</t>
  </si>
  <si>
    <t>COM_202201_P1T1</t>
  </si>
  <si>
    <t>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t>
  </si>
  <si>
    <t>COM_202201_P1T2</t>
  </si>
  <si>
    <t>Clothes Washers, Top-Loading, Non ENERGY STAR, pre 2015 measure</t>
  </si>
  <si>
    <t>Clothes Washers, Front-Loading, Non ENERGY STAR, pre 2015 measure</t>
  </si>
  <si>
    <t>Clothes Washers, Top-Loading, ENERGY STAR , pre 2015 measure</t>
  </si>
  <si>
    <t>Federal Standard Residential</t>
  </si>
  <si>
    <t>Clothes Washers, Standard-size Top-Loading, Electric, Non ENERGY STAR v8</t>
  </si>
  <si>
    <t>Clothes Washers, Standard-size Top-Loading, Electric, ENERGY STAR v7</t>
  </si>
  <si>
    <t>Clothes Washers, Standard-size Top-Loading, Electric, ENERGY STAR Most Efficient 2017+</t>
  </si>
  <si>
    <t>Clothes Washers, Standard-size Top Loading, Electric, ENERGY STAR TBD</t>
  </si>
  <si>
    <t>Refrigerators, Standard-size Bottom-mount Freezers, ENERGY STAR v5</t>
  </si>
  <si>
    <t>Refrigerators, Standard-size Bottom-mount Freezers, ENERGY STAR Most Efficient &amp; Emerging Tech Award</t>
  </si>
  <si>
    <t>Refrigerators, Standard-size Bottom-mount Freezers, ENERGY STAR Most Efficient and Emerging Tech Award</t>
  </si>
  <si>
    <t>Refrigerators, Standard-size Side-mount Freezers, ENERGY STAR v5</t>
  </si>
  <si>
    <t>Refrigerators, Standard-size Side-mount Freezers, ENERGY STAR v5 Most Efficient &amp; Emerging Tech Award</t>
  </si>
  <si>
    <t>Refrigerators, Standard-size Side-mount Freezers, ENERGY STAR Most Efficient and Emerging Tech Award</t>
  </si>
  <si>
    <t>Clothes Washers, Compact, Electric, Non ENERGY STAR v8</t>
  </si>
  <si>
    <t>Refrigerators, Standard-size Top-mount Freezers/Other, ENERGY STAR v5</t>
  </si>
  <si>
    <t>Clothes Washers, Front-Loading, Electric, NonENERGY STAR v8 (IMEF 1.84)</t>
  </si>
  <si>
    <t>Clothes Washers, Front-Loading, Electric, ENERGY STAR v7 &amp; v8</t>
  </si>
  <si>
    <t>Clothes Washers, Front-Loading, Electric, ENERGY STAR v8 Most Efficient 2017</t>
  </si>
  <si>
    <t>Clothes Washers, Front-Loading, Electric, ENERGY STAR v8 Most Efficient 2018+</t>
  </si>
  <si>
    <t>Clothes Washers, Front-Loading, Electric, IMEF 2.92+</t>
  </si>
  <si>
    <t>Stakeholder</t>
  </si>
  <si>
    <t>Weights to Convert to Regional Rate</t>
  </si>
  <si>
    <t>Unit Energy Savings Calculations</t>
  </si>
  <si>
    <t>In accordance with the methodology agreement for reporting to Washington Investor-Owned Utilities, NEEA has updated the savings rates for 2023 only to the most recent RTF values (version 4.0). Savings rates for 2022 have been left as they were when the original biennium target was set in August 2021.</t>
  </si>
  <si>
    <t>Tier4_garage_HZ1_AnySize</t>
  </si>
  <si>
    <t>Tier4_garage_HZ2_AnySize</t>
  </si>
  <si>
    <t>Tier4_garage_HZ3_AnySize</t>
  </si>
  <si>
    <t>Tier4_basmnt_HZ1_AnySize</t>
  </si>
  <si>
    <t>Tier4_basmnt_HZ2_AnySize</t>
  </si>
  <si>
    <t>Tier4_basmnt_HZ3_AnySize</t>
  </si>
  <si>
    <t>Tier4_indor2_HZ1_gas_AnySize</t>
  </si>
  <si>
    <t>Tier4_indor2_HZ1_resistheat_AnySize</t>
  </si>
  <si>
    <t>Tier4_indor2_HZ1_hp85_AnySize</t>
  </si>
  <si>
    <t>Tier4_indor2_HZ2_gas_AnySize</t>
  </si>
  <si>
    <t>Tier4_indor2_HZ2_resistheat_AnySize</t>
  </si>
  <si>
    <t>Tier4_indor2_HZ2_hp85_AnySize</t>
  </si>
  <si>
    <t>Tier4_indor2_HZ3_gas_AnySize</t>
  </si>
  <si>
    <t>Tier4_indor2_HZ3_resistheat_AnySize</t>
  </si>
  <si>
    <t>Tier4_indor2_HZ3_hp85_AnySize</t>
  </si>
  <si>
    <t>Tier4_ducted_HZ1_gas_AnySize</t>
  </si>
  <si>
    <t>Tier4_ducted_HZ1_resistheat_AnySize</t>
  </si>
  <si>
    <t>Tier4_ducted_HZ1_hp85_AnySize</t>
  </si>
  <si>
    <t>Tier4_ducted_HZ2_gas_AnySize</t>
  </si>
  <si>
    <t>Tier4_ducted_HZ2_resistheat_AnySize</t>
  </si>
  <si>
    <t>Tier4_ducted_HZ2_hp85_AnySize</t>
  </si>
  <si>
    <t>Tier4_ducted_HZ3_gas_AnySize</t>
  </si>
  <si>
    <t>Tier4_ducted_HZ3_resistheat_AnySize</t>
  </si>
  <si>
    <t>Tier4_ducted_HZ3_hp85_AnySize</t>
  </si>
  <si>
    <t>Tier4</t>
  </si>
  <si>
    <t>Regional Savings Rate for Tiers 1-4</t>
  </si>
  <si>
    <t>RTF Savings Rates (Existing Construction Tiers 1-4)</t>
  </si>
  <si>
    <t>Tier 3 HPWH</t>
  </si>
  <si>
    <t>Total Savings for Tier 4</t>
  </si>
  <si>
    <t>Incremental to Tier 4</t>
  </si>
  <si>
    <t>ResHPWH_v6_2.xlsm</t>
  </si>
  <si>
    <t>Savings Rate Assumptions</t>
  </si>
  <si>
    <t>Tier*</t>
  </si>
  <si>
    <t>*Energy Most Efficient includes models that meet ENERGY STAR's Emerging Tech Award.</t>
  </si>
  <si>
    <t>Install Luminaire level lighting controls in commercial buildings</t>
  </si>
  <si>
    <t>Luminaire Level Lighting Controls in commercial buildings</t>
  </si>
  <si>
    <t>The Luminaire Level Lighting Controls (LLLC) initiative works to bring clarity to the controls market by specification development, training, utility program support and supply chain intervention so that LLLC systems become standard practice for commercial buildings.</t>
  </si>
  <si>
    <t>Develop an upstream platform with distributors and manufacturers that influences the stocking and sales practices of efficient lighting products.</t>
  </si>
  <si>
    <t>Montana Code, New Multifamily, IECC 2018 with MT Amend</t>
  </si>
  <si>
    <t>IECC 2021 Code home built in Montana, all heating systems, regional climate zones, multifamily, new construction</t>
  </si>
  <si>
    <t>NEEA’s goal for Heat Pump Water Heaters (HPWH) is to influence the passage of a federal standard requiring HPWHs for all electric storage tanks greater than 45 gallons in size by 2028. To do this, the program must create national alignment by influencing ENERGY STAR and Federal test procedures to incorporate key elements of our Advanced Water Heating Specification, continue working upstream with water heater manufacturers to influence product development, and continue training the supply chain in HPWH technology until it becomes standard practice.</t>
  </si>
  <si>
    <t>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t>
  </si>
  <si>
    <t>The Extended Motor Product (XMP) initiative engages with manufacturers, distributors, and trade associations to increase adoption of energy efficient pumps and circulators. Primary interventions include: mid-stream incentives to influence stocking/sales practices; training and awareness campaigns to demonstrate that efficient pumps are cost-effective, reliable and easy to maintain; development and promotion of energy labeling for pumps to allow for product differentiation; and ultimately the passage of more stringent Federal Standards.</t>
  </si>
  <si>
    <t>High Performance HVAC</t>
  </si>
  <si>
    <t>DOAS- Replacement- Regulated by WSEC</t>
  </si>
  <si>
    <t>DOAS 2018 WSEC with 60% ERV/HRV</t>
  </si>
  <si>
    <t>DOAS, Existing Buildings, Where Required by Code, 60% ERV/HRV</t>
  </si>
  <si>
    <t>2018 WSEC Code-minimum HVAC system with Dedicated Outside Air System, 60% ERV/HRV, Installed in Existing Building where DOAS is Required by WSEC</t>
  </si>
  <si>
    <t>Commercial HVAC system with Dedicated Outside Air System, Installed in Existing Building where DOAS is Required by Washington State Energy Code</t>
  </si>
  <si>
    <t>VHE DOAS- Replacement- Regulated by WSEC</t>
  </si>
  <si>
    <t>DOAS with &gt;=82% ERV/HRV</t>
  </si>
  <si>
    <t>VHE-DOAS, Existing Buildings, Where Required by Washington Code, &gt;=82% ERV/HRV</t>
  </si>
  <si>
    <t>Very High Efficiency Dedicated Outside Air Systems,  &gt;=82% ERV/HRV, Partially / Fully Decoupled Ventilation, Right / Oversized ENERGY STAR Heating and Cooling system, Installed in Existing Building where DOAS is Required by WSEC, Above Code</t>
  </si>
  <si>
    <t>Commercial HVAC system with Partially / Fully Decoupled Ventilation, Right / Oversized ENERGY STAR Heating and Cooling system, Installed in Existing Building where DOAS is Required by Washington State Energy Code</t>
  </si>
  <si>
    <t>COM_202201_P2T1</t>
  </si>
  <si>
    <t>VHE DOAS- New- Regulated by WSEC</t>
  </si>
  <si>
    <t>VHE-DOAS, New Buildings, Where Required by Washington Code&gt;= 82% ERV/HRV</t>
  </si>
  <si>
    <t>Very High Efficiency Dedicated Outside Air Systems, &gt;=82% ERV/HRV, Partially / Fully Decoupled Ventilation, Right / Oversized ENERGY STAR Heating and Cooling system, Installed in New Construction where DOAS is Required by WSEC, Above Code</t>
  </si>
  <si>
    <t>Commercial HVAC system with Partially / Fully Decoupled Ventilation, Right / Oversized ENERGY STAR Heating and Cooling system, Installed in New Building where DOAS is Required by Washington State Energy Code</t>
  </si>
  <si>
    <t>COM_202201_P3T1</t>
  </si>
  <si>
    <t>VHE DOAS- Replacement- ID, MT, OR, and WA not Regulated by WSEC</t>
  </si>
  <si>
    <t>DOAS with 60%-81% ERV/HRV</t>
  </si>
  <si>
    <t>VHE-DOAS, Existing Buildings, 60-81% ERV/HRV</t>
  </si>
  <si>
    <t>Very High Efficiency Dedicated Outside Air Systems, 60%-81% ERV/HRV, Partially / Fully Decoupled Ventilation, Right / Oversized ENERGY STAR Heating and Cooling system, Installed in Existing Building</t>
  </si>
  <si>
    <t>Commerical HVAC system with Partially / Fully Decoupled Ventilation, Right / Oversized ENERGY STAR Heating and Cooling system, Installed in Existing Building</t>
  </si>
  <si>
    <t>COM_202201_P4T1</t>
  </si>
  <si>
    <t>VHE-DOAS, Existing Buildings, &gt;= 82% ERV/HRV</t>
  </si>
  <si>
    <t>Very High Efficiency Dedicated Outside Air Systems, &gt;=82% ERV/HRV, Partially / Fully Decoupled Ventilation, Right / Oversized ENERGY STAR Heating and Cooling system, Installed in Existing Building</t>
  </si>
  <si>
    <t>COM_202201_P5T1</t>
  </si>
  <si>
    <t>VHE DOAS- New- ID, MT, OR, and WA not Regulated by WSEC</t>
  </si>
  <si>
    <t>VHE-DOAS, New Buildings, 60-81% ERV/HRV</t>
  </si>
  <si>
    <t>Very High Efficiency Dedicated Outside Air Systems, 60%-81% ERV/HRV, Partially / Fully Decoupled Ventilation, Right / Oversized ENERGY STAR Heating and Cooling system, Installed in New Construction</t>
  </si>
  <si>
    <t>Commerical HVAC system with Partially / Fully Decoupled Ventilation, Right / Oversized ENERGY STAR Heating and Cooling system, Installed in New Building</t>
  </si>
  <si>
    <t>COM_202201_P6T1</t>
  </si>
  <si>
    <t>VHE-DOAS, New Buildings, &gt;= 82% ERV/HRV</t>
  </si>
  <si>
    <t>Very High Efficiency Dedicated Outside Air Systems, &gt;=82% ERV/HRV, Partially / Fully Decoupled Ventilation, Right / Oversized ENERGY STAR Heating and Cooling system, Installed in New Construction</t>
  </si>
  <si>
    <t>Non-Qualifying Residential Hydronic Heating Circulator with an efficient Electronically Commutated Motor (ECM).</t>
  </si>
  <si>
    <t>Residential Hydronic Heating Circulator</t>
  </si>
  <si>
    <t>Residential Hydronic Heating Circulator with an efficient Electronically Commutated Motor (ECM).</t>
  </si>
  <si>
    <t>Residential Hydronic Heating Circulator with an efficient Electronically Commutated Motor (ECM) and "Advanced Speed Controls."  Advanced controls include proportional pressure, adaptive pressure, or differential temperature.</t>
  </si>
  <si>
    <t>Non-Qualifying Commercial Hydronic Heating Circulator with an efficient Electronically Commutated Motor (ECM).</t>
  </si>
  <si>
    <t>Commercial Hydronic Heating Circulator</t>
  </si>
  <si>
    <t>Commercial Hydronic Heating Circulator with an efficient Electronically Commutated Motor (ECM).</t>
  </si>
  <si>
    <t>Commercial Hydronic Heating Circulator with an efficient Electronically Commutated Motor (ECM) and "Advanced Speed Controls."  Advanced controls include proportional pressure, adaptive pressure, or differential temperature.</t>
  </si>
  <si>
    <t>A non-qualifying residential circulator pump with efficient Electronically Commutated Motor (ECM) and no Run Hours Controls</t>
  </si>
  <si>
    <t>Residential Domestic Hot Water Circulator</t>
  </si>
  <si>
    <t>A residential circulator pump with efficient Electronically Commutated Motor (ECM) and no Run Hours Controls</t>
  </si>
  <si>
    <t>A residential circulator pump with efficient Electronically Commutated Motor (ECM) and Run Hours Controls.</t>
  </si>
  <si>
    <t>A non-qualifying commercial circulator pump with efficient Electronically Commutated Motor (ECM) and no Run Hours Controls</t>
  </si>
  <si>
    <t>Commercial Domestic Hot Water Circulator</t>
  </si>
  <si>
    <t>A commercial circulator pump with efficient Electronically Commutated Motor (ECM) and no Run Hours Controls</t>
  </si>
  <si>
    <t>A commercial circulator pump with efficient Electronically Commutated Motor (ECM) and Run Hours Controls.</t>
  </si>
  <si>
    <t>Commercial Constant Speed Clean Water Pump</t>
  </si>
  <si>
    <t>Commercial Variable Speed Clean Water Pump</t>
  </si>
  <si>
    <t>Commercial, Variable Speed Clean Water Pump - Constant Speed Replacement</t>
  </si>
  <si>
    <t>Unit</t>
  </si>
  <si>
    <t>Square Feet</t>
  </si>
  <si>
    <t>Efficient units in 2022 are identified through local programs submissions and VHE DOAS installations for which NEEA provided technical support.</t>
  </si>
  <si>
    <t>NEEA's market and savings tracking infrastructure is still under development. Where available, installation-specific energy analysis is used to determine energy savings for observed units. Otherwise, energy savings rates established by Red Car Analytics (2022) are applied based on the characteristics of the installation. This applies to 2022 local programs submissions and any other projects completed in 2022 that lack installation-specific energy analysis. Savings rates per measure index are determined as the average unit energy savings, measured in kWh per square foot within that measure index.</t>
  </si>
  <si>
    <t>Total Regional Savings Units</t>
  </si>
  <si>
    <t>Gross Local Program Units</t>
  </si>
  <si>
    <t>Low-rise Multifamily Codes</t>
  </si>
  <si>
    <t>Single-family Code</t>
  </si>
  <si>
    <t>Note: Code savings are above the 2021 Power Plan baseline if adopted after December 31, 2019</t>
  </si>
  <si>
    <t>Code was adopted in 2021. UES comes from SEEM analysis completed by Ecotope in Q1 2021. Ecotope. 2021. Determination Analysis: Energy Impact of New Residential Energy Codes in Idaho, Montana, and Oregon
Analysis is available here https://neea.org/ → Login → go to Savings Reports→Codes</t>
  </si>
  <si>
    <t>Savings analysis expected in 2023. Savings expected to start in 2024.</t>
  </si>
  <si>
    <t>&lt; 4 story housing units (code compliant)</t>
  </si>
  <si>
    <t>Single-family homes, duplexes and town homes (code compliant)</t>
  </si>
  <si>
    <t>Total Remaining Savings (aMW)</t>
  </si>
  <si>
    <t>Red Car Analytics. 2022. Analysis of Expanded Efficiency Parameters for Very High Efficiency DOAS (see below)</t>
  </si>
  <si>
    <t>https://neea.org/resources/uninterruptible-power-supplies-standard-evaluation</t>
  </si>
  <si>
    <t>Baseline Units</t>
  </si>
  <si>
    <r>
      <t xml:space="preserve">Red Car Analytics. 2022. Analysis of Expanded Efficiency Parameters for Very High Efficiency DOAS
The report evaluates a set of parameters for Very High Efficiency DOAS designs and analyzes the impact of these parameters on energy efficiency and first-cost effectiveness.
Report goals included:
- Analyzing the energy impacts of using lower or higher efficiency parameters in an HRV/ERV configuration compared to standard rooftop heat pump units and a basic efficiency HRV/ERV as defined by the Washington State Energy Code (WSEC)
- Identifying the first costs, net present value, and the payback period of lower and higher efficiency HRV/ERV configurations compared to standard rooftop heat pump units
- Outlining the additional benefits provided by each parameter and which configurations provide the best benefits
https://neea.org/resources/analysis-of-expanded-efficiency-parameters-for-very-high-efficiency-doas
More information is available at neea.org </t>
    </r>
    <r>
      <rPr>
        <sz val="10"/>
        <color rgb="FF123559"/>
        <rFont val="Calibri"/>
        <family val="2"/>
      </rPr>
      <t>→Portal Login → Savings Reports → HVAC</t>
    </r>
    <r>
      <rPr>
        <sz val="9"/>
        <color rgb="FF123559"/>
        <rFont val="Calibri"/>
        <family val="2"/>
      </rPr>
      <t xml:space="preserve"> </t>
    </r>
  </si>
  <si>
    <t>Estar_gfnc_HZ1</t>
  </si>
  <si>
    <t>Estar_gfnc_HZ2</t>
  </si>
  <si>
    <t>Estar_gfnc_HZ3</t>
  </si>
  <si>
    <t>Fan</t>
  </si>
  <si>
    <t>Refrigeration</t>
  </si>
  <si>
    <t>NEEM+PLUS_gfnc_HZ1</t>
  </si>
  <si>
    <t>NEEM+PLUS_gfnc_HZ2</t>
  </si>
  <si>
    <t>NEEM+PLUS_gfnc_HZ3</t>
  </si>
  <si>
    <t>Estar_electric_HZ1_CZ1</t>
  </si>
  <si>
    <t>Estar_electric_HZ1_CZ2</t>
  </si>
  <si>
    <t>Estar_electric_HZ1_CZ3</t>
  </si>
  <si>
    <t>Estar_electric_HZ2_CZ1</t>
  </si>
  <si>
    <t>Estar_electric_HZ2_CZ2</t>
  </si>
  <si>
    <t>Estar_electric_HZ2_CZ3</t>
  </si>
  <si>
    <t>Estar_electric_HZ3_CZ1</t>
  </si>
  <si>
    <t>Estar_electric_HZ3_CZ2</t>
  </si>
  <si>
    <t>Estar_electric_HZ3_CZ3</t>
  </si>
  <si>
    <t>NEEM+PLUS_electric_HZ1_CZ1</t>
  </si>
  <si>
    <t>NEEM+PLUS_electric_HZ1_CZ2</t>
  </si>
  <si>
    <t>NEEM+PLUS_electric_HZ1_CZ3</t>
  </si>
  <si>
    <t>NEEM+PLUS_electric_HZ2_CZ1</t>
  </si>
  <si>
    <t>NEEM+PLUS_electric_HZ2_CZ2</t>
  </si>
  <si>
    <t>NEEM+PLUS_electric_HZ2_CZ3</t>
  </si>
  <si>
    <t>NEEM+PLUS_electric_HZ3_CZ1</t>
  </si>
  <si>
    <t>NEEM+PLUS_electric_HZ3_CZ2</t>
  </si>
  <si>
    <t>NEEM+PLUS_electric_HZ3_CZ3</t>
  </si>
  <si>
    <t xml:space="preserve">We assume the Power Plan baseline efficiency is equivalent to a standard rooftop heat pump for OR, MT, ID and WA installations not regulated by WSEC such as installations in some existing buildings.
For installations covered by the 2018 WSEC, NEEA assumes the Power Plan baseline efficiency is a DOAS system with a 60% sensible recovery effectiveness ERV/HRV. This means we are not reporting savings from installations that comply with WSEC 2018 through the program. At-code units are counted under the Codes savings in report. 
In addition, the 2021 Power Plan assumes a baseline of 2% VRF-DOAS and 0% for VHE-DOAS (Com_Master_2021P, Base). </t>
  </si>
  <si>
    <t>https://neea.org/resources/televisions-energy-star-version-9-specification-influence-assessment-and-baseline-assumptions-review</t>
  </si>
  <si>
    <t xml:space="preserve">UES analysis reviewed by TRC in 2022. </t>
  </si>
  <si>
    <t>ResSFExistingHVAC_v6_0.xls</t>
  </si>
  <si>
    <t>ResDHPonFAF_v4_0.xlsx</t>
  </si>
  <si>
    <t>NEEA's adjusted EUI projection (2006 base)</t>
  </si>
  <si>
    <t>2021 EUI</t>
  </si>
  <si>
    <t>% EUI reduction relative to 2018 EUI</t>
  </si>
  <si>
    <t>Forecast based on NEEA's understanding of the energy code roadmap.</t>
  </si>
  <si>
    <t>PNNL. 2020. Commercial building energy savings analysis of the ASHRAE Standard 90.1-2019. Retrieved June 30, 2021 from US DOE's Building Energy Codes Program website.</t>
  </si>
  <si>
    <t>-Construction Start: Dodge Data &amp; Analytics, Inc. 2023. Dodge_2022Q4. (dataset). 
-Code Compliance Rate: An internal assumption until completion of code compliance study.
-Code Permit Rate: Energy Trust of Oregon's New Buildings Program.  2012.  PECI permit occupancy dates - 2-15-2012. (dataset).</t>
  </si>
  <si>
    <t xml:space="preserve">EMAIL
csteinhoff@neea.org </t>
  </si>
  <si>
    <t>DATE</t>
  </si>
  <si>
    <t xml:space="preserve">NEEA Staff Contact: </t>
  </si>
  <si>
    <t>Christina Steinhoff</t>
  </si>
  <si>
    <r>
      <t>©2023</t>
    </r>
    <r>
      <rPr>
        <sz val="11"/>
        <color rgb="FFFF0000"/>
        <rFont val="Calibri"/>
        <family val="2"/>
        <scheme val="minor"/>
      </rPr>
      <t xml:space="preserve"> </t>
    </r>
    <r>
      <rPr>
        <sz val="11"/>
        <color theme="0"/>
        <rFont val="Calibri"/>
        <family val="2"/>
        <scheme val="minor"/>
      </rPr>
      <t>Northwest Energy Efficiency Alliance.
You may not sell, reproduce, or distribute, all or any part of the Data without the express, prior written permission of NEEA.</t>
    </r>
  </si>
  <si>
    <t>From RTF Workbook ResMHNewHomesandHVAC_v5_0.xlsm:</t>
  </si>
  <si>
    <t>Savings against pre-2023 HUD minimum</t>
  </si>
  <si>
    <t>NEEM 1.1 = Estar, NEEM Plus = NEEM+PLUS</t>
  </si>
  <si>
    <t>Per RTF assumption, natural gas = gfnc, 60% electric furnace / 40% heat pump = electric</t>
  </si>
  <si>
    <t>Climate Zone Weight</t>
  </si>
  <si>
    <t>Weighted Electric Savings kWh/yr</t>
  </si>
  <si>
    <t>Heating Type</t>
  </si>
  <si>
    <t>gfnc</t>
  </si>
  <si>
    <t>electric</t>
  </si>
  <si>
    <t>Weights by Climate Zone from RBSA ii (2015)</t>
  </si>
  <si>
    <t>HZ</t>
  </si>
  <si>
    <t>CZ</t>
  </si>
  <si>
    <t>Weight</t>
  </si>
  <si>
    <t>CZ1</t>
  </si>
  <si>
    <t>CZ2</t>
  </si>
  <si>
    <t>CZ3</t>
  </si>
  <si>
    <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2023. Consumer Products UES- Energy Solutions. (dataset).
-Data from: ICF. 2023. Retail Products Platform. (dataset).
</t>
    </r>
    <r>
      <rPr>
        <u/>
        <sz val="10"/>
        <color theme="1"/>
        <rFont val="Calibri"/>
        <family val="2"/>
        <scheme val="minor"/>
      </rPr>
      <t>Total Sales:</t>
    </r>
    <r>
      <rPr>
        <sz val="10"/>
        <color theme="1"/>
        <rFont val="Calibri"/>
        <family val="2"/>
        <scheme val="minor"/>
      </rPr>
      <t xml:space="preserve">
-Association of Home Appliance Manufacturers. National Report. (dataset). NEEA scales the shipments to the Northwest based on households and relative appliance saturation rates (RBSA and Residential Energy Consumption Survey)</t>
    </r>
  </si>
  <si>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2023. Consumer Products UES- Energy Solutions. (dataset).
</t>
    </r>
    <r>
      <rPr>
        <u/>
        <sz val="10"/>
        <color theme="1"/>
        <rFont val="Calibri"/>
        <family val="2"/>
        <scheme val="minor"/>
      </rPr>
      <t>Total Sales:</t>
    </r>
    <r>
      <rPr>
        <sz val="10"/>
        <color theme="1"/>
        <rFont val="Calibri"/>
        <family val="2"/>
        <scheme val="minor"/>
      </rPr>
      <t xml:space="preserve">
-Data from: ICF. 2023. Retail Products Platform. (dataset).</t>
    </r>
  </si>
  <si>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Market Share Analysis</t>
    </r>
    <r>
      <rPr>
        <sz val="10"/>
        <color theme="1"/>
        <rFont val="Calibri"/>
        <family val="2"/>
        <scheme val="minor"/>
      </rPr>
      <t xml:space="preserve">: 
-Energy Solutions. 2023. </t>
    </r>
    <r>
      <rPr>
        <i/>
        <sz val="10"/>
        <color theme="1"/>
        <rFont val="Calibri"/>
        <family val="2"/>
        <scheme val="minor"/>
      </rPr>
      <t>Consumer Products UES- Energy Solutions (dataset)</t>
    </r>
    <r>
      <rPr>
        <sz val="10"/>
        <color theme="1"/>
        <rFont val="Calibri"/>
        <family val="2"/>
        <scheme val="minor"/>
      </rPr>
      <t xml:space="preserve">.
-Data from: ICF. 2023. </t>
    </r>
    <r>
      <rPr>
        <i/>
        <sz val="10"/>
        <color theme="1"/>
        <rFont val="Calibri"/>
        <family val="2"/>
        <scheme val="minor"/>
      </rPr>
      <t>Retail Products Platform (dataset)</t>
    </r>
    <r>
      <rPr>
        <sz val="10"/>
        <color theme="1"/>
        <rFont val="Calibri"/>
        <family val="2"/>
        <scheme val="minor"/>
      </rPr>
      <t xml:space="preserve">.
</t>
    </r>
    <r>
      <rPr>
        <u/>
        <sz val="10"/>
        <color theme="1"/>
        <rFont val="Calibri"/>
        <family val="2"/>
        <scheme val="minor"/>
      </rPr>
      <t>Total Sales</t>
    </r>
    <r>
      <rPr>
        <sz val="10"/>
        <color theme="1"/>
        <rFont val="Calibri"/>
        <family val="2"/>
        <scheme val="minor"/>
      </rPr>
      <t>:
-Association of Home Appliance Manufacturers national shipment data scaled to the Northwest region using household data from the American Communities Survey.</t>
    </r>
  </si>
  <si>
    <r>
      <rPr>
        <i/>
        <sz val="10"/>
        <color theme="1"/>
        <rFont val="Calibri"/>
        <family val="2"/>
        <scheme val="minor"/>
      </rP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2023. Consumer Products UES- Energy Solutions. (dataset).
</t>
    </r>
    <r>
      <rPr>
        <u/>
        <sz val="10"/>
        <color theme="1"/>
        <rFont val="Calibri"/>
        <family val="2"/>
        <scheme val="minor"/>
      </rPr>
      <t>Total Sales:</t>
    </r>
    <r>
      <rPr>
        <sz val="10"/>
        <color theme="1"/>
        <rFont val="Calibri"/>
        <family val="2"/>
        <scheme val="minor"/>
      </rPr>
      <t xml:space="preserve">
-Data from: ICF. 2023. Retail Products Platform. (dataset).</t>
    </r>
  </si>
  <si>
    <r>
      <rPr>
        <i/>
        <sz val="10"/>
        <color theme="1"/>
        <rFont val="Calibri"/>
        <family val="2"/>
        <scheme val="minor"/>
      </rPr>
      <t xml:space="preserve">Total Regional Sales * Market Share =  Tracked Units
</t>
    </r>
    <r>
      <rPr>
        <u/>
        <sz val="10"/>
        <color theme="1"/>
        <rFont val="Calibri"/>
        <family val="2"/>
        <scheme val="minor"/>
      </rPr>
      <t xml:space="preserve">Market Share Analysis and Total Sales: 
</t>
    </r>
    <r>
      <rPr>
        <sz val="10"/>
        <color theme="1"/>
        <rFont val="Calibri"/>
        <family val="2"/>
        <scheme val="minor"/>
      </rPr>
      <t>-Energy Solutions. 2022. Consumer Products UES- Energy Solutions. (dataset).
-NPD. 2022. Televisions Sales Data. (purchased dataset).</t>
    </r>
  </si>
  <si>
    <t>Electric Savings Rate (kWh/yr) against Inefficient Base Unit</t>
  </si>
  <si>
    <t>% of Units in 2022</t>
  </si>
  <si>
    <t>Electric Savings Rates by Heating Fuel</t>
  </si>
  <si>
    <t>Electric Savings Rates Weighted By Electric/Gas Heating Mix</t>
  </si>
  <si>
    <t>Selections below not used</t>
  </si>
  <si>
    <t>Draft WA IOU 2022-2023 Targets</t>
  </si>
  <si>
    <t>2022 Annual Report</t>
  </si>
  <si>
    <t>Lifetime</t>
  </si>
  <si>
    <t>Non Residential</t>
  </si>
  <si>
    <t>Total for NEEA's Portfolio</t>
  </si>
  <si>
    <t xml:space="preserve">These are site-based, first year savings allocated by funding share, net of local programs.
</t>
  </si>
  <si>
    <t>Savings above the Power Plan Baseline not counted through the Bonneville Power Administration, Energy Trust of Oregon, or local utility programs. NEEA updates the baseline to the Regional Technical Forum (RTF) for measures the RTF updated after the development of the 7th Power Plan.</t>
  </si>
  <si>
    <t>These savings come from measures a part of a NEEA program but not a code or a standard. For example, NEEA worked on ductless heat pumps; therefore, this report counts all the savings above the Council baseline from ductless heat pumps less those claimed through local programs.</t>
  </si>
  <si>
    <t>Codes and Standards</t>
  </si>
  <si>
    <t>These savings come from codes or standards either a part of a NEEA program or separate work. For example, NEEA contractors develop code proposals, implement and facilitate code-development meetings, and provide testimony for the Technical Advisory Groups and the State Building code Board.  After adoption, NEEA quantifies and reports the savings for the region.</t>
  </si>
  <si>
    <t>Summarizes the codes and standards included in the saving categorized as codes and standards.</t>
  </si>
  <si>
    <t>Savings calculations</t>
  </si>
  <si>
    <t>The baseline value comes from a commercial supporting file linked to the workbook: Int_Light_Comp-2021P_V3.xlsx. '2021 Sales Pen' J36.  The table indicates the percentage applies to the subtype 'Luminaire Level Control Multi.'</t>
  </si>
  <si>
    <t>Savings rates come from the RTF's most recent dryer workbook. The RTF workbook contains more granular UEC tiers than NEEA tracks, so closest-matching RTF tiers are used for each NEEA tier (see mapping  below). These savings rates are then weighted by the share of vented and ventless dryer shipments  in each tier.</t>
  </si>
  <si>
    <t>RTF's current practice is incorporated into the savings rate calculation</t>
  </si>
  <si>
    <t>Baseline is the 2021 sales weighted average efficiency mix.</t>
  </si>
  <si>
    <t xml:space="preserve">NEEA's HVAC Distributor Dataset for 2022 will not be available until Q3 2023.  In the interim we are using historical data through 2019 to project the total market units for 2023.  Local utility programs data are actuals for 2022.
NEEA has a method for extrapolating the total sales of DHPs reviewed by Ecotope in February 2020. NEEA then applies findings from installer interviews to estimate the portion of non-incented units that end up in the program's target housing types.
Note: The savings do not include DHPs installed in new construction. </t>
  </si>
  <si>
    <t>- RTF. 2020. ResMHNewHomesandHVAC_v4_1.xlsm. RTF. 2022. ResMHNewHomesandHVAC_v5_0.xlsm. SEEM UEC outputs for HUD, NEEM 1.1, and NEEM 2.0 homes in each heating/cooling zone are weighted by the percentage of homes in each climate zone per the 2016 RBSA.  UEC includes electric heating, electric cooling, non-electric heating, lighting, and refrigeration.</t>
  </si>
  <si>
    <t>2024 Annual Report (aMW)</t>
  </si>
  <si>
    <t>August 2023 Forecast</t>
  </si>
  <si>
    <t>Savings Rates for 2025</t>
  </si>
  <si>
    <t>2024-2025 Summary</t>
  </si>
  <si>
    <t>Previous Forecast sent in 2021</t>
  </si>
  <si>
    <t>units</t>
  </si>
  <si>
    <t>Note: 2026-2027 funding shares are based on the 2020-2024 Business Plan.</t>
  </si>
  <si>
    <t>2026</t>
  </si>
  <si>
    <t>2027</t>
  </si>
  <si>
    <t>2028</t>
  </si>
  <si>
    <t>2029</t>
  </si>
  <si>
    <t>AGR_200201</t>
  </si>
  <si>
    <t>AGR_201401</t>
  </si>
  <si>
    <t>COM_199701</t>
  </si>
  <si>
    <t>COM_200203</t>
  </si>
  <si>
    <t>COM_200702</t>
  </si>
  <si>
    <t>COM_200801</t>
  </si>
  <si>
    <t>COM_200802</t>
  </si>
  <si>
    <t>COM_200901</t>
  </si>
  <si>
    <t>COM_201101</t>
  </si>
  <si>
    <t>COM_201402</t>
  </si>
  <si>
    <t>COM_201404</t>
  </si>
  <si>
    <t>COM_201601</t>
  </si>
  <si>
    <t>COM_202201</t>
  </si>
  <si>
    <t>IND_199801</t>
  </si>
  <si>
    <t>IND_199802</t>
  </si>
  <si>
    <t>IND_199901</t>
  </si>
  <si>
    <t>IND_199902</t>
  </si>
  <si>
    <t>IND_200004</t>
  </si>
  <si>
    <t>IND_200602</t>
  </si>
  <si>
    <t>IND_200603</t>
  </si>
  <si>
    <t>IND_200702</t>
  </si>
  <si>
    <t>IND_201302</t>
  </si>
  <si>
    <t>RES_199705</t>
  </si>
  <si>
    <t>RES_199706</t>
  </si>
  <si>
    <t>RES_199802</t>
  </si>
  <si>
    <t>RES_200005</t>
  </si>
  <si>
    <t>RES_200401</t>
  </si>
  <si>
    <t>RES_200902</t>
  </si>
  <si>
    <t>Right now this is hardcoded</t>
  </si>
  <si>
    <t>This needs to be a query to report archive.</t>
  </si>
  <si>
    <t>for the reporting after targets are set.</t>
  </si>
  <si>
    <t>Common Questions (updated 3/11/2021)</t>
  </si>
  <si>
    <t>Reporting Timeline</t>
  </si>
  <si>
    <t>Targets</t>
  </si>
  <si>
    <r>
      <t xml:space="preserve">NEEA will provide 2-year targets the </t>
    </r>
    <r>
      <rPr>
        <i/>
        <sz val="10"/>
        <color rgb="FF0083CA"/>
        <rFont val="Calibri"/>
        <family val="2"/>
        <scheme val="minor"/>
      </rPr>
      <t>September</t>
    </r>
    <r>
      <rPr>
        <sz val="10"/>
        <color rgb="FF0083CA"/>
        <rFont val="Calibri"/>
        <family val="2"/>
        <scheme val="minor"/>
      </rPr>
      <t xml:space="preserve"> prior to each Biennium (e.g. 2019, 2021)</t>
    </r>
  </si>
  <si>
    <t>Year 1 Update</t>
  </si>
  <si>
    <r>
      <t xml:space="preserve">NEEA will provide an update to its forecast in </t>
    </r>
    <r>
      <rPr>
        <i/>
        <sz val="10"/>
        <color rgb="FF0083CA"/>
        <rFont val="Calibri"/>
        <family val="2"/>
        <scheme val="minor"/>
      </rPr>
      <t>September</t>
    </r>
    <r>
      <rPr>
        <sz val="10"/>
        <color rgb="FF0083CA"/>
        <rFont val="Calibri"/>
        <family val="2"/>
        <scheme val="minor"/>
      </rPr>
      <t xml:space="preserve"> of Year 1 (e.g. 2020, 2022) </t>
    </r>
  </si>
  <si>
    <t xml:space="preserve">Year 2 Update </t>
  </si>
  <si>
    <r>
      <t xml:space="preserve">NEEA will provide draft estimates for Year 1 and an update to its Year 2 forecast in early </t>
    </r>
    <r>
      <rPr>
        <i/>
        <sz val="10"/>
        <color rgb="FF0083CA"/>
        <rFont val="Calibri"/>
        <family val="2"/>
        <scheme val="minor"/>
      </rPr>
      <t>April</t>
    </r>
    <r>
      <rPr>
        <sz val="10"/>
        <color rgb="FF0083CA"/>
        <rFont val="Calibri"/>
        <family val="2"/>
        <scheme val="minor"/>
      </rPr>
      <t xml:space="preserve"> (2021,2023)</t>
    </r>
  </si>
  <si>
    <r>
      <t>Final Savings Report</t>
    </r>
    <r>
      <rPr>
        <sz val="10"/>
        <color rgb="FF0083CA"/>
        <rFont val="Calibri"/>
        <family val="2"/>
        <scheme val="minor"/>
      </rPr>
      <t xml:space="preserve"> </t>
    </r>
  </si>
  <si>
    <r>
      <t xml:space="preserve">NEEA will provide a final savings report in early </t>
    </r>
    <r>
      <rPr>
        <i/>
        <sz val="10"/>
        <color rgb="FF0083CA"/>
        <rFont val="Calibri"/>
        <family val="2"/>
        <scheme val="minor"/>
      </rPr>
      <t>April</t>
    </r>
    <r>
      <rPr>
        <sz val="10"/>
        <color rgb="FF0083CA"/>
        <rFont val="Calibri"/>
        <family val="2"/>
        <scheme val="minor"/>
      </rPr>
      <t xml:space="preserve"> after the Year 2 of the biennium. (2022, 2024).</t>
    </r>
  </si>
  <si>
    <t xml:space="preserve">For DHP, the final savings figures are weighted according to heating zone and cooling zone.  Does that weight distribution reflect the entire region, or just PSE service territory?  PSE’s service territory is primarily in cooling zone 1, for instance.  But is that reflected in the weight distribution, or are you just doing the entire region? </t>
  </si>
  <si>
    <t xml:space="preserve">NEEA reports savings to the Washington IOUs using funding shares. As a result, all savings rates are calculated at the regional level, using a weighting distribution reflective of the region. Funder share allocations are the best approximation for a representation of value and an appropriate methodology for a regionally focused organization. </t>
  </si>
  <si>
    <t>The DHP data noted that the RBSA 2011 was used as a data source for climate zone weighting – why 2011 and not the 2017 RBSA?  Is it because that was the most recent data available for the 7th PP?</t>
  </si>
  <si>
    <t>NEEA updates its planning models twice a year. For DHPs, NEEA staff was still vetting the RBSA results in March when it pulled together its Annual Report. NEEA has since updated the climate zone distributions to match the units it tracks through the program.</t>
  </si>
  <si>
    <t>The data shows that of the DHPs sold, roughly 47% are attributable to local programs.  But local programs have certain requirements for eligibility.  For example, for PSE customers, to qualify for a rebate the customer must be using electric heating in their home, and at least one DHP unit must be installed in the main living area.  So if a customer installed one DHP head in the bedroom, for instance, they wouldn’t qualify for PSE incentive and we wouldn’t count them in our program’s units.  But are the total units not attributable to local programs adjusted for any similar conditions?  Or is NEEA simply counting any unit sold with no qualifying conditions?  Presumably the savings would be lower for units that that do not serve the main living area.</t>
  </si>
  <si>
    <t>In prior years, NEEA was estimating tracked units to only account for DHPs installed only in the main living space; however, in late 2019 the RTF updated the single-family zonal measures to account for some installs outside of the main living space or in situations where there are supplemental heating fuels used, which has caused NEEA to update its tracking of DHP units to align with those measures.  NEEA combines utility local program data with HVAC distributor sales data to estimate total regional DHP installations. NEEA then conducts an installer survey every 2 years to estimate the share of the non-incented installations occurring in NEEA’s target housing types (1. manufactured homes with electric FAF heat, 2. single-family homes with zonal heat, and 3. single-family homes with electric FAF heat) as well as the applications that mirror the structure of the current RTF measures. This survey was last updated in 2019 as part of Market Progress Evaluation Report #8 for the program. (Updated 9/3/2020)</t>
  </si>
  <si>
    <t xml:space="preserve">In regards to Codes, how long does NEEA claim savings for codes?  </t>
  </si>
  <si>
    <t xml:space="preserve">Similar to the Power Plan, NEEA reports code savings until the Northwest Power and Conservation Council adopts a new plan. All codes and standards approved prior to the start of a new Power Plan goes into the baseline of that Plan. For example, both Montana and Idaho adopted a code change just prior to the start of the 7th Power Plan but their effective dates were after the start of the Plan. Because of the timing, NEEA never reported the savings from these code changes as 7th Power Plan savings. Similarly, NEEA might only be able to report savings from the WA 2018 code change in 2021 (commercial and residential) because all the savings will be a part of the 2021 Power Plan baseline. </t>
  </si>
  <si>
    <t xml:space="preserve">From the year of adoption, does NEEA claim savings each year until the code is updated? </t>
  </si>
  <si>
    <t xml:space="preserve">No, NEEA starts counting savings after the effective date. Additionally, NEEA assumes there is a period after the effective date that construction is still being done under the prior code. For residential codes, NEEA starts counting savings 6 months after the effective date. For commercial codes, NEEA has a slow ramp rate that starts after the effective date (thus you will see a small about of commercial savings in 2021 from the WA 2018 code). In addition, NEEA applies a rate to account for compliance. 
It is important to note that NEEA is not claiming savings. NEEA reports estimated savings above the Power Plan baseline associated with its programs. </t>
  </si>
  <si>
    <t xml:space="preserve"> If a code isn’t updated, does NEEA continue to claim savings indefinitely, or is there a maximum? </t>
  </si>
  <si>
    <t xml:space="preserve">No, NEEA would assume zero units if the code is not approved (e.g. IECC 2015 in Idaho and Montana). 
NEEA reports codes savings against the Power Plan baseline until the Council updates the Power Plan. 
It is important to note that NEEA is not claiming savings. NEEA reports estimated savings above the Power Plan baseline associated with its programs. </t>
  </si>
  <si>
    <t xml:space="preserve">In the Washington State IOU estimates, why are we including codes developed in OR/ID/MT?  </t>
  </si>
  <si>
    <t xml:space="preserve">NEEA reports savings to the Washington IOUs using funding shares. As a result, all savings are calculated at the regional level. Mixing methods within a funder report would no longer make the funder report representative of the regional value NEEA brings. </t>
  </si>
  <si>
    <t xml:space="preserve">Our understanding of the “Bonneville Approach” is that NEEA starts with the 7th PP baseline, but then as new technical savings data comes in, you use that data to update the 7th PP all the way back to their baseline year.  It “back-casts,” in other words, the savings figures from the baseline year all the way up to the present.  Whereas, with the RTF Update approach, no effort is made to adjust the baseline all the way back to the baseline year, but rather the baseline simply adjusts starting in the year that the RTF value was created.  Do we understand that accurately? </t>
  </si>
  <si>
    <t xml:space="preserve">Your understanding of the "Bonneville Approach" and the RTF updates is correct. </t>
  </si>
  <si>
    <t>How were the three baselines derived? Pros &amp; cons?</t>
  </si>
  <si>
    <r>
      <rPr>
        <b/>
        <sz val="10"/>
        <color rgb="FF0083CA"/>
        <rFont val="Calibri"/>
        <family val="2"/>
        <scheme val="minor"/>
      </rPr>
      <t xml:space="preserve">-7th Power Plan (Frozen): </t>
    </r>
    <r>
      <rPr>
        <sz val="10"/>
        <color rgb="FF0083CA"/>
        <rFont val="Calibri"/>
        <family val="2"/>
        <scheme val="minor"/>
      </rPr>
      <t>The savings rates come directly from the 7th Power Plan if available. Otherwise, NEEA calculates a 7th Power Plan equivalent baseline.</t>
    </r>
  </si>
  <si>
    <r>
      <rPr>
        <b/>
        <sz val="10"/>
        <color rgb="FF0083CA"/>
        <rFont val="Calibri"/>
        <family val="2"/>
        <scheme val="minor"/>
      </rPr>
      <t>-7th Power Plan (RTF):</t>
    </r>
    <r>
      <rPr>
        <sz val="10"/>
        <color rgb="FF0083CA"/>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</si>
  <si>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rgb="FF0083CA"/>
        <rFont val="Calibri"/>
        <family val="2"/>
        <scheme val="minor"/>
      </rPr>
      <t xml:space="preserve">-7th Power Plan (NEEA Update): </t>
    </r>
    <r>
      <rPr>
        <sz val="10"/>
        <color rgb="FF0083CA"/>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</si>
  <si>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rgb="FF0083CA"/>
        <rFont val="Calibri"/>
        <family val="2"/>
        <scheme val="minor"/>
      </rPr>
      <t>-Net Market Effect:</t>
    </r>
    <r>
      <rPr>
        <sz val="10"/>
        <color rgb="FF0083CA"/>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</si>
  <si>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Note that this report uses the RTF rates if they were updated after the Power Plan was developed and before September the year prior to the report year (See Methodology Tab).</t>
  </si>
  <si>
    <t>Biennium Measure Life Calculation (by sector, if applicable)</t>
  </si>
  <si>
    <t>0</t>
  </si>
  <si>
    <t>1</t>
  </si>
  <si>
    <t>Is Code</t>
  </si>
  <si>
    <t>Is Standard</t>
  </si>
  <si>
    <t>Report Externally</t>
  </si>
  <si>
    <t>'NEEA Influenced'</t>
  </si>
  <si>
    <t>Report Negative NME</t>
  </si>
  <si>
    <t>Report Negative LP</t>
  </si>
  <si>
    <t>Prior summary:</t>
  </si>
  <si>
    <t>Section</t>
  </si>
  <si>
    <t>Contents</t>
  </si>
  <si>
    <t>2026-2027 Summary</t>
  </si>
  <si>
    <t>NEEA Sectors</t>
  </si>
  <si>
    <t>aMW @ Site</t>
  </si>
  <si>
    <t>MWh @ Site</t>
  </si>
  <si>
    <t>kWh @ Site</t>
  </si>
  <si>
    <t>Summary</t>
  </si>
  <si>
    <t>Sum of C4 Share</t>
  </si>
  <si>
    <t>Sum of C5 Share</t>
  </si>
  <si>
    <t>Sum of C6 Share</t>
  </si>
  <si>
    <t>Sum of C7 Share</t>
  </si>
  <si>
    <t>Lookup</t>
  </si>
  <si>
    <t xml:space="preserve">Local Programs Savings </t>
  </si>
  <si>
    <r>
      <t>NEEA calculates the UES using the same methodology as the RTF (</t>
    </r>
    <r>
      <rPr>
        <i/>
        <sz val="10"/>
        <color theme="1" tint="0.249977111117893"/>
        <rFont val="Calibri"/>
        <family val="2"/>
        <scheme val="minor"/>
      </rPr>
      <t>RTF. January 2019. Residential Refrigerators and Freezers v5.1</t>
    </r>
    <r>
      <rPr>
        <sz val="10"/>
        <color theme="1" tint="0.249977111117893"/>
        <rFont val="Calibri"/>
        <family val="2"/>
        <scheme val="minor"/>
      </rPr>
      <t xml:space="preserve">). However, NEEA includes savings from ENERGY STAR's Emerging Tech Award in the ENERGY STAR Most Efficient category. </t>
    </r>
    <r>
      <rPr>
        <b/>
        <sz val="10"/>
        <color theme="1" tint="0.249977111117893"/>
        <rFont val="Calibri"/>
        <family val="2"/>
        <scheme val="minor"/>
      </rPr>
      <t>For more information go to neea.org</t>
    </r>
    <r>
      <rPr>
        <b/>
        <sz val="10"/>
        <color theme="1" tint="0.249977111117893"/>
        <rFont val="Calibri"/>
        <family val="2"/>
      </rPr>
      <t>→Portal Login→Savings Reports→Consumer Products</t>
    </r>
  </si>
  <si>
    <t>Consumer Products (Standards)</t>
  </si>
  <si>
    <t>Commercial Products (Standards)</t>
  </si>
  <si>
    <t>Commercial New Construction</t>
  </si>
  <si>
    <t>Industrial Products (Standards)</t>
  </si>
  <si>
    <t>Regional Savings from Energy Efficiency Measures not counted by the Bonneville Power Administration, the Energy Trust of Oregon and local utilities. (Total Regional Savings - Local Programs Savings). The savings are above the 2021 Power Plan baseline.</t>
  </si>
  <si>
    <t>sector</t>
  </si>
  <si>
    <t xml:space="preserve"> Total Regional Savings</t>
  </si>
  <si>
    <t>NEEA receives shipment data from most manufacturers of HPWHs and this data is used to find the regional total sales in any given year. 
HPWHs are also an option that builders commonly use to meet the Washington residential building codes. NEEA tracks these savings under code.</t>
  </si>
  <si>
    <t>Single-Wide Electric Savings Rate (kWh/yr) against HUD 2023 Base Unit</t>
  </si>
  <si>
    <t>Multi-Wide Electric Savings Rate (kWh/yr) against HUD 2023 Base Unit</t>
  </si>
  <si>
    <t>% of Total Market Share is Single-Wide</t>
  </si>
  <si>
    <t>Based on RTF assumption about weighting prototypes; confirmed against Census MHS data 2020-2022 (13% to 14%)</t>
  </si>
  <si>
    <t>Link to RTF's MHNewConstructionSEEMWorkBookV10.xlsm: https://nwcouncil.app.box.com/v/20200519NewMHSEEM</t>
  </si>
  <si>
    <t>Weighted Electric Savings Rate (kWh/yr) above Inefficient Base Unit</t>
  </si>
  <si>
    <t>Weighted Electric Savings Rate (kWh/yr) above Post-2023 HUD Base Unit</t>
  </si>
  <si>
    <t>NonResLightingRetrofitsProtocolCalculator_v6_1.xlsm</t>
  </si>
  <si>
    <t>Published May 14, 2019</t>
  </si>
  <si>
    <t>Com-LightingInterior-2021P_V20-C19.xlsm</t>
  </si>
  <si>
    <t>Published Dec 16, 2020. The sunset date is Sep 30, 2023.</t>
  </si>
  <si>
    <t>Published Apr 7, 2023. The sunset date is Jan 31, 2025.</t>
  </si>
  <si>
    <t>HVAC Interaction, New Buildings (from Com_Master)</t>
  </si>
  <si>
    <t>HVAC Interaction, Existing Buildings (from Com_Master)</t>
  </si>
  <si>
    <t>From 'Lists&amp;Tables' worksheet</t>
  </si>
  <si>
    <t>The 2021 Plan assumes 10% baseline.</t>
  </si>
  <si>
    <t>[Fixture Watts] x [Hours of Use] x [Control Savings Fraction] x [Avg HVAC System Electric Savings Yield]</t>
  </si>
  <si>
    <t>Lighting Hours of Use and Control Savings Fraction (RTF Assumptions as of May 10, 2023)</t>
  </si>
  <si>
    <t>Weighted Average HVAC System Electric Savings Yield (From the 2021 Power Plan)</t>
  </si>
  <si>
    <t>Square feet of Commercial New Construction</t>
  </si>
  <si>
    <t xml:space="preserve">PNNL. 2018. Energy and Energy Cost Savings Analysis of the 2018 IECC for Commercial Buildings. </t>
  </si>
  <si>
    <t>PNNL. 2018. Energy and Energy Cost Savings Analysis of the 2018 IECC for Commercial Buildings. Retrieved February 16, 2021 from US DOE's Building Energy Codes Program website.</t>
  </si>
  <si>
    <t>Savings are incremental to Estimated Market average efficiency as of 2021 Power Plan. See RTF Efficient Pumps workbook V3.0.</t>
  </si>
  <si>
    <r>
      <t xml:space="preserve">For Circulator Pumps Savings are calculated consistent with RTF Circulator Pumps Workbook V3.0. 
Savings rate is average of tracked circulators across control type and HP.
</t>
    </r>
    <r>
      <rPr>
        <b/>
        <sz val="10"/>
        <rFont val="Calibri"/>
        <family val="2"/>
        <scheme val="minor"/>
      </rPr>
      <t xml:space="preserve">
https://rtf.nwcouncil.org/measure/circulator-pumps
</t>
    </r>
    <r>
      <rPr>
        <sz val="10"/>
        <rFont val="Calibri"/>
        <family val="2"/>
        <scheme val="minor"/>
      </rPr>
      <t xml:space="preserve">RTF. April 18, 2022. Circulator Pumps v 3.0
</t>
    </r>
  </si>
  <si>
    <t>Savings are incremental to average VL efficiency as of 2021 Power Plan. See RTF Efficient Pumps workbook V3.0.</t>
  </si>
  <si>
    <t>Source: RTF. 2022. ResClothesWashers_v8_0.xlsm.</t>
  </si>
  <si>
    <r>
      <t xml:space="preserve">Total Regional Sales * Market Share =  Tracked Units 
</t>
    </r>
    <r>
      <rPr>
        <u/>
        <sz val="10"/>
        <color theme="1"/>
        <rFont val="Calibri"/>
        <family val="2"/>
        <scheme val="minor"/>
      </rPr>
      <t xml:space="preserve">Market Share: 
</t>
    </r>
    <r>
      <rPr>
        <sz val="10"/>
        <color theme="1"/>
        <rFont val="Calibri"/>
        <family val="2"/>
        <scheme val="minor"/>
      </rPr>
      <t xml:space="preserve">-Energy Solutions. 2023. Consumer Products UES- Energy Solutions. (dataset).
-Data from: ICF. 2023. Retail Products Platform. (dataset).
</t>
    </r>
    <r>
      <rPr>
        <u/>
        <sz val="10"/>
        <color theme="1"/>
        <rFont val="Calibri"/>
        <family val="2"/>
        <scheme val="minor"/>
      </rPr>
      <t xml:space="preserve">Total Sales:
</t>
    </r>
    <r>
      <rPr>
        <sz val="10"/>
        <color theme="1"/>
        <rFont val="Calibri"/>
        <family val="2"/>
        <scheme val="minor"/>
      </rPr>
      <t>-Association of Home Appliance Manufacturers. National Report. (dataset). NEEA scales the shipments to the Northwest based on households and relative appliance saturation rates (RBSA and Residential Energy Consumption Survey)</t>
    </r>
  </si>
  <si>
    <t>RTF current practice baseline included in the savings rate calculation.</t>
  </si>
  <si>
    <t>RTF. 2022. ResClothesWashers_v8_0.xlsm. (See below)</t>
  </si>
  <si>
    <t>Gas Dryer_Vented_ENERGY STAR</t>
  </si>
  <si>
    <t>ResClothesDryers_v5_0.xlsm</t>
  </si>
  <si>
    <t>NEEA calculates the savings rate using the same methodology as the RTF (RTF. 2022. Residential Refrigerators and Freezers v6.0). However, NEEA includes savings from ENERGY STAR's Emerging Tech Award in the ENERGY STAR Most Efficient category. For more information go to neea.org→Portal Login→Savings Reports→Consumer Products</t>
  </si>
  <si>
    <t>Savings Rate 2024</t>
  </si>
  <si>
    <r>
      <rPr>
        <b/>
        <u/>
        <sz val="10"/>
        <color theme="1" tint="0.249977111117893"/>
        <rFont val="Calibri"/>
        <family val="2"/>
        <scheme val="minor"/>
      </rPr>
      <t>The savings rates come from the Regional Technical Forum</t>
    </r>
    <r>
      <rPr>
        <b/>
        <sz val="10"/>
        <color theme="1" tint="0.249977111117893"/>
        <rFont val="Calibri"/>
        <family val="2"/>
        <scheme val="minor"/>
      </rPr>
      <t xml:space="preserve">
</t>
    </r>
    <r>
      <rPr>
        <sz val="10"/>
        <color theme="1" tint="0.249977111117893"/>
        <rFont val="Calibri"/>
        <family val="2"/>
        <scheme val="minor"/>
      </rPr>
      <t xml:space="preserve">
The 2024 assumptions for FAF come from version 4.0 updated in April 2022. 
The assumptions for single-family zonal-heated homes come from version 6.0 updated in April 2022.
</t>
    </r>
    <r>
      <rPr>
        <b/>
        <sz val="10"/>
        <color theme="1" tint="0.249977111117893"/>
        <rFont val="Calibri"/>
        <family val="2"/>
        <scheme val="minor"/>
      </rPr>
      <t xml:space="preserve">
See below for more details.</t>
    </r>
  </si>
  <si>
    <t>In accordance with the methodology agreement for reporting to Washington Investor-Owned Utilities NEEA has updated the savings rates for 2024 only to the most recent RTF values (version 6.2). 
NEEA avoids double-counting savings from HPWH reported through its new construction programs (code and above-code). We do this in each year individually by adjusting the savings rate to proportionally remove:
   A) all above-code home savings and 
   B) code savings discounted for the differential in savings rates.
See details below on adjusting new construction savings rates to account for this.</t>
  </si>
  <si>
    <t>RTF measure workbook from June 2022</t>
  </si>
  <si>
    <r>
      <rPr>
        <b/>
        <u/>
        <sz val="10"/>
        <color theme="1" tint="0.249977111117893"/>
        <rFont val="Calibri"/>
        <family val="2"/>
        <scheme val="minor"/>
      </rPr>
      <t>The savings rates come from the Regional Technical Forum</t>
    </r>
    <r>
      <rPr>
        <sz val="10"/>
        <color theme="1" tint="0.249977111117893"/>
        <rFont val="Calibri"/>
        <family val="2"/>
        <scheme val="minor"/>
      </rPr>
      <t xml:space="preserve">
The 2024 assumptions come from version 6.2 updated in June 2022.
https://rtf.nwcouncil.org/measure/hpwh/
See below for more details.</t>
    </r>
  </si>
  <si>
    <r>
      <rPr>
        <b/>
        <sz val="10"/>
        <color theme="1"/>
        <rFont val="Calibri"/>
        <family val="2"/>
        <scheme val="minor"/>
      </rPr>
      <t>Note:</t>
    </r>
    <r>
      <rPr>
        <sz val="10"/>
        <color theme="1"/>
        <rFont val="Calibri"/>
        <family val="2"/>
        <scheme val="minor"/>
      </rPr>
      <t xml:space="preserve"> These savings rates utilize the RTF's current practice baseline that utilizes 2019 distributor data</t>
    </r>
  </si>
  <si>
    <r>
      <rPr>
        <b/>
        <u/>
        <sz val="10"/>
        <color theme="1" tint="0.249977111117893"/>
        <rFont val="Calibri"/>
        <family val="2"/>
        <scheme val="minor"/>
      </rPr>
      <t>The baseline is the Regional Technical Forum's current practice baseline.</t>
    </r>
    <r>
      <rPr>
        <sz val="10"/>
        <color theme="1" tint="0.249977111117893"/>
        <rFont val="Calibri"/>
        <family val="2"/>
        <scheme val="minor"/>
      </rPr>
      <t xml:space="preserve">
The 2024 assumptions come from version 6.2 updated in June 2022.
https://rtf.nwcouncil.org/measure/hpwh/
Tier 1 Large tanks are considered baseline as part of federal standard</t>
    </r>
  </si>
  <si>
    <r>
      <t xml:space="preserve">Savings is calculated per RTF Method as [Baseline UEC - Efficient UEC]
Baseline UEC = MotorHP x (1 – MotorSizingFactor) x (0.746 kW/HP) x HOU x </t>
    </r>
    <r>
      <rPr>
        <vertAlign val="subscript"/>
        <sz val="10"/>
        <rFont val="Calibri"/>
        <family val="2"/>
        <scheme val="minor"/>
      </rPr>
      <t>Baseline</t>
    </r>
    <r>
      <rPr>
        <sz val="10"/>
        <rFont val="Calibri"/>
        <family val="2"/>
        <scheme val="minor"/>
      </rPr>
      <t xml:space="preserve">PEI x AdjustmentFactor (Baseline PEI is set at average efficiency as of 2021 Power Plan)
Efficient UEC = MotorHP x (1 – MotorSizingFactor) x (0.746 kW/HP) x HOU x </t>
    </r>
    <r>
      <rPr>
        <vertAlign val="subscript"/>
        <sz val="10"/>
        <rFont val="Calibri"/>
        <family val="2"/>
        <scheme val="minor"/>
      </rPr>
      <t>Efficient</t>
    </r>
    <r>
      <rPr>
        <sz val="10"/>
        <rFont val="Calibri"/>
        <family val="2"/>
        <scheme val="minor"/>
      </rPr>
      <t xml:space="preserve">PEI x AdjustmentFactor (Efficient PEI is Tracked through sales Data)
</t>
    </r>
    <r>
      <rPr>
        <b/>
        <sz val="10"/>
        <rFont val="Calibri"/>
        <family val="2"/>
        <scheme val="minor"/>
      </rPr>
      <t xml:space="preserve">
https://rtf.nwcouncil.org/measure/efficient-pumps
</t>
    </r>
    <r>
      <rPr>
        <sz val="10"/>
        <rFont val="Calibri"/>
        <family val="2"/>
        <scheme val="minor"/>
      </rPr>
      <t>RTF. April 18, 2022. Efficient Pumps v 3.0 (CL Savings)
RTF. Jun 14, 2017. Efficient Pumps v 1.1 (CL-&gt;VL Savings)</t>
    </r>
  </si>
  <si>
    <t>The savings rates come from a combination of the Regional Technical Forum and the 2021 Power Plan.</t>
  </si>
  <si>
    <t>Note: NEEA will update the savings rates with the 2023 RTF decision.</t>
  </si>
  <si>
    <t>The savings rates come from the Regional Technical Forum. NEEA will update the rates this year with the RTF updates (as early as May).</t>
  </si>
  <si>
    <t>To affect permanent market change as part of Market Transformation, NEEA provides market intelligence, product and performance data and technical expertise to influence and accelerate the adoption of new and more stringent building energy codes.  NEEA also provides training and information to builders, trades and code officials once a new code has passed to increase awareness and understanding how to implement code changes.</t>
  </si>
  <si>
    <t>Non-residential Products (Standards)</t>
  </si>
  <si>
    <t>To affect permanent market change as part of Market Transformation, NEEA provides market intelligence, product and performance data and technical expertise to influence and accelerate the adoption of more stringent appliance and equipment standards at a state and federal level.</t>
  </si>
  <si>
    <t>The region is working together to demonstrate success for a new voluntary above code specification (NEEM 2.0), which NEEA influenced, in the market prior to a HUD code change. The NEEM 2.0 spec. will be the basis for NEEA to influence the next HUD code change. NEEA provides manufacturer with information and materials for their marketing and sales efforts of NEEM 2.0 homes.</t>
  </si>
  <si>
    <t xml:space="preserve">For the most part, NEEA is using savings rates from the Regional Technical Forum. In some cases, NEEA adjusts the rates to align the values with its energy efficiency measures and its market data. The tabs within this spreadsheet explains any adjustments made. </t>
  </si>
  <si>
    <t>NEEA uses a separate calculation. See  neea.org→Portal Login→Savings Reports→Consumer Products</t>
  </si>
  <si>
    <t>see https://neea.org/resources/televisions-energy-star-version-9-specification-influence-assessment-and-baseline-assumptions-review</t>
  </si>
  <si>
    <t xml:space="preserve">NEEA will use the RTF rate. </t>
  </si>
  <si>
    <t>The savings rates come from the Regional Technical Forum.</t>
  </si>
  <si>
    <t>The savings rates come from the Regional Technical Forum's Non-Residential Lighting Standard Protocol.</t>
  </si>
  <si>
    <t>Unit of Measurement</t>
  </si>
  <si>
    <t>power supplies</t>
  </si>
  <si>
    <t>portable ACs</t>
  </si>
  <si>
    <t>Standard adopted after 2019 count toward the 2021 Power Plan.</t>
  </si>
  <si>
    <t>Calculated by Cadeo Group (see below)</t>
  </si>
  <si>
    <t xml:space="preserve">Note: NEEA will add savings from other products after verifying through a third party that its work reasonably influenced the outcome. </t>
  </si>
  <si>
    <t>Modeled by a third party.</t>
  </si>
  <si>
    <t>Select a year</t>
  </si>
  <si>
    <t>NEEA uses the same methodology as the Regional Technical Forum but newer data. For Most Efficient, NEEA uses a separate calculation. See  neea.org→Portal Login→Savings Reports→Consumer Products</t>
  </si>
  <si>
    <t xml:space="preserve"> NEEA Reported Savings Estimate (aMW)</t>
  </si>
  <si>
    <t>Grand Total</t>
  </si>
  <si>
    <t>Row Labels</t>
  </si>
  <si>
    <t>Avista Utilities-Washington</t>
  </si>
  <si>
    <t>Pacific Power-Washington</t>
  </si>
  <si>
    <t>Puget Sound Energy-Washington</t>
  </si>
  <si>
    <t>Codes and Standards included under the Codes and Standards Savings Category</t>
  </si>
  <si>
    <t>Updated 5/17/2023</t>
  </si>
  <si>
    <r>
      <t>-Either the 2021 Power Plan or the RTF, whichever is the most up to date. For this Report, the savings rates from the Regional Technical Forum (RTF) were appro</t>
    </r>
    <r>
      <rPr>
        <sz val="10"/>
        <rFont val="Calibri"/>
        <family val="2"/>
        <scheme val="minor"/>
      </rPr>
      <t>ved after 2020</t>
    </r>
    <r>
      <rPr>
        <sz val="10"/>
        <color rgb="FFFF0000"/>
        <rFont val="Calibri"/>
        <family val="2"/>
        <scheme val="minor"/>
      </rPr>
      <t xml:space="preserve"> </t>
    </r>
    <r>
      <rPr>
        <sz val="10"/>
        <rFont val="Calibri"/>
        <family val="2"/>
        <scheme val="minor"/>
      </rPr>
      <t>and prior to May 1, 2023.</t>
    </r>
    <r>
      <rPr>
        <sz val="10"/>
        <color rgb="FFFF0000"/>
        <rFont val="Calibri"/>
        <family val="2"/>
        <scheme val="minor"/>
      </rPr>
      <t xml:space="preserve"> </t>
    </r>
    <r>
      <rPr>
        <sz val="10"/>
        <color theme="1" tint="0.249977111117893"/>
        <rFont val="Calibri"/>
        <family val="2"/>
        <scheme val="minor"/>
      </rPr>
      <t xml:space="preserve">
-If neither a Power Plan or RTF UES are available, NEEA worked with the Power Council to create a UES based on the original Power Plan baseline assumptions.</t>
    </r>
  </si>
  <si>
    <t xml:space="preserve">Total for the Biennium </t>
  </si>
  <si>
    <t>Reported</t>
  </si>
  <si>
    <t>PSE</t>
  </si>
  <si>
    <t>NA</t>
  </si>
  <si>
    <t>Percent of Savings C&amp;S</t>
  </si>
  <si>
    <t>Share of program savings from DHPs (don't include codes)</t>
  </si>
  <si>
    <t>Other data points</t>
  </si>
  <si>
    <t>for 2024-2025 Targets</t>
  </si>
  <si>
    <t>Share of program savings from HPWHs</t>
  </si>
  <si>
    <t>Share of program savings from TVs</t>
  </si>
  <si>
    <t>Share of program savings from CW</t>
  </si>
  <si>
    <t>Share of program savings from Ref</t>
  </si>
  <si>
    <t>% of portfolio</t>
  </si>
  <si>
    <t>% of program savings</t>
  </si>
  <si>
    <t>check</t>
  </si>
  <si>
    <t>Share of portfolio savings from DHPs (don't include codes)</t>
  </si>
  <si>
    <t>Share of portfolio savings from HPWHs</t>
  </si>
  <si>
    <t>Share of portfolio savings from TVs</t>
  </si>
  <si>
    <t>Share of portfolio savings from CW</t>
  </si>
  <si>
    <t>Share of portfolio savings from Ref</t>
  </si>
  <si>
    <t>Share of portfolio savings from RPP</t>
  </si>
  <si>
    <t>Each tab in this spreadsheet contains sources and additional information regarding the savings rate calculations.</t>
  </si>
  <si>
    <t>Federal Standard, Effective 2022, DOE Final Rule 2020, Residential Uninterruptible Power Supplies</t>
  </si>
  <si>
    <t>NEEA utilizes the current RTF measure (version 6.0) for the single-family electric zonal-heated applications. These are weighted across climate zones using reported local utility program data for incented units and RBSA housing stock distributions for the non-incented portion of the market.</t>
  </si>
  <si>
    <t>Share of Savings C&amp;S</t>
  </si>
  <si>
    <t xml:space="preserve">-Single-family: U.S. Department of Housing and Urban Development. August 2021. Building Permits. Single Family, 2-Unit Multifamily, and 3&amp;4-Unit Multifamily permits. (dataset).
Compliance Estimate:
-PNNL. 2019. Idaho and Montana Residential Energy Code Field Studies. Calculated  based on dataset from study. PNNL conducted simulations using a Monte Carlo selection process. The process generated an EUI estimate for 1,500 pseudo homes per climate zone.
-PNNL. 2020. Oregon Residential Specialty Code Field Study. 
-TRC. 2023. Draft Washington Residential New Construction Code Study. </t>
  </si>
  <si>
    <t xml:space="preserve">-U.S. Department of Housing and Urban Development. August 2021. Building permits for 5+ unit building permits. (dataset).  Residential multifamily code includes buildings 4 stories and under.  NEEA estimates the share of permits that comply with this code by applying the percentage of floorspace of compliant units as provided by Dodge data to the HUD permits above.
Compliance:
-PNNL. 2019. Idaho and Montana Residential Energy Code Field Studies. Calculated  based on dataset from study. PNNL conducted simulations using a Monte Carlo selection process. The process generated an EUI estimate for 1,500 pseudo homes per climate zone. 
-PNNL. 2020. Oregon Residential Specialty Code Field Study. 
-TRC. 2023. Draft Washington Residential New Construction Code Study. </t>
  </si>
  <si>
    <t>Residential (Single-family)</t>
  </si>
  <si>
    <t>Residential (Low-rise multifamily Codes)</t>
  </si>
  <si>
    <t>Savings analysis planned for in 2023. NEEA is assuming 14% savings based on Washington State Building Council's targets. 
Added a six-month delay in effective date to be conservative.</t>
  </si>
  <si>
    <t>Square feet</t>
  </si>
  <si>
    <t>Housing Unit</t>
  </si>
  <si>
    <t>Sectors</t>
  </si>
  <si>
    <t>This section provides the summary of savings by sector with a weighting of the measure lifetime.</t>
  </si>
  <si>
    <t>Outlines NEEA's general approach to allocate savings for the Washington Investor Owned Utilities.</t>
  </si>
  <si>
    <t>Outlines NEEA's general approach to estimate savings for the Washington Investor Owned Utilities.</t>
  </si>
  <si>
    <r>
      <t xml:space="preserve">This section shows the savings forecast for 2024-2025. The forecasts are based on data available as of May 2023.  NEEA will update this forecast in July 2025 to support target setting for the </t>
    </r>
    <r>
      <rPr>
        <i/>
        <sz val="10"/>
        <color theme="1" tint="0.249977111117893"/>
        <rFont val="Calibri"/>
        <family val="2"/>
        <scheme val="minor"/>
      </rPr>
      <t>2026-2027 Biennium Conservation Target</t>
    </r>
    <r>
      <rPr>
        <sz val="10"/>
        <color theme="1" tint="0.249977111117893"/>
        <rFont val="Calibri"/>
        <family val="2"/>
        <scheme val="minor"/>
      </rPr>
      <t xml:space="preserve">.
</t>
    </r>
    <r>
      <rPr>
        <sz val="10"/>
        <color theme="5"/>
        <rFont val="Calibri"/>
        <family val="2"/>
        <scheme val="minor"/>
      </rPr>
      <t xml:space="preserve">Note this forecast is intended for reference only. </t>
    </r>
  </si>
  <si>
    <r>
      <t xml:space="preserve">This section shows the savings forecast to support setting the </t>
    </r>
    <r>
      <rPr>
        <b/>
        <i/>
        <sz val="10"/>
        <color theme="5"/>
        <rFont val="Calibri"/>
        <family val="2"/>
        <scheme val="minor"/>
      </rPr>
      <t>2024-2025 Biennium Conservation Target</t>
    </r>
    <r>
      <rPr>
        <b/>
        <sz val="10"/>
        <color theme="1" tint="0.249977111117893"/>
        <rFont val="Calibri"/>
        <family val="2"/>
        <scheme val="minor"/>
      </rPr>
      <t xml:space="preserve">. </t>
    </r>
    <r>
      <rPr>
        <sz val="10"/>
        <color theme="1" tint="0.249977111117893"/>
        <rFont val="Calibri"/>
        <family val="2"/>
        <scheme val="minor"/>
      </rPr>
      <t xml:space="preserve">The forecasts are based on data available as of May 2023.  </t>
    </r>
  </si>
  <si>
    <r>
      <t xml:space="preserve">The forecasts are based on data available as of May 2023.  NEEA will update this forecast in July 2025 to support target setting for the </t>
    </r>
    <r>
      <rPr>
        <i/>
        <sz val="11"/>
        <color rgb="FFFF0000"/>
        <rFont val="Calibri"/>
        <family val="2"/>
        <scheme val="minor"/>
      </rPr>
      <t>2026-2027 Biennium Conservation Target</t>
    </r>
    <r>
      <rPr>
        <sz val="11"/>
        <color rgb="FFFF0000"/>
        <rFont val="Calibri"/>
        <family val="2"/>
        <scheme val="minor"/>
      </rPr>
      <t>.</t>
    </r>
  </si>
  <si>
    <t>-The RTF makes an update after May 1 of the year prior to Biennium (e.g. 2023) and before Oct. 1 of the first year of the biennium (e.g.  2024); then, NEEA will update the forecast for the second year (e.g. 2025) with the new RTF UES; 
-The UES is weighted based on tracked units (e.g. commercial building type, installs by climate zone, etc.);
-Or, NEEA finalized savings analysis for a code or standard.</t>
  </si>
  <si>
    <t xml:space="preserve">NEEA uses Ecotope's SEEM modeling and technical assumptions from the Regional Technical Forum Savings. Savings are code to code.
Analysis for the 2021 WSEC is in progress. </t>
  </si>
  <si>
    <r>
      <t xml:space="preserve">The savings rates values change each year based on the distribution of new construction building types completed.
</t>
    </r>
    <r>
      <rPr>
        <b/>
        <sz val="10"/>
        <color theme="1"/>
        <rFont val="Calibri"/>
        <family val="2"/>
        <scheme val="minor"/>
      </rPr>
      <t>Washington:</t>
    </r>
    <r>
      <rPr>
        <sz val="10"/>
        <color theme="1"/>
        <rFont val="Calibri"/>
        <family val="2"/>
        <scheme val="minor"/>
      </rPr>
      <t xml:space="preserve">
NEEA estimated savings rate for 2021 WSEC.  
NEEA based forecasting assumptions from the following sources to estimate average energy savings per square foot:
- </t>
    </r>
    <r>
      <rPr>
        <i/>
        <u/>
        <sz val="10"/>
        <color theme="1"/>
        <rFont val="Calibri"/>
        <family val="2"/>
        <scheme val="minor"/>
      </rPr>
      <t>Baseline EUI and EUI reduction projection</t>
    </r>
    <r>
      <rPr>
        <sz val="10"/>
        <color theme="1"/>
        <rFont val="Calibri"/>
        <family val="2"/>
        <scheme val="minor"/>
      </rPr>
      <t xml:space="preserve">: 2018 Washington State Energy Code Progress toward 2030. November 2020. 2018 Report to the Legislature.  https://sbcc.wa.gov/sites/default/files/2020-12/Final%202018%20Report.pdf
- </t>
    </r>
    <r>
      <rPr>
        <i/>
        <u/>
        <sz val="10"/>
        <color theme="1"/>
        <rFont val="Calibri"/>
        <family val="2"/>
        <scheme val="minor"/>
      </rPr>
      <t>Shares of Floor area by building typ</t>
    </r>
    <r>
      <rPr>
        <u/>
        <sz val="10"/>
        <color theme="1"/>
        <rFont val="Calibri"/>
        <family val="2"/>
        <scheme val="minor"/>
      </rPr>
      <t>e</t>
    </r>
    <r>
      <rPr>
        <sz val="10"/>
        <color theme="1"/>
        <rFont val="Calibri"/>
        <family val="2"/>
        <scheme val="minor"/>
      </rPr>
      <t xml:space="preserve">: Historical new construction trends and projection provided by Dodge Analytics. </t>
    </r>
  </si>
  <si>
    <t>-U.S. Department of Housing and Urban Development. August 2021. Building permits for 5+ unit building permits. (dataset).  Residential multifamily code includes buildings 4 stories and under.  NEEA estimates the share of permits that comply with this code by applying the percentage of floorspace of compliant units as provided by Dodge data to the HUD permits above.
Compliance:
-NEEA. 2020. Washington Residential New Construction Code Study.</t>
  </si>
  <si>
    <t xml:space="preserve">-Single-family: U.S. Department of Housing and Urban Development. August 2021. Building Permits. Single Family, 2-Unit Multifamily, and 3&amp;4-Unit Multifamily permits. (dataset).
Compliance Estimate:
-TRC. 2023. Washington Residential New Construction Code Compliance Study (draft). </t>
  </si>
  <si>
    <t>To affect permanent market change as part of Market Transformation, NEEA provides market intelligence, product and performance data and technical expertise to influence and accelerate the adoption of new and more stringent building energy codes.  NEEA al</t>
  </si>
  <si>
    <t>To forecast to support setting targets, the UES come from:</t>
  </si>
  <si>
    <t>Single wide savings rates based on SEEM Workbook V10 - 924 sq ft prototype</t>
  </si>
  <si>
    <t>Multi-wide savings rates based on weighted combination of SEEM Workbook V10 - 1568 sq ft and 2352 sq ft prototypes</t>
  </si>
  <si>
    <t>To compare against forecasts, NEEA will only update the UES if:</t>
  </si>
  <si>
    <t>Forecasts will stay the same.</t>
  </si>
  <si>
    <t>WA Codes Allocation Shares</t>
  </si>
  <si>
    <t>NEEA allocates the regional savings using funder shares. The shares vary based on the funding cycle.  Savings from previous investments receive the previous funder share. Savings from current investments (2020-2024, C6) receive the current funder share.</t>
  </si>
  <si>
    <t>Percent savings is based on DOE analysis</t>
  </si>
  <si>
    <t>Percent savings is based on combination of NEEA analysis and the Oregon Building Code Department.</t>
  </si>
  <si>
    <t>Note: Code savings are above the 2021 Power Plan baseline if adopted after December 31, 2019.</t>
  </si>
  <si>
    <r>
      <t xml:space="preserve">The savings rates values change each year based on the distribution of new construction building types completed.
</t>
    </r>
    <r>
      <rPr>
        <b/>
        <sz val="10"/>
        <color theme="1" tint="0.249977111117893"/>
        <rFont val="Calibri"/>
        <family val="2"/>
        <scheme val="minor"/>
      </rPr>
      <t>Idaho and Montana:</t>
    </r>
    <r>
      <rPr>
        <sz val="10"/>
        <color theme="1" tint="0.249977111117893"/>
        <rFont val="Calibri"/>
        <family val="2"/>
        <scheme val="minor"/>
      </rPr>
      <t xml:space="preserve">
NEEA uses Pacific Northwest National Laboratory's (PNNL) technical analysis for IECC codes adopted and estimates a code-to-code savings. PNNL's Commercial Prototype Building Models and the resulting building energy use are downloaded from US DOE's website:  https://www.energycodes.gov/development/commercial/prototype_models 
- Zhang, J., Chen Y., Xie, Y., Rosenberg, M., &amp; Hart, R. (2018). Energy and Energy Cost Savings Analysis of the 2018 IECC for Commercial Buildings. 
</t>
    </r>
    <r>
      <rPr>
        <b/>
        <sz val="10"/>
        <color theme="1" tint="0.249977111117893"/>
        <rFont val="Calibri"/>
        <family val="2"/>
        <scheme val="minor"/>
      </rPr>
      <t>Oregon:</t>
    </r>
    <r>
      <rPr>
        <sz val="10"/>
        <color theme="1" tint="0.249977111117893"/>
        <rFont val="Calibri"/>
        <family val="2"/>
        <scheme val="minor"/>
      </rPr>
      <t xml:space="preserve">
NEEA uses Pacific Northwest National Laboratory's (PNNL) technical analysis for ASHRAE Standard 90.1 codes adopted and estimates a code-to-code savings. PNNL's Commercial Prototype Building Models and the resulting building energy use are downloaded from US DOE's website:  https://www.energycodes.gov/development/commercial/prototype_models 
</t>
    </r>
    <r>
      <rPr>
        <b/>
        <sz val="10"/>
        <color theme="1" tint="0.249977111117893"/>
        <rFont val="Calibri"/>
        <family val="2"/>
        <scheme val="minor"/>
      </rPr>
      <t>Washington:</t>
    </r>
    <r>
      <rPr>
        <sz val="10"/>
        <color theme="1" tint="0.249977111117893"/>
        <rFont val="Calibri"/>
        <family val="2"/>
        <scheme val="minor"/>
      </rPr>
      <t xml:space="preserve">
NEEA estimated savings rate for 2021 WSEC.  
NEEA based forecasting assumptions from the following sources to estimate average energy savings per square foot:
- </t>
    </r>
    <r>
      <rPr>
        <i/>
        <u/>
        <sz val="10"/>
        <color theme="1" tint="0.249977111117893"/>
        <rFont val="Calibri"/>
        <family val="2"/>
        <scheme val="minor"/>
      </rPr>
      <t>Baseline EUI and EUI reduction projection</t>
    </r>
    <r>
      <rPr>
        <sz val="10"/>
        <color theme="1" tint="0.249977111117893"/>
        <rFont val="Calibri"/>
        <family val="2"/>
        <scheme val="minor"/>
      </rPr>
      <t xml:space="preserve">: 2018 Washington State Energy Code Progress toward 2030. November 2020. 2018 Report to the Legislature.  https://sbcc.wa.gov/sites/default/files/2020-12/Final%202018%20Report.pdf
- </t>
    </r>
    <r>
      <rPr>
        <i/>
        <u/>
        <sz val="10"/>
        <color theme="1" tint="0.249977111117893"/>
        <rFont val="Calibri"/>
        <family val="2"/>
        <scheme val="minor"/>
      </rPr>
      <t>Shares of Floor area by building typ</t>
    </r>
    <r>
      <rPr>
        <u/>
        <sz val="10"/>
        <color theme="1" tint="0.249977111117893"/>
        <rFont val="Calibri"/>
        <family val="2"/>
        <scheme val="minor"/>
      </rPr>
      <t>e</t>
    </r>
    <r>
      <rPr>
        <sz val="10"/>
        <color theme="1" tint="0.249977111117893"/>
        <rFont val="Calibri"/>
        <family val="2"/>
        <scheme val="minor"/>
      </rPr>
      <t xml:space="preserve">: Historical new construction trends and projection provided by Dodge Analytics. </t>
    </r>
  </si>
  <si>
    <t>NEEA uses Ecotope's SEEM modeling and technical assumptions from the Regional Technical Forum Savings. Savings are code to code. Forecasts are based on percent declines in EUIs. 
Ecotope. 2021. Determination Analysis: Energy Impact of New Residential Energy Codes in Idaho, Montana, and Oregon
Or. Residential Specialty Code 2021.</t>
  </si>
  <si>
    <t xml:space="preserve">Note: In order to remain consistent during NEEA's 2020-2024 Business Plan, this report uses a funder-share allocation approach for 2024-2025. NEEA will review updating the approach to only include Washington codes during the start of the next NEEA Business Plan (2025-2029). </t>
  </si>
  <si>
    <t>Montana 2018 IECC &amp; 2021 IECC</t>
  </si>
  <si>
    <t>Included in Report (2024-2025)</t>
  </si>
  <si>
    <t>Idaho 2018 IECC w/amendments</t>
  </si>
  <si>
    <t>Washington State Energy Code 2021</t>
  </si>
  <si>
    <t xml:space="preserve">Oregon Energy Efficiency Specialty Code 2021 &amp; 2023. </t>
  </si>
  <si>
    <t xml:space="preserve">Notes: These are site-based, first year savings allocated by funding share, net of local programs. Savings forecasts are based on the best available information at the time of the forecast. The forecast does not include programs in development. In order to remain consistent during NEEA's 2020-2024 Business Plan, this report uses a funder-share allocation approach for 2024-2025. NEEA will review updating the approach to only include Washington codes during the start of the next NEEA Business Plan (2025-2029). </t>
  </si>
  <si>
    <t>Building Energy Code</t>
  </si>
  <si>
    <t>Notes: These are site-based, first year savings allocated by funding share for 2024-2025, net of local programs. For the start NEEA Business Plan (2025-2029), NEEA is reviewing an update to the allocation approach to only include Washington codes. As a preview, the 2026-2027 new construction code savings are allocated using a state service-territory approach.  With approval from the Washington investor-owned utilities, NEEA will switch to a state service-territory allocation approach for new construction building codes starting with the next NEEA Business Plan (2025-2029). Savings forecasts are based on the best available information at the time of the forecast. The forecast does not include programs in development.</t>
  </si>
  <si>
    <t>Notes: These are site-based, first year savings allocated by funding share, net of local programs. Savings forecasts are based on the best available information at the time of the forecast. For the start NEEA Business Plan (2025-2029), NEEA is reviewing an update to the allocation approach to only include Washington codes. As a preview, the 2026-2027 new construction code savings are allocated using a state service-territory approach. With approval from the Washington investor-owned utilities, NEEA will switch to a state service-territory allocation approach for new construction building codes starting with the next NEEA Business Plan (2025-2029).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</si>
</sst>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4">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_(* #,##0.000_);_(* \(#,##0.000\);_(* &quot;-&quot;??_);_(@_)"/>
    <numFmt numFmtId="166" formatCode="0_);\(0\)"/>
    <numFmt numFmtId="167" formatCode="0.0%"/>
    <numFmt numFmtId="168" formatCode="_(* #,##0.0_);_(* \(#,##0.0\);_(* &quot;-&quot;??_);_(@_)"/>
    <numFmt numFmtId="169" formatCode="0.0"/>
    <numFmt numFmtId="170" formatCode="&quot;$&quot;#,##0.00"/>
    <numFmt numFmtId="171" formatCode="0.0000"/>
    <numFmt numFmtId="172" formatCode="m/d/\ h:mm"/>
    <numFmt numFmtId="173" formatCode="&quot;$&quot;#,##0"/>
    <numFmt numFmtId="174" formatCode="mmm\-yyyy"/>
    <numFmt numFmtId="175" formatCode="00000"/>
    <numFmt numFmtId="176" formatCode="_(* #,##0.0000_);_(* \(#,##0.0000\);_(* &quot;-&quot;??_);_(@_)"/>
    <numFmt numFmtId="177" formatCode="[$-409]h:mm:ss\ AM/PM"/>
    <numFmt numFmtId="178" formatCode="_(&quot;$&quot;* #,##0_);_(&quot;$&quot;* \(#,##0\);_(&quot;$&quot;* &quot;-&quot;??_);_(@_)"/>
    <numFmt numFmtId="179" formatCode="\+0.00;\-0.00;"/>
    <numFmt numFmtId="180" formatCode="0.00000"/>
    <numFmt numFmtId="181" formatCode="_(* #,##0.00000000_);_(* \(#,##0.00000000\);_(* &quot;-&quot;??_);_(@_)"/>
    <numFmt numFmtId="182" formatCode="_(* #,##0.000_);_(* \(#,##0.000\);_(* &quot;-&quot;???_);_(@_)"/>
    <numFmt numFmtId="183" formatCode="mm/dd/yy"/>
    <numFmt numFmtId="184" formatCode="0_);[Red]\(0\)"/>
    <numFmt numFmtId="185" formatCode="#,##0.0_);\(#,##0.0\);@_)"/>
    <numFmt numFmtId="186" formatCode="#,##0.00_);\(#,##0.00\);@_)"/>
    <numFmt numFmtId="187" formatCode="&quot;$&quot;#,##0.0_);\(&quot;$&quot;#,##0.0\);@_)"/>
    <numFmt numFmtId="188" formatCode="&quot;$&quot;#,##0.00_);\(&quot;$&quot;#,##0.00\);@_)"/>
    <numFmt numFmtId="189" formatCode="mmmm\ d\,\ yyyy"/>
    <numFmt numFmtId="190" formatCode="0%_);\(0%\);@_%_)"/>
    <numFmt numFmtId="191" formatCode="0.0%_);\(0.0%\);@_%_)"/>
    <numFmt numFmtId="192" formatCode="0_%_);\(0\)_%;@_%_)"/>
    <numFmt numFmtId="193" formatCode="0.0_%_);\(0.0\)_%;@_%_)"/>
    <numFmt numFmtId="194" formatCode="0\%_);\(0\%\);@_%_)"/>
    <numFmt numFmtId="195" formatCode="0.0\%_);\(0.0\%\);@_%_)"/>
    <numFmt numFmtId="196" formatCode="0_);\(0\);@_)"/>
    <numFmt numFmtId="197" formatCode="\+#,##0.00_);[Red]\-#,##0.00"/>
    <numFmt numFmtId="198" formatCode="&quot;$&quot;#,##0\ ;\(&quot;$&quot;#,##0\)"/>
    <numFmt numFmtId="199" formatCode="0.00\ &quot;aMW&quot;"/>
    <numFmt numFmtId="200" formatCode="#,##0;[Red]#,##0"/>
    <numFmt numFmtId="201" formatCode="#,##0_)\ &quot;kWh&quot;;[Red]\(#,##0\)\ &quot;kWh&quot;"/>
  </numFmts>
  <fonts count="270">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theme="3"/>
      <name val="Calibri"/>
      <family val="2"/>
      <scheme val="minor"/>
    </font>
    <font>
      <sz val="10"/>
      <color theme="1" tint="0.499984740745262"/>
      <name val="Calibri"/>
      <family val="2"/>
      <scheme val="minor"/>
    </font>
    <font>
      <b/>
      <sz val="9"/>
      <color indexed="81"/>
      <name val="Tahoma"/>
      <family val="2"/>
    </font>
    <font>
      <sz val="9"/>
      <color indexed="81"/>
      <name val="Tahoma"/>
      <family val="2"/>
    </font>
    <font>
      <sz val="11"/>
      <color theme="0" tint="-0.499984740745262"/>
      <name val="Calibri"/>
      <family val="2"/>
      <scheme val="minor"/>
    </font>
    <font>
      <sz val="8"/>
      <color theme="0" tint="-0.499984740745262"/>
      <name val="Calibri"/>
      <family val="2"/>
      <scheme val="minor"/>
    </font>
    <font>
      <sz val="11"/>
      <color theme="0"/>
      <name val="Calibri Light"/>
      <family val="2"/>
      <scheme val="major"/>
    </font>
    <font>
      <sz val="9"/>
      <color theme="1"/>
      <name val="Calibri"/>
      <family val="2"/>
      <scheme val="minor"/>
    </font>
    <font>
      <sz val="10"/>
      <color theme="1"/>
      <name val="Arial"/>
      <family val="2"/>
    </font>
    <font>
      <sz val="10"/>
      <name val="Arial"/>
      <family val="2"/>
    </font>
    <font>
      <b/>
      <sz val="8"/>
      <color indexed="81"/>
      <name val="Tahoma"/>
      <family val="2"/>
    </font>
    <font>
      <sz val="8"/>
      <color indexed="81"/>
      <name val="Tahoma"/>
      <family val="2"/>
    </font>
    <font>
      <u/>
      <sz val="11"/>
      <color theme="10"/>
      <name val="Calibri"/>
      <family val="2"/>
      <scheme val="minor"/>
    </font>
    <font>
      <sz val="12"/>
      <name val="Arial"/>
      <family val="2"/>
    </font>
    <font>
      <sz val="10"/>
      <color indexed="8"/>
      <name val="Arial"/>
      <family val="2"/>
    </font>
    <font>
      <sz val="12"/>
      <color theme="1"/>
      <name val="Calibri"/>
      <family val="2"/>
      <scheme val="minor"/>
    </font>
    <font>
      <b/>
      <sz val="10"/>
      <name val="Arial"/>
      <family val="2"/>
    </font>
    <font>
      <b/>
      <sz val="10"/>
      <color indexed="9"/>
      <name val="Arial"/>
      <family val="2"/>
    </font>
    <font>
      <sz val="10"/>
      <color indexed="9"/>
      <name val="Arial"/>
      <family val="2"/>
    </font>
    <font>
      <sz val="12"/>
      <name val="Times New Roman"/>
      <family val="1"/>
    </font>
    <font>
      <b/>
      <sz val="12"/>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b/>
      <sz val="10"/>
      <color indexed="8"/>
      <name val="Arial"/>
      <family val="2"/>
    </font>
    <font>
      <i/>
      <sz val="11"/>
      <color indexed="23"/>
      <name val="Calibri"/>
      <family val="2"/>
    </font>
    <font>
      <sz val="11"/>
      <color indexed="17"/>
      <name val="Calibri"/>
      <family val="2"/>
    </font>
    <font>
      <b/>
      <sz val="15"/>
      <color indexed="56"/>
      <name val="Calibri"/>
      <family val="2"/>
    </font>
    <font>
      <b/>
      <sz val="13"/>
      <color indexed="62"/>
      <name val="Calibri"/>
      <family val="2"/>
    </font>
    <font>
      <b/>
      <sz val="11"/>
      <color indexed="56"/>
      <name val="Calibri"/>
      <family val="2"/>
    </font>
    <font>
      <u/>
      <sz val="10"/>
      <color indexed="12"/>
      <name val="Arial"/>
      <family val="2"/>
    </font>
    <font>
      <u/>
      <sz val="7"/>
      <color indexed="12"/>
      <name val="Arial"/>
      <family val="2"/>
    </font>
    <font>
      <u/>
      <sz val="10"/>
      <color indexed="12"/>
      <name val="Times New Roman"/>
      <family val="1"/>
    </font>
    <font>
      <u/>
      <sz val="10"/>
      <color theme="10"/>
      <name val="Arial"/>
      <family val="2"/>
    </font>
    <font>
      <u/>
      <sz val="11"/>
      <color theme="10"/>
      <name val="Calibri"/>
      <family val="2"/>
    </font>
    <font>
      <sz val="11"/>
      <color indexed="6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sz val="10"/>
      <name val="Helv"/>
    </font>
    <font>
      <sz val="10"/>
      <name val="Helv"/>
      <charset val="204"/>
    </font>
    <font>
      <b/>
      <sz val="11"/>
      <color indexed="8"/>
      <name val="Calibri"/>
      <family val="2"/>
    </font>
    <font>
      <sz val="11"/>
      <color indexed="10"/>
      <name val="Calibri"/>
      <family val="2"/>
    </font>
    <font>
      <sz val="11"/>
      <color indexed="63"/>
      <name val="Calibri"/>
      <family val="2"/>
    </font>
    <font>
      <b/>
      <sz val="15"/>
      <color indexed="62"/>
      <name val="Calibri"/>
      <family val="2"/>
    </font>
    <font>
      <b/>
      <sz val="11"/>
      <color indexed="62"/>
      <name val="Calibri"/>
      <family val="2"/>
    </font>
    <font>
      <sz val="9"/>
      <name val="Arial"/>
      <family val="2"/>
    </font>
    <font>
      <sz val="12"/>
      <name val="Helv"/>
    </font>
    <font>
      <b/>
      <sz val="18"/>
      <color indexed="62"/>
      <name val="Cambria"/>
      <family val="2"/>
    </font>
    <font>
      <b/>
      <sz val="13"/>
      <color theme="3"/>
      <name val="Arial"/>
      <family val="2"/>
    </font>
    <font>
      <sz val="11"/>
      <name val="Calibri"/>
      <family val="2"/>
    </font>
    <font>
      <sz val="9"/>
      <color theme="1"/>
      <name val="Arial"/>
      <family val="2"/>
    </font>
    <font>
      <sz val="10"/>
      <name val="Verdana"/>
      <family val="2"/>
    </font>
    <font>
      <sz val="9"/>
      <color theme="1" tint="0.499984740745262"/>
      <name val="Calibri"/>
      <family val="2"/>
      <scheme val="minor"/>
    </font>
    <font>
      <sz val="11"/>
      <color theme="3"/>
      <name val="Calibri Light"/>
      <family val="2"/>
      <scheme val="major"/>
    </font>
    <font>
      <b/>
      <sz val="10"/>
      <color theme="1"/>
      <name val="Calibri"/>
      <family val="2"/>
      <scheme val="minor"/>
    </font>
    <font>
      <sz val="12"/>
      <color theme="0" tint="-0.499984740745262"/>
      <name val="Calibri"/>
      <family val="2"/>
      <scheme val="minor"/>
    </font>
    <font>
      <sz val="12"/>
      <color theme="3"/>
      <name val="Calibri Light"/>
      <family val="2"/>
      <scheme val="major"/>
    </font>
    <font>
      <b/>
      <sz val="11"/>
      <color theme="3"/>
      <name val="Calibri Light"/>
      <family val="1"/>
      <scheme val="major"/>
    </font>
    <font>
      <sz val="11"/>
      <color theme="0" tint="-4.9989318521683403E-2"/>
      <name val="Calibri"/>
      <family val="2"/>
      <scheme val="minor"/>
    </font>
    <font>
      <i/>
      <sz val="11"/>
      <color theme="0" tint="-0.499984740745262"/>
      <name val="Calibri"/>
      <family val="2"/>
      <scheme val="minor"/>
    </font>
    <font>
      <u/>
      <sz val="10"/>
      <color rgb="FF0000FF"/>
      <name val="Calibri"/>
      <family val="2"/>
      <scheme val="minor"/>
    </font>
    <font>
      <u/>
      <sz val="8"/>
      <color theme="10"/>
      <name val="Arial"/>
      <family val="2"/>
    </font>
    <font>
      <sz val="11"/>
      <color rgb="FFFA7D00"/>
      <name val="Calibri"/>
      <family val="2"/>
      <scheme val="minor"/>
    </font>
    <font>
      <sz val="9"/>
      <color theme="7" tint="-0.499984740745262"/>
      <name val="Calibri"/>
      <family val="2"/>
      <scheme val="minor"/>
    </font>
    <font>
      <sz val="10"/>
      <color theme="0"/>
      <name val="Calibri"/>
      <family val="2"/>
      <scheme val="minor"/>
    </font>
    <font>
      <i/>
      <sz val="10"/>
      <color theme="1" tint="0.499984740745262"/>
      <name val="Calibri"/>
      <family val="2"/>
      <scheme val="minor"/>
    </font>
    <font>
      <sz val="10"/>
      <color theme="9" tint="-0.499984740745262"/>
      <name val="Calibri"/>
      <family val="2"/>
      <scheme val="minor"/>
    </font>
    <font>
      <b/>
      <sz val="10"/>
      <color theme="0"/>
      <name val="Calibri"/>
      <family val="2"/>
      <scheme val="minor"/>
    </font>
    <font>
      <sz val="10"/>
      <color rgb="FF006100"/>
      <name val="Calibri"/>
      <family val="2"/>
      <scheme val="minor"/>
    </font>
    <font>
      <sz val="10"/>
      <color theme="0"/>
      <name val="Calibri Light"/>
      <family val="2"/>
      <scheme val="major"/>
    </font>
    <font>
      <b/>
      <sz val="11"/>
      <color rgb="FF0083CA"/>
      <name val="Calibri"/>
      <family val="2"/>
      <scheme val="minor"/>
    </font>
    <font>
      <sz val="10"/>
      <color indexed="8"/>
      <name val="Calibri"/>
      <family val="2"/>
      <scheme val="minor"/>
    </font>
    <font>
      <sz val="10"/>
      <name val="Calibri"/>
      <family val="2"/>
      <scheme val="minor"/>
    </font>
    <font>
      <b/>
      <sz val="10"/>
      <name val="Calibri"/>
      <family val="2"/>
      <scheme val="minor"/>
    </font>
    <font>
      <sz val="10"/>
      <color theme="5"/>
      <name val="Calibri"/>
      <family val="2"/>
      <scheme val="minor"/>
    </font>
    <font>
      <sz val="10"/>
      <color theme="0" tint="-0.499984740745262"/>
      <name val="Calibri"/>
      <family val="2"/>
      <scheme val="minor"/>
    </font>
    <font>
      <b/>
      <i/>
      <sz val="10"/>
      <color theme="1"/>
      <name val="Calibri"/>
      <family val="2"/>
      <scheme val="minor"/>
    </font>
    <font>
      <i/>
      <sz val="10"/>
      <color theme="0"/>
      <name val="Calibri"/>
      <family val="2"/>
      <scheme val="minor"/>
    </font>
    <font>
      <sz val="10"/>
      <color theme="3"/>
      <name val="Calibri"/>
      <family val="2"/>
      <scheme val="minor"/>
    </font>
    <font>
      <b/>
      <sz val="10"/>
      <color rgb="FFFF0000"/>
      <name val="Calibri"/>
      <family val="2"/>
      <scheme val="minor"/>
    </font>
    <font>
      <sz val="10"/>
      <color theme="0" tint="-4.9989318521683403E-2"/>
      <name val="Calibri"/>
      <family val="2"/>
      <scheme val="minor"/>
    </font>
    <font>
      <i/>
      <sz val="10"/>
      <color theme="1"/>
      <name val="Calibri"/>
      <family val="2"/>
      <scheme val="minor"/>
    </font>
    <font>
      <u/>
      <sz val="10"/>
      <color theme="1"/>
      <name val="Calibri"/>
      <family val="2"/>
      <scheme val="minor"/>
    </font>
    <font>
      <sz val="10"/>
      <color rgb="FFFF0000"/>
      <name val="Calibri"/>
      <family val="2"/>
      <scheme val="minor"/>
    </font>
    <font>
      <b/>
      <sz val="10"/>
      <color theme="3"/>
      <name val="Calibri"/>
      <family val="2"/>
      <scheme val="minor"/>
    </font>
    <font>
      <u/>
      <sz val="9"/>
      <color theme="10"/>
      <name val="Consolas"/>
      <family val="3"/>
    </font>
    <font>
      <sz val="9"/>
      <name val="Consolas"/>
      <family val="3"/>
    </font>
    <font>
      <u/>
      <sz val="9"/>
      <color theme="10"/>
      <name val="Arial"/>
      <family val="2"/>
    </font>
    <font>
      <sz val="9"/>
      <color theme="1"/>
      <name val="Consolas"/>
      <family val="3"/>
    </font>
    <font>
      <sz val="10"/>
      <color rgb="FF000000"/>
      <name val="Arial"/>
      <family val="2"/>
    </font>
    <font>
      <sz val="11"/>
      <color rgb="FF000000"/>
      <name val="Calibri"/>
      <family val="2"/>
      <scheme val="minor"/>
    </font>
    <font>
      <sz val="10"/>
      <color theme="0" tint="-0.14999847407452621"/>
      <name val="Calibri"/>
      <family val="2"/>
      <scheme val="minor"/>
    </font>
    <font>
      <u/>
      <sz val="10"/>
      <color theme="10"/>
      <name val="Calibri"/>
      <family val="2"/>
      <scheme val="minor"/>
    </font>
    <font>
      <b/>
      <sz val="10"/>
      <color rgb="FF0083CA"/>
      <name val="Calibri"/>
      <family val="2"/>
      <scheme val="minor"/>
    </font>
    <font>
      <sz val="10"/>
      <color rgb="FFFA7D00"/>
      <name val="Calibri"/>
      <family val="2"/>
      <scheme val="minor"/>
    </font>
    <font>
      <b/>
      <sz val="10"/>
      <color theme="5"/>
      <name val="Calibri"/>
      <family val="2"/>
      <scheme val="minor"/>
    </font>
    <font>
      <i/>
      <sz val="10"/>
      <color theme="0" tint="-0.34998626667073579"/>
      <name val="Calibri"/>
      <family val="2"/>
      <scheme val="minor"/>
    </font>
    <font>
      <b/>
      <sz val="10"/>
      <color rgb="FFFA7D00"/>
      <name val="Calibri"/>
      <family val="2"/>
      <scheme val="minor"/>
    </font>
    <font>
      <i/>
      <sz val="10"/>
      <color theme="0" tint="-0.14999847407452621"/>
      <name val="Calibri"/>
      <family val="2"/>
      <scheme val="minor"/>
    </font>
    <font>
      <b/>
      <sz val="10"/>
      <color theme="1" tint="0.499984740745262"/>
      <name val="Calibri"/>
      <family val="2"/>
      <scheme val="minor"/>
    </font>
    <font>
      <sz val="10"/>
      <color rgb="FF0083CA"/>
      <name val="Calibri"/>
      <family val="2"/>
      <scheme val="minor"/>
    </font>
    <font>
      <sz val="10"/>
      <color theme="3"/>
      <name val="Calibri Light"/>
      <family val="2"/>
      <scheme val="major"/>
    </font>
    <font>
      <sz val="10"/>
      <color theme="1"/>
      <name val="Calibri Light"/>
      <family val="2"/>
      <scheme val="major"/>
    </font>
    <font>
      <sz val="11"/>
      <color theme="5"/>
      <name val="Calibri"/>
      <family val="2"/>
      <scheme val="minor"/>
    </font>
    <font>
      <i/>
      <sz val="10"/>
      <color theme="3"/>
      <name val="Calibri"/>
      <family val="2"/>
      <scheme val="minor"/>
    </font>
    <font>
      <b/>
      <sz val="11"/>
      <color theme="0"/>
      <name val="Calibri"/>
      <family val="2"/>
      <scheme val="minor"/>
    </font>
    <font>
      <b/>
      <sz val="11"/>
      <color rgb="FF44546A"/>
      <name val="Calibri"/>
      <family val="2"/>
    </font>
    <font>
      <sz val="8"/>
      <name val="Calibri"/>
      <family val="2"/>
      <scheme val="minor"/>
    </font>
    <font>
      <i/>
      <sz val="10"/>
      <name val="Arial"/>
      <family val="2"/>
    </font>
    <font>
      <b/>
      <sz val="8"/>
      <name val="Arial"/>
      <family val="2"/>
    </font>
    <font>
      <sz val="8"/>
      <name val="Arial"/>
      <family val="2"/>
    </font>
    <font>
      <sz val="8"/>
      <color rgb="FF0070C0"/>
      <name val="Arial"/>
      <family val="2"/>
    </font>
    <font>
      <b/>
      <sz val="11"/>
      <color theme="1"/>
      <name val="Calibri Light"/>
      <family val="1"/>
      <scheme val="major"/>
    </font>
    <font>
      <sz val="10"/>
      <color rgb="FF000000"/>
      <name val="Calibri"/>
      <family val="2"/>
    </font>
    <font>
      <sz val="18"/>
      <color rgb="FF0083CA"/>
      <name val="Calibri"/>
      <family val="2"/>
      <scheme val="minor"/>
    </font>
    <font>
      <vertAlign val="subscript"/>
      <sz val="10"/>
      <name val="Calibri"/>
      <family val="2"/>
      <scheme val="minor"/>
    </font>
    <font>
      <b/>
      <sz val="11"/>
      <color rgb="FFFA7D00"/>
      <name val="Calibri"/>
      <family val="2"/>
      <scheme val="minor"/>
    </font>
    <font>
      <b/>
      <sz val="8"/>
      <color indexed="8"/>
      <name val="Arial"/>
      <family val="2"/>
    </font>
    <font>
      <sz val="9"/>
      <color indexed="8"/>
      <name val="Arial"/>
      <family val="2"/>
    </font>
    <font>
      <b/>
      <sz val="13"/>
      <color indexed="56"/>
      <name val="Calibri"/>
      <family val="2"/>
    </font>
    <font>
      <u/>
      <sz val="12"/>
      <color indexed="12"/>
      <name val="Times New Roman"/>
      <family val="1"/>
    </font>
    <font>
      <b/>
      <sz val="8"/>
      <color theme="1"/>
      <name val="Arial"/>
      <family val="2"/>
    </font>
    <font>
      <b/>
      <sz val="11"/>
      <color theme="1"/>
      <name val="Arial"/>
      <family val="2"/>
    </font>
    <font>
      <b/>
      <sz val="16"/>
      <color theme="5"/>
      <name val="Calibri"/>
      <family val="2"/>
      <scheme val="minor"/>
    </font>
    <font>
      <i/>
      <sz val="11"/>
      <color theme="1"/>
      <name val="Calibri"/>
      <family val="2"/>
      <scheme val="minor"/>
    </font>
    <font>
      <b/>
      <sz val="11"/>
      <color rgb="FFFF0000"/>
      <name val="Calibri"/>
      <family val="2"/>
      <scheme val="minor"/>
    </font>
    <font>
      <b/>
      <sz val="12"/>
      <color theme="5" tint="-0.249977111117893"/>
      <name val="Calibri"/>
      <family val="2"/>
      <scheme val="minor"/>
    </font>
    <font>
      <sz val="12"/>
      <color theme="5" tint="-0.249977111117893"/>
      <name val="Calibri"/>
      <family val="2"/>
      <scheme val="minor"/>
    </font>
    <font>
      <sz val="10"/>
      <color indexed="22"/>
      <name val="Arial"/>
      <family val="2"/>
    </font>
    <font>
      <sz val="10"/>
      <color indexed="12"/>
      <name val="Arial"/>
      <family val="2"/>
    </font>
    <font>
      <b/>
      <sz val="12"/>
      <color rgb="FF0083CA"/>
      <name val="Calibri"/>
      <family val="2"/>
      <scheme val="minor"/>
    </font>
    <font>
      <b/>
      <sz val="12"/>
      <color theme="3"/>
      <name val="Calibri"/>
      <family val="2"/>
      <scheme val="minor"/>
    </font>
    <font>
      <sz val="11"/>
      <color rgb="FFFF0000"/>
      <name val="Calibri"/>
      <family val="2"/>
      <scheme val="minor"/>
    </font>
    <font>
      <sz val="12"/>
      <color theme="3"/>
      <name val="Calibri"/>
      <family val="2"/>
      <scheme val="minor"/>
    </font>
    <font>
      <b/>
      <sz val="12"/>
      <color rgb="FF000000"/>
      <name val="Calibri"/>
      <family val="2"/>
      <scheme val="minor"/>
    </font>
    <font>
      <sz val="10"/>
      <color theme="1"/>
      <name val="Times New Roman"/>
      <family val="1"/>
    </font>
    <font>
      <b/>
      <sz val="10"/>
      <color rgb="FF44546A"/>
      <name val="Calibri"/>
      <family val="2"/>
    </font>
    <font>
      <i/>
      <sz val="10"/>
      <color rgb="FF808080"/>
      <name val="Calibri"/>
      <family val="2"/>
    </font>
    <font>
      <i/>
      <u/>
      <sz val="10"/>
      <color rgb="FF000000"/>
      <name val="Calibri"/>
      <family val="2"/>
    </font>
    <font>
      <i/>
      <u/>
      <sz val="10"/>
      <color theme="1"/>
      <name val="Calibri"/>
      <family val="2"/>
      <scheme val="minor"/>
    </font>
    <font>
      <b/>
      <sz val="12"/>
      <color theme="0"/>
      <name val="Calibri Light"/>
      <family val="2"/>
      <scheme val="major"/>
    </font>
    <font>
      <b/>
      <sz val="12"/>
      <color theme="5"/>
      <name val="Calibri"/>
      <family val="2"/>
      <scheme val="minor"/>
    </font>
    <font>
      <sz val="10"/>
      <color rgb="FF123559"/>
      <name val="Calibri"/>
      <family val="2"/>
      <scheme val="minor"/>
    </font>
    <font>
      <b/>
      <sz val="10"/>
      <color theme="1"/>
      <name val="Calibri Light"/>
      <family val="2"/>
      <scheme val="major"/>
    </font>
    <font>
      <sz val="10"/>
      <color rgb="FF123559"/>
      <name val="Calibri"/>
      <family val="2"/>
    </font>
    <font>
      <sz val="9"/>
      <color rgb="FF123559"/>
      <name val="Calibri"/>
      <family val="2"/>
    </font>
    <font>
      <b/>
      <sz val="12"/>
      <color indexed="8"/>
      <name val="Calibri"/>
      <family val="2"/>
      <scheme val="minor"/>
    </font>
    <font>
      <i/>
      <sz val="11"/>
      <color theme="8"/>
      <name val="Calibri"/>
      <family val="2"/>
      <scheme val="minor"/>
    </font>
    <font>
      <sz val="11"/>
      <color rgb="FF123559"/>
      <name val="Calibri"/>
      <family val="2"/>
      <scheme val="minor"/>
    </font>
    <font>
      <b/>
      <sz val="11"/>
      <color rgb="FF123559"/>
      <name val="Calibri"/>
      <family val="2"/>
      <scheme val="minor"/>
    </font>
    <font>
      <sz val="10"/>
      <color theme="1" tint="0.249977111117893"/>
      <name val="Calibri"/>
      <family val="2"/>
      <scheme val="minor"/>
    </font>
    <font>
      <i/>
      <sz val="10"/>
      <color theme="1" tint="0.249977111117893"/>
      <name val="Calibri"/>
      <family val="2"/>
      <scheme val="minor"/>
    </font>
    <font>
      <b/>
      <sz val="12"/>
      <color theme="1" tint="0.249977111117893"/>
      <name val="Calibri"/>
      <family val="2"/>
      <scheme val="minor"/>
    </font>
    <font>
      <b/>
      <sz val="10"/>
      <color theme="1" tint="0.249977111117893"/>
      <name val="Calibri"/>
      <family val="2"/>
      <scheme val="minor"/>
    </font>
    <font>
      <sz val="11"/>
      <color theme="1" tint="0.249977111117893"/>
      <name val="Calibri"/>
      <family val="2"/>
      <scheme val="minor"/>
    </font>
    <font>
      <i/>
      <sz val="11"/>
      <color theme="1" tint="0.249977111117893"/>
      <name val="Calibri"/>
      <family val="2"/>
      <scheme val="minor"/>
    </font>
    <font>
      <sz val="12"/>
      <color theme="1" tint="0.249977111117893"/>
      <name val="Calibri Light"/>
      <family val="2"/>
    </font>
    <font>
      <u/>
      <sz val="10"/>
      <color rgb="FF123559"/>
      <name val="Calibri"/>
      <family val="2"/>
      <scheme val="minor"/>
    </font>
    <font>
      <u/>
      <sz val="11"/>
      <color rgb="FF123559"/>
      <name val="Calibri"/>
      <family val="2"/>
      <scheme val="minor"/>
    </font>
    <font>
      <b/>
      <sz val="11"/>
      <color theme="1" tint="0.249977111117893"/>
      <name val="Calibri"/>
      <family val="2"/>
      <scheme val="minor"/>
    </font>
    <font>
      <sz val="11"/>
      <color theme="1" tint="0.249977111117893"/>
      <name val="Calibri Light"/>
      <family val="2"/>
      <scheme val="major"/>
    </font>
    <font>
      <sz val="10"/>
      <color theme="1" tint="0.249977111117893"/>
      <name val="Calibri Light"/>
      <family val="2"/>
      <scheme val="major"/>
    </font>
    <font>
      <b/>
      <sz val="11"/>
      <color rgb="FF8CC646"/>
      <name val="Calibri"/>
      <family val="2"/>
      <scheme val="minor"/>
    </font>
    <font>
      <u/>
      <sz val="10"/>
      <color rgb="FF0083CA"/>
      <name val="Calibri"/>
      <family val="2"/>
      <scheme val="minor"/>
    </font>
    <font>
      <i/>
      <sz val="10"/>
      <color rgb="FF0083CA"/>
      <name val="Calibri"/>
      <family val="2"/>
      <scheme val="minor"/>
    </font>
    <font>
      <sz val="9"/>
      <color theme="0" tint="-0.249977111117893"/>
      <name val="Calibri"/>
      <family val="2"/>
      <scheme val="minor"/>
    </font>
    <font>
      <b/>
      <u/>
      <sz val="10"/>
      <color theme="1" tint="0.249977111117893"/>
      <name val="Calibri"/>
      <family val="2"/>
      <scheme val="minor"/>
    </font>
    <font>
      <sz val="11"/>
      <color theme="1"/>
      <name val="Calibri Light"/>
      <family val="2"/>
      <scheme val="major"/>
    </font>
    <font>
      <sz val="9"/>
      <color theme="1" tint="0.249977111117893"/>
      <name val="Calibri"/>
      <family val="2"/>
      <scheme val="minor"/>
    </font>
    <font>
      <sz val="11"/>
      <name val="Calibri Light"/>
      <family val="2"/>
      <scheme val="major"/>
    </font>
    <font>
      <b/>
      <sz val="10"/>
      <color theme="1" tint="0.249977111117893"/>
      <name val="Calibri"/>
      <family val="2"/>
    </font>
    <font>
      <sz val="12"/>
      <color theme="1" tint="0.249977111117893"/>
      <name val="Calibri Light"/>
      <family val="2"/>
      <scheme val="major"/>
    </font>
    <font>
      <b/>
      <sz val="11"/>
      <color rgb="FF000000"/>
      <name val="Calibri"/>
      <family val="2"/>
      <scheme val="minor"/>
    </font>
    <font>
      <sz val="18"/>
      <color theme="3"/>
      <name val="Calibri Light"/>
      <family val="2"/>
      <scheme val="major"/>
    </font>
    <font>
      <b/>
      <sz val="15"/>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sz val="10"/>
      <name val="Calibri Light"/>
      <family val="1"/>
      <scheme val="major"/>
    </font>
    <font>
      <b/>
      <sz val="8"/>
      <name val="Calibri Light"/>
      <family val="1"/>
      <scheme val="major"/>
    </font>
    <font>
      <b/>
      <i/>
      <sz val="10"/>
      <name val="Arial"/>
      <family val="2"/>
    </font>
    <font>
      <sz val="11"/>
      <color rgb="FF9C6500"/>
      <name val="Calibri"/>
      <family val="2"/>
      <scheme val="minor"/>
    </font>
    <font>
      <u/>
      <sz val="8.5"/>
      <color indexed="12"/>
      <name val="Arial"/>
      <family val="2"/>
    </font>
    <font>
      <sz val="10"/>
      <name val="Book Antiqua"/>
      <family val="1"/>
    </font>
    <font>
      <sz val="10"/>
      <color theme="1" tint="0.14996795556505021"/>
      <name val="Calibri Light"/>
      <family val="1"/>
      <scheme val="major"/>
    </font>
    <font>
      <b/>
      <sz val="15"/>
      <color theme="6" tint="-0.499984740745262"/>
      <name val="Calibri"/>
      <family val="2"/>
      <scheme val="minor"/>
    </font>
    <font>
      <b/>
      <sz val="18"/>
      <color theme="6" tint="-0.249977111117893"/>
      <name val="Calibri Light"/>
      <family val="2"/>
      <scheme val="major"/>
    </font>
    <font>
      <sz val="9"/>
      <name val="Calibri"/>
      <family val="2"/>
      <scheme val="minor"/>
    </font>
    <font>
      <sz val="10"/>
      <color indexed="24"/>
      <name val="Times New Roman"/>
      <family val="1"/>
    </font>
    <font>
      <sz val="11"/>
      <color indexed="52"/>
      <name val="Calibri"/>
      <family val="2"/>
    </font>
    <font>
      <sz val="10"/>
      <color indexed="63"/>
      <name val="Verdana"/>
      <family val="2"/>
    </font>
    <font>
      <sz val="10"/>
      <color indexed="9"/>
      <name val="Verdana"/>
      <family val="2"/>
    </font>
    <font>
      <b/>
      <sz val="10"/>
      <color indexed="9"/>
      <name val="Verdana"/>
      <family val="2"/>
    </font>
    <font>
      <b/>
      <sz val="10"/>
      <color indexed="63"/>
      <name val="Verdana"/>
      <family val="2"/>
    </font>
    <font>
      <sz val="10"/>
      <color rgb="FF9C0006"/>
      <name val="Arial"/>
      <family val="2"/>
    </font>
    <font>
      <sz val="10"/>
      <color rgb="FF3F3F76"/>
      <name val="Arial"/>
      <family val="2"/>
    </font>
    <font>
      <sz val="12"/>
      <name val="Calibri"/>
      <family val="2"/>
    </font>
    <font>
      <i/>
      <sz val="11"/>
      <color theme="9"/>
      <name val="Calibri"/>
      <family val="2"/>
      <scheme val="minor"/>
    </font>
    <font>
      <b/>
      <sz val="9"/>
      <color rgb="FF002060"/>
      <name val="Calibri"/>
      <family val="2"/>
      <scheme val="minor"/>
    </font>
    <font>
      <b/>
      <sz val="8"/>
      <color theme="8" tint="0.39994506668294322"/>
      <name val="Calibri"/>
      <family val="2"/>
      <scheme val="minor"/>
    </font>
    <font>
      <b/>
      <sz val="9"/>
      <color theme="3" tint="-0.24994659260841701"/>
      <name val="Arial"/>
      <family val="2"/>
    </font>
    <font>
      <b/>
      <i/>
      <sz val="10"/>
      <color theme="7" tint="-0.24994659260841701"/>
      <name val="Arial"/>
      <family val="2"/>
    </font>
    <font>
      <sz val="11"/>
      <color theme="1"/>
      <name val="Calibri"/>
      <family val="3"/>
      <charset val="128"/>
      <scheme val="minor"/>
    </font>
    <font>
      <b/>
      <sz val="11"/>
      <color rgb="FFC00000"/>
      <name val="Calibri"/>
      <family val="2"/>
      <scheme val="minor"/>
    </font>
    <font>
      <sz val="9"/>
      <color rgb="FF92D050"/>
      <name val="Calibri"/>
      <family val="2"/>
      <scheme val="minor"/>
    </font>
    <font>
      <b/>
      <i/>
      <sz val="11"/>
      <color rgb="FFFA7D00"/>
      <name val="Calibri"/>
      <family val="2"/>
      <scheme val="minor"/>
    </font>
    <font>
      <i/>
      <sz val="8"/>
      <color theme="2" tint="-0.499984740745262"/>
      <name val="Arial"/>
      <family val="2"/>
    </font>
    <font>
      <sz val="9"/>
      <color theme="0"/>
      <name val="Calibri"/>
      <family val="2"/>
      <scheme val="minor"/>
    </font>
    <font>
      <sz val="10"/>
      <color theme="3" tint="-0.499984740745262"/>
      <name val="Calibri"/>
      <family val="2"/>
      <scheme val="minor"/>
    </font>
    <font>
      <sz val="10"/>
      <color theme="1"/>
      <name val="Franklin Gothic Book"/>
      <family val="2"/>
    </font>
    <font>
      <sz val="9"/>
      <color theme="9" tint="-0.499984740745262"/>
      <name val="Calibri"/>
      <family val="2"/>
      <scheme val="minor"/>
    </font>
    <font>
      <sz val="10"/>
      <color theme="7" tint="-0.499984740745262"/>
      <name val="Calibri"/>
      <family val="2"/>
      <scheme val="minor"/>
    </font>
    <font>
      <sz val="9"/>
      <color theme="6" tint="-0.499984740745262"/>
      <name val="Calibri"/>
      <family val="2"/>
      <scheme val="minor"/>
    </font>
    <font>
      <b/>
      <sz val="11"/>
      <color theme="3" tint="-0.499984740745262"/>
      <name val="Calibri"/>
      <family val="2"/>
      <scheme val="minor"/>
    </font>
    <font>
      <sz val="9"/>
      <color theme="3"/>
      <name val="Calibri"/>
      <family val="2"/>
      <scheme val="minor"/>
    </font>
    <font>
      <b/>
      <sz val="9"/>
      <color rgb="FFFA7D00"/>
      <name val="Arial"/>
      <family val="2"/>
    </font>
    <font>
      <b/>
      <sz val="18"/>
      <color theme="3"/>
      <name val="Calibri Light"/>
      <family val="2"/>
      <scheme val="major"/>
    </font>
    <font>
      <sz val="11"/>
      <color indexed="14"/>
      <name val="Calibri"/>
      <family val="2"/>
    </font>
    <font>
      <i/>
      <sz val="11"/>
      <color rgb="FFFA7D00"/>
      <name val="Calibri"/>
      <family val="2"/>
      <scheme val="minor"/>
    </font>
    <font>
      <b/>
      <sz val="11"/>
      <color rgb="FFFA7D00"/>
      <name val="ＭＳ Ｐゴシック"/>
      <family val="3"/>
      <charset val="128"/>
    </font>
    <font>
      <b/>
      <sz val="10"/>
      <name val="MS Sans Serif"/>
      <family val="2"/>
    </font>
    <font>
      <sz val="8.5"/>
      <color rgb="FF000000"/>
      <name val="Tahoma"/>
      <family val="2"/>
    </font>
    <font>
      <sz val="10"/>
      <name val="Univers 55"/>
      <family val="2"/>
    </font>
    <font>
      <b/>
      <sz val="10"/>
      <name val="Univers 45 Light"/>
      <family val="2"/>
    </font>
    <font>
      <b/>
      <sz val="14"/>
      <name val="Calibri"/>
      <family val="2"/>
      <scheme val="minor"/>
    </font>
    <font>
      <u/>
      <sz val="11"/>
      <color theme="10"/>
      <name val="ＭＳ Ｐゴシック"/>
      <family val="3"/>
      <charset val="128"/>
    </font>
    <font>
      <u/>
      <sz val="10"/>
      <name val="Arial"/>
      <family val="2"/>
    </font>
    <font>
      <sz val="11"/>
      <color indexed="8"/>
      <name val="ＭＳ Ｐゴシック"/>
      <family val="3"/>
      <charset val="128"/>
    </font>
    <font>
      <sz val="11"/>
      <color indexed="8"/>
      <name val="Calibri"/>
      <family val="2"/>
      <scheme val="minor"/>
    </font>
    <font>
      <sz val="11"/>
      <color theme="1"/>
      <name val="Calibri"/>
      <family val="1"/>
      <charset val="136"/>
      <scheme val="minor"/>
    </font>
    <font>
      <sz val="11"/>
      <color theme="1"/>
      <name val="ＭＳ Ｐゴシック"/>
      <family val="3"/>
      <charset val="128"/>
    </font>
    <font>
      <b/>
      <sz val="11"/>
      <color rgb="FF3F3F3F"/>
      <name val="Palatino Linotype"/>
      <family val="2"/>
    </font>
    <font>
      <sz val="12"/>
      <color indexed="9"/>
      <name val="Univers 65 Bold"/>
    </font>
    <font>
      <b/>
      <sz val="18"/>
      <color theme="6" tint="-0.24994659260841701"/>
      <name val="Arial"/>
      <family val="2"/>
    </font>
    <font>
      <sz val="12"/>
      <color rgb="FFFF0000"/>
      <name val="Calibri"/>
      <family val="2"/>
      <scheme val="minor"/>
    </font>
    <font>
      <sz val="11"/>
      <name val="돋움"/>
      <family val="3"/>
      <charset val="129"/>
    </font>
    <font>
      <sz val="12"/>
      <color theme="1"/>
      <name val="Calibri"/>
      <family val="1"/>
      <charset val="136"/>
      <scheme val="minor"/>
    </font>
    <font>
      <sz val="11"/>
      <name val="ＭＳ Ｐゴシック"/>
      <family val="3"/>
      <charset val="128"/>
    </font>
    <font>
      <sz val="10"/>
      <color indexed="0"/>
      <name val="Arial"/>
      <family val="2"/>
    </font>
    <font>
      <i/>
      <sz val="11"/>
      <color rgb="FFFF0000"/>
      <name val="Calibri"/>
      <family val="2"/>
      <scheme val="minor"/>
    </font>
    <font>
      <sz val="11"/>
      <color theme="5"/>
      <name val="Calibri Light"/>
      <family val="2"/>
      <scheme val="major"/>
    </font>
    <font>
      <sz val="10"/>
      <color theme="1" tint="0.24994659260841701"/>
      <name val="Calibri Light"/>
      <family val="2"/>
      <scheme val="major"/>
    </font>
    <font>
      <b/>
      <sz val="11"/>
      <color theme="1"/>
      <name val="Calibri Light"/>
      <family val="2"/>
      <scheme val="major"/>
    </font>
    <font>
      <u/>
      <sz val="10"/>
      <color theme="1" tint="0.249977111117893"/>
      <name val="Calibri"/>
      <family val="2"/>
      <scheme val="minor"/>
    </font>
    <font>
      <i/>
      <sz val="10"/>
      <color theme="0" tint="-0.499984740745262"/>
      <name val="Calibri"/>
      <family val="2"/>
      <scheme val="minor"/>
    </font>
    <font>
      <sz val="10"/>
      <color theme="3"/>
      <name val="Calibri Light"/>
      <family val="1"/>
      <scheme val="major"/>
    </font>
    <font>
      <sz val="10"/>
      <color theme="0"/>
      <name val="Calibri Light"/>
      <family val="1"/>
      <scheme val="major"/>
    </font>
    <font>
      <sz val="11"/>
      <color rgb="FF0083CA"/>
      <name val="Calibri Light"/>
      <family val="2"/>
      <scheme val="major"/>
    </font>
    <font>
      <sz val="11"/>
      <color rgb="FF8CC646"/>
      <name val="Calibri Light"/>
      <family val="2"/>
      <scheme val="major"/>
    </font>
    <font>
      <sz val="9"/>
      <color theme="0"/>
      <name val="Calibri Light"/>
      <family val="2"/>
      <scheme val="major"/>
    </font>
    <font>
      <sz val="11"/>
      <color rgb="FFFFFFFF"/>
      <name val="Calibri Light"/>
      <family val="2"/>
    </font>
    <font>
      <sz val="11"/>
      <color rgb="FF404040"/>
      <name val="Calibri"/>
      <family val="2"/>
    </font>
    <font>
      <strike/>
      <sz val="11"/>
      <color theme="1"/>
      <name val="Calibri"/>
      <family val="2"/>
      <scheme val="minor"/>
    </font>
    <font>
      <sz val="11"/>
      <color theme="0"/>
      <name val="Calibri"/>
      <family val="2"/>
    </font>
    <font>
      <b/>
      <sz val="11"/>
      <color theme="0"/>
      <name val="Calibri Light"/>
      <family val="2"/>
      <scheme val="major"/>
    </font>
    <font>
      <b/>
      <i/>
      <sz val="10"/>
      <color theme="5"/>
      <name val="Calibri"/>
      <family val="2"/>
      <scheme val="minor"/>
    </font>
    <font>
      <i/>
      <u/>
      <sz val="10"/>
      <color theme="1" tint="0.249977111117893"/>
      <name val="Calibri"/>
      <family val="2"/>
      <scheme val="minor"/>
    </font>
  </fonts>
  <fills count="154">
    <fill>
      <patternFill patternType="none"/>
    </fill>
    <fill>
      <patternFill patternType="gray125"/>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DEADF"/>
        <bgColor indexed="64"/>
      </patternFill>
    </fill>
    <fill>
      <patternFill patternType="solid">
        <fgColor rgb="FFFDEADF"/>
        <bgColor theme="4" tint="0.79998168889431442"/>
      </patternFill>
    </fill>
    <fill>
      <patternFill patternType="solid">
        <fgColor theme="2"/>
        <bgColor indexed="64"/>
      </patternFill>
    </fill>
    <fill>
      <patternFill patternType="solid">
        <fgColor theme="7" tint="0.59999389629810485"/>
        <bgColor indexed="64"/>
      </patternFill>
    </fill>
    <fill>
      <patternFill patternType="solid">
        <fgColor theme="4"/>
        <bgColor indexed="64"/>
      </patternFill>
    </fill>
    <fill>
      <patternFill patternType="solid">
        <fgColor theme="9" tint="0.59999389629810485"/>
        <bgColor indexed="64"/>
      </patternFill>
    </fill>
    <fill>
      <patternFill patternType="solid">
        <fgColor theme="2" tint="-0.499984740745262"/>
        <bgColor indexed="64"/>
      </patternFill>
    </fill>
    <fill>
      <patternFill patternType="solid">
        <fgColor rgb="FFFFFF99"/>
        <bgColor indexed="64"/>
      </patternFill>
    </fill>
    <fill>
      <patternFill patternType="solid">
        <fgColor indexed="22"/>
        <bgColor indexed="64"/>
      </patternFill>
    </fill>
    <fill>
      <patternFill patternType="solid">
        <fgColor indexed="47"/>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49"/>
      </patternFill>
    </fill>
    <fill>
      <patternFill patternType="lightUp">
        <fgColor indexed="9"/>
        <bgColor indexed="10"/>
      </patternFill>
    </fill>
    <fill>
      <patternFill patternType="solid">
        <fgColor indexed="8"/>
        <bgColor indexed="64"/>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9"/>
      </patternFill>
    </fill>
    <fill>
      <patternFill patternType="solid">
        <fgColor indexed="8"/>
      </patternFill>
    </fill>
    <fill>
      <patternFill patternType="solid">
        <fgColor indexed="54"/>
      </patternFill>
    </fill>
    <fill>
      <patternFill patternType="solid">
        <fgColor theme="0" tint="-0.14996795556505021"/>
        <bgColor indexed="64"/>
      </patternFill>
    </fill>
    <fill>
      <patternFill patternType="solid">
        <fgColor indexed="18"/>
        <bgColor indexed="64"/>
      </patternFill>
    </fill>
    <fill>
      <patternFill patternType="solid">
        <fgColor theme="3"/>
        <bgColor indexed="64"/>
      </patternFill>
    </fill>
    <fill>
      <patternFill patternType="solid">
        <fgColor theme="5" tint="0.39997558519241921"/>
        <bgColor indexed="64"/>
      </patternFill>
    </fill>
    <fill>
      <patternFill patternType="solid">
        <fgColor indexed="43"/>
        <bgColor indexed="64"/>
      </patternFill>
    </fill>
    <fill>
      <patternFill patternType="solid">
        <fgColor indexed="9"/>
        <bgColor indexed="64"/>
      </patternFill>
    </fill>
    <fill>
      <patternFill patternType="solid">
        <fgColor theme="8" tint="0.79998168889431442"/>
        <bgColor indexed="64"/>
      </patternFill>
    </fill>
    <fill>
      <patternFill patternType="solid">
        <fgColor rgb="FFF2F2F2"/>
      </patternFill>
    </fill>
    <fill>
      <patternFill patternType="solid">
        <fgColor theme="6" tint="0.59999389629810485"/>
        <bgColor indexed="64"/>
      </patternFill>
    </fill>
    <fill>
      <patternFill patternType="solid">
        <fgColor theme="0" tint="-0.249977111117893"/>
        <bgColor indexed="64"/>
      </patternFill>
    </fill>
    <fill>
      <patternFill patternType="solid">
        <fgColor rgb="FFA5A5A5"/>
      </patternFill>
    </fill>
    <fill>
      <patternFill patternType="solid">
        <fgColor rgb="FF0083CA"/>
        <bgColor indexed="64"/>
      </patternFill>
    </fill>
    <fill>
      <patternFill patternType="solid">
        <fgColor rgb="FF8CC646"/>
        <bgColor indexed="64"/>
      </patternFill>
    </fill>
    <fill>
      <patternFill patternType="solid">
        <fgColor rgb="FF123559"/>
        <bgColor indexed="64"/>
      </patternFill>
    </fill>
    <fill>
      <patternFill patternType="solid">
        <fgColor theme="6"/>
        <bgColor indexed="64"/>
      </patternFill>
    </fill>
    <fill>
      <patternFill patternType="solid">
        <fgColor rgb="FF7FCDE8"/>
        <bgColor indexed="64"/>
      </patternFill>
    </fill>
    <fill>
      <patternFill patternType="solid">
        <fgColor theme="4" tint="0.59999389629810485"/>
        <bgColor indexed="64"/>
      </patternFill>
    </fill>
    <fill>
      <patternFill patternType="solid">
        <fgColor theme="1"/>
        <bgColor indexed="64"/>
      </patternFill>
    </fill>
    <fill>
      <patternFill patternType="solid">
        <fgColor rgb="FFF2F2F2"/>
        <bgColor indexed="64"/>
      </patternFill>
    </fill>
    <fill>
      <patternFill patternType="solid">
        <fgColor rgb="FFFFFFFF"/>
        <bgColor indexed="64"/>
      </patternFill>
    </fill>
    <fill>
      <patternFill patternType="solid">
        <fgColor theme="7" tint="0.39997558519241921"/>
        <bgColor indexed="64"/>
      </patternFill>
    </fill>
    <fill>
      <patternFill patternType="solid">
        <fgColor rgb="FFFF0000"/>
        <bgColor indexed="64"/>
      </patternFill>
    </fill>
    <fill>
      <patternFill patternType="solid">
        <fgColor indexed="55"/>
        <bgColor indexed="64"/>
      </patternFill>
    </fill>
    <fill>
      <patternFill patternType="solid">
        <fgColor indexed="60"/>
        <bgColor indexed="64"/>
      </patternFill>
    </fill>
    <fill>
      <patternFill patternType="solid">
        <fgColor rgb="FFCDC4BD"/>
        <bgColor indexed="64"/>
      </patternFill>
    </fill>
    <fill>
      <patternFill patternType="solid">
        <fgColor rgb="FFD0C8BA"/>
        <bgColor indexed="64"/>
      </patternFill>
    </fill>
    <fill>
      <patternFill patternType="solid">
        <fgColor rgb="FFF4F1F0"/>
        <bgColor indexed="64"/>
      </patternFill>
    </fill>
    <fill>
      <patternFill patternType="solid">
        <fgColor rgb="FF9E8D6F"/>
        <bgColor indexed="64"/>
      </patternFill>
    </fill>
    <fill>
      <patternFill patternType="solid">
        <fgColor theme="6" tint="0.39994506668294322"/>
        <bgColor indexed="64"/>
      </patternFill>
    </fill>
    <fill>
      <patternFill patternType="solid">
        <fgColor theme="5" tint="0.59999389629810485"/>
        <bgColor indexed="64"/>
      </patternFill>
    </fill>
    <fill>
      <patternFill patternType="solid">
        <fgColor theme="1" tint="0.14999847407452621"/>
        <bgColor indexed="64"/>
      </patternFill>
    </fill>
    <fill>
      <patternFill patternType="solid">
        <fgColor rgb="FFC0C0C0"/>
        <bgColor rgb="FF000000"/>
      </patternFill>
    </fill>
    <fill>
      <patternFill patternType="solid">
        <fgColor rgb="FFC5D9F1"/>
        <bgColor rgb="FF000000"/>
      </patternFill>
    </fill>
    <fill>
      <patternFill patternType="solid">
        <fgColor rgb="FFDCE6F1"/>
        <bgColor rgb="FF000000"/>
      </patternFill>
    </fill>
    <fill>
      <patternFill patternType="solid">
        <fgColor rgb="FFF2DCDB"/>
        <bgColor rgb="FF000000"/>
      </patternFill>
    </fill>
    <fill>
      <patternFill patternType="solid">
        <fgColor rgb="FFD9D9D9"/>
        <bgColor rgb="FF000000"/>
      </patternFill>
    </fill>
    <fill>
      <patternFill patternType="solid">
        <fgColor rgb="FFFFFFCC"/>
        <bgColor indexed="64"/>
      </patternFill>
    </fill>
    <fill>
      <patternFill patternType="solid">
        <fgColor rgb="FFFFEB9C"/>
      </patternFill>
    </fill>
    <fill>
      <patternFill patternType="solid">
        <fgColor theme="4"/>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9" tint="0.39997558519241921"/>
        <bgColor indexed="65"/>
      </patternFill>
    </fill>
    <fill>
      <patternFill patternType="solid">
        <fgColor theme="9"/>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3" tint="0.79998168889431442"/>
        <bgColor indexed="64"/>
      </patternFill>
    </fill>
    <fill>
      <patternFill patternType="solid">
        <fgColor theme="6" tint="0.59996337778862885"/>
        <bgColor indexed="64"/>
      </patternFill>
    </fill>
    <fill>
      <patternFill patternType="solid">
        <fgColor theme="9" tint="0.59996337778862885"/>
        <bgColor indexed="64"/>
      </patternFill>
    </fill>
    <fill>
      <patternFill patternType="solid">
        <fgColor indexed="33"/>
        <bgColor indexed="64"/>
      </patternFill>
    </fill>
    <fill>
      <gradientFill type="path">
        <stop position="0">
          <color rgb="FFFFDE75"/>
        </stop>
        <stop position="1">
          <color rgb="FFFFFFB4"/>
        </stop>
      </gradientFill>
    </fill>
    <fill>
      <patternFill patternType="solid">
        <fgColor theme="3" tint="0.59999389629810485"/>
        <bgColor indexed="64"/>
      </patternFill>
    </fill>
    <fill>
      <patternFill patternType="solid">
        <fgColor indexed="62"/>
        <bgColor indexed="64"/>
      </patternFill>
    </fill>
    <fill>
      <patternFill patternType="solid">
        <fgColor indexed="61"/>
        <bgColor indexed="64"/>
      </patternFill>
    </fill>
    <fill>
      <patternFill patternType="solid">
        <fgColor rgb="FFFFC7CE"/>
        <bgColor indexed="64"/>
      </patternFill>
    </fill>
    <fill>
      <patternFill patternType="solid">
        <fgColor rgb="FFFFCC99"/>
        <bgColor indexed="64"/>
      </patternFill>
    </fill>
    <fill>
      <patternFill patternType="solid">
        <fgColor rgb="FFBFBFBF"/>
        <bgColor indexed="64"/>
      </patternFill>
    </fill>
    <fill>
      <patternFill patternType="solid">
        <fgColor rgb="FF92D050"/>
        <bgColor indexed="64"/>
      </patternFill>
    </fill>
    <fill>
      <patternFill patternType="solid">
        <fgColor rgb="FF006400"/>
        <bgColor indexed="64"/>
      </patternFill>
    </fill>
    <fill>
      <patternFill patternType="solid">
        <fgColor rgb="FF99C2ED"/>
        <bgColor indexed="64"/>
      </patternFill>
    </fill>
    <fill>
      <gradientFill degree="90">
        <stop position="0">
          <color theme="0"/>
        </stop>
        <stop position="0.5">
          <color theme="7" tint="0.59999389629810485"/>
        </stop>
        <stop position="1">
          <color theme="0"/>
        </stop>
      </gradientFill>
    </fill>
    <fill>
      <patternFill patternType="solid">
        <fgColor theme="6" tint="-0.24994659260841701"/>
        <bgColor indexed="64"/>
      </patternFill>
    </fill>
    <fill>
      <patternFill patternType="solid">
        <fgColor rgb="FFFFFFB4"/>
        <bgColor indexed="64"/>
      </patternFill>
    </fill>
    <fill>
      <patternFill patternType="solid">
        <fgColor rgb="FFCEDDAB"/>
        <bgColor indexed="64"/>
      </patternFill>
    </fill>
    <fill>
      <gradientFill degree="90">
        <stop position="0">
          <color rgb="FFFFFF99"/>
        </stop>
        <stop position="1">
          <color theme="4"/>
        </stop>
      </gradientFill>
    </fill>
    <fill>
      <patternFill patternType="solid">
        <fgColor rgb="FF008000"/>
        <bgColor indexed="64"/>
      </patternFill>
    </fill>
    <fill>
      <patternFill patternType="solid">
        <fgColor rgb="FFF2FEAC"/>
        <bgColor indexed="64"/>
      </patternFill>
    </fill>
    <fill>
      <patternFill patternType="solid">
        <fgColor indexed="41"/>
      </patternFill>
    </fill>
    <fill>
      <patternFill patternType="solid">
        <fgColor indexed="28"/>
      </patternFill>
    </fill>
    <fill>
      <patternFill patternType="solid">
        <fgColor indexed="19"/>
      </patternFill>
    </fill>
    <fill>
      <patternFill patternType="solid">
        <fgColor indexed="32"/>
        <bgColor indexed="64"/>
      </patternFill>
    </fill>
    <fill>
      <patternFill patternType="lightUp">
        <fgColor indexed="9"/>
        <bgColor indexed="57"/>
      </patternFill>
    </fill>
    <fill>
      <patternFill patternType="solid">
        <fgColor indexed="40"/>
        <bgColor indexed="64"/>
      </patternFill>
    </fill>
    <fill>
      <patternFill patternType="solid">
        <fgColor theme="6" tint="0.59996337778862885"/>
        <bgColor indexed="65"/>
      </patternFill>
    </fill>
    <fill>
      <patternFill patternType="solid">
        <fgColor theme="1" tint="0.499984740745262"/>
        <bgColor indexed="64"/>
      </patternFill>
    </fill>
  </fills>
  <borders count="528">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double">
        <color indexed="64"/>
      </bottom>
      <diagonal/>
    </border>
    <border>
      <left style="thin">
        <color theme="0" tint="-0.14996795556505021"/>
      </left>
      <right style="thin">
        <color theme="0" tint="-0.14996795556505021"/>
      </right>
      <top style="double">
        <color indexed="64"/>
      </top>
      <bottom style="hair">
        <color theme="0" tint="-0.499984740745262"/>
      </bottom>
      <diagonal/>
    </border>
    <border>
      <left style="thin">
        <color theme="0" tint="-0.14996795556505021"/>
      </left>
      <right style="thin">
        <color theme="0" tint="-0.14996795556505021"/>
      </right>
      <top style="hair">
        <color theme="0" tint="-0.499984740745262"/>
      </top>
      <bottom style="hair">
        <color theme="0" tint="-0.499984740745262"/>
      </bottom>
      <diagonal/>
    </border>
    <border>
      <left/>
      <right style="thin">
        <color theme="0" tint="-0.14996795556505021"/>
      </right>
      <top style="double">
        <color indexed="64"/>
      </top>
      <bottom style="hair">
        <color theme="0" tint="-0.499984740745262"/>
      </bottom>
      <diagonal/>
    </border>
    <border>
      <left/>
      <right style="thin">
        <color theme="0" tint="-0.14996795556505021"/>
      </right>
      <top style="hair">
        <color theme="0" tint="-0.499984740745262"/>
      </top>
      <bottom style="hair">
        <color theme="0" tint="-0.499984740745262"/>
      </bottom>
      <diagonal/>
    </border>
    <border>
      <left style="thin">
        <color theme="0" tint="-0.14996795556505021"/>
      </left>
      <right/>
      <top style="hair">
        <color theme="0" tint="-0.499984740745262"/>
      </top>
      <bottom style="hair">
        <color theme="0" tint="-0.499984740745262"/>
      </bottom>
      <diagonal/>
    </border>
    <border>
      <left style="thin">
        <color indexed="64"/>
      </left>
      <right/>
      <top style="thin">
        <color indexed="64"/>
      </top>
      <bottom/>
      <diagonal/>
    </border>
    <border>
      <left/>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theme="0" tint="-0.14996795556505021"/>
      </right>
      <top style="double">
        <color indexed="64"/>
      </top>
      <bottom style="hair">
        <color theme="0" tint="-0.499984740745262"/>
      </bottom>
      <diagonal/>
    </border>
    <border>
      <left style="thin">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thin">
        <color indexed="64"/>
      </right>
      <top style="hair">
        <color theme="0" tint="-0.499984740745262"/>
      </top>
      <bottom style="hair">
        <color theme="0" tint="-0.499984740745262"/>
      </bottom>
      <diagonal/>
    </border>
    <border>
      <left style="thin">
        <color indexed="64"/>
      </left>
      <right style="thin">
        <color theme="0" tint="-0.14996795556505021"/>
      </right>
      <top style="hair">
        <color theme="0" tint="-0.499984740745262"/>
      </top>
      <bottom style="thin">
        <color indexed="64"/>
      </bottom>
      <diagonal/>
    </border>
    <border>
      <left style="thin">
        <color theme="0" tint="-0.14996795556505021"/>
      </left>
      <right style="thin">
        <color theme="0" tint="-0.14996795556505021"/>
      </right>
      <top style="hair">
        <color theme="0" tint="-0.499984740745262"/>
      </top>
      <bottom style="thin">
        <color indexed="64"/>
      </bottom>
      <diagonal/>
    </border>
    <border>
      <left style="thin">
        <color theme="0" tint="-0.14996795556505021"/>
      </left>
      <right style="thin">
        <color indexed="64"/>
      </right>
      <top style="hair">
        <color theme="0" tint="-0.499984740745262"/>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thin">
        <color theme="0" tint="-0.14996795556505021"/>
      </left>
      <right style="thin">
        <color indexed="64"/>
      </right>
      <top style="hair">
        <color theme="0" tint="-0.34998626667073579"/>
      </top>
      <bottom style="hair">
        <color theme="0" tint="-0.499984740745262"/>
      </bottom>
      <diagonal/>
    </border>
    <border>
      <left style="thin">
        <color theme="0" tint="-0.14996795556505021"/>
      </left>
      <right style="thin">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top style="thin">
        <color indexed="64"/>
      </top>
      <bottom/>
      <diagonal/>
    </border>
    <border>
      <left style="thin">
        <color auto="1"/>
      </left>
      <right style="thin">
        <color indexed="64"/>
      </right>
      <top/>
      <bottom/>
      <diagonal/>
    </border>
    <border>
      <left/>
      <right/>
      <top style="hair">
        <color theme="0" tint="-0.14996795556505021"/>
      </top>
      <bottom style="hair">
        <color theme="0" tint="-0.14996795556505021"/>
      </bottom>
      <diagonal/>
    </border>
    <border>
      <left style="thin">
        <color indexed="64"/>
      </left>
      <right/>
      <top style="hair">
        <color theme="0" tint="-4.9989318521683403E-2"/>
      </top>
      <bottom style="hair">
        <color theme="0" tint="-4.9989318521683403E-2"/>
      </bottom>
      <diagonal/>
    </border>
    <border>
      <left style="thin">
        <color indexed="64"/>
      </left>
      <right style="thin">
        <color theme="0" tint="-0.14996795556505021"/>
      </right>
      <top style="double">
        <color indexed="64"/>
      </top>
      <bottom style="hair">
        <color theme="0" tint="-0.24994659260841701"/>
      </bottom>
      <diagonal/>
    </border>
    <border>
      <left style="thin">
        <color theme="0" tint="-0.14996795556505021"/>
      </left>
      <right style="thin">
        <color theme="0" tint="-0.14996795556505021"/>
      </right>
      <top style="double">
        <color indexed="64"/>
      </top>
      <bottom style="hair">
        <color theme="0" tint="-0.24994659260841701"/>
      </bottom>
      <diagonal/>
    </border>
    <border>
      <left style="thin">
        <color theme="0" tint="-0.14996795556505021"/>
      </left>
      <right style="thin">
        <color indexed="64"/>
      </right>
      <top style="double">
        <color indexed="64"/>
      </top>
      <bottom style="hair">
        <color theme="0" tint="-0.24994659260841701"/>
      </bottom>
      <diagonal/>
    </border>
    <border>
      <left style="thin">
        <color indexed="64"/>
      </left>
      <right style="thin">
        <color theme="0" tint="-0.14996795556505021"/>
      </right>
      <top style="hair">
        <color theme="0" tint="-0.24994659260841701"/>
      </top>
      <bottom style="hair">
        <color theme="0" tint="-0.24994659260841701"/>
      </bottom>
      <diagonal/>
    </border>
    <border>
      <left style="thin">
        <color theme="0" tint="-0.14996795556505021"/>
      </left>
      <right style="thin">
        <color theme="0" tint="-0.14996795556505021"/>
      </right>
      <top style="hair">
        <color theme="0" tint="-0.24994659260841701"/>
      </top>
      <bottom style="hair">
        <color theme="0" tint="-0.24994659260841701"/>
      </bottom>
      <diagonal/>
    </border>
    <border>
      <left style="thin">
        <color theme="0" tint="-0.14996795556505021"/>
      </left>
      <right style="thin">
        <color indexed="64"/>
      </right>
      <top style="hair">
        <color theme="0" tint="-0.24994659260841701"/>
      </top>
      <bottom style="hair">
        <color theme="0" tint="-0.24994659260841701"/>
      </bottom>
      <diagonal/>
    </border>
    <border>
      <left style="thin">
        <color theme="0" tint="-0.14996795556505021"/>
      </left>
      <right/>
      <top style="double">
        <color indexed="64"/>
      </top>
      <bottom style="hair">
        <color theme="0" tint="-0.24994659260841701"/>
      </bottom>
      <diagonal/>
    </border>
    <border>
      <left style="thin">
        <color theme="0" tint="-0.14996795556505021"/>
      </left>
      <right/>
      <top style="hair">
        <color theme="0" tint="-0.24994659260841701"/>
      </top>
      <bottom style="hair">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14996795556505021"/>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right style="medium">
        <color indexed="64"/>
      </right>
      <top style="thin">
        <color theme="1" tint="0.499984740745262"/>
      </top>
      <bottom style="hair">
        <color theme="1" tint="0.499984740745262"/>
      </bottom>
      <diagonal/>
    </border>
    <border>
      <left style="medium">
        <color indexed="64"/>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medium">
        <color indexed="64"/>
      </right>
      <top style="hair">
        <color theme="1" tint="0.499984740745262"/>
      </top>
      <bottom style="hair">
        <color theme="1" tint="0.499984740745262"/>
      </bottom>
      <diagonal/>
    </border>
    <border>
      <left style="medium">
        <color indexed="64"/>
      </left>
      <right/>
      <top style="hair">
        <color theme="1" tint="0.499984740745262"/>
      </top>
      <bottom style="thin">
        <color theme="1" tint="0.499984740745262"/>
      </bottom>
      <diagonal/>
    </border>
    <border>
      <left/>
      <right/>
      <top style="hair">
        <color theme="1" tint="0.499984740745262"/>
      </top>
      <bottom style="thin">
        <color theme="1" tint="0.499984740745262"/>
      </bottom>
      <diagonal/>
    </border>
    <border>
      <left/>
      <right style="medium">
        <color indexed="64"/>
      </right>
      <top style="hair">
        <color theme="1" tint="0.499984740745262"/>
      </top>
      <bottom style="thin">
        <color theme="1" tint="0.4999847407452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rgb="FFFF8001"/>
      </bottom>
      <diagonal/>
    </border>
    <border>
      <left style="medium">
        <color indexed="64"/>
      </left>
      <right/>
      <top style="medium">
        <color indexed="64"/>
      </top>
      <bottom style="thin">
        <color theme="1" tint="0.499984740745262"/>
      </bottom>
      <diagonal/>
    </border>
    <border>
      <left style="medium">
        <color theme="1" tint="0.499984740745262"/>
      </left>
      <right style="medium">
        <color indexed="64"/>
      </right>
      <top style="medium">
        <color indexed="64"/>
      </top>
      <bottom style="medium">
        <color theme="1" tint="0.499984740745262"/>
      </bottom>
      <diagonal/>
    </border>
    <border>
      <left style="medium">
        <color indexed="64"/>
      </left>
      <right/>
      <top style="thin">
        <color theme="1" tint="0.499984740745262"/>
      </top>
      <bottom style="thin">
        <color theme="1" tint="0.499984740745262"/>
      </bottom>
      <diagonal/>
    </border>
    <border>
      <left style="medium">
        <color theme="1" tint="0.499984740745262"/>
      </left>
      <right style="medium">
        <color indexed="64"/>
      </right>
      <top style="medium">
        <color theme="1" tint="0.499984740745262"/>
      </top>
      <bottom style="medium">
        <color theme="1" tint="0.499984740745262"/>
      </bottom>
      <diagonal/>
    </border>
    <border>
      <left style="medium">
        <color indexed="64"/>
      </left>
      <right/>
      <top style="thin">
        <color theme="1" tint="0.499984740745262"/>
      </top>
      <bottom/>
      <diagonal/>
    </border>
    <border>
      <left style="medium">
        <color theme="1" tint="0.499984740745262"/>
      </left>
      <right style="medium">
        <color indexed="64"/>
      </right>
      <top style="medium">
        <color theme="1" tint="0.499984740745262"/>
      </top>
      <bottom/>
      <diagonal/>
    </border>
    <border>
      <left/>
      <right/>
      <top style="medium">
        <color indexed="64"/>
      </top>
      <bottom style="thin">
        <color theme="1" tint="0.499984740745262"/>
      </bottom>
      <diagonal/>
    </border>
    <border>
      <left/>
      <right/>
      <top style="thin">
        <color theme="1" tint="0.499984740745262"/>
      </top>
      <bottom style="thin">
        <color theme="1" tint="0.499984740745262"/>
      </bottom>
      <diagonal/>
    </border>
    <border>
      <left style="medium">
        <color indexed="64"/>
      </left>
      <right/>
      <top style="thin">
        <color theme="1" tint="0.499984740745262"/>
      </top>
      <bottom style="medium">
        <color indexed="64"/>
      </bottom>
      <diagonal/>
    </border>
    <border>
      <left/>
      <right/>
      <top style="thin">
        <color theme="1" tint="0.499984740745262"/>
      </top>
      <bottom style="medium">
        <color indexed="64"/>
      </bottom>
      <diagonal/>
    </border>
    <border>
      <left style="thin">
        <color theme="1" tint="0.499984740745262"/>
      </left>
      <right/>
      <top style="medium">
        <color theme="1" tint="0.499984740745262"/>
      </top>
      <bottom style="hair">
        <color theme="1" tint="0.499984740745262"/>
      </bottom>
      <diagonal/>
    </border>
    <border>
      <left style="medium">
        <color theme="1" tint="0.499984740745262"/>
      </left>
      <right style="thin">
        <color theme="1" tint="0.499984740745262"/>
      </right>
      <top style="medium">
        <color theme="1" tint="0.499984740745262"/>
      </top>
      <bottom style="hair">
        <color theme="1" tint="0.499984740745262"/>
      </bottom>
      <diagonal/>
    </border>
    <border>
      <left style="thin">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top style="medium">
        <color theme="1" tint="0.499984740745262"/>
      </top>
      <bottom style="hair">
        <color theme="1" tint="0.499984740745262"/>
      </bottom>
      <diagonal/>
    </border>
    <border>
      <left style="thin">
        <color theme="0" tint="-0.14996795556505021"/>
      </left>
      <right/>
      <top style="hair">
        <color theme="0" tint="-0.499984740745262"/>
      </top>
      <bottom style="thin">
        <color indexed="64"/>
      </bottom>
      <diagonal/>
    </border>
    <border>
      <left style="thin">
        <color theme="0"/>
      </left>
      <right style="thin">
        <color theme="0"/>
      </right>
      <top style="thin">
        <color theme="0"/>
      </top>
      <bottom style="thin">
        <color theme="0"/>
      </bottom>
      <diagonal/>
    </border>
    <border>
      <left style="thin">
        <color theme="0" tint="-0.14996795556505021"/>
      </left>
      <right style="thin">
        <color indexed="64"/>
      </right>
      <top/>
      <bottom style="hair">
        <color theme="0" tint="-0.24994659260841701"/>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style="thin">
        <color indexed="64"/>
      </left>
      <right style="thin">
        <color indexed="64"/>
      </right>
      <top style="hair">
        <color theme="0" tint="-0.14996795556505021"/>
      </top>
      <bottom style="thin">
        <color indexed="64"/>
      </bottom>
      <diagonal/>
    </border>
    <border>
      <left style="thin">
        <color indexed="64"/>
      </left>
      <right style="thin">
        <color theme="0" tint="-0.14996795556505021"/>
      </right>
      <top style="hair">
        <color theme="0" tint="-0.499984740745262"/>
      </top>
      <bottom/>
      <diagonal/>
    </border>
    <border>
      <left style="thin">
        <color theme="0" tint="-0.14996795556505021"/>
      </left>
      <right style="thin">
        <color theme="0" tint="-0.14996795556505021"/>
      </right>
      <top style="hair">
        <color theme="0" tint="-0.499984740745262"/>
      </top>
      <bottom/>
      <diagonal/>
    </border>
    <border>
      <left style="thin">
        <color indexed="64"/>
      </left>
      <right style="thin">
        <color theme="0" tint="-0.14996795556505021"/>
      </right>
      <top/>
      <bottom style="hair">
        <color theme="0" tint="-0.499984740745262"/>
      </bottom>
      <diagonal/>
    </border>
    <border>
      <left style="thin">
        <color theme="0" tint="-0.14996795556505021"/>
      </left>
      <right style="thin">
        <color theme="0" tint="-0.14996795556505021"/>
      </right>
      <top/>
      <bottom style="hair">
        <color theme="0" tint="-0.499984740745262"/>
      </bottom>
      <diagonal/>
    </border>
    <border>
      <left style="thin">
        <color theme="0" tint="-0.14996795556505021"/>
      </left>
      <right/>
      <top/>
      <bottom style="hair">
        <color theme="0" tint="-0.499984740745262"/>
      </bottom>
      <diagonal/>
    </border>
    <border>
      <left style="thin">
        <color theme="0" tint="-0.14996795556505021"/>
      </left>
      <right style="thin">
        <color indexed="64"/>
      </right>
      <top/>
      <bottom style="hair">
        <color theme="0" tint="-0.499984740745262"/>
      </bottom>
      <diagonal/>
    </border>
    <border>
      <left style="thin">
        <color theme="0"/>
      </left>
      <right style="thin">
        <color theme="0"/>
      </right>
      <top style="thin">
        <color theme="0"/>
      </top>
      <bottom/>
      <diagonal/>
    </border>
    <border>
      <left style="thin">
        <color indexed="64"/>
      </left>
      <right style="thin">
        <color theme="1" tint="0.499984740745262"/>
      </right>
      <top style="thin">
        <color indexed="64"/>
      </top>
      <bottom style="double">
        <color theme="1" tint="0.499984740745262"/>
      </bottom>
      <diagonal/>
    </border>
    <border>
      <left style="thin">
        <color theme="1" tint="0.499984740745262"/>
      </left>
      <right/>
      <top style="thin">
        <color indexed="64"/>
      </top>
      <bottom style="double">
        <color theme="1" tint="0.499984740745262"/>
      </bottom>
      <diagonal/>
    </border>
    <border>
      <left style="medium">
        <color theme="1" tint="0.499984740745262"/>
      </left>
      <right style="thin">
        <color theme="1" tint="0.499984740745262"/>
      </right>
      <top style="thin">
        <color indexed="64"/>
      </top>
      <bottom style="double">
        <color theme="1" tint="0.499984740745262"/>
      </bottom>
      <diagonal/>
    </border>
    <border>
      <left style="thin">
        <color theme="1" tint="0.499984740745262"/>
      </left>
      <right style="thin">
        <color theme="1" tint="0.499984740745262"/>
      </right>
      <top style="thin">
        <color indexed="64"/>
      </top>
      <bottom style="double">
        <color theme="1" tint="0.499984740745262"/>
      </bottom>
      <diagonal/>
    </border>
    <border>
      <left style="thin">
        <color theme="1" tint="0.499984740745262"/>
      </left>
      <right style="medium">
        <color theme="1" tint="0.499984740745262"/>
      </right>
      <top style="thin">
        <color indexed="64"/>
      </top>
      <bottom style="double">
        <color theme="1" tint="0.499984740745262"/>
      </bottom>
      <diagonal/>
    </border>
    <border>
      <left style="medium">
        <color theme="1" tint="0.499984740745262"/>
      </left>
      <right/>
      <top style="thin">
        <color indexed="64"/>
      </top>
      <bottom style="double">
        <color theme="1" tint="0.499984740745262"/>
      </bottom>
      <diagonal/>
    </border>
    <border>
      <left style="thin">
        <color theme="1" tint="0.499984740745262"/>
      </left>
      <right style="thin">
        <color indexed="64"/>
      </right>
      <top style="thin">
        <color indexed="64"/>
      </top>
      <bottom style="double">
        <color theme="1" tint="0.499984740745262"/>
      </bottom>
      <diagonal/>
    </border>
    <border>
      <left style="thin">
        <color indexed="64"/>
      </left>
      <right style="thin">
        <color theme="1" tint="0.499984740745262"/>
      </right>
      <top style="medium">
        <color theme="1" tint="0.499984740745262"/>
      </top>
      <bottom style="hair">
        <color theme="1" tint="0.499984740745262"/>
      </bottom>
      <diagonal/>
    </border>
    <border>
      <left style="thin">
        <color theme="1" tint="0.499984740745262"/>
      </left>
      <right style="thin">
        <color indexed="64"/>
      </right>
      <top style="medium">
        <color theme="1" tint="0.499984740745262"/>
      </top>
      <bottom style="hair">
        <color theme="1" tint="0.499984740745262"/>
      </bottom>
      <diagonal/>
    </border>
    <border>
      <left style="thin">
        <color indexed="64"/>
      </left>
      <right style="thin">
        <color theme="1" tint="0.499984740745262"/>
      </right>
      <top style="hair">
        <color theme="1" tint="0.499984740745262"/>
      </top>
      <bottom style="thin">
        <color indexed="64"/>
      </bottom>
      <diagonal/>
    </border>
    <border>
      <left style="thin">
        <color theme="1" tint="0.499984740745262"/>
      </left>
      <right/>
      <top style="hair">
        <color theme="1" tint="0.499984740745262"/>
      </top>
      <bottom style="thin">
        <color indexed="64"/>
      </bottom>
      <diagonal/>
    </border>
    <border>
      <left style="medium">
        <color theme="1" tint="0.499984740745262"/>
      </left>
      <right style="thin">
        <color theme="1" tint="0.499984740745262"/>
      </right>
      <top/>
      <bottom style="thin">
        <color indexed="64"/>
      </bottom>
      <diagonal/>
    </border>
    <border>
      <left style="medium">
        <color theme="1" tint="0.499984740745262"/>
      </left>
      <right/>
      <top/>
      <bottom style="thin">
        <color indexed="64"/>
      </bottom>
      <diagonal/>
    </border>
    <border>
      <left style="thin">
        <color theme="1" tint="0.499984740745262"/>
      </left>
      <right style="thin">
        <color indexed="64"/>
      </right>
      <top/>
      <bottom style="thin">
        <color indexed="64"/>
      </bottom>
      <diagonal/>
    </border>
    <border>
      <left style="medium">
        <color indexed="64"/>
      </left>
      <right style="medium">
        <color indexed="64"/>
      </right>
      <top/>
      <bottom/>
      <diagonal/>
    </border>
    <border>
      <left/>
      <right/>
      <top style="hair">
        <color theme="0" tint="-0.24994659260841701"/>
      </top>
      <bottom style="hair">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14996795556505021"/>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theme="0" tint="-0.14996795556505021"/>
      </right>
      <top style="hair">
        <color theme="0" tint="-0.24994659260841701"/>
      </top>
      <bottom style="medium">
        <color indexed="64"/>
      </bottom>
      <diagonal/>
    </border>
    <border>
      <left style="thin">
        <color theme="0" tint="-0.14996795556505021"/>
      </left>
      <right style="thin">
        <color theme="0" tint="-0.14996795556505021"/>
      </right>
      <top style="hair">
        <color theme="0" tint="-0.24994659260841701"/>
      </top>
      <bottom style="medium">
        <color indexed="64"/>
      </bottom>
      <diagonal/>
    </border>
    <border>
      <left style="thin">
        <color theme="0" tint="-0.14996795556505021"/>
      </left>
      <right/>
      <top style="hair">
        <color theme="0" tint="-0.24994659260841701"/>
      </top>
      <bottom style="medium">
        <color indexed="64"/>
      </bottom>
      <diagonal/>
    </border>
    <border>
      <left style="medium">
        <color indexed="64"/>
      </left>
      <right style="thin">
        <color indexed="64"/>
      </right>
      <top/>
      <bottom style="medium">
        <color indexed="64"/>
      </bottom>
      <diagonal/>
    </border>
    <border>
      <left style="thin">
        <color theme="0" tint="-0.14996795556505021"/>
      </left>
      <right style="thin">
        <color theme="0" tint="-0.14996795556505021"/>
      </right>
      <top style="hair">
        <color theme="0" tint="-0.14996795556505021"/>
      </top>
      <bottom style="hair">
        <color theme="0" tint="-0.14996795556505021"/>
      </bottom>
      <diagonal/>
    </border>
    <border>
      <left style="thin">
        <color theme="0" tint="-0.14996795556505021"/>
      </left>
      <right/>
      <top style="hair">
        <color theme="0" tint="-0.14996795556505021"/>
      </top>
      <bottom style="hair">
        <color theme="0" tint="-0.14996795556505021"/>
      </bottom>
      <diagonal/>
    </border>
    <border>
      <left/>
      <right/>
      <top style="thin">
        <color indexed="49"/>
      </top>
      <bottom style="double">
        <color indexed="49"/>
      </bottom>
      <diagonal/>
    </border>
    <border>
      <left style="medium">
        <color indexed="64"/>
      </left>
      <right style="medium">
        <color indexed="64"/>
      </right>
      <top/>
      <bottom style="medium">
        <color indexed="64"/>
      </bottom>
      <diagonal/>
    </border>
    <border>
      <left style="thin">
        <color indexed="64"/>
      </left>
      <right style="thin">
        <color indexed="64"/>
      </right>
      <top style="hair">
        <color theme="0" tint="-4.9989318521683403E-2"/>
      </top>
      <bottom style="hair">
        <color theme="0" tint="-4.9989318521683403E-2"/>
      </bottom>
      <diagonal/>
    </border>
    <border>
      <left/>
      <right style="thin">
        <color theme="0" tint="-0.14996795556505021"/>
      </right>
      <top/>
      <bottom style="hair">
        <color theme="0" tint="-0.499984740745262"/>
      </bottom>
      <diagonal/>
    </border>
    <border>
      <left style="thin">
        <color theme="0" tint="-0.14996795556505021"/>
      </left>
      <right style="thin">
        <color theme="0" tint="-0.1499679555650502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bottom style="hair">
        <color theme="0" tint="-0.24994659260841701"/>
      </bottom>
      <diagonal/>
    </border>
    <border>
      <left/>
      <right/>
      <top/>
      <bottom style="hair">
        <color theme="0" tint="-0.24994659260841701"/>
      </bottom>
      <diagonal/>
    </border>
    <border>
      <left style="thin">
        <color indexed="64"/>
      </left>
      <right style="thin">
        <color theme="0" tint="-0.24994659260841701"/>
      </right>
      <top style="hair">
        <color theme="0" tint="-0.24994659260841701"/>
      </top>
      <bottom style="hair">
        <color theme="0" tint="-0.24994659260841701"/>
      </bottom>
      <diagonal/>
    </border>
    <border>
      <left style="thin">
        <color theme="0" tint="-0.24994659260841701"/>
      </left>
      <right style="thin">
        <color indexed="64"/>
      </right>
      <top style="hair">
        <color theme="0" tint="-0.24994659260841701"/>
      </top>
      <bottom style="hair">
        <color theme="0" tint="-0.24994659260841701"/>
      </bottom>
      <diagonal/>
    </border>
    <border>
      <left style="thin">
        <color indexed="64"/>
      </left>
      <right/>
      <top style="thin">
        <color indexed="64"/>
      </top>
      <bottom style="hair">
        <color theme="0" tint="-4.9989318521683403E-2"/>
      </bottom>
      <diagonal/>
    </border>
    <border>
      <left style="medium">
        <color indexed="64"/>
      </left>
      <right style="medium">
        <color indexed="64"/>
      </right>
      <top style="thin">
        <color theme="1" tint="0.499984740745262"/>
      </top>
      <bottom style="hair">
        <color theme="1" tint="0.499984740745262"/>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medium">
        <color indexed="64"/>
      </left>
      <right/>
      <top style="double">
        <color rgb="FFFF8001"/>
      </top>
      <bottom style="medium">
        <color indexed="64"/>
      </bottom>
      <diagonal/>
    </border>
    <border>
      <left/>
      <right/>
      <top style="double">
        <color rgb="FFFF8001"/>
      </top>
      <bottom style="medium">
        <color indexed="64"/>
      </bottom>
      <diagonal/>
    </border>
    <border>
      <left style="medium">
        <color indexed="64"/>
      </left>
      <right style="thin">
        <color theme="0" tint="-0.14996795556505021"/>
      </right>
      <top style="hair">
        <color theme="0" tint="-0.24994659260841701"/>
      </top>
      <bottom style="hair">
        <color theme="0" tint="-0.24994659260841701"/>
      </bottom>
      <diagonal/>
    </border>
    <border>
      <left/>
      <right style="thin">
        <color auto="1"/>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hair">
        <color theme="1" tint="0.499984740745262"/>
      </top>
      <bottom style="hair">
        <color theme="1" tint="0.499984740745262"/>
      </bottom>
      <diagonal/>
    </border>
    <border>
      <left style="medium">
        <color indexed="64"/>
      </left>
      <right style="medium">
        <color indexed="64"/>
      </right>
      <top style="hair">
        <color theme="1" tint="0.499984740745262"/>
      </top>
      <bottom style="thin">
        <color theme="1" tint="0.499984740745262"/>
      </bottom>
      <diagonal/>
    </border>
    <border>
      <left/>
      <right/>
      <top style="thin">
        <color indexed="64"/>
      </top>
      <bottom style="double">
        <color indexed="64"/>
      </bottom>
      <diagonal/>
    </border>
    <border>
      <left style="thin">
        <color indexed="64"/>
      </left>
      <right style="thin">
        <color theme="0" tint="-0.14996795556505021"/>
      </right>
      <top style="hair">
        <color theme="0" tint="-0.24994659260841701"/>
      </top>
      <bottom/>
      <diagonal/>
    </border>
    <border>
      <left style="thin">
        <color theme="0" tint="-0.14996795556505021"/>
      </left>
      <right style="thin">
        <color theme="0" tint="-0.14996795556505021"/>
      </right>
      <top style="hair">
        <color theme="0" tint="-0.24994659260841701"/>
      </top>
      <bottom/>
      <diagonal/>
    </border>
    <border>
      <left style="thin">
        <color theme="0" tint="-0.14996795556505021"/>
      </left>
      <right/>
      <top/>
      <bottom/>
      <diagonal/>
    </border>
    <border>
      <left style="thin">
        <color theme="0" tint="-0.14996795556505021"/>
      </left>
      <right/>
      <top style="hair">
        <color theme="0" tint="-0.24994659260841701"/>
      </top>
      <bottom/>
      <diagonal/>
    </border>
    <border>
      <left style="thin">
        <color theme="0" tint="-0.14996795556505021"/>
      </left>
      <right style="thin">
        <color indexed="64"/>
      </right>
      <top style="hair">
        <color theme="0" tint="-0.24994659260841701"/>
      </top>
      <bottom/>
      <diagonal/>
    </border>
    <border>
      <left style="thin">
        <color theme="0" tint="-0.14996795556505021"/>
      </left>
      <right style="thin">
        <color theme="0" tint="-0.14996795556505021"/>
      </right>
      <top style="double">
        <color indexed="64"/>
      </top>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theme="0" tint="-0.24994659260841701"/>
      </right>
      <top style="hair">
        <color theme="0" tint="-4.9989318521683403E-2"/>
      </top>
      <bottom style="hair">
        <color theme="0" tint="-4.9989318521683403E-2"/>
      </bottom>
      <diagonal/>
    </border>
    <border>
      <left style="thin">
        <color theme="0" tint="-0.14996795556505021"/>
      </left>
      <right style="thin">
        <color theme="0" tint="-0.14996795556505021"/>
      </right>
      <top/>
      <bottom style="thin">
        <color indexed="64"/>
      </bottom>
      <diagonal/>
    </border>
    <border>
      <left style="medium">
        <color indexed="64"/>
      </left>
      <right style="thin">
        <color indexed="64"/>
      </right>
      <top style="medium">
        <color indexed="64"/>
      </top>
      <bottom/>
      <diagonal/>
    </border>
    <border>
      <left style="thin">
        <color theme="0" tint="-0.24994659260841701"/>
      </left>
      <right style="thin">
        <color theme="0" tint="-0.24994659260841701"/>
      </right>
      <top style="hair">
        <color theme="0" tint="-0.24994659260841701"/>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right/>
      <top style="thin">
        <color indexed="64"/>
      </top>
      <bottom style="thin">
        <color theme="0" tint="-0.24994659260841701"/>
      </bottom>
      <diagonal/>
    </border>
    <border>
      <left style="thin">
        <color indexed="64"/>
      </left>
      <right style="thin">
        <color theme="0" tint="-0.24994659260841701"/>
      </right>
      <top/>
      <bottom style="hair">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theme="0" tint="-0.24994659260841701"/>
      </right>
      <top/>
      <bottom style="thin">
        <color indexed="64"/>
      </bottom>
      <diagonal/>
    </border>
    <border>
      <left style="thin">
        <color theme="0" tint="-0.24994659260841701"/>
      </left>
      <right style="thin">
        <color theme="0" tint="-0.24994659260841701"/>
      </right>
      <top style="hair">
        <color theme="0" tint="-0.24994659260841701"/>
      </top>
      <bottom style="thin">
        <color indexed="64"/>
      </bottom>
      <diagonal/>
    </border>
    <border>
      <left style="thin">
        <color theme="0" tint="-0.14996795556505021"/>
      </left>
      <right style="thin">
        <color theme="0" tint="-0.14996795556505021"/>
      </right>
      <top style="hair">
        <color theme="0" tint="-0.24994659260841701"/>
      </top>
      <bottom style="thin">
        <color indexed="64"/>
      </bottom>
      <diagonal/>
    </border>
    <border>
      <left style="thin">
        <color theme="0" tint="-0.14996795556505021"/>
      </left>
      <right/>
      <top style="hair">
        <color theme="0" tint="-0.24994659260841701"/>
      </top>
      <bottom style="thin">
        <color indexed="64"/>
      </bottom>
      <diagonal/>
    </border>
    <border>
      <left style="thin">
        <color indexed="64"/>
      </left>
      <right style="thin">
        <color theme="0" tint="-0.14996795556505021"/>
      </right>
      <top style="hair">
        <color theme="0" tint="-0.24994659260841701"/>
      </top>
      <bottom style="thin">
        <color indexed="64"/>
      </bottom>
      <diagonal/>
    </border>
    <border>
      <left style="thin">
        <color theme="0" tint="-0.14996795556505021"/>
      </left>
      <right style="thin">
        <color indexed="64"/>
      </right>
      <top style="hair">
        <color theme="0" tint="-0.24994659260841701"/>
      </top>
      <bottom style="thin">
        <color indexed="64"/>
      </bottom>
      <diagonal/>
    </border>
    <border>
      <left style="thin">
        <color theme="0" tint="-0.14996795556505021"/>
      </left>
      <right style="thin">
        <color indexed="64"/>
      </right>
      <top style="hair">
        <color theme="0" tint="-0.14996795556505021"/>
      </top>
      <bottom style="hair">
        <color theme="0" tint="-0.14996795556505021"/>
      </bottom>
      <diagonal/>
    </border>
    <border>
      <left style="thin">
        <color theme="0" tint="-0.14996795556505021"/>
      </left>
      <right style="thin">
        <color indexed="64"/>
      </right>
      <top style="hair">
        <color theme="0" tint="-0.14996795556505021"/>
      </top>
      <bottom style="thin">
        <color indexed="64"/>
      </bottom>
      <diagonal/>
    </border>
    <border>
      <left style="double">
        <color rgb="FF3F3F3F"/>
      </left>
      <right style="double">
        <color rgb="FF3F3F3F"/>
      </right>
      <top style="double">
        <color rgb="FF3F3F3F"/>
      </top>
      <bottom style="double">
        <color rgb="FF3F3F3F"/>
      </bottom>
      <diagonal/>
    </border>
    <border>
      <left style="thin">
        <color theme="0" tint="-0.14996795556505021"/>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thin">
        <color indexed="64"/>
      </left>
      <right/>
      <top style="hair">
        <color theme="0" tint="-0.14996795556505021"/>
      </top>
      <bottom style="hair">
        <color theme="0" tint="-0.24994659260841701"/>
      </bottom>
      <diagonal/>
    </border>
    <border>
      <left style="thin">
        <color indexed="64"/>
      </left>
      <right/>
      <top style="hair">
        <color theme="0" tint="-0.24994659260841701"/>
      </top>
      <bottom style="hair">
        <color theme="0" tint="-0.24994659260841701"/>
      </bottom>
      <diagonal/>
    </border>
    <border>
      <left style="thin">
        <color indexed="64"/>
      </left>
      <right/>
      <top style="hair">
        <color theme="0" tint="-0.24994659260841701"/>
      </top>
      <bottom style="thin">
        <color indexed="64"/>
      </bottom>
      <diagonal/>
    </border>
    <border>
      <left/>
      <right/>
      <top style="hair">
        <color theme="0" tint="-0.24994659260841701"/>
      </top>
      <bottom style="thin">
        <color indexed="64"/>
      </bottom>
      <diagonal/>
    </border>
    <border>
      <left style="thin">
        <color theme="0" tint="-0.24994659260841701"/>
      </left>
      <right style="thin">
        <color indexed="64"/>
      </right>
      <top style="hair">
        <color theme="0" tint="-0.14996795556505021"/>
      </top>
      <bottom style="hair">
        <color theme="0" tint="-0.24994659260841701"/>
      </bottom>
      <diagonal/>
    </border>
    <border>
      <left style="thin">
        <color indexed="64"/>
      </left>
      <right style="thin">
        <color theme="0" tint="-0.24994659260841701"/>
      </right>
      <top style="hair">
        <color theme="0" tint="-0.24994659260841701"/>
      </top>
      <bottom style="thin">
        <color auto="1"/>
      </bottom>
      <diagonal/>
    </border>
    <border>
      <left style="thin">
        <color theme="0" tint="-0.24994659260841701"/>
      </left>
      <right style="thin">
        <color indexed="64"/>
      </right>
      <top style="hair">
        <color theme="0" tint="-0.24994659260841701"/>
      </top>
      <bottom style="thin">
        <color auto="1"/>
      </bottom>
      <diagonal/>
    </border>
    <border>
      <left/>
      <right style="thin">
        <color theme="0" tint="-0.14996795556505021"/>
      </right>
      <top style="double">
        <color indexed="64"/>
      </top>
      <bottom style="hair">
        <color theme="0" tint="-0.24994659260841701"/>
      </bottom>
      <diagonal/>
    </border>
    <border>
      <left style="thin">
        <color theme="0" tint="-0.24994659260841701"/>
      </left>
      <right style="thin">
        <color indexed="64"/>
      </right>
      <top style="double">
        <color indexed="64"/>
      </top>
      <bottom style="hair">
        <color theme="0" tint="-0.24994659260841701"/>
      </bottom>
      <diagonal/>
    </border>
    <border>
      <left/>
      <right style="thin">
        <color theme="0" tint="-0.14996795556505021"/>
      </right>
      <top style="hair">
        <color theme="0" tint="-0.24994659260841701"/>
      </top>
      <bottom style="hair">
        <color theme="0" tint="-0.24994659260841701"/>
      </bottom>
      <diagonal/>
    </border>
    <border>
      <left/>
      <right style="thin">
        <color theme="0" tint="-0.14996795556505021"/>
      </right>
      <top style="hair">
        <color theme="0" tint="-0.24994659260841701"/>
      </top>
      <bottom style="thin">
        <color indexed="64"/>
      </bottom>
      <diagonal/>
    </border>
    <border>
      <left style="thin">
        <color indexed="64"/>
      </left>
      <right style="thin">
        <color theme="0" tint="-0.14996795556505021"/>
      </right>
      <top style="hair">
        <color theme="0" tint="-0.14996795556505021"/>
      </top>
      <bottom style="hair">
        <color theme="0" tint="-0.14996795556505021"/>
      </bottom>
      <diagonal/>
    </border>
    <border>
      <left/>
      <right style="thin">
        <color theme="0" tint="-0.14996795556505021"/>
      </right>
      <top style="hair">
        <color theme="0" tint="-0.14996795556505021"/>
      </top>
      <bottom style="hair">
        <color theme="0" tint="-0.14996795556505021"/>
      </bottom>
      <diagonal/>
    </border>
    <border>
      <left style="thin">
        <color indexed="64"/>
      </left>
      <right style="thin">
        <color indexed="64"/>
      </right>
      <top style="hair">
        <color theme="0" tint="-0.14996795556505021"/>
      </top>
      <bottom style="hair">
        <color theme="0" tint="-0.14996795556505021"/>
      </bottom>
      <diagonal/>
    </border>
    <border>
      <left style="thin">
        <color theme="0" tint="-0.14996795556505021"/>
      </left>
      <right style="thin">
        <color theme="0" tint="-0.14996795556505021"/>
      </right>
      <top style="hair">
        <color theme="0" tint="-0.14996795556505021"/>
      </top>
      <bottom style="thin">
        <color indexed="64"/>
      </bottom>
      <diagonal/>
    </border>
    <border>
      <left style="thin">
        <color theme="0" tint="-0.14996795556505021"/>
      </left>
      <right style="thin">
        <color theme="0" tint="-0.14996795556505021"/>
      </right>
      <top/>
      <bottom style="hair">
        <color theme="0" tint="-0.24994659260841701"/>
      </bottom>
      <diagonal/>
    </border>
    <border>
      <left style="thin">
        <color theme="0" tint="-0.14996795556505021"/>
      </left>
      <right/>
      <top/>
      <bottom style="hair">
        <color theme="0" tint="-0.24994659260841701"/>
      </bottom>
      <diagonal/>
    </border>
    <border>
      <left style="thin">
        <color indexed="64"/>
      </left>
      <right style="thin">
        <color theme="0" tint="-0.14996795556505021"/>
      </right>
      <top/>
      <bottom style="hair">
        <color theme="0" tint="-0.24994659260841701"/>
      </bottom>
      <diagonal/>
    </border>
    <border>
      <left/>
      <right/>
      <top style="thin">
        <color indexed="64"/>
      </top>
      <bottom style="thin">
        <color indexed="64"/>
      </bottom>
      <diagonal/>
    </border>
    <border>
      <left style="thin">
        <color indexed="64"/>
      </left>
      <right/>
      <top style="thin">
        <color indexed="64"/>
      </top>
      <bottom/>
      <diagonal/>
    </border>
    <border>
      <left style="thin">
        <color theme="0" tint="-0.14996795556505021"/>
      </left>
      <right style="thin">
        <color theme="0" tint="-0.14996795556505021"/>
      </right>
      <top style="hair">
        <color theme="0" tint="-0.14993743705557422"/>
      </top>
      <bottom style="hair">
        <color theme="0" tint="-0.14993743705557422"/>
      </bottom>
      <diagonal/>
    </border>
    <border>
      <left style="thin">
        <color theme="0" tint="-0.14996795556505021"/>
      </left>
      <right style="thin">
        <color theme="0" tint="-0.14996795556505021"/>
      </right>
      <top/>
      <bottom style="hair">
        <color theme="0" tint="-0.14993743705557422"/>
      </bottom>
      <diagonal/>
    </border>
    <border>
      <left style="thin">
        <color theme="0" tint="-0.14996795556505021"/>
      </left>
      <right style="thin">
        <color theme="0" tint="-0.14996795556505021"/>
      </right>
      <top style="hair">
        <color theme="0" tint="-0.14993743705557422"/>
      </top>
      <bottom style="thin">
        <color theme="0" tint="-0.14993743705557422"/>
      </bottom>
      <diagonal/>
    </border>
    <border>
      <left style="thin">
        <color theme="0" tint="-0.14996795556505021"/>
      </left>
      <right style="thin">
        <color theme="0" tint="-0.14996795556505021"/>
      </right>
      <top style="thin">
        <color theme="0" tint="-0.14993743705557422"/>
      </top>
      <bottom style="hair">
        <color theme="0" tint="-0.14993743705557422"/>
      </bottom>
      <diagonal/>
    </border>
    <border>
      <left style="thin">
        <color theme="0" tint="-0.14996795556505021"/>
      </left>
      <right/>
      <top style="hair">
        <color theme="0" tint="-0.14993743705557422"/>
      </top>
      <bottom style="hair">
        <color theme="0" tint="-0.14993743705557422"/>
      </bottom>
      <diagonal/>
    </border>
    <border>
      <left style="thin">
        <color theme="0" tint="-0.14996795556505021"/>
      </left>
      <right style="thin">
        <color indexed="64"/>
      </right>
      <top style="hair">
        <color theme="0" tint="-0.14993743705557422"/>
      </top>
      <bottom style="hair">
        <color theme="0" tint="-0.14993743705557422"/>
      </bottom>
      <diagonal/>
    </border>
    <border>
      <left style="thin">
        <color theme="0" tint="-0.14996795556505021"/>
      </left>
      <right/>
      <top style="hair">
        <color theme="0" tint="-0.14993743705557422"/>
      </top>
      <bottom style="thin">
        <color theme="0" tint="-0.14993743705557422"/>
      </bottom>
      <diagonal/>
    </border>
    <border>
      <left style="thin">
        <color theme="0" tint="-0.14996795556505021"/>
      </left>
      <right style="thin">
        <color indexed="64"/>
      </right>
      <top style="hair">
        <color theme="0" tint="-0.14993743705557422"/>
      </top>
      <bottom style="thin">
        <color theme="0" tint="-0.14993743705557422"/>
      </bottom>
      <diagonal/>
    </border>
    <border>
      <left style="thin">
        <color theme="0" tint="-0.14996795556505021"/>
      </left>
      <right style="thin">
        <color theme="0" tint="-0.14996795556505021"/>
      </right>
      <top style="hair">
        <color theme="0" tint="-0.14993743705557422"/>
      </top>
      <bottom style="thin">
        <color theme="1"/>
      </bottom>
      <diagonal/>
    </border>
    <border>
      <left style="thin">
        <color theme="0" tint="-0.24994659260841701"/>
      </left>
      <right style="thin">
        <color theme="0" tint="-0.14996795556505021"/>
      </right>
      <top/>
      <bottom style="hair">
        <color theme="0" tint="-0.24994659260841701"/>
      </bottom>
      <diagonal/>
    </border>
    <border>
      <left style="thin">
        <color theme="0" tint="-0.14996795556505021"/>
      </left>
      <right style="thin">
        <color theme="0" tint="-0.14996795556505021"/>
      </right>
      <top style="hair">
        <color theme="0" tint="-0.14993743705557422"/>
      </top>
      <bottom style="thin">
        <color indexed="64"/>
      </bottom>
      <diagonal/>
    </border>
    <border>
      <left style="thin">
        <color indexed="64"/>
      </left>
      <right/>
      <top style="hair">
        <color theme="0" tint="-0.499984740745262"/>
      </top>
      <bottom style="hair">
        <color theme="0" tint="-0.499984740745262"/>
      </bottom>
      <diagonal/>
    </border>
    <border>
      <left style="thin">
        <color theme="1"/>
      </left>
      <right style="thin">
        <color theme="0" tint="-0.14996795556505021"/>
      </right>
      <top style="thin">
        <color theme="1"/>
      </top>
      <bottom/>
      <diagonal/>
    </border>
    <border>
      <left style="thin">
        <color theme="1"/>
      </left>
      <right style="thin">
        <color theme="0" tint="-0.14996795556505021"/>
      </right>
      <top/>
      <bottom/>
      <diagonal/>
    </border>
    <border>
      <left style="thin">
        <color theme="1"/>
      </left>
      <right style="thin">
        <color theme="0" tint="-0.14996795556505021"/>
      </right>
      <top/>
      <bottom style="thin">
        <color theme="1"/>
      </bottom>
      <diagonal/>
    </border>
    <border>
      <left style="thin">
        <color theme="0" tint="-0.14996795556505021"/>
      </left>
      <right style="thin">
        <color theme="0" tint="-0.14996795556505021"/>
      </right>
      <top style="thin">
        <color theme="1"/>
      </top>
      <bottom style="hair">
        <color theme="0" tint="-0.24994659260841701"/>
      </bottom>
      <diagonal/>
    </border>
    <border>
      <left style="thin">
        <color theme="0" tint="-0.14996795556505021"/>
      </left>
      <right style="thin">
        <color theme="0" tint="-0.14996795556505021"/>
      </right>
      <top style="hair">
        <color theme="0" tint="-0.14993743705557422"/>
      </top>
      <bottom/>
      <diagonal/>
    </border>
    <border>
      <left style="thin">
        <color theme="0" tint="-0.24994659260841701"/>
      </left>
      <right style="thin">
        <color indexed="64"/>
      </right>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auto="1"/>
      </bottom>
      <diagonal/>
    </border>
    <border>
      <left/>
      <right style="thin">
        <color theme="0" tint="-0.14996795556505021"/>
      </right>
      <top/>
      <bottom style="hair">
        <color theme="0" tint="-0.24994659260841701"/>
      </bottom>
      <diagonal/>
    </border>
    <border>
      <left style="thin">
        <color theme="0" tint="-0.24994659260841701"/>
      </left>
      <right style="thin">
        <color indexed="64"/>
      </right>
      <top/>
      <bottom style="hair">
        <color theme="0" tint="-0.24994659260841701"/>
      </bottom>
      <diagonal/>
    </border>
    <border>
      <left style="thin">
        <color indexed="64"/>
      </left>
      <right/>
      <top/>
      <bottom style="hair">
        <color theme="0" tint="-0.24994659260841701"/>
      </bottom>
      <diagonal/>
    </border>
    <border>
      <left style="thin">
        <color rgb="FF0070C0"/>
      </left>
      <right/>
      <top/>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theme="0" tint="-0.24994659260841701"/>
      </right>
      <top style="hair">
        <color theme="0" tint="-4.9989318521683403E-2"/>
      </top>
      <bottom style="hair">
        <color theme="0" tint="-4.9989318521683403E-2"/>
      </bottom>
      <diagonal/>
    </border>
    <border>
      <left style="thin">
        <color theme="0" tint="-0.24994659260841701"/>
      </left>
      <right style="thin">
        <color indexed="64"/>
      </right>
      <top style="hair">
        <color theme="0" tint="-4.9989318521683403E-2"/>
      </top>
      <bottom style="hair">
        <color theme="0" tint="-4.9989318521683403E-2"/>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indexed="64"/>
      </top>
      <bottom style="thin">
        <color indexed="64"/>
      </bottom>
      <diagonal/>
    </border>
    <border>
      <left/>
      <right style="thin">
        <color theme="0" tint="-0.14996795556505021"/>
      </right>
      <top style="hair">
        <color theme="0" tint="-0.499984740745262"/>
      </top>
      <bottom style="thin">
        <color indexed="64"/>
      </bottom>
      <diagonal/>
    </border>
    <border>
      <left style="thin">
        <color theme="0" tint="-0.14996795556505021"/>
      </left>
      <right/>
      <top/>
      <bottom style="hair">
        <color theme="0" tint="-0.14993743705557422"/>
      </bottom>
      <diagonal/>
    </border>
    <border>
      <left style="thin">
        <color theme="0" tint="-0.14996795556505021"/>
      </left>
      <right style="thin">
        <color indexed="64"/>
      </right>
      <top/>
      <bottom style="hair">
        <color theme="0" tint="-0.14993743705557422"/>
      </bottom>
      <diagonal/>
    </border>
    <border>
      <left style="thin">
        <color theme="0" tint="-0.14996795556505021"/>
      </left>
      <right/>
      <top style="hair">
        <color theme="0" tint="-0.14993743705557422"/>
      </top>
      <bottom/>
      <diagonal/>
    </border>
    <border>
      <left style="thin">
        <color theme="0" tint="-0.14996795556505021"/>
      </left>
      <right style="thin">
        <color indexed="64"/>
      </right>
      <top style="hair">
        <color theme="0" tint="-0.14993743705557422"/>
      </top>
      <bottom/>
      <diagonal/>
    </border>
    <border>
      <left style="thin">
        <color indexed="64"/>
      </left>
      <right style="thin">
        <color theme="0" tint="-0.14996795556505021"/>
      </right>
      <top/>
      <bottom/>
      <diagonal/>
    </border>
    <border>
      <left style="thin">
        <color theme="0" tint="-0.14996795556505021"/>
      </left>
      <right style="thin">
        <color indexed="64"/>
      </right>
      <top style="thin">
        <color theme="1"/>
      </top>
      <bottom style="hair">
        <color theme="0" tint="-0.14993743705557422"/>
      </bottom>
      <diagonal/>
    </border>
    <border>
      <left/>
      <right style="thin">
        <color theme="0" tint="-0.14996795556505021"/>
      </right>
      <top/>
      <bottom/>
      <diagonal/>
    </border>
    <border>
      <left style="thin">
        <color theme="0" tint="-0.24994659260841701"/>
      </left>
      <right style="thin">
        <color theme="0" tint="-0.14996795556505021"/>
      </right>
      <top style="hair">
        <color theme="0" tint="-0.24994659260841701"/>
      </top>
      <bottom/>
      <diagonal/>
    </border>
    <border>
      <left style="thin">
        <color theme="0" tint="-0.14996795556505021"/>
      </left>
      <right/>
      <top style="thin">
        <color theme="0" tint="-0.14993743705557422"/>
      </top>
      <bottom style="hair">
        <color theme="0" tint="-0.14993743705557422"/>
      </bottom>
      <diagonal/>
    </border>
    <border>
      <left style="thin">
        <color theme="0" tint="-0.14993743705557422"/>
      </left>
      <right style="thin">
        <color theme="0" tint="-0.14996795556505021"/>
      </right>
      <top/>
      <bottom style="hair">
        <color theme="0" tint="-0.14993743705557422"/>
      </bottom>
      <diagonal/>
    </border>
    <border>
      <left style="thin">
        <color indexed="64"/>
      </left>
      <right style="thin">
        <color theme="0" tint="-0.14993743705557422"/>
      </right>
      <top/>
      <bottom style="hair">
        <color theme="0" tint="-0.24994659260841701"/>
      </bottom>
      <diagonal/>
    </border>
    <border>
      <left style="thin">
        <color theme="0" tint="-0.14993743705557422"/>
      </left>
      <right style="thin">
        <color theme="0" tint="-0.14996795556505021"/>
      </right>
      <top style="hair">
        <color theme="0" tint="-0.14993743705557422"/>
      </top>
      <bottom style="hair">
        <color theme="0" tint="-0.14993743705557422"/>
      </bottom>
      <diagonal/>
    </border>
    <border>
      <left style="thin">
        <color indexed="64"/>
      </left>
      <right style="thin">
        <color theme="0" tint="-0.14996795556505021"/>
      </right>
      <top/>
      <bottom style="hair">
        <color theme="0" tint="-0.14993743705557422"/>
      </bottom>
      <diagonal/>
    </border>
    <border>
      <left style="thin">
        <color indexed="64"/>
      </left>
      <right style="thin">
        <color theme="0" tint="-0.14996795556505021"/>
      </right>
      <top style="hair">
        <color theme="0" tint="-0.14993743705557422"/>
      </top>
      <bottom style="hair">
        <color theme="0" tint="-0.14993743705557422"/>
      </bottom>
      <diagonal/>
    </border>
    <border>
      <left style="thin">
        <color indexed="64"/>
      </left>
      <right style="thin">
        <color theme="0" tint="-0.14996795556505021"/>
      </right>
      <top style="thin">
        <color theme="0" tint="-0.14996795556505021"/>
      </top>
      <bottom style="hair">
        <color theme="0" tint="-0.14993743705557422"/>
      </bottom>
      <diagonal/>
    </border>
    <border>
      <left style="thin">
        <color indexed="64"/>
      </left>
      <right style="thin">
        <color theme="0" tint="-0.14996795556505021"/>
      </right>
      <top style="hair">
        <color theme="0" tint="-0.14993743705557422"/>
      </top>
      <bottom style="thin">
        <color indexed="64"/>
      </bottom>
      <diagonal/>
    </border>
    <border>
      <left style="thin">
        <color theme="0" tint="-0.14996795556505021"/>
      </left>
      <right style="thin">
        <color indexed="64"/>
      </right>
      <top style="double">
        <color indexed="64"/>
      </top>
      <bottom style="hair">
        <color theme="0" tint="-0.14993743705557422"/>
      </bottom>
      <diagonal/>
    </border>
    <border>
      <left style="thin">
        <color indexed="64"/>
      </left>
      <right style="thin">
        <color theme="0" tint="-0.14996795556505021"/>
      </right>
      <top style="double">
        <color indexed="64"/>
      </top>
      <bottom style="hair">
        <color theme="0" tint="-0.14993743705557422"/>
      </bottom>
      <diagonal/>
    </border>
    <border>
      <left style="thin">
        <color theme="0" tint="-0.14996795556505021"/>
      </left>
      <right style="thin">
        <color indexed="64"/>
      </right>
      <top style="thin">
        <color theme="0" tint="-0.14993743705557422"/>
      </top>
      <bottom style="hair">
        <color theme="0" tint="-0.14993743705557422"/>
      </bottom>
      <diagonal/>
    </border>
    <border>
      <left style="thin">
        <color indexed="64"/>
      </left>
      <right style="thin">
        <color theme="0" tint="-0.14996795556505021"/>
      </right>
      <top style="hair">
        <color theme="0" tint="-0.14993743705557422"/>
      </top>
      <bottom/>
      <diagonal/>
    </border>
    <border>
      <left style="thin">
        <color indexed="64"/>
      </left>
      <right style="thin">
        <color theme="0" tint="-0.14996795556505021"/>
      </right>
      <top style="thin">
        <color theme="0" tint="-0.14993743705557422"/>
      </top>
      <bottom style="hair">
        <color theme="0" tint="-0.14993743705557422"/>
      </bottom>
      <diagonal/>
    </border>
    <border>
      <left style="thin">
        <color indexed="64"/>
      </left>
      <right style="thin">
        <color theme="0" tint="-0.14996795556505021"/>
      </right>
      <top style="hair">
        <color theme="0" tint="-0.14993743705557422"/>
      </top>
      <bottom style="thin">
        <color theme="0" tint="-0.14993743705557422"/>
      </bottom>
      <diagonal/>
    </border>
    <border>
      <left style="thin">
        <color theme="0" tint="-0.14996795556505021"/>
      </left>
      <right style="thin">
        <color theme="0" tint="-0.14996795556505021"/>
      </right>
      <top style="thin">
        <color theme="1"/>
      </top>
      <bottom style="hair">
        <color theme="0" tint="-0.14993743705557422"/>
      </bottom>
      <diagonal/>
    </border>
    <border>
      <left style="thin">
        <color indexed="64"/>
      </left>
      <right style="thin">
        <color theme="0" tint="-0.14996795556505021"/>
      </right>
      <top style="thin">
        <color theme="1"/>
      </top>
      <bottom style="hair">
        <color theme="0" tint="-0.14993743705557422"/>
      </bottom>
      <diagonal/>
    </border>
    <border>
      <left style="thin">
        <color theme="0" tint="-0.14996795556505021"/>
      </left>
      <right/>
      <top style="hair">
        <color theme="0" tint="-0.14993743705557422"/>
      </top>
      <bottom style="thin">
        <color auto="1"/>
      </bottom>
      <diagonal/>
    </border>
    <border>
      <left style="thin">
        <color theme="0" tint="-0.14996795556505021"/>
      </left>
      <right style="thin">
        <color indexed="64"/>
      </right>
      <top style="hair">
        <color theme="0" tint="-0.14993743705557422"/>
      </top>
      <bottom style="thin">
        <color auto="1"/>
      </bottom>
      <diagonal/>
    </border>
    <border>
      <left/>
      <right/>
      <top style="hair">
        <color theme="0" tint="-0.14993743705557422"/>
      </top>
      <bottom style="hair">
        <color theme="0" tint="-0.14993743705557422"/>
      </bottom>
      <diagonal/>
    </border>
    <border>
      <left style="thin">
        <color indexed="64"/>
      </left>
      <right/>
      <top style="hair">
        <color theme="0" tint="-0.24994659260841701"/>
      </top>
      <bottom/>
      <diagonal/>
    </border>
    <border>
      <left style="thin">
        <color indexed="64"/>
      </left>
      <right style="thin">
        <color theme="0" tint="-0.24994659260841701"/>
      </right>
      <top style="hair">
        <color theme="0" tint="-0.24994659260841701"/>
      </top>
      <bottom/>
      <diagonal/>
    </border>
    <border>
      <left style="thin">
        <color theme="0" tint="-0.24994659260841701"/>
      </left>
      <right style="thin">
        <color indexed="64"/>
      </right>
      <top style="hair">
        <color theme="0" tint="-0.24994659260841701"/>
      </top>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theme="0" tint="-0.499984740745262"/>
      </top>
      <bottom style="thin">
        <color indexed="64"/>
      </bottom>
      <diagonal/>
    </border>
    <border>
      <left style="thin">
        <color theme="0" tint="-0.14996795556505021"/>
      </left>
      <right style="thin">
        <color indexed="64"/>
      </right>
      <top style="thin">
        <color auto="1"/>
      </top>
      <bottom style="hair">
        <color theme="0" tint="-0.14993743705557422"/>
      </bottom>
      <diagonal/>
    </border>
    <border>
      <left style="thin">
        <color theme="0" tint="-0.14996795556505021"/>
      </left>
      <right style="thin">
        <color theme="0" tint="-0.14996795556505021"/>
      </right>
      <top style="hair">
        <color auto="1"/>
      </top>
      <bottom style="hair">
        <color auto="1"/>
      </bottom>
      <diagonal/>
    </border>
    <border>
      <left style="medium">
        <color indexed="64"/>
      </left>
      <right style="thin">
        <color theme="0" tint="-0.14996795556505021"/>
      </right>
      <top style="hair">
        <color theme="0" tint="-0.24994659260841701"/>
      </top>
      <bottom style="thin">
        <color indexed="64"/>
      </bottom>
      <diagonal/>
    </border>
    <border>
      <left style="thin">
        <color indexed="64"/>
      </left>
      <right style="thin">
        <color theme="0" tint="-0.14996795556505021"/>
      </right>
      <top style="hair">
        <color theme="0" tint="-0.14996795556505021"/>
      </top>
      <bottom style="thin">
        <color indexed="64"/>
      </bottom>
      <diagonal/>
    </border>
    <border>
      <left/>
      <right style="thin">
        <color theme="0" tint="-0.14996795556505021"/>
      </right>
      <top style="hair">
        <color theme="0" tint="-0.14996795556505021"/>
      </top>
      <bottom style="thin">
        <color indexed="64"/>
      </bottom>
      <diagonal/>
    </border>
    <border>
      <left/>
      <right/>
      <top style="hair">
        <color theme="0" tint="-0.14996795556505021"/>
      </top>
      <bottom style="thin">
        <color indexed="64"/>
      </bottom>
      <diagonal/>
    </border>
    <border>
      <left style="thin">
        <color theme="0" tint="-0.14996795556505021"/>
      </left>
      <right/>
      <top style="hair">
        <color theme="0" tint="-0.14996795556505021"/>
      </top>
      <bottom style="thin">
        <color indexed="64"/>
      </bottom>
      <diagonal/>
    </border>
    <border>
      <left/>
      <right style="thin">
        <color indexed="64"/>
      </right>
      <top style="thin">
        <color indexed="64"/>
      </top>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style="thin">
        <color indexed="64"/>
      </left>
      <right/>
      <top/>
      <bottom style="thin">
        <color theme="0" tint="-0.24994659260841701"/>
      </bottom>
      <diagonal/>
    </border>
    <border>
      <left style="thin">
        <color indexed="64"/>
      </left>
      <right/>
      <top style="double">
        <color indexed="64"/>
      </top>
      <bottom style="hair">
        <color theme="0" tint="-0.24994659260841701"/>
      </bottom>
      <diagonal/>
    </border>
    <border>
      <left style="thin">
        <color indexed="64"/>
      </left>
      <right style="thin">
        <color theme="0" tint="-0.14996795556505021"/>
      </right>
      <top style="thin">
        <color indexed="64"/>
      </top>
      <bottom style="hair">
        <color theme="0" tint="-0.24994659260841701"/>
      </bottom>
      <diagonal/>
    </border>
    <border>
      <left style="thin">
        <color theme="0" tint="-0.14996795556505021"/>
      </left>
      <right style="thin">
        <color theme="0" tint="-0.14996795556505021"/>
      </right>
      <top style="thin">
        <color indexed="64"/>
      </top>
      <bottom style="hair">
        <color theme="0" tint="-0.24994659260841701"/>
      </bottom>
      <diagonal/>
    </border>
    <border>
      <left style="thin">
        <color theme="0" tint="-0.14996795556505021"/>
      </left>
      <right/>
      <top style="thin">
        <color indexed="64"/>
      </top>
      <bottom style="hair">
        <color theme="0" tint="-0.24994659260841701"/>
      </bottom>
      <diagonal/>
    </border>
    <border>
      <left style="thin">
        <color theme="0" tint="-0.14996795556505021"/>
      </left>
      <right style="thin">
        <color indexed="64"/>
      </right>
      <top style="thin">
        <color indexed="64"/>
      </top>
      <bottom style="hair">
        <color theme="0" tint="-0.24994659260841701"/>
      </bottom>
      <diagonal/>
    </border>
    <border>
      <left/>
      <right style="thin">
        <color theme="0" tint="-0.14996795556505021"/>
      </right>
      <top style="thin">
        <color indexed="64"/>
      </top>
      <bottom style="hair">
        <color theme="0" tint="-0.24994659260841701"/>
      </bottom>
      <diagonal/>
    </border>
    <border>
      <left style="thin">
        <color theme="0" tint="-0.24994659260841701"/>
      </left>
      <right style="thin">
        <color indexed="64"/>
      </right>
      <top style="thin">
        <color indexed="64"/>
      </top>
      <bottom style="hair">
        <color theme="0" tint="-0.24994659260841701"/>
      </bottom>
      <diagonal/>
    </border>
    <border>
      <left/>
      <right/>
      <top style="thin">
        <color indexed="64"/>
      </top>
      <bottom style="hair">
        <color theme="0" tint="-0.24994659260841701"/>
      </bottom>
      <diagonal/>
    </border>
    <border>
      <left style="thin">
        <color indexed="64"/>
      </left>
      <right/>
      <top style="thin">
        <color indexed="64"/>
      </top>
      <bottom style="hair">
        <color theme="0" tint="-0.24994659260841701"/>
      </bottom>
      <diagonal/>
    </border>
    <border>
      <left/>
      <right/>
      <top style="hair">
        <color theme="0" tint="-0.24994659260841701"/>
      </top>
      <bottom/>
      <diagonal/>
    </border>
    <border>
      <left style="thin">
        <color theme="0" tint="-0.24994659260841701"/>
      </left>
      <right style="thin">
        <color theme="0" tint="-0.14996795556505021"/>
      </right>
      <top style="thin">
        <color indexed="64"/>
      </top>
      <bottom style="hair">
        <color theme="0" tint="-0.24994659260841701"/>
      </bottom>
      <diagonal/>
    </border>
    <border>
      <left style="thin">
        <color theme="0" tint="-0.24994659260841701"/>
      </left>
      <right style="thin">
        <color theme="0" tint="-0.14996795556505021"/>
      </right>
      <top style="hair">
        <color theme="0" tint="-0.24994659260841701"/>
      </top>
      <bottom style="hair">
        <color theme="0" tint="-0.24994659260841701"/>
      </bottom>
      <diagonal/>
    </border>
    <border>
      <left style="thin">
        <color theme="0" tint="-0.24994659260841701"/>
      </left>
      <right style="thin">
        <color theme="0" tint="-0.14996795556505021"/>
      </right>
      <top style="hair">
        <color theme="0" tint="-0.24994659260841701"/>
      </top>
      <bottom style="thin">
        <color indexed="64"/>
      </bottom>
      <diagonal/>
    </border>
    <border>
      <left style="thin">
        <color indexed="64"/>
      </left>
      <right style="thin">
        <color theme="0" tint="-0.14996795556505021"/>
      </right>
      <top style="thin">
        <color indexed="64"/>
      </top>
      <bottom style="hair">
        <color theme="0" tint="-0.14996795556505021"/>
      </bottom>
      <diagonal/>
    </border>
    <border>
      <left/>
      <right style="thin">
        <color theme="0" tint="-0.14996795556505021"/>
      </right>
      <top style="thin">
        <color indexed="64"/>
      </top>
      <bottom style="hair">
        <color theme="0" tint="-0.14996795556505021"/>
      </bottom>
      <diagonal/>
    </border>
    <border>
      <left/>
      <right/>
      <top style="thin">
        <color indexed="64"/>
      </top>
      <bottom style="hair">
        <color theme="0" tint="-0.14996795556505021"/>
      </bottom>
      <diagonal/>
    </border>
    <border>
      <left style="thin">
        <color theme="0" tint="-0.14996795556505021"/>
      </left>
      <right/>
      <top style="thin">
        <color indexed="64"/>
      </top>
      <bottom style="hair">
        <color theme="0" tint="-0.14996795556505021"/>
      </bottom>
      <diagonal/>
    </border>
    <border>
      <left style="thin">
        <color theme="0" tint="-0.14996795556505021"/>
      </left>
      <right style="thin">
        <color theme="0" tint="-0.14996795556505021"/>
      </right>
      <top style="thin">
        <color indexed="64"/>
      </top>
      <bottom style="hair">
        <color theme="0" tint="-0.14996795556505021"/>
      </bottom>
      <diagonal/>
    </border>
    <border>
      <left style="thin">
        <color indexed="64"/>
      </left>
      <right style="thin">
        <color indexed="64"/>
      </right>
      <top style="thin">
        <color indexed="64"/>
      </top>
      <bottom style="hair">
        <color theme="0" tint="-0.14996795556505021"/>
      </bottom>
      <diagonal/>
    </border>
    <border>
      <left style="thin">
        <color theme="0" tint="-0.14996795556505021"/>
      </left>
      <right style="thin">
        <color indexed="64"/>
      </right>
      <top style="thin">
        <color indexed="64"/>
      </top>
      <bottom style="hair">
        <color theme="0" tint="-0.14996795556505021"/>
      </bottom>
      <diagonal/>
    </border>
    <border>
      <left style="thin">
        <color indexed="64"/>
      </left>
      <right style="thin">
        <color indexed="64"/>
      </right>
      <top style="thin">
        <color indexed="64"/>
      </top>
      <bottom style="hair">
        <color theme="0" tint="-0.24994659260841701"/>
      </bottom>
      <diagonal/>
    </border>
    <border>
      <left/>
      <right/>
      <top style="double">
        <color indexed="64"/>
      </top>
      <bottom style="hair">
        <color theme="0" tint="-0.24994659260841701"/>
      </bottom>
      <diagonal/>
    </border>
    <border>
      <left style="thin">
        <color indexed="64"/>
      </left>
      <right style="thin">
        <color indexed="64"/>
      </right>
      <top style="double">
        <color indexed="64"/>
      </top>
      <bottom style="hair">
        <color theme="0" tint="-0.24994659260841701"/>
      </bottom>
      <diagonal/>
    </border>
    <border>
      <left/>
      <right style="thin">
        <color theme="0" tint="-0.14996795556505021"/>
      </right>
      <top style="hair">
        <color theme="0" tint="-0.14993743705557422"/>
      </top>
      <bottom style="hair">
        <color theme="0" tint="-0.14993743705557422"/>
      </bottom>
      <diagonal/>
    </border>
    <border>
      <left/>
      <right style="thin">
        <color theme="0" tint="-0.14996795556505021"/>
      </right>
      <top style="hair">
        <color theme="0" tint="-0.14993743705557422"/>
      </top>
      <bottom style="thin">
        <color indexed="64"/>
      </bottom>
      <diagonal/>
    </border>
    <border>
      <left style="thin">
        <color indexed="64"/>
      </left>
      <right/>
      <top/>
      <bottom style="hair">
        <color theme="0" tint="-0.499984740745262"/>
      </bottom>
      <diagonal/>
    </border>
    <border>
      <left style="thin">
        <color indexed="64"/>
      </left>
      <right/>
      <top style="hair">
        <color theme="0" tint="-0.499984740745262"/>
      </top>
      <bottom style="thin">
        <color indexed="64"/>
      </bottom>
      <diagonal/>
    </border>
    <border>
      <left/>
      <right style="thin">
        <color theme="0" tint="-0.14996795556505021"/>
      </right>
      <top/>
      <bottom style="hair">
        <color theme="0" tint="-0.14993743705557422"/>
      </bottom>
      <diagonal/>
    </border>
    <border>
      <left style="medium">
        <color indexed="64"/>
      </left>
      <right style="thin">
        <color theme="0" tint="-0.14996795556505021"/>
      </right>
      <top style="double">
        <color indexed="64"/>
      </top>
      <bottom style="hair">
        <color theme="0" tint="-0.24994659260841701"/>
      </bottom>
      <diagonal/>
    </border>
    <border>
      <left style="medium">
        <color indexed="64"/>
      </left>
      <right style="thin">
        <color theme="0" tint="-0.14996795556505021"/>
      </right>
      <top/>
      <bottom style="hair">
        <color theme="0" tint="-0.24994659260841701"/>
      </bottom>
      <diagonal/>
    </border>
    <border>
      <left style="thin">
        <color indexed="64"/>
      </left>
      <right/>
      <top style="double">
        <color indexed="64"/>
      </top>
      <bottom style="hair">
        <color theme="0" tint="-0.499984740745262"/>
      </bottom>
      <diagonal/>
    </border>
    <border>
      <left style="thin">
        <color indexed="64"/>
      </left>
      <right style="thin">
        <color theme="0" tint="-4.9989318521683403E-2"/>
      </right>
      <top style="hair">
        <color theme="0" tint="-0.24994659260841701"/>
      </top>
      <bottom style="hair">
        <color theme="0" tint="-0.24994659260841701"/>
      </bottom>
      <diagonal/>
    </border>
    <border>
      <left style="thin">
        <color indexed="64"/>
      </left>
      <right style="thin">
        <color theme="0" tint="-4.9989318521683403E-2"/>
      </right>
      <top style="hair">
        <color theme="0" tint="-0.24994659260841701"/>
      </top>
      <bottom style="thin">
        <color indexed="64"/>
      </bottom>
      <diagonal/>
    </border>
    <border>
      <left style="thin">
        <color indexed="64"/>
      </left>
      <right style="thin">
        <color theme="0" tint="-4.9989318521683403E-2"/>
      </right>
      <top style="hair">
        <color theme="0" tint="-0.24994659260841701"/>
      </top>
      <bottom/>
      <diagonal/>
    </border>
    <border>
      <left/>
      <right style="thin">
        <color theme="0" tint="-0.14996795556505021"/>
      </right>
      <top style="hair">
        <color theme="0" tint="-0.24994659260841701"/>
      </top>
      <bottom/>
      <diagonal/>
    </border>
    <border>
      <left style="thin">
        <color indexed="64"/>
      </left>
      <right style="thin">
        <color theme="0" tint="-4.9989318521683403E-2"/>
      </right>
      <top style="thin">
        <color indexed="64"/>
      </top>
      <bottom style="hair">
        <color theme="0" tint="-0.24994659260841701"/>
      </bottom>
      <diagonal/>
    </border>
    <border>
      <left style="thin">
        <color theme="0" tint="-0.14996795556505021"/>
      </left>
      <right style="thin">
        <color theme="0" tint="-0.24994659260841701"/>
      </right>
      <top style="double">
        <color indexed="64"/>
      </top>
      <bottom style="hair">
        <color theme="0" tint="-0.24994659260841701"/>
      </bottom>
      <diagonal/>
    </border>
    <border>
      <left style="thin">
        <color theme="0" tint="-0.14996795556505021"/>
      </left>
      <right style="thin">
        <color theme="0" tint="-0.24994659260841701"/>
      </right>
      <top style="hair">
        <color theme="0" tint="-0.24994659260841701"/>
      </top>
      <bottom style="hair">
        <color theme="0" tint="-0.24994659260841701"/>
      </bottom>
      <diagonal/>
    </border>
    <border>
      <left style="thin">
        <color theme="0" tint="-0.14996795556505021"/>
      </left>
      <right style="thin">
        <color theme="0" tint="-0.24994659260841701"/>
      </right>
      <top style="hair">
        <color theme="0" tint="-0.24994659260841701"/>
      </top>
      <bottom style="thin">
        <color indexed="64"/>
      </bottom>
      <diagonal/>
    </border>
    <border>
      <left/>
      <right style="thin">
        <color theme="0" tint="-0.24994659260841701"/>
      </right>
      <top/>
      <bottom style="hair">
        <color theme="0" tint="-0.24994659260841701"/>
      </bottom>
      <diagonal/>
    </border>
    <border>
      <left/>
      <right style="thin">
        <color theme="0" tint="-0.24994659260841701"/>
      </right>
      <top style="hair">
        <color theme="0" tint="-0.24994659260841701"/>
      </top>
      <bottom style="hair">
        <color theme="0" tint="-0.24994659260841701"/>
      </bottom>
      <diagonal/>
    </border>
    <border>
      <left/>
      <right style="thin">
        <color theme="0" tint="-0.24994659260841701"/>
      </right>
      <top style="hair">
        <color theme="0" tint="-0.24994659260841701"/>
      </top>
      <bottom style="thin">
        <color indexed="64"/>
      </bottom>
      <diagonal/>
    </border>
    <border>
      <left/>
      <right style="thin">
        <color indexed="64"/>
      </right>
      <top style="hair">
        <color theme="0" tint="-0.14993743705557422"/>
      </top>
      <bottom style="hair">
        <color theme="0" tint="-0.14993743705557422"/>
      </bottom>
      <diagonal/>
    </border>
    <border>
      <left/>
      <right/>
      <top style="hair">
        <color theme="0" tint="-0.14993743705557422"/>
      </top>
      <bottom style="thin">
        <color auto="1"/>
      </bottom>
      <diagonal/>
    </border>
    <border>
      <left/>
      <right style="thin">
        <color indexed="64"/>
      </right>
      <top style="hair">
        <color theme="0" tint="-0.14993743705557422"/>
      </top>
      <bottom style="thin">
        <color auto="1"/>
      </bottom>
      <diagonal/>
    </border>
    <border>
      <left style="thin">
        <color indexed="64"/>
      </left>
      <right/>
      <top style="hair">
        <color theme="0" tint="-0.14993743705557422"/>
      </top>
      <bottom style="hair">
        <color theme="0" tint="-0.14993743705557422"/>
      </bottom>
      <diagonal/>
    </border>
    <border>
      <left style="thin">
        <color indexed="64"/>
      </left>
      <right/>
      <top style="hair">
        <color theme="0" tint="-0.14993743705557422"/>
      </top>
      <bottom style="thin">
        <color auto="1"/>
      </bottom>
      <diagonal/>
    </border>
    <border>
      <left style="thin">
        <color indexed="64"/>
      </left>
      <right style="thin">
        <color theme="0" tint="-0.24994659260841701"/>
      </right>
      <top style="double">
        <color indexed="64"/>
      </top>
      <bottom style="hair">
        <color theme="0" tint="-0.24994659260841701"/>
      </bottom>
      <diagonal/>
    </border>
    <border>
      <left style="thin">
        <color theme="0" tint="-0.24994659260841701"/>
      </left>
      <right style="thin">
        <color theme="0" tint="-0.14996795556505021"/>
      </right>
      <top style="double">
        <color indexed="64"/>
      </top>
      <bottom style="hair">
        <color theme="0" tint="-0.14993743705557422"/>
      </bottom>
      <diagonal/>
    </border>
    <border>
      <left style="thin">
        <color theme="0" tint="-0.24994659260841701"/>
      </left>
      <right style="thin">
        <color theme="0" tint="-0.14996795556505021"/>
      </right>
      <top style="hair">
        <color theme="0" tint="-0.14993743705557422"/>
      </top>
      <bottom style="hair">
        <color theme="0" tint="-0.14993743705557422"/>
      </bottom>
      <diagonal/>
    </border>
    <border>
      <left style="thin">
        <color theme="0" tint="-0.24994659260841701"/>
      </left>
      <right style="thin">
        <color theme="0" tint="-0.14996795556505021"/>
      </right>
      <top style="hair">
        <color theme="0" tint="-0.14993743705557422"/>
      </top>
      <bottom style="thin">
        <color indexed="64"/>
      </bottom>
      <diagonal/>
    </border>
    <border>
      <left style="thin">
        <color indexed="64"/>
      </left>
      <right/>
      <top style="double">
        <color indexed="64"/>
      </top>
      <bottom style="hair">
        <color theme="0" tint="-0.14993743705557422"/>
      </bottom>
      <diagonal/>
    </border>
    <border>
      <left style="thin">
        <color indexed="64"/>
      </left>
      <right/>
      <top style="hair">
        <color theme="0" tint="-0.14993743705557422"/>
      </top>
      <bottom/>
      <diagonal/>
    </border>
    <border>
      <left style="thin">
        <color indexed="64"/>
      </left>
      <right/>
      <top style="thin">
        <color theme="0" tint="-0.14993743705557422"/>
      </top>
      <bottom style="hair">
        <color theme="0" tint="-0.14993743705557422"/>
      </bottom>
      <diagonal/>
    </border>
    <border>
      <left style="thin">
        <color indexed="64"/>
      </left>
      <right/>
      <top/>
      <bottom style="hair">
        <color theme="0" tint="-0.14993743705557422"/>
      </bottom>
      <diagonal/>
    </border>
    <border>
      <left style="thin">
        <color indexed="64"/>
      </left>
      <right/>
      <top style="thin">
        <color theme="1"/>
      </top>
      <bottom style="hair">
        <color theme="0" tint="-0.14993743705557422"/>
      </bottom>
      <diagonal/>
    </border>
    <border>
      <left style="thin">
        <color theme="0" tint="-0.24994659260841701"/>
      </left>
      <right style="thin">
        <color indexed="64"/>
      </right>
      <top style="double">
        <color indexed="64"/>
      </top>
      <bottom style="hair">
        <color theme="0" tint="-0.14993743705557422"/>
      </bottom>
      <diagonal/>
    </border>
    <border>
      <left style="thin">
        <color theme="0" tint="-0.24994659260841701"/>
      </left>
      <right style="thin">
        <color indexed="64"/>
      </right>
      <top style="hair">
        <color theme="0" tint="-0.14993743705557422"/>
      </top>
      <bottom style="hair">
        <color theme="0" tint="-0.14993743705557422"/>
      </bottom>
      <diagonal/>
    </border>
    <border>
      <left style="thin">
        <color theme="0" tint="-0.24994659260841701"/>
      </left>
      <right style="thin">
        <color indexed="64"/>
      </right>
      <top style="hair">
        <color theme="0" tint="-0.14993743705557422"/>
      </top>
      <bottom/>
      <diagonal/>
    </border>
    <border>
      <left style="thin">
        <color theme="0" tint="-0.24994659260841701"/>
      </left>
      <right style="thin">
        <color indexed="64"/>
      </right>
      <top style="thin">
        <color theme="0" tint="-0.14993743705557422"/>
      </top>
      <bottom style="hair">
        <color theme="0" tint="-0.14993743705557422"/>
      </bottom>
      <diagonal/>
    </border>
    <border>
      <left style="thin">
        <color theme="0" tint="-0.24994659260841701"/>
      </left>
      <right style="thin">
        <color indexed="64"/>
      </right>
      <top/>
      <bottom style="hair">
        <color theme="0" tint="-0.14993743705557422"/>
      </bottom>
      <diagonal/>
    </border>
    <border>
      <left style="thin">
        <color theme="0" tint="-0.24994659260841701"/>
      </left>
      <right style="thin">
        <color indexed="64"/>
      </right>
      <top style="thin">
        <color theme="1"/>
      </top>
      <bottom style="hair">
        <color theme="0" tint="-0.14993743705557422"/>
      </bottom>
      <diagonal/>
    </border>
    <border>
      <left style="thin">
        <color theme="0" tint="-0.24994659260841701"/>
      </left>
      <right style="thin">
        <color indexed="64"/>
      </right>
      <top style="hair">
        <color theme="0" tint="-0.14993743705557422"/>
      </top>
      <bottom style="thin">
        <color indexed="64"/>
      </bottom>
      <diagonal/>
    </border>
    <border>
      <left/>
      <right style="thin">
        <color theme="0" tint="-0.14996795556505021"/>
      </right>
      <top style="hair">
        <color theme="0" tint="-0.499984740745262"/>
      </top>
      <bottom/>
      <diagonal/>
    </border>
    <border>
      <left/>
      <right/>
      <top style="hair">
        <color theme="0" tint="-0.499984740745262"/>
      </top>
      <bottom/>
      <diagonal/>
    </border>
    <border>
      <left/>
      <right style="thin">
        <color theme="0" tint="-0.14996795556505021"/>
      </right>
      <top style="thin">
        <color indexed="64"/>
      </top>
      <bottom style="hair">
        <color theme="0" tint="-0.499984740745262"/>
      </bottom>
      <diagonal/>
    </border>
    <border>
      <left/>
      <right/>
      <top style="thin">
        <color indexed="64"/>
      </top>
      <bottom style="hair">
        <color theme="0" tint="-0.499984740745262"/>
      </bottom>
      <diagonal/>
    </border>
    <border>
      <left style="thin">
        <color indexed="64"/>
      </left>
      <right style="thin">
        <color theme="0" tint="-0.14996795556505021"/>
      </right>
      <top style="thin">
        <color indexed="64"/>
      </top>
      <bottom style="hair">
        <color theme="0" tint="-0.499984740745262"/>
      </bottom>
      <diagonal/>
    </border>
    <border>
      <left style="thin">
        <color theme="0" tint="-0.14996795556505021"/>
      </left>
      <right style="thin">
        <color theme="0" tint="-0.14996795556505021"/>
      </right>
      <top style="thin">
        <color indexed="64"/>
      </top>
      <bottom style="hair">
        <color theme="0" tint="-0.499984740745262"/>
      </bottom>
      <diagonal/>
    </border>
    <border>
      <left style="thin">
        <color theme="0" tint="-0.14996795556505021"/>
      </left>
      <right style="thin">
        <color indexed="64"/>
      </right>
      <top style="thin">
        <color theme="0" tint="-0.14993743705557422"/>
      </top>
      <bottom/>
      <diagonal/>
    </border>
    <border>
      <left style="thin">
        <color theme="0" tint="-0.14996795556505021"/>
      </left>
      <right style="thin">
        <color theme="0" tint="-0.14996795556505021"/>
      </right>
      <top style="hair">
        <color auto="1"/>
      </top>
      <bottom style="thin">
        <color indexed="64"/>
      </bottom>
      <diagonal/>
    </border>
    <border>
      <left style="thin">
        <color indexed="64"/>
      </left>
      <right/>
      <top style="hair">
        <color theme="0" tint="-0.499984740745262"/>
      </top>
      <bottom/>
      <diagonal/>
    </border>
    <border>
      <left/>
      <right style="thin">
        <color theme="0" tint="-0.14996795556505021"/>
      </right>
      <top style="hair">
        <color theme="0" tint="-0.14993743705557422"/>
      </top>
      <bottom/>
      <diagonal/>
    </border>
    <border>
      <left style="thin">
        <color indexed="64"/>
      </left>
      <right/>
      <top style="hair">
        <color theme="0" tint="-4.9989318521683403E-2"/>
      </top>
      <bottom/>
      <diagonal/>
    </border>
    <border>
      <left style="thin">
        <color theme="0" tint="-0.14996795556505021"/>
      </left>
      <right style="thin">
        <color indexed="64"/>
      </right>
      <top/>
      <bottom style="thin">
        <color theme="0" tint="-0.14993743705557422"/>
      </bottom>
      <diagonal/>
    </border>
    <border>
      <left style="thin">
        <color theme="0" tint="-0.14996795556505021"/>
      </left>
      <right style="thin">
        <color theme="0" tint="-0.14996795556505021"/>
      </right>
      <top/>
      <bottom style="hair">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0" tint="-0.14996795556505021"/>
      </left>
      <right style="thin">
        <color indexed="64"/>
      </right>
      <top style="thin">
        <color indexed="64"/>
      </top>
      <bottom/>
      <diagonal/>
    </border>
    <border>
      <left/>
      <right/>
      <top/>
      <bottom style="thick">
        <color theme="4"/>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0000FF"/>
      </left>
      <right style="thin">
        <color rgb="FF0000FF"/>
      </right>
      <top style="thin">
        <color rgb="FF0000FF"/>
      </top>
      <bottom style="thin">
        <color rgb="FF0000FF"/>
      </bottom>
      <diagonal/>
    </border>
    <border>
      <left style="double">
        <color theme="1" tint="0.499984740745262"/>
      </left>
      <right style="double">
        <color theme="1" tint="0.499984740745262"/>
      </right>
      <top style="double">
        <color theme="1" tint="0.499984740745262"/>
      </top>
      <bottom style="double">
        <color theme="1" tint="0.499984740745262"/>
      </bottom>
      <diagonal/>
    </border>
    <border>
      <left style="thick">
        <color indexed="9"/>
      </left>
      <right style="thick">
        <color indexed="9"/>
      </right>
      <top style="thick">
        <color indexed="9"/>
      </top>
      <bottom/>
      <diagonal/>
    </border>
    <border>
      <left/>
      <right/>
      <top/>
      <bottom style="thick">
        <color theme="6" tint="-0.499984740745262"/>
      </bottom>
      <diagonal/>
    </border>
    <border>
      <left style="medium">
        <color rgb="FF7F7F7F"/>
      </left>
      <right style="medium">
        <color rgb="FF7F7F7F"/>
      </right>
      <top style="medium">
        <color rgb="FF7F7F7F"/>
      </top>
      <bottom style="medium">
        <color rgb="FF7F7F7F"/>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tted">
        <color rgb="FF0070C0"/>
      </left>
      <right style="dotted">
        <color rgb="FF0070C0"/>
      </right>
      <top style="dotted">
        <color rgb="FF0070C0"/>
      </top>
      <bottom style="dotted">
        <color rgb="FF0070C0"/>
      </bottom>
      <diagonal/>
    </border>
    <border>
      <left style="hair">
        <color theme="5"/>
      </left>
      <right style="hair">
        <color theme="5"/>
      </right>
      <top style="hair">
        <color theme="5"/>
      </top>
      <bottom style="hair">
        <color theme="5"/>
      </bottom>
      <diagonal/>
    </border>
    <border>
      <left style="thin">
        <color rgb="FF92D050"/>
      </left>
      <right style="thin">
        <color rgb="FF92D050"/>
      </right>
      <top style="thin">
        <color rgb="FF92D050"/>
      </top>
      <bottom style="thin">
        <color rgb="FF92D050"/>
      </bottom>
      <diagonal/>
    </border>
    <border>
      <left style="mediumDashDot">
        <color rgb="FFFFFF00"/>
      </left>
      <right style="mediumDashDot">
        <color rgb="FFFFFF00"/>
      </right>
      <top style="mediumDashDot">
        <color rgb="FFFFFF00"/>
      </top>
      <bottom style="mediumDashDot">
        <color rgb="FFFFFF0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rgb="FF0070C0"/>
      </left>
      <right style="thin">
        <color rgb="FF0070C0"/>
      </right>
      <top style="thin">
        <color rgb="FF0070C0"/>
      </top>
      <bottom style="thin">
        <color rgb="FF0070C0"/>
      </bottom>
      <diagonal/>
    </border>
    <border>
      <left style="dotted">
        <color theme="5"/>
      </left>
      <right style="dotted">
        <color theme="5"/>
      </right>
      <top style="dotted">
        <color theme="5"/>
      </top>
      <bottom style="dotted">
        <color theme="5"/>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style="double">
        <color rgb="FFFF0000"/>
      </left>
      <right style="double">
        <color rgb="FFFF0000"/>
      </right>
      <top style="double">
        <color rgb="FFFF0000"/>
      </top>
      <bottom style="double">
        <color rgb="FFFF0000"/>
      </bottom>
      <diagonal/>
    </border>
    <border>
      <left style="double">
        <color theme="6" tint="-0.24994659260841701"/>
      </left>
      <right style="double">
        <color theme="6" tint="-0.24994659260841701"/>
      </right>
      <top style="double">
        <color theme="6" tint="-0.24994659260841701"/>
      </top>
      <bottom style="double">
        <color theme="6" tint="-0.24994659260841701"/>
      </bottom>
      <diagonal/>
    </border>
    <border>
      <left/>
      <right/>
      <top/>
      <bottom style="thick">
        <color theme="7"/>
      </bottom>
      <diagonal/>
    </border>
    <border>
      <left style="medium">
        <color rgb="FF92D050"/>
      </left>
      <right style="medium">
        <color rgb="FF92D050"/>
      </right>
      <top style="medium">
        <color rgb="FF92D050"/>
      </top>
      <bottom style="medium">
        <color rgb="FF92D050"/>
      </bottom>
      <diagonal/>
    </border>
    <border>
      <left style="dotted">
        <color theme="9"/>
      </left>
      <right style="dotted">
        <color theme="9"/>
      </right>
      <top style="dotted">
        <color theme="9"/>
      </top>
      <bottom style="dotted">
        <color theme="9"/>
      </bottom>
      <diagonal/>
    </border>
    <border>
      <left style="thin">
        <color rgb="FFFFFF00"/>
      </left>
      <right style="thin">
        <color rgb="FFFFFF00"/>
      </right>
      <top style="thin">
        <color rgb="FFFFFF00"/>
      </top>
      <bottom style="thin">
        <color rgb="FFFFFF00"/>
      </bottom>
      <diagonal/>
    </border>
    <border>
      <left style="thin">
        <color indexed="22"/>
      </left>
      <right style="thin">
        <color indexed="22"/>
      </right>
      <top style="thin">
        <color indexed="22"/>
      </top>
      <bottom style="thin">
        <color indexed="22"/>
      </bottom>
      <diagonal/>
    </border>
    <border>
      <left style="double">
        <color rgb="FF7F7F7F"/>
      </left>
      <right style="double">
        <color rgb="FF7F7F7F"/>
      </right>
      <top style="double">
        <color rgb="FF7F7F7F"/>
      </top>
      <bottom style="double">
        <color rgb="FF7F7F7F"/>
      </bottom>
      <diagonal/>
    </border>
    <border>
      <left/>
      <right/>
      <top/>
      <bottom style="thin">
        <color rgb="FFFF8001"/>
      </bottom>
      <diagonal/>
    </border>
    <border>
      <left style="thin">
        <color rgb="FF3F3F3F"/>
      </left>
      <right style="thin">
        <color rgb="FF3F3F3F"/>
      </right>
      <top/>
      <bottom/>
      <diagonal/>
    </border>
    <border>
      <left/>
      <right/>
      <top style="thin">
        <color indexed="49"/>
      </top>
      <bottom style="double">
        <color indexed="49"/>
      </bottom>
      <diagonal/>
    </border>
    <border>
      <left/>
      <right/>
      <top/>
      <bottom style="medium">
        <color auto="1"/>
      </bottom>
      <diagonal/>
    </border>
    <border>
      <left/>
      <right/>
      <top style="thin">
        <color indexed="64"/>
      </top>
      <bottom style="thin">
        <color indexed="64"/>
      </bottom>
      <diagonal/>
    </border>
    <border>
      <left/>
      <right style="medium">
        <color indexed="64"/>
      </right>
      <top/>
      <bottom style="medium">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theme="0" tint="-0.24994659260841701"/>
      </right>
      <top/>
      <bottom/>
      <diagonal/>
    </border>
    <border>
      <left style="thin">
        <color indexed="64"/>
      </left>
      <right/>
      <top style="thin">
        <color theme="0" tint="-0.24994659260841701"/>
      </top>
      <bottom style="hair">
        <color theme="0" tint="-4.9989318521683403E-2"/>
      </bottom>
      <diagonal/>
    </border>
    <border>
      <left style="thin">
        <color indexed="64"/>
      </left>
      <right style="thin">
        <color theme="0" tint="-0.24994659260841701"/>
      </right>
      <top style="thin">
        <color theme="0" tint="-0.24994659260841701"/>
      </top>
      <bottom style="hair">
        <color theme="0" tint="-4.9989318521683403E-2"/>
      </bottom>
      <diagonal/>
    </border>
    <border>
      <left style="thin">
        <color theme="0" tint="-0.24994659260841701"/>
      </left>
      <right style="thin">
        <color theme="0" tint="-0.24994659260841701"/>
      </right>
      <top style="thin">
        <color theme="0" tint="-0.24994659260841701"/>
      </top>
      <bottom style="hair">
        <color theme="0" tint="-4.9989318521683403E-2"/>
      </bottom>
      <diagonal/>
    </border>
    <border>
      <left style="thin">
        <color theme="0" tint="-0.24994659260841701"/>
      </left>
      <right style="thin">
        <color indexed="64"/>
      </right>
      <top style="thin">
        <color theme="0" tint="-0.24994659260841701"/>
      </top>
      <bottom style="hair">
        <color theme="0" tint="-4.9989318521683403E-2"/>
      </bottom>
      <diagonal/>
    </border>
    <border>
      <left style="thin">
        <color auto="1"/>
      </left>
      <right style="thin">
        <color indexed="64"/>
      </right>
      <top style="thin">
        <color theme="0" tint="-0.24994659260841701"/>
      </top>
      <bottom style="hair">
        <color theme="0" tint="-4.9989318521683403E-2"/>
      </bottom>
      <diagonal/>
    </border>
    <border>
      <left style="thin">
        <color indexed="64"/>
      </left>
      <right/>
      <top style="hair">
        <color theme="0" tint="-4.9989318521683403E-2"/>
      </top>
      <bottom style="thin">
        <color indexed="64"/>
      </bottom>
      <diagonal/>
    </border>
    <border>
      <left style="thin">
        <color indexed="64"/>
      </left>
      <right style="thin">
        <color theme="0" tint="-0.24994659260841701"/>
      </right>
      <top style="hair">
        <color theme="0" tint="-4.9989318521683403E-2"/>
      </top>
      <bottom style="thin">
        <color indexed="64"/>
      </bottom>
      <diagonal/>
    </border>
    <border>
      <left style="thin">
        <color theme="0" tint="-0.24994659260841701"/>
      </left>
      <right style="thin">
        <color theme="0" tint="-0.24994659260841701"/>
      </right>
      <top style="hair">
        <color theme="0" tint="-4.9989318521683403E-2"/>
      </top>
      <bottom style="thin">
        <color indexed="64"/>
      </bottom>
      <diagonal/>
    </border>
    <border>
      <left style="thin">
        <color theme="0" tint="-0.24994659260841701"/>
      </left>
      <right style="thin">
        <color indexed="64"/>
      </right>
      <top style="hair">
        <color theme="0" tint="-4.9989318521683403E-2"/>
      </top>
      <bottom style="thin">
        <color indexed="64"/>
      </bottom>
      <diagonal/>
    </border>
    <border>
      <left style="thin">
        <color auto="1"/>
      </left>
      <right style="thin">
        <color indexed="64"/>
      </right>
      <top style="hair">
        <color theme="0" tint="-4.9989318521683403E-2"/>
      </top>
      <bottom style="thin">
        <color indexed="64"/>
      </bottom>
      <diagonal/>
    </border>
    <border>
      <left style="thin">
        <color indexed="64"/>
      </left>
      <right style="thin">
        <color theme="0" tint="-0.24994659260841701"/>
      </right>
      <top style="hair">
        <color theme="0" tint="-4.9989318521683403E-2"/>
      </top>
      <bottom/>
      <diagonal/>
    </border>
    <border>
      <left style="thin">
        <color theme="0" tint="-0.24994659260841701"/>
      </left>
      <right style="thin">
        <color theme="0" tint="-0.24994659260841701"/>
      </right>
      <top style="hair">
        <color theme="0" tint="-4.9989318521683403E-2"/>
      </top>
      <bottom/>
      <diagonal/>
    </border>
    <border>
      <left style="thin">
        <color theme="0" tint="-0.24994659260841701"/>
      </left>
      <right style="thin">
        <color indexed="64"/>
      </right>
      <top style="hair">
        <color theme="0" tint="-4.9989318521683403E-2"/>
      </top>
      <bottom/>
      <diagonal/>
    </border>
    <border>
      <left style="thin">
        <color indexed="64"/>
      </left>
      <right style="thin">
        <color theme="0" tint="-0.24994659260841701"/>
      </right>
      <top style="hair">
        <color theme="0" tint="-4.9989318521683403E-2"/>
      </top>
      <bottom style="hair">
        <color theme="0" tint="-0.24994659260841701"/>
      </bottom>
      <diagonal/>
    </border>
    <border>
      <left style="thin">
        <color theme="0" tint="-0.24994659260841701"/>
      </left>
      <right style="thin">
        <color theme="0" tint="-0.24994659260841701"/>
      </right>
      <top style="hair">
        <color theme="0" tint="-4.9989318521683403E-2"/>
      </top>
      <bottom style="hair">
        <color theme="0" tint="-0.24994659260841701"/>
      </bottom>
      <diagonal/>
    </border>
    <border>
      <left style="thin">
        <color theme="0" tint="-0.24994659260841701"/>
      </left>
      <right style="thin">
        <color indexed="64"/>
      </right>
      <top style="hair">
        <color theme="0" tint="-4.9989318521683403E-2"/>
      </top>
      <bottom style="hair">
        <color theme="0" tint="-0.24994659260841701"/>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top style="hair">
        <color theme="0" tint="-0.14996795556505021"/>
      </top>
      <bottom/>
      <diagonal/>
    </border>
    <border>
      <left/>
      <right/>
      <top style="thin">
        <color auto="1"/>
      </top>
      <bottom/>
      <diagonal/>
    </border>
    <border>
      <left/>
      <right style="thin">
        <color indexed="64"/>
      </right>
      <top style="hair">
        <color theme="0" tint="-4.9989318521683403E-2"/>
      </top>
      <bottom style="hair">
        <color theme="0" tint="-4.9989318521683403E-2"/>
      </bottom>
      <diagonal/>
    </border>
    <border>
      <left style="thin">
        <color indexed="64"/>
      </left>
      <right/>
      <top style="hair">
        <color theme="0" tint="-0.14996795556505021"/>
      </top>
      <bottom style="thin">
        <color indexed="64"/>
      </bottom>
      <diagonal/>
    </border>
    <border>
      <left style="thin">
        <color theme="0" tint="-0.24994659260841701"/>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theme="0" tint="-0.14996795556505021"/>
      </left>
      <right style="thin">
        <color theme="0" tint="-0.24994659260841701"/>
      </right>
      <top/>
      <bottom style="hair">
        <color theme="0" tint="-0.24994659260841701"/>
      </bottom>
      <diagonal/>
    </border>
    <border>
      <left style="thin">
        <color theme="1"/>
      </left>
      <right style="thin">
        <color theme="0" tint="-0.14996795556505021"/>
      </right>
      <top style="thin">
        <color indexed="64"/>
      </top>
      <bottom/>
      <diagonal/>
    </border>
    <border>
      <left style="thin">
        <color theme="0" tint="-0.14996795556505021"/>
      </left>
      <right style="thin">
        <color theme="0" tint="-0.14996795556505021"/>
      </right>
      <top style="thin">
        <color indexed="64"/>
      </top>
      <bottom style="hair">
        <color theme="0" tint="-0.14993743705557422"/>
      </bottom>
      <diagonal/>
    </border>
    <border>
      <left style="thin">
        <color theme="0" tint="-0.14996795556505021"/>
      </left>
      <right/>
      <top style="thin">
        <color indexed="64"/>
      </top>
      <bottom style="hair">
        <color theme="0" tint="-0.14993743705557422"/>
      </bottom>
      <diagonal/>
    </border>
    <border>
      <left style="thin">
        <color indexed="64"/>
      </left>
      <right style="thin">
        <color theme="0" tint="-0.14996795556505021"/>
      </right>
      <top style="thin">
        <color indexed="64"/>
      </top>
      <bottom style="hair">
        <color theme="0" tint="-0.14993743705557422"/>
      </bottom>
      <diagonal/>
    </border>
    <border>
      <left style="thin">
        <color indexed="64"/>
      </left>
      <right/>
      <top style="thin">
        <color indexed="64"/>
      </top>
      <bottom style="hair">
        <color theme="0" tint="-0.14993743705557422"/>
      </bottom>
      <diagonal/>
    </border>
    <border>
      <left style="thin">
        <color theme="0" tint="-0.24994659260841701"/>
      </left>
      <right style="thin">
        <color indexed="64"/>
      </right>
      <top style="thin">
        <color indexed="64"/>
      </top>
      <bottom style="hair">
        <color theme="0" tint="-0.14993743705557422"/>
      </bottom>
      <diagonal/>
    </border>
    <border>
      <left style="thin">
        <color theme="0" tint="-0.14996795556505021"/>
      </left>
      <right/>
      <top style="hair">
        <color theme="0" tint="-0.14993743705557422"/>
      </top>
      <bottom style="thin">
        <color theme="1"/>
      </bottom>
      <diagonal/>
    </border>
    <border>
      <left style="thin">
        <color indexed="64"/>
      </left>
      <right/>
      <top/>
      <bottom style="hair">
        <color theme="0" tint="-4.9989318521683403E-2"/>
      </bottom>
      <diagonal/>
    </border>
    <border>
      <left/>
      <right style="thin">
        <color indexed="64"/>
      </right>
      <top/>
      <bottom style="hair">
        <color theme="0" tint="-4.9989318521683403E-2"/>
      </bottom>
      <diagonal/>
    </border>
    <border>
      <left/>
      <right style="thin">
        <color indexed="64"/>
      </right>
      <top style="hair">
        <color theme="0" tint="-4.9989318521683403E-2"/>
      </top>
      <bottom style="thin">
        <color indexed="64"/>
      </bottom>
      <diagonal/>
    </border>
    <border>
      <left/>
      <right/>
      <top/>
      <bottom style="hair">
        <color theme="0" tint="-4.9989318521683403E-2"/>
      </bottom>
      <diagonal/>
    </border>
    <border>
      <left/>
      <right/>
      <top style="hair">
        <color theme="0" tint="-4.9989318521683403E-2"/>
      </top>
      <bottom style="hair">
        <color theme="0" tint="-4.9989318521683403E-2"/>
      </bottom>
      <diagonal/>
    </border>
    <border>
      <left/>
      <right/>
      <top style="hair">
        <color theme="0" tint="-4.9989318521683403E-2"/>
      </top>
      <bottom style="thin">
        <color indexed="64"/>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style="thin">
        <color theme="0"/>
      </left>
      <right style="thin">
        <color theme="0" tint="-4.9989318521683403E-2"/>
      </right>
      <top style="thin">
        <color theme="0"/>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0"/>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right>
      <top style="thin">
        <color theme="0" tint="-4.9989318521683403E-2"/>
      </top>
      <bottom style="thin">
        <color theme="0" tint="-4.9989318521683403E-2"/>
      </bottom>
      <diagonal/>
    </border>
    <border>
      <left style="thin">
        <color indexed="64"/>
      </left>
      <right/>
      <top style="thin">
        <color theme="0" tint="-4.9989318521683403E-2"/>
      </top>
      <bottom style="thin">
        <color indexed="64"/>
      </bottom>
      <diagonal/>
    </border>
    <border>
      <left/>
      <right/>
      <top style="thin">
        <color theme="0" tint="-4.9989318521683403E-2"/>
      </top>
      <bottom style="thin">
        <color indexed="64"/>
      </bottom>
      <diagonal/>
    </border>
    <border>
      <left style="thin">
        <color theme="1"/>
      </left>
      <right style="thin">
        <color theme="0" tint="-0.14996795556505021"/>
      </right>
      <top/>
      <bottom style="thin">
        <color indexed="64"/>
      </bottom>
      <diagonal/>
    </border>
    <border>
      <left style="thin">
        <color theme="0" tint="-0.24994659260841701"/>
      </left>
      <right style="thin">
        <color theme="0" tint="-0.14996795556505021"/>
      </right>
      <top/>
      <bottom/>
      <diagonal/>
    </border>
    <border>
      <left style="thin">
        <color theme="0" tint="-0.14993743705557422"/>
      </left>
      <right style="thin">
        <color theme="0" tint="-0.14996795556505021"/>
      </right>
      <top style="thin">
        <color theme="0" tint="-0.14990691854609822"/>
      </top>
      <bottom style="hair">
        <color theme="0" tint="-0.14993743705557422"/>
      </bottom>
      <diagonal/>
    </border>
    <border>
      <left style="thin">
        <color theme="0" tint="-0.14996795556505021"/>
      </left>
      <right/>
      <top style="thin">
        <color theme="0" tint="-0.14990691854609822"/>
      </top>
      <bottom style="hair">
        <color theme="0" tint="-0.14993743705557422"/>
      </bottom>
      <diagonal/>
    </border>
    <border>
      <left style="thin">
        <color theme="0" tint="-0.14996795556505021"/>
      </left>
      <right/>
      <top style="thin">
        <color theme="0" tint="-0.14990691854609822"/>
      </top>
      <bottom style="hair">
        <color theme="0" tint="-0.24994659260841701"/>
      </bottom>
      <diagonal/>
    </border>
    <border>
      <left style="thin">
        <color indexed="64"/>
      </left>
      <right style="thin">
        <color theme="0" tint="-0.14993743705557422"/>
      </right>
      <top style="thin">
        <color theme="0" tint="-0.14990691854609822"/>
      </top>
      <bottom style="hair">
        <color theme="0" tint="-0.24994659260841701"/>
      </bottom>
      <diagonal/>
    </border>
    <border>
      <left style="thin">
        <color theme="0" tint="-0.14993743705557422"/>
      </left>
      <right style="thin">
        <color theme="0" tint="-0.14996795556505021"/>
      </right>
      <top style="hair">
        <color theme="0" tint="-0.14993743705557422"/>
      </top>
      <bottom style="thin">
        <color theme="0" tint="-0.14990691854609822"/>
      </bottom>
      <diagonal/>
    </border>
    <border>
      <left style="thin">
        <color theme="0" tint="-0.14996795556505021"/>
      </left>
      <right style="thin">
        <color theme="0" tint="-0.14996795556505021"/>
      </right>
      <top style="hair">
        <color theme="0" tint="-0.14993743705557422"/>
      </top>
      <bottom style="thin">
        <color theme="0" tint="-0.14990691854609822"/>
      </bottom>
      <diagonal/>
    </border>
    <border>
      <left style="thin">
        <color theme="0" tint="-0.14996795556505021"/>
      </left>
      <right/>
      <top/>
      <bottom style="thin">
        <color theme="0" tint="-0.14990691854609822"/>
      </bottom>
      <diagonal/>
    </border>
    <border>
      <left style="thin">
        <color theme="0" tint="-0.14996795556505021"/>
      </left>
      <right/>
      <top style="hair">
        <color theme="0" tint="-0.14993743705557422"/>
      </top>
      <bottom style="thin">
        <color theme="0" tint="-0.14990691854609822"/>
      </bottom>
      <diagonal/>
    </border>
    <border>
      <left style="thin">
        <color indexed="64"/>
      </left>
      <right style="thin">
        <color theme="0" tint="-0.14993743705557422"/>
      </right>
      <top/>
      <bottom style="thin">
        <color theme="0" tint="-0.14990691854609822"/>
      </bottom>
      <diagonal/>
    </border>
    <border>
      <left style="thin">
        <color theme="0" tint="-0.14996795556505021"/>
      </left>
      <right style="thin">
        <color theme="0" tint="-0.14996795556505021"/>
      </right>
      <top style="thin">
        <color theme="0" tint="-0.14990691854609822"/>
      </top>
      <bottom style="hair">
        <color theme="0" tint="-0.24994659260841701"/>
      </bottom>
      <diagonal/>
    </border>
    <border>
      <left style="thin">
        <color indexed="64"/>
      </left>
      <right style="thin">
        <color theme="0" tint="-0.14996795556505021"/>
      </right>
      <top style="thin">
        <color theme="0" tint="-0.14990691854609822"/>
      </top>
      <bottom style="hair">
        <color theme="0" tint="-0.24994659260841701"/>
      </bottom>
      <diagonal/>
    </border>
    <border>
      <left style="thin">
        <color theme="0" tint="-0.14996795556505021"/>
      </left>
      <right style="thin">
        <color theme="0" tint="-0.14996795556505021"/>
      </right>
      <top style="hair">
        <color theme="0" tint="-0.24994659260841701"/>
      </top>
      <bottom style="thin">
        <color theme="0" tint="-0.14993743705557422"/>
      </bottom>
      <diagonal/>
    </border>
    <border>
      <left style="thin">
        <color theme="0" tint="-0.14996795556505021"/>
      </left>
      <right/>
      <top/>
      <bottom style="thin">
        <color theme="0" tint="-0.14993743705557422"/>
      </bottom>
      <diagonal/>
    </border>
    <border>
      <left style="thin">
        <color theme="0" tint="-0.14996795556505021"/>
      </left>
      <right/>
      <top style="hair">
        <color theme="0" tint="-0.24994659260841701"/>
      </top>
      <bottom style="thin">
        <color theme="0" tint="-0.14993743705557422"/>
      </bottom>
      <diagonal/>
    </border>
    <border>
      <left style="thin">
        <color indexed="64"/>
      </left>
      <right style="thin">
        <color theme="0" tint="-0.14996795556505021"/>
      </right>
      <top/>
      <bottom style="thin">
        <color theme="0" tint="-0.14993743705557422"/>
      </bottom>
      <diagonal/>
    </border>
    <border>
      <left style="thin">
        <color theme="0" tint="-0.14996795556505021"/>
      </left>
      <right/>
      <top style="thin">
        <color theme="0" tint="-0.14993743705557422"/>
      </top>
      <bottom style="hair">
        <color theme="0" tint="-0.24994659260841701"/>
      </bottom>
      <diagonal/>
    </border>
    <border>
      <left style="thin">
        <color theme="0" tint="-0.14996795556505021"/>
      </left>
      <right/>
      <top/>
      <bottom style="thin">
        <color indexed="64"/>
      </bottom>
      <diagonal/>
    </border>
    <border>
      <left style="thin">
        <color indexed="64"/>
      </left>
      <right style="thin">
        <color theme="0" tint="-0.14996795556505021"/>
      </right>
      <top style="hair">
        <color theme="0" tint="-0.14993743705557422"/>
      </top>
      <bottom style="thin">
        <color theme="0" tint="-0.14996795556505021"/>
      </bottom>
      <diagonal/>
    </border>
    <border>
      <left style="thin">
        <color indexed="64"/>
      </left>
      <right/>
      <top style="hair">
        <color theme="0" tint="-0.14993743705557422"/>
      </top>
      <bottom style="thin">
        <color theme="0" tint="-0.14996795556505021"/>
      </bottom>
      <diagonal/>
    </border>
    <border>
      <left style="thin">
        <color theme="0" tint="-0.24994659260841701"/>
      </left>
      <right style="thin">
        <color indexed="64"/>
      </right>
      <top style="hair">
        <color theme="0" tint="-0.14993743705557422"/>
      </top>
      <bottom style="thin">
        <color theme="0" tint="-0.14996795556505021"/>
      </bottom>
      <diagonal/>
    </border>
    <border>
      <left style="thin">
        <color indexed="64"/>
      </left>
      <right/>
      <top style="thin">
        <color theme="0" tint="-0.14996795556505021"/>
      </top>
      <bottom style="hair">
        <color theme="0" tint="-0.14993743705557422"/>
      </bottom>
      <diagonal/>
    </border>
    <border>
      <left style="thin">
        <color theme="0" tint="-0.24994659260841701"/>
      </left>
      <right style="thin">
        <color indexed="64"/>
      </right>
      <top style="thin">
        <color theme="0" tint="-0.14996795556505021"/>
      </top>
      <bottom style="hair">
        <color theme="0" tint="-0.14993743705557422"/>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14996795556505021"/>
      </bottom>
      <diagonal/>
    </border>
    <border>
      <left style="thin">
        <color theme="0" tint="-0.24994659260841701"/>
      </left>
      <right/>
      <top style="thin">
        <color indexed="64"/>
      </top>
      <bottom/>
      <diagonal/>
    </border>
    <border>
      <left style="thin">
        <color theme="0" tint="-0.24994659260841701"/>
      </left>
      <right/>
      <top/>
      <bottom/>
      <diagonal/>
    </border>
    <border>
      <left style="thin">
        <color theme="0" tint="-0.14996795556505021"/>
      </left>
      <right style="thin">
        <color indexed="64"/>
      </right>
      <top style="hair">
        <color theme="0" tint="-0.24994659260841701"/>
      </top>
      <bottom style="thin">
        <color theme="1"/>
      </bottom>
      <diagonal/>
    </border>
  </borders>
  <cellStyleXfs count="12353">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20" fillId="0" borderId="0"/>
    <xf numFmtId="0" fontId="16" fillId="0" borderId="0"/>
    <xf numFmtId="0" fontId="16" fillId="0" borderId="0">
      <alignment readingOrder="1"/>
    </xf>
    <xf numFmtId="0" fontId="16" fillId="0" borderId="0">
      <alignment readingOrder="1"/>
    </xf>
    <xf numFmtId="9" fontId="16" fillId="0" borderId="0" applyFont="0" applyFill="0" applyBorder="0" applyAlignment="0" applyProtection="0"/>
    <xf numFmtId="0" fontId="1" fillId="0" borderId="0"/>
    <xf numFmtId="43" fontId="16" fillId="0" borderId="0" applyFont="0" applyFill="0" applyBorder="0" applyAlignment="0" applyProtection="0"/>
    <xf numFmtId="44" fontId="16" fillId="0" borderId="0" applyFont="0" applyFill="0" applyBorder="0" applyAlignment="0" applyProtection="0"/>
    <xf numFmtId="0" fontId="16" fillId="34" borderId="0" applyNumberFormat="0" applyAlignment="0">
      <alignment horizontal="right"/>
    </xf>
    <xf numFmtId="0" fontId="16" fillId="33" borderId="0" applyNumberFormat="0" applyAlignment="0"/>
    <xf numFmtId="172" fontId="26" fillId="0" borderId="0"/>
    <xf numFmtId="0" fontId="27" fillId="0" borderId="0">
      <alignment horizontal="center" wrapText="1"/>
    </xf>
    <xf numFmtId="0" fontId="1" fillId="0" borderId="0"/>
    <xf numFmtId="0" fontId="1" fillId="0" borderId="0"/>
    <xf numFmtId="0" fontId="15" fillId="0" borderId="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9" fillId="4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5" fillId="51" borderId="0" applyNumberFormat="0" applyBorder="0" applyAlignment="0" applyProtection="0"/>
    <xf numFmtId="0" fontId="29" fillId="52"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5" fillId="54" borderId="0" applyNumberFormat="0" applyBorder="0" applyAlignment="0" applyProtection="0"/>
    <xf numFmtId="0" fontId="29" fillId="55" borderId="0" applyNumberFormat="0" applyBorder="0" applyAlignment="0" applyProtection="0"/>
    <xf numFmtId="0" fontId="21" fillId="56" borderId="0" applyNumberFormat="0" applyBorder="0" applyAlignment="0" applyProtection="0"/>
    <xf numFmtId="0" fontId="21" fillId="57" borderId="0" applyNumberFormat="0" applyBorder="0" applyAlignment="0" applyProtection="0"/>
    <xf numFmtId="0" fontId="25" fillId="57" borderId="0" applyNumberFormat="0" applyBorder="0" applyAlignment="0" applyProtection="0"/>
    <xf numFmtId="0" fontId="29" fillId="58"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5" fillId="60" borderId="0" applyNumberFormat="0" applyBorder="0" applyAlignment="0" applyProtection="0"/>
    <xf numFmtId="0" fontId="29" fillId="46" borderId="0" applyNumberFormat="0" applyBorder="0" applyAlignment="0" applyProtection="0"/>
    <xf numFmtId="0" fontId="21" fillId="61" borderId="0" applyNumberFormat="0" applyBorder="0" applyAlignment="0" applyProtection="0"/>
    <xf numFmtId="0" fontId="21" fillId="50" borderId="0" applyNumberFormat="0" applyBorder="0" applyAlignment="0" applyProtection="0"/>
    <xf numFmtId="0" fontId="25" fillId="62" borderId="0" applyNumberFormat="0" applyBorder="0" applyAlignment="0" applyProtection="0"/>
    <xf numFmtId="0" fontId="29" fillId="47" borderId="0" applyNumberFormat="0" applyBorder="0" applyAlignment="0" applyProtection="0"/>
    <xf numFmtId="0" fontId="21" fillId="63" borderId="0" applyNumberFormat="0" applyBorder="0" applyAlignment="0" applyProtection="0"/>
    <xf numFmtId="0" fontId="21" fillId="64" borderId="0" applyNumberFormat="0" applyBorder="0" applyAlignment="0" applyProtection="0"/>
    <xf numFmtId="0" fontId="25" fillId="65" borderId="0" applyNumberFormat="0" applyBorder="0" applyAlignment="0" applyProtection="0"/>
    <xf numFmtId="0" fontId="29" fillId="66" borderId="0" applyNumberFormat="0" applyBorder="0" applyAlignment="0" applyProtection="0"/>
    <xf numFmtId="0" fontId="30" fillId="36" borderId="0" applyNumberFormat="0" applyBorder="0" applyAlignment="0" applyProtection="0"/>
    <xf numFmtId="0" fontId="31" fillId="67" borderId="34" applyNumberFormat="0" applyAlignment="0" applyProtection="0"/>
    <xf numFmtId="0" fontId="32" fillId="68" borderId="35" applyNumberFormat="0" applyAlignment="0" applyProtection="0"/>
    <xf numFmtId="41"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6" fillId="34" borderId="0" applyNumberFormat="0" applyAlignment="0">
      <alignment horizontal="right"/>
    </xf>
    <xf numFmtId="0" fontId="16" fillId="34" borderId="0" applyNumberFormat="0" applyAlignment="0">
      <alignment horizontal="right"/>
    </xf>
    <xf numFmtId="0" fontId="16" fillId="34" borderId="0" applyNumberFormat="0" applyAlignment="0">
      <alignment horizontal="right"/>
    </xf>
    <xf numFmtId="0" fontId="34" fillId="69" borderId="0" applyNumberFormat="0" applyBorder="0" applyAlignment="0" applyProtection="0"/>
    <xf numFmtId="0" fontId="34" fillId="70" borderId="0" applyNumberFormat="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36" applyNumberFormat="0" applyFill="0" applyAlignment="0" applyProtection="0"/>
    <xf numFmtId="0" fontId="24" fillId="71" borderId="37">
      <alignment horizontal="left"/>
    </xf>
    <xf numFmtId="0" fontId="38" fillId="0" borderId="38" applyNumberFormat="0" applyFill="0" applyAlignment="0" applyProtection="0"/>
    <xf numFmtId="0" fontId="39" fillId="0" borderId="39"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45" fillId="40" borderId="34" applyNumberFormat="0" applyAlignment="0" applyProtection="0"/>
    <xf numFmtId="0" fontId="28" fillId="0" borderId="0"/>
    <xf numFmtId="0" fontId="28" fillId="0" borderId="0"/>
    <xf numFmtId="0" fontId="28" fillId="0" borderId="0"/>
    <xf numFmtId="0" fontId="16"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alignment readingOrder="1"/>
    </xf>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6" fillId="0" borderId="0">
      <alignment readingOrder="1"/>
    </xf>
    <xf numFmtId="0" fontId="28" fillId="0" borderId="0"/>
    <xf numFmtId="0" fontId="28" fillId="0" borderId="0"/>
    <xf numFmtId="0" fontId="1" fillId="0" borderId="0"/>
    <xf numFmtId="0" fontId="1" fillId="0" borderId="0"/>
    <xf numFmtId="0" fontId="1" fillId="0" borderId="0"/>
    <xf numFmtId="0" fontId="1" fillId="0" borderId="0"/>
    <xf numFmtId="0" fontId="16" fillId="0" borderId="0">
      <alignment readingOrder="1"/>
    </xf>
    <xf numFmtId="0" fontId="16" fillId="0" borderId="0">
      <alignment readingOrder="1"/>
    </xf>
    <xf numFmtId="0" fontId="16" fillId="0" borderId="0">
      <alignment readingOrder="1"/>
    </xf>
    <xf numFmtId="0" fontId="1" fillId="0" borderId="0"/>
    <xf numFmtId="0" fontId="1" fillId="0" borderId="0"/>
    <xf numFmtId="0" fontId="28" fillId="0" borderId="0"/>
    <xf numFmtId="0" fontId="16" fillId="0" borderId="0">
      <alignment readingOrder="1"/>
    </xf>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6" fillId="0" borderId="0">
      <alignment readingOrder="1"/>
    </xf>
    <xf numFmtId="0" fontId="16" fillId="0" borderId="0"/>
    <xf numFmtId="0" fontId="16" fillId="0" borderId="0"/>
    <xf numFmtId="0" fontId="28" fillId="0" borderId="0"/>
    <xf numFmtId="0" fontId="1" fillId="0" borderId="0"/>
    <xf numFmtId="0" fontId="28" fillId="0" borderId="0"/>
    <xf numFmtId="0" fontId="1" fillId="0" borderId="0"/>
    <xf numFmtId="0" fontId="16" fillId="0" borderId="0" applyNumberFormat="0" applyFill="0" applyBorder="0" applyAlignment="0" applyProtection="0"/>
    <xf numFmtId="0" fontId="1" fillId="0" borderId="0"/>
    <xf numFmtId="0" fontId="1" fillId="0" borderId="0"/>
    <xf numFmtId="0" fontId="33" fillId="0" borderId="0"/>
    <xf numFmtId="0" fontId="1" fillId="0" borderId="0"/>
    <xf numFmtId="0" fontId="1" fillId="0" borderId="0"/>
    <xf numFmtId="0" fontId="16" fillId="0" borderId="0">
      <alignment readingOrder="1"/>
    </xf>
    <xf numFmtId="0" fontId="1" fillId="0" borderId="0"/>
    <xf numFmtId="0" fontId="1" fillId="0" borderId="0"/>
    <xf numFmtId="0" fontId="28" fillId="0" borderId="0"/>
    <xf numFmtId="0" fontId="28" fillId="0" borderId="0"/>
    <xf numFmtId="0" fontId="47" fillId="0" borderId="0"/>
    <xf numFmtId="0" fontId="28" fillId="0" borderId="0"/>
    <xf numFmtId="0" fontId="28" fillId="0" borderId="0"/>
    <xf numFmtId="0" fontId="28" fillId="0" borderId="0"/>
    <xf numFmtId="0" fontId="28" fillId="0" borderId="0"/>
    <xf numFmtId="0" fontId="16" fillId="0" borderId="0">
      <alignment readingOrder="1"/>
    </xf>
    <xf numFmtId="0" fontId="16" fillId="0" borderId="0">
      <alignment readingOrder="1"/>
    </xf>
    <xf numFmtId="0" fontId="28" fillId="73" borderId="40" applyNumberFormat="0" applyFont="0" applyAlignment="0" applyProtection="0"/>
    <xf numFmtId="0" fontId="28" fillId="73" borderId="40" applyNumberFormat="0" applyFont="0" applyAlignment="0" applyProtection="0"/>
    <xf numFmtId="0" fontId="48" fillId="67" borderId="41" applyNumberFormat="0" applyAlignment="0" applyProtection="0"/>
    <xf numFmtId="9" fontId="2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ill="0" applyBorder="0" applyAlignment="0" applyProtection="0"/>
    <xf numFmtId="0" fontId="50" fillId="0" borderId="0"/>
    <xf numFmtId="0" fontId="51" fillId="0" borderId="0"/>
    <xf numFmtId="0" fontId="49" fillId="0" borderId="0" applyNumberFormat="0" applyFill="0" applyBorder="0" applyAlignment="0" applyProtection="0"/>
    <xf numFmtId="0" fontId="52" fillId="0" borderId="42" applyNumberFormat="0" applyFill="0" applyAlignment="0" applyProtection="0"/>
    <xf numFmtId="0" fontId="53" fillId="0" borderId="0" applyNumberFormat="0" applyFill="0" applyBorder="0" applyAlignment="0" applyProtection="0"/>
    <xf numFmtId="0" fontId="16" fillId="0" borderId="0"/>
    <xf numFmtId="0" fontId="16" fillId="0" borderId="0"/>
    <xf numFmtId="0" fontId="15" fillId="0" borderId="0"/>
    <xf numFmtId="0" fontId="15" fillId="0" borderId="0"/>
    <xf numFmtId="0" fontId="43" fillId="0" borderId="0" applyNumberFormat="0" applyFill="0" applyBorder="0" applyAlignment="0" applyProtection="0">
      <alignment readingOrder="1"/>
    </xf>
    <xf numFmtId="0" fontId="28" fillId="75" borderId="0" applyNumberFormat="0" applyBorder="0" applyAlignment="0" applyProtection="0"/>
    <xf numFmtId="0" fontId="54" fillId="76" borderId="0" applyNumberFormat="0" applyBorder="0" applyAlignment="0" applyProtection="0"/>
    <xf numFmtId="0" fontId="54" fillId="40" borderId="0" applyNumberFormat="0" applyBorder="0" applyAlignment="0" applyProtection="0"/>
    <xf numFmtId="0" fontId="28" fillId="36" borderId="0" applyNumberFormat="0" applyBorder="0" applyAlignment="0" applyProtection="0"/>
    <xf numFmtId="0" fontId="54" fillId="73" borderId="0" applyNumberFormat="0" applyBorder="0" applyAlignment="0" applyProtection="0"/>
    <xf numFmtId="0" fontId="28" fillId="75" borderId="0" applyNumberFormat="0" applyBorder="0" applyAlignment="0" applyProtection="0"/>
    <xf numFmtId="0" fontId="54" fillId="76"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28" fillId="67" borderId="0" applyNumberFormat="0" applyBorder="0" applyAlignment="0" applyProtection="0"/>
    <xf numFmtId="0" fontId="54" fillId="67" borderId="0" applyNumberFormat="0" applyBorder="0" applyAlignment="0" applyProtection="0"/>
    <xf numFmtId="0" fontId="28" fillId="36" borderId="0" applyNumberFormat="0" applyBorder="0" applyAlignment="0" applyProtection="0"/>
    <xf numFmtId="0" fontId="54" fillId="42" borderId="0" applyNumberFormat="0" applyBorder="0" applyAlignment="0" applyProtection="0"/>
    <xf numFmtId="0" fontId="28" fillId="36" borderId="0" applyNumberFormat="0" applyBorder="0" applyAlignment="0" applyProtection="0"/>
    <xf numFmtId="0" fontId="54" fillId="72" borderId="0" applyNumberFormat="0" applyBorder="0" applyAlignment="0" applyProtection="0"/>
    <xf numFmtId="0" fontId="28" fillId="67" borderId="0" applyNumberFormat="0" applyBorder="0" applyAlignment="0" applyProtection="0"/>
    <xf numFmtId="0" fontId="54" fillId="67" borderId="0" applyNumberFormat="0" applyBorder="0" applyAlignment="0" applyProtection="0"/>
    <xf numFmtId="0" fontId="54" fillId="41" borderId="0" applyNumberFormat="0" applyBorder="0" applyAlignment="0" applyProtection="0"/>
    <xf numFmtId="0" fontId="28" fillId="40" borderId="0" applyNumberFormat="0" applyBorder="0" applyAlignment="0" applyProtection="0"/>
    <xf numFmtId="0" fontId="54" fillId="40"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36" borderId="0" applyNumberFormat="0" applyBorder="0" applyAlignment="0" applyProtection="0"/>
    <xf numFmtId="0" fontId="29" fillId="42" borderId="0" applyNumberFormat="0" applyBorder="0" applyAlignment="0" applyProtection="0"/>
    <xf numFmtId="0" fontId="29" fillId="36" borderId="0" applyNumberFormat="0" applyBorder="0" applyAlignment="0" applyProtection="0"/>
    <xf numFmtId="0" fontId="29" fillId="72" borderId="0" applyNumberFormat="0" applyBorder="0" applyAlignment="0" applyProtection="0"/>
    <xf numFmtId="0" fontId="29" fillId="67" borderId="0" applyNumberFormat="0" applyBorder="0" applyAlignment="0" applyProtection="0"/>
    <xf numFmtId="0" fontId="29" fillId="67" borderId="0" applyNumberFormat="0" applyBorder="0" applyAlignment="0" applyProtection="0"/>
    <xf numFmtId="0" fontId="29" fillId="47"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36" borderId="0" applyNumberFormat="0" applyBorder="0" applyAlignment="0" applyProtection="0"/>
    <xf numFmtId="0" fontId="29" fillId="58"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30" fillId="38" borderId="0" applyNumberFormat="0" applyBorder="0" applyAlignment="0" applyProtection="0"/>
    <xf numFmtId="0" fontId="30" fillId="36" borderId="0" applyNumberFormat="0" applyBorder="0" applyAlignment="0" applyProtection="0"/>
    <xf numFmtId="0" fontId="31" fillId="75" borderId="34" applyNumberFormat="0" applyAlignment="0" applyProtection="0"/>
    <xf numFmtId="0" fontId="31" fillId="75" borderId="34" applyNumberFormat="0" applyAlignment="0" applyProtection="0"/>
    <xf numFmtId="0" fontId="32" fillId="68" borderId="35"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8"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34" borderId="0" applyNumberFormat="0" applyAlignment="0">
      <alignment horizontal="right"/>
    </xf>
    <xf numFmtId="0" fontId="16" fillId="34" borderId="0" applyNumberFormat="0" applyAlignment="0">
      <alignment horizontal="right"/>
    </xf>
    <xf numFmtId="0" fontId="35" fillId="0" borderId="0" applyNumberFormat="0" applyFill="0" applyBorder="0" applyAlignment="0" applyProtection="0"/>
    <xf numFmtId="0" fontId="36" fillId="37" borderId="0" applyNumberFormat="0" applyBorder="0" applyAlignment="0" applyProtection="0"/>
    <xf numFmtId="0" fontId="55" fillId="0" borderId="47" applyNumberFormat="0" applyFill="0" applyAlignment="0" applyProtection="0"/>
    <xf numFmtId="0" fontId="55" fillId="0" borderId="47"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45" fillId="40" borderId="34" applyNumberFormat="0" applyAlignment="0" applyProtection="0"/>
    <xf numFmtId="0" fontId="46" fillId="72" borderId="0" applyNumberFormat="0" applyBorder="0" applyAlignment="0" applyProtection="0"/>
    <xf numFmtId="0" fontId="1" fillId="0" borderId="0"/>
    <xf numFmtId="0" fontId="16" fillId="0" borderId="0"/>
    <xf numFmtId="0" fontId="16" fillId="0" borderId="0"/>
    <xf numFmtId="0" fontId="16" fillId="0" borderId="0">
      <alignment readingOrder="1"/>
    </xf>
    <xf numFmtId="0" fontId="57" fillId="0" borderId="0"/>
    <xf numFmtId="0" fontId="58" fillId="0" borderId="0"/>
    <xf numFmtId="0" fontId="58" fillId="0" borderId="0"/>
    <xf numFmtId="0" fontId="58" fillId="0" borderId="0"/>
    <xf numFmtId="0" fontId="16" fillId="0" borderId="0"/>
    <xf numFmtId="0" fontId="16" fillId="0" borderId="0"/>
    <xf numFmtId="0" fontId="16" fillId="0" borderId="0"/>
    <xf numFmtId="0" fontId="58" fillId="0" borderId="0"/>
    <xf numFmtId="0" fontId="58" fillId="0" borderId="0"/>
    <xf numFmtId="0" fontId="58" fillId="0" borderId="0"/>
    <xf numFmtId="0" fontId="1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 fillId="0" borderId="0"/>
    <xf numFmtId="0" fontId="1" fillId="0" borderId="0"/>
    <xf numFmtId="0" fontId="1" fillId="0" borderId="0"/>
    <xf numFmtId="0" fontId="16" fillId="0" borderId="0"/>
    <xf numFmtId="0" fontId="1" fillId="0" borderId="0"/>
    <xf numFmtId="0" fontId="16" fillId="0" borderId="0">
      <alignment readingOrder="1"/>
    </xf>
    <xf numFmtId="0" fontId="16" fillId="73" borderId="40" applyNumberFormat="0" applyFont="0" applyAlignment="0" applyProtection="0"/>
    <xf numFmtId="0" fontId="48" fillId="75" borderId="41" applyNumberFormat="0" applyAlignment="0" applyProtection="0"/>
    <xf numFmtId="0" fontId="48" fillId="75" borderId="41"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4" fontId="16" fillId="0" borderId="0" applyFill="0" applyBorder="0" applyAlignment="0" applyProtection="0">
      <alignment wrapText="1"/>
    </xf>
    <xf numFmtId="0" fontId="59" fillId="0" borderId="0" applyNumberFormat="0" applyFill="0" applyBorder="0" applyAlignment="0" applyProtection="0"/>
    <xf numFmtId="0" fontId="59" fillId="0" borderId="0" applyNumberFormat="0" applyFill="0" applyBorder="0" applyAlignment="0" applyProtection="0"/>
    <xf numFmtId="0" fontId="52" fillId="0" borderId="49" applyNumberFormat="0" applyFill="0" applyAlignment="0" applyProtection="0"/>
    <xf numFmtId="0" fontId="48" fillId="0" borderId="49" applyNumberFormat="0" applyFill="0" applyAlignment="0" applyProtection="0"/>
    <xf numFmtId="0" fontId="53" fillId="0" borderId="0" applyNumberForma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7" fillId="78" borderId="2" applyNumberFormat="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34" borderId="0" applyNumberFormat="0" applyAlignment="0">
      <alignment horizontal="right"/>
    </xf>
    <xf numFmtId="0" fontId="16" fillId="34" borderId="0" applyNumberFormat="0" applyAlignment="0">
      <alignment horizontal="right"/>
    </xf>
    <xf numFmtId="0" fontId="16" fillId="34" borderId="0" applyNumberFormat="0" applyAlignment="0">
      <alignment horizontal="right"/>
    </xf>
    <xf numFmtId="0" fontId="16" fillId="33" borderId="0" applyNumberFormat="0" applyAlignment="0"/>
    <xf numFmtId="0" fontId="16" fillId="33" borderId="0" applyNumberFormat="0" applyAlignment="0"/>
    <xf numFmtId="0" fontId="16" fillId="33" borderId="0" applyNumberFormat="0" applyAlignment="0"/>
    <xf numFmtId="0" fontId="16" fillId="33" borderId="0" applyNumberFormat="0" applyAlignment="0"/>
    <xf numFmtId="0" fontId="16" fillId="33" borderId="0" applyNumberFormat="0" applyAlignment="0"/>
    <xf numFmtId="0" fontId="24" fillId="71" borderId="37">
      <alignment horizontal="left"/>
    </xf>
    <xf numFmtId="0" fontId="60" fillId="0" borderId="1" applyNumberFormat="0" applyFill="0" applyAlignment="0" applyProtection="0"/>
    <xf numFmtId="0" fontId="40" fillId="0" borderId="0" applyNumberFormat="0" applyFill="0" applyBorder="0" applyAlignment="0" applyProtection="0">
      <alignment vertical="top"/>
      <protection locked="0"/>
    </xf>
    <xf numFmtId="0" fontId="16" fillId="0" borderId="0"/>
    <xf numFmtId="0" fontId="16" fillId="0" borderId="0"/>
    <xf numFmtId="0" fontId="28" fillId="0" borderId="0"/>
    <xf numFmtId="0" fontId="16" fillId="0" borderId="0"/>
    <xf numFmtId="0" fontId="28" fillId="0" borderId="0"/>
    <xf numFmtId="0" fontId="28" fillId="0" borderId="0"/>
    <xf numFmtId="0" fontId="16" fillId="0" borderId="0"/>
    <xf numFmtId="0" fontId="1" fillId="0" borderId="0"/>
    <xf numFmtId="0" fontId="1" fillId="0" borderId="0"/>
    <xf numFmtId="0" fontId="16" fillId="0" borderId="0"/>
    <xf numFmtId="0" fontId="16" fillId="0" borderId="0">
      <alignment readingOrder="1"/>
    </xf>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6" fillId="0" borderId="0">
      <alignment readingOrder="1"/>
    </xf>
    <xf numFmtId="0" fontId="16" fillId="0" borderId="0">
      <alignment readingOrder="1"/>
    </xf>
    <xf numFmtId="0" fontId="1" fillId="0" borderId="0"/>
    <xf numFmtId="0" fontId="61" fillId="0" borderId="0"/>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readingOrder="1"/>
    </xf>
    <xf numFmtId="0" fontId="16" fillId="0" borderId="0">
      <alignment readingOrder="1"/>
    </xf>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28" fillId="0" borderId="0"/>
    <xf numFmtId="0" fontId="1" fillId="0" borderId="0"/>
    <xf numFmtId="0" fontId="16" fillId="0" borderId="0">
      <alignment readingOrder="1"/>
    </xf>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alignment readingOrder="1"/>
    </xf>
    <xf numFmtId="0" fontId="1" fillId="0" borderId="0"/>
    <xf numFmtId="0" fontId="1" fillId="0" borderId="0"/>
    <xf numFmtId="0" fontId="16" fillId="0" borderId="0"/>
    <xf numFmtId="0" fontId="16" fillId="0" borderId="0"/>
    <xf numFmtId="0" fontId="1" fillId="0" borderId="0"/>
    <xf numFmtId="0" fontId="1" fillId="0" borderId="0"/>
    <xf numFmtId="0" fontId="16" fillId="0" borderId="0"/>
    <xf numFmtId="0" fontId="16" fillId="0" borderId="0"/>
    <xf numFmtId="0" fontId="1" fillId="0" borderId="0"/>
    <xf numFmtId="0" fontId="1" fillId="0" borderId="0"/>
    <xf numFmtId="0" fontId="16" fillId="0" borderId="0"/>
    <xf numFmtId="0" fontId="16" fillId="0" borderId="0"/>
    <xf numFmtId="0" fontId="1" fillId="0" borderId="0"/>
    <xf numFmtId="0" fontId="1"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47" fillId="0" borderId="0"/>
    <xf numFmtId="0" fontId="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47" fillId="0" borderId="0"/>
    <xf numFmtId="0" fontId="16" fillId="0" borderId="0">
      <alignment readingOrder="1"/>
    </xf>
    <xf numFmtId="0" fontId="16"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63" fillId="72" borderId="40" applyNumberFormat="0" applyFont="0" applyAlignment="0" applyProtection="0"/>
    <xf numFmtId="0" fontId="63" fillId="72" borderId="40" applyNumberFormat="0" applyFont="0" applyAlignment="0" applyProtection="0"/>
    <xf numFmtId="0" fontId="63" fillId="72" borderId="40"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43" fontId="16" fillId="0" borderId="0" applyFont="0" applyFill="0" applyBorder="0" applyAlignment="0" applyProtection="0"/>
    <xf numFmtId="0" fontId="43" fillId="0" borderId="0" applyNumberFormat="0" applyFill="0" applyBorder="0" applyAlignment="0" applyProtection="0">
      <alignment readingOrder="1"/>
    </xf>
    <xf numFmtId="43" fontId="16" fillId="0" borderId="0" applyFont="0" applyFill="0" applyBorder="0" applyAlignment="0" applyProtection="0"/>
    <xf numFmtId="0" fontId="16" fillId="0" borderId="0"/>
    <xf numFmtId="43" fontId="16" fillId="0" borderId="0" applyFont="0" applyFill="0" applyBorder="0" applyAlignment="0" applyProtection="0"/>
    <xf numFmtId="164" fontId="5" fillId="81" borderId="55"/>
    <xf numFmtId="0" fontId="48" fillId="67" borderId="52" applyNumberFormat="0" applyAlignment="0" applyProtection="0"/>
    <xf numFmtId="0" fontId="52" fillId="0" borderId="53" applyNumberFormat="0" applyFill="0" applyAlignment="0" applyProtection="0"/>
    <xf numFmtId="43" fontId="16" fillId="0" borderId="0" applyFont="0" applyFill="0" applyBorder="0" applyAlignment="0" applyProtection="0"/>
    <xf numFmtId="0" fontId="48" fillId="75" borderId="52" applyNumberFormat="0" applyAlignment="0" applyProtection="0"/>
    <xf numFmtId="0" fontId="48" fillId="75" borderId="52" applyNumberFormat="0" applyAlignment="0" applyProtection="0"/>
    <xf numFmtId="0" fontId="52" fillId="0" borderId="54" applyNumberFormat="0" applyFill="0" applyAlignment="0" applyProtection="0"/>
    <xf numFmtId="0" fontId="48" fillId="0" borderId="54" applyNumberFormat="0" applyFill="0" applyAlignment="0" applyProtection="0"/>
    <xf numFmtId="43" fontId="1" fillId="3" borderId="3"/>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9" fontId="15" fillId="0" borderId="0" applyFont="0" applyFill="0" applyBorder="0" applyAlignment="0" applyProtection="0"/>
    <xf numFmtId="0" fontId="16" fillId="0" borderId="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 fillId="0" borderId="1" applyNumberFormat="0" applyFill="0" applyAlignment="0" applyProtection="0"/>
    <xf numFmtId="0" fontId="72" fillId="0" borderId="0" applyNumberFormat="0" applyFill="0" applyBorder="0" applyProtection="0">
      <alignment horizontal="left"/>
    </xf>
    <xf numFmtId="0" fontId="28" fillId="0" borderId="0"/>
    <xf numFmtId="0" fontId="16" fillId="0" borderId="0">
      <alignment readingOrder="1"/>
    </xf>
    <xf numFmtId="0" fontId="15" fillId="0" borderId="0"/>
    <xf numFmtId="0" fontId="16" fillId="0" borderId="0">
      <alignment readingOrder="1"/>
    </xf>
    <xf numFmtId="0" fontId="28" fillId="0" borderId="0"/>
    <xf numFmtId="0" fontId="28" fillId="0" borderId="0"/>
    <xf numFmtId="43"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1" fillId="67" borderId="93" applyNumberFormat="0" applyAlignment="0" applyProtection="0"/>
    <xf numFmtId="0" fontId="45" fillId="40" borderId="93" applyNumberFormat="0" applyAlignment="0" applyProtection="0"/>
    <xf numFmtId="43" fontId="16" fillId="0" borderId="0" applyFont="0" applyFill="0" applyBorder="0" applyAlignment="0" applyProtection="0"/>
    <xf numFmtId="0" fontId="31" fillId="75" borderId="93" applyNumberFormat="0" applyAlignment="0" applyProtection="0"/>
    <xf numFmtId="0" fontId="31" fillId="75" borderId="93" applyNumberFormat="0" applyAlignment="0" applyProtection="0"/>
    <xf numFmtId="0" fontId="45" fillId="40" borderId="93" applyNumberFormat="0" applyAlignment="0" applyProtection="0"/>
    <xf numFmtId="43" fontId="16"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8" fillId="7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8" fillId="3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7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8" fillId="6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8" fillId="3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3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6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0" fontId="16" fillId="34" borderId="0" applyNumberFormat="0" applyAlignment="0">
      <alignment horizontal="right"/>
    </xf>
    <xf numFmtId="0" fontId="16" fillId="34" borderId="0" applyNumberFormat="0" applyAlignment="0">
      <alignment horizontal="right"/>
    </xf>
    <xf numFmtId="0" fontId="16" fillId="34" borderId="0" applyNumberFormat="0" applyAlignment="0">
      <alignment horizontal="right"/>
    </xf>
    <xf numFmtId="0" fontId="2" fillId="0" borderId="1" applyNumberFormat="0" applyFill="0" applyAlignment="0" applyProtection="0"/>
    <xf numFmtId="0" fontId="24" fillId="71" borderId="37">
      <alignment horizontal="left"/>
    </xf>
    <xf numFmtId="0" fontId="40" fillId="0" borderId="0" applyNumberFormat="0" applyFill="0" applyBorder="0" applyAlignment="0" applyProtection="0">
      <alignment readingOrder="1"/>
    </xf>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6" fillId="0" borderId="0"/>
    <xf numFmtId="0" fontId="16" fillId="0" borderId="0">
      <alignment readingOrder="1"/>
    </xf>
    <xf numFmtId="0" fontId="16"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6" fillId="0" borderId="0">
      <alignment readingOrder="1"/>
    </xf>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6" fillId="73" borderId="40"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0" fontId="15" fillId="0" borderId="0"/>
    <xf numFmtId="0" fontId="43" fillId="0" borderId="0" applyNumberFormat="0" applyFill="0" applyBorder="0" applyAlignment="0" applyProtection="0">
      <alignment readingOrder="1"/>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74" fillId="0" borderId="98" applyNumberFormat="0" applyFill="0" applyAlignment="0" applyProtection="0"/>
    <xf numFmtId="0" fontId="75" fillId="27" borderId="0"/>
    <xf numFmtId="0" fontId="19" fillId="0" borderId="0" applyNumberFormat="0" applyFill="0" applyBorder="0" applyAlignment="0" applyProtection="0"/>
    <xf numFmtId="44" fontId="16" fillId="0" borderId="0" applyFont="0" applyFill="0" applyBorder="0" applyAlignment="0" applyProtection="0"/>
    <xf numFmtId="0" fontId="24" fillId="71" borderId="150">
      <alignment horizontal="left"/>
    </xf>
    <xf numFmtId="0" fontId="52" fillId="0" borderId="153" applyNumberFormat="0" applyFill="0" applyAlignment="0" applyProtection="0"/>
    <xf numFmtId="0" fontId="28" fillId="73" borderId="152" applyNumberFormat="0" applyFont="0" applyAlignment="0" applyProtection="0"/>
    <xf numFmtId="0" fontId="31" fillId="67" borderId="145" applyNumberFormat="0" applyAlignment="0" applyProtection="0"/>
    <xf numFmtId="0" fontId="45" fillId="40" borderId="145" applyNumberFormat="0" applyAlignment="0" applyProtection="0"/>
    <xf numFmtId="0" fontId="28" fillId="73" borderId="146" applyNumberFormat="0" applyFont="0" applyAlignment="0" applyProtection="0"/>
    <xf numFmtId="0" fontId="48" fillId="67" borderId="147" applyNumberFormat="0" applyAlignment="0" applyProtection="0"/>
    <xf numFmtId="0" fontId="52" fillId="0" borderId="148" applyNumberFormat="0" applyFill="0" applyAlignment="0" applyProtection="0"/>
    <xf numFmtId="43" fontId="16" fillId="0" borderId="0" applyFont="0" applyFill="0" applyBorder="0" applyAlignment="0" applyProtection="0"/>
    <xf numFmtId="0" fontId="99" fillId="0" borderId="0" applyNumberFormat="0" applyFill="0" applyBorder="0" applyAlignment="0" applyProtection="0"/>
    <xf numFmtId="0" fontId="100" fillId="0" borderId="0" applyAlignment="0"/>
    <xf numFmtId="0" fontId="97" fillId="0" borderId="0" applyNumberFormat="0" applyFill="0" applyBorder="0" applyAlignment="0" applyProtection="0"/>
    <xf numFmtId="9" fontId="100" fillId="0" borderId="0" applyFont="0" applyFill="0" applyBorder="0" applyAlignment="0" applyProtection="0"/>
    <xf numFmtId="0" fontId="1" fillId="0" borderId="0"/>
    <xf numFmtId="44" fontId="100" fillId="0" borderId="0" applyFont="0" applyFill="0" applyBorder="0" applyAlignment="0" applyProtection="0"/>
    <xf numFmtId="0" fontId="40" fillId="0" borderId="0" applyNumberFormat="0" applyFill="0" applyBorder="0" applyAlignment="0" applyProtection="0">
      <alignment vertical="top"/>
      <protection locked="0"/>
    </xf>
    <xf numFmtId="9" fontId="28"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44" fillId="0" borderId="0" applyNumberFormat="0" applyFill="0" applyBorder="0" applyAlignment="0" applyProtection="0">
      <alignment vertical="top"/>
      <protection locked="0"/>
    </xf>
    <xf numFmtId="43" fontId="1" fillId="0" borderId="0" applyFont="0" applyFill="0" applyBorder="0" applyAlignment="0" applyProtection="0"/>
    <xf numFmtId="0" fontId="98" fillId="92" borderId="114" applyNumberFormat="0" applyProtection="0">
      <alignment horizontal="center"/>
    </xf>
    <xf numFmtId="0" fontId="62" fillId="0" borderId="0"/>
    <xf numFmtId="0" fontId="62" fillId="0" borderId="0"/>
    <xf numFmtId="0" fontId="62" fillId="0" borderId="0"/>
    <xf numFmtId="0" fontId="16" fillId="0" borderId="0"/>
    <xf numFmtId="9" fontId="1" fillId="0" borderId="0" applyFont="0" applyFill="0" applyBorder="0" applyAlignment="0" applyProtection="0"/>
    <xf numFmtId="9" fontId="2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02" fillId="0" borderId="0"/>
    <xf numFmtId="0" fontId="101" fillId="0" borderId="0"/>
    <xf numFmtId="0" fontId="101" fillId="0" borderId="0"/>
    <xf numFmtId="0" fontId="28" fillId="73" borderId="152" applyNumberFormat="0" applyFont="0" applyAlignment="0" applyProtection="0"/>
    <xf numFmtId="0" fontId="31" fillId="75" borderId="145" applyNumberFormat="0" applyAlignment="0" applyProtection="0"/>
    <xf numFmtId="0" fontId="31" fillId="75" borderId="145" applyNumberFormat="0" applyAlignment="0" applyProtection="0"/>
    <xf numFmtId="0" fontId="45" fillId="40" borderId="145" applyNumberFormat="0" applyAlignment="0" applyProtection="0"/>
    <xf numFmtId="0" fontId="16" fillId="73" borderId="152" applyNumberFormat="0" applyFont="0" applyAlignment="0" applyProtection="0"/>
    <xf numFmtId="0" fontId="48" fillId="75" borderId="147" applyNumberFormat="0" applyAlignment="0" applyProtection="0"/>
    <xf numFmtId="0" fontId="48" fillId="75" borderId="147" applyNumberFormat="0" applyAlignment="0" applyProtection="0"/>
    <xf numFmtId="0" fontId="52" fillId="0" borderId="160" applyNumberFormat="0" applyFill="0" applyAlignment="0" applyProtection="0"/>
    <xf numFmtId="0" fontId="48" fillId="0" borderId="160" applyNumberFormat="0" applyFill="0" applyAlignment="0" applyProtection="0"/>
    <xf numFmtId="43" fontId="16" fillId="0" borderId="0" applyFont="0" applyFill="0" applyBorder="0" applyAlignment="0" applyProtection="0"/>
    <xf numFmtId="0" fontId="24" fillId="71" borderId="150">
      <alignment horizontal="left"/>
    </xf>
    <xf numFmtId="0" fontId="63" fillId="72" borderId="152" applyNumberFormat="0" applyFont="0" applyAlignment="0" applyProtection="0"/>
    <xf numFmtId="0" fontId="63" fillId="72" borderId="152" applyNumberFormat="0" applyFont="0" applyAlignment="0" applyProtection="0"/>
    <xf numFmtId="0" fontId="63" fillId="72" borderId="152" applyNumberFormat="0" applyFont="0" applyAlignment="0" applyProtection="0"/>
    <xf numFmtId="44" fontId="1" fillId="0" borderId="0" applyFont="0" applyFill="0" applyBorder="0" applyAlignment="0" applyProtection="0"/>
    <xf numFmtId="9" fontId="26" fillId="0" borderId="0" applyFont="0" applyFill="0" applyBorder="0" applyAlignment="0" applyProtection="0"/>
    <xf numFmtId="0" fontId="62" fillId="83" borderId="0"/>
    <xf numFmtId="0" fontId="1" fillId="39" borderId="0" applyNumberFormat="0" applyBorder="0" applyAlignment="0" applyProtection="0"/>
    <xf numFmtId="0" fontId="15" fillId="102" borderId="51">
      <alignment vertical="center"/>
      <protection locked="0" hidden="1"/>
    </xf>
    <xf numFmtId="173" fontId="15" fillId="103" borderId="51">
      <alignment vertical="center"/>
    </xf>
    <xf numFmtId="0" fontId="128" fillId="67" borderId="181" applyNumberFormat="0" applyAlignment="0" applyProtection="0"/>
    <xf numFmtId="0" fontId="128" fillId="67" borderId="181" applyNumberFormat="0" applyAlignment="0" applyProtection="0"/>
    <xf numFmtId="43" fontId="2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15" fillId="104" borderId="51">
      <alignment vertical="center"/>
      <protection locked="0"/>
    </xf>
    <xf numFmtId="170" fontId="15" fillId="0" borderId="51">
      <alignment vertical="center"/>
      <protection locked="0"/>
    </xf>
    <xf numFmtId="0" fontId="62" fillId="0" borderId="51">
      <alignment vertical="center"/>
      <protection locked="0"/>
    </xf>
    <xf numFmtId="0" fontId="21" fillId="100" borderId="51">
      <alignment vertical="center"/>
      <protection locked="0"/>
    </xf>
    <xf numFmtId="177" fontId="26" fillId="0" borderId="0"/>
    <xf numFmtId="2" fontId="26" fillId="0" borderId="0">
      <alignment horizontal="center"/>
    </xf>
    <xf numFmtId="0" fontId="133" fillId="105" borderId="51"/>
    <xf numFmtId="0" fontId="121" fillId="105" borderId="51">
      <alignment horizontal="center" wrapText="1"/>
      <protection hidden="1"/>
    </xf>
    <xf numFmtId="0" fontId="129" fillId="101" borderId="51"/>
    <xf numFmtId="0" fontId="131" fillId="0" borderId="38" applyNumberFormat="0" applyFill="0" applyAlignment="0" applyProtection="0"/>
    <xf numFmtId="0" fontId="131" fillId="0" borderId="38" applyNumberFormat="0" applyFill="0" applyAlignment="0" applyProtection="0"/>
    <xf numFmtId="0" fontId="7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7" fillId="106" borderId="181" applyNumberFormat="0" applyAlignment="0" applyProtection="0"/>
    <xf numFmtId="1" fontId="26" fillId="0" borderId="0">
      <alignment horizontal="center"/>
    </xf>
    <xf numFmtId="0" fontId="16" fillId="0" borderId="0"/>
    <xf numFmtId="0" fontId="26" fillId="0" borderId="0"/>
    <xf numFmtId="0" fontId="62" fillId="83" borderId="0"/>
    <xf numFmtId="0" fontId="26" fillId="0" borderId="0"/>
    <xf numFmtId="0" fontId="130" fillId="83" borderId="0"/>
    <xf numFmtId="0" fontId="16" fillId="0" borderId="0"/>
    <xf numFmtId="0" fontId="1" fillId="0" borderId="0"/>
    <xf numFmtId="0" fontId="62" fillId="83" borderId="0"/>
    <xf numFmtId="0" fontId="28" fillId="3" borderId="3" applyNumberFormat="0" applyFont="0" applyAlignment="0" applyProtection="0"/>
    <xf numFmtId="0" fontId="28" fillId="3" borderId="3" applyNumberFormat="0" applyFont="0" applyAlignment="0" applyProtection="0"/>
    <xf numFmtId="9" fontId="26" fillId="0" borderId="0" applyFont="0" applyFill="0" applyBorder="0" applyAlignment="0" applyProtection="0"/>
    <xf numFmtId="9" fontId="28" fillId="0" borderId="0" applyFont="0" applyFill="0" applyBorder="0" applyAlignment="0" applyProtection="0"/>
    <xf numFmtId="0" fontId="134" fillId="0" borderId="126"/>
    <xf numFmtId="0" fontId="47" fillId="0" borderId="0"/>
    <xf numFmtId="0" fontId="47" fillId="0" borderId="0"/>
    <xf numFmtId="0" fontId="15" fillId="0" borderId="0"/>
    <xf numFmtId="0" fontId="16" fillId="0" borderId="0">
      <alignment readingOrder="1"/>
    </xf>
    <xf numFmtId="0" fontId="16" fillId="0" borderId="0">
      <alignment readingOrder="1"/>
    </xf>
    <xf numFmtId="0" fontId="16" fillId="0" borderId="0">
      <alignment readingOrder="1"/>
    </xf>
    <xf numFmtId="0" fontId="100" fillId="0" borderId="0" applyAlignment="0"/>
    <xf numFmtId="0" fontId="177" fillId="17" borderId="0"/>
    <xf numFmtId="0" fontId="16" fillId="16" borderId="0"/>
    <xf numFmtId="43" fontId="16" fillId="0" borderId="0" applyFont="0" applyFill="0" applyBorder="0" applyAlignment="0" applyProtection="0"/>
    <xf numFmtId="0" fontId="84" fillId="0" borderId="0"/>
    <xf numFmtId="43" fontId="84" fillId="0" borderId="0" applyFont="0" applyFill="0" applyBorder="0" applyAlignment="0" applyProtection="0"/>
    <xf numFmtId="44" fontId="84" fillId="0" borderId="0" applyFont="0" applyFill="0" applyBorder="0" applyAlignment="0" applyProtection="0"/>
    <xf numFmtId="0" fontId="194" fillId="115" borderId="0" applyNumberFormat="0" applyBorder="0" applyAlignment="0" applyProtection="0"/>
    <xf numFmtId="0" fontId="16" fillId="3" borderId="3" applyNumberFormat="0" applyFont="0" applyAlignment="0" applyProtection="0"/>
    <xf numFmtId="183" fontId="16" fillId="0" borderId="0" applyFont="0" applyFill="0" applyBorder="0" applyAlignment="0" applyProtection="0"/>
    <xf numFmtId="184" fontId="16" fillId="0" borderId="0" applyFont="0" applyFill="0" applyBorder="0" applyAlignment="0" applyProtection="0"/>
    <xf numFmtId="0" fontId="195" fillId="0" borderId="0" applyNumberFormat="0" applyFill="0" applyBorder="0" applyAlignment="0" applyProtection="0">
      <alignment vertical="top"/>
      <protection locked="0"/>
    </xf>
    <xf numFmtId="0" fontId="1" fillId="0" borderId="0"/>
    <xf numFmtId="0" fontId="16" fillId="0" borderId="0"/>
    <xf numFmtId="0" fontId="196" fillId="128" borderId="403" applyNumberFormat="0" applyFont="0" applyFill="0" applyBorder="0" applyAlignment="0">
      <alignment horizontal="center" vertical="center"/>
    </xf>
    <xf numFmtId="49" fontId="16" fillId="0" borderId="0" applyFont="0" applyFill="0" applyBorder="0" applyAlignment="0" applyProtection="0"/>
    <xf numFmtId="185" fontId="16" fillId="0" borderId="0" applyFont="0" applyFill="0" applyBorder="0" applyAlignment="0" applyProtection="0"/>
    <xf numFmtId="186" fontId="16" fillId="0" borderId="0" applyFont="0" applyFill="0" applyBorder="0" applyAlignment="0" applyProtection="0"/>
    <xf numFmtId="187" fontId="16" fillId="0" borderId="0" applyFont="0" applyFill="0" applyBorder="0" applyAlignment="0" applyProtection="0"/>
    <xf numFmtId="188" fontId="16" fillId="0" borderId="0" applyFont="0" applyFill="0" applyBorder="0" applyAlignment="0" applyProtection="0"/>
    <xf numFmtId="189" fontId="16" fillId="0" borderId="0" applyFont="0" applyFill="0" applyBorder="0" applyAlignment="0" applyProtection="0"/>
    <xf numFmtId="190" fontId="16" fillId="0" borderId="0" applyFont="0" applyFill="0" applyBorder="0" applyAlignment="0" applyProtection="0"/>
    <xf numFmtId="191" fontId="16" fillId="0" borderId="0" applyFont="0" applyFill="0" applyBorder="0" applyAlignment="0" applyProtection="0"/>
    <xf numFmtId="192" fontId="16" fillId="0" borderId="0" applyFont="0" applyFill="0" applyBorder="0" applyAlignment="0" applyProtection="0"/>
    <xf numFmtId="193" fontId="16" fillId="0" borderId="0" applyFont="0" applyFill="0" applyBorder="0" applyAlignment="0" applyProtection="0"/>
    <xf numFmtId="194" fontId="16" fillId="0" borderId="0" applyFont="0" applyFill="0" applyBorder="0" applyAlignment="0" applyProtection="0"/>
    <xf numFmtId="195" fontId="16" fillId="0" borderId="0" applyFont="0" applyFill="0" applyBorder="0" applyAlignment="0" applyProtection="0"/>
    <xf numFmtId="196" fontId="16" fillId="0" borderId="0" applyFont="0" applyFill="0" applyBorder="0" applyAlignment="0" applyProtection="0"/>
    <xf numFmtId="0" fontId="47" fillId="0" borderId="0" applyNumberFormat="0" applyFont="0" applyFill="0" applyBorder="0" applyAlignment="0" applyProtection="0">
      <alignment horizontal="left"/>
    </xf>
    <xf numFmtId="15" fontId="47" fillId="0" borderId="0" applyFont="0" applyFill="0" applyBorder="0" applyAlignment="0" applyProtection="0"/>
    <xf numFmtId="44" fontId="1" fillId="0" borderId="0" applyFont="0" applyFill="0" applyBorder="0" applyAlignment="0" applyProtection="0"/>
    <xf numFmtId="0" fontId="6" fillId="31" borderId="402">
      <alignment wrapText="1"/>
    </xf>
    <xf numFmtId="0" fontId="1" fillId="31" borderId="402"/>
    <xf numFmtId="0" fontId="197" fillId="17" borderId="55">
      <alignment wrapText="1"/>
    </xf>
    <xf numFmtId="0" fontId="7" fillId="85" borderId="2" applyNumberFormat="0" applyAlignment="0" applyProtection="0"/>
    <xf numFmtId="41" fontId="1" fillId="0" borderId="0" applyFont="0" applyFill="0" applyBorder="0" applyAlignment="0" applyProtection="0"/>
    <xf numFmtId="164" fontId="1" fillId="107" borderId="402"/>
    <xf numFmtId="0" fontId="198" fillId="16" borderId="404">
      <alignment horizontal="center"/>
    </xf>
    <xf numFmtId="0" fontId="199" fillId="16" borderId="0"/>
    <xf numFmtId="0" fontId="19" fillId="0" borderId="0" applyNumberFormat="0" applyFill="0" applyBorder="0" applyAlignment="0" applyProtection="0"/>
    <xf numFmtId="0" fontId="189" fillId="129" borderId="405">
      <alignment horizontal="left" wrapText="1"/>
      <protection locked="0"/>
    </xf>
    <xf numFmtId="0" fontId="16" fillId="97" borderId="0"/>
    <xf numFmtId="0" fontId="16" fillId="16" borderId="0"/>
    <xf numFmtId="43" fontId="84" fillId="0" borderId="0" applyFont="0" applyFill="0" applyBorder="0" applyAlignment="0" applyProtection="0"/>
    <xf numFmtId="43" fontId="1" fillId="0" borderId="0" applyFont="0" applyFill="0" applyBorder="0" applyAlignment="0" applyProtection="0"/>
    <xf numFmtId="3" fontId="201" fillId="0" borderId="0" applyFont="0" applyFill="0" applyBorder="0" applyAlignment="0" applyProtection="0"/>
    <xf numFmtId="44" fontId="84" fillId="0" borderId="0" applyFont="0" applyFill="0" applyBorder="0" applyAlignment="0" applyProtection="0"/>
    <xf numFmtId="0" fontId="201" fillId="0" borderId="0" applyFont="0" applyFill="0" applyBorder="0" applyAlignment="0" applyProtection="0"/>
    <xf numFmtId="198" fontId="201" fillId="0" borderId="0" applyFont="0" applyFill="0" applyBorder="0" applyAlignment="0" applyProtection="0"/>
    <xf numFmtId="183" fontId="16" fillId="0" borderId="0" applyFont="0" applyFill="0" applyBorder="0" applyAlignment="0" applyProtection="0"/>
    <xf numFmtId="184" fontId="16" fillId="0" borderId="0" applyFont="0" applyFill="0" applyBorder="0" applyAlignment="0" applyProtection="0"/>
    <xf numFmtId="0" fontId="195" fillId="0" borderId="0" applyNumberFormat="0" applyFill="0" applyBorder="0" applyAlignment="0" applyProtection="0">
      <alignment vertical="top"/>
      <protection locked="0"/>
    </xf>
    <xf numFmtId="0" fontId="45" fillId="40" borderId="181" applyNumberFormat="0" applyAlignment="0" applyProtection="0"/>
    <xf numFmtId="0" fontId="202" fillId="0" borderId="406" applyNumberFormat="0" applyFill="0" applyAlignment="0" applyProtection="0"/>
    <xf numFmtId="0" fontId="46" fillId="72" borderId="0" applyNumberFormat="0" applyBorder="0" applyAlignment="0" applyProtection="0"/>
    <xf numFmtId="0" fontId="84" fillId="0" borderId="0"/>
    <xf numFmtId="0" fontId="1" fillId="3" borderId="3" applyNumberFormat="0" applyFont="0" applyAlignment="0" applyProtection="0"/>
    <xf numFmtId="0" fontId="16" fillId="3" borderId="3" applyNumberFormat="0" applyFont="0" applyAlignment="0" applyProtection="0"/>
    <xf numFmtId="0" fontId="48" fillId="67" borderId="407" applyNumberFormat="0" applyAlignment="0" applyProtection="0"/>
    <xf numFmtId="0" fontId="203" fillId="131" borderId="408" applyNumberFormat="0" applyAlignment="0" applyProtection="0"/>
    <xf numFmtId="2" fontId="203" fillId="132" borderId="408" applyProtection="0">
      <alignment horizontal="right"/>
    </xf>
    <xf numFmtId="2" fontId="204" fillId="71" borderId="408" applyProtection="0">
      <alignment horizontal="right"/>
    </xf>
    <xf numFmtId="14" fontId="205" fillId="101" borderId="408" applyProtection="0">
      <alignment horizontal="right"/>
    </xf>
    <xf numFmtId="14" fontId="205" fillId="101" borderId="408" applyProtection="0">
      <alignment horizontal="left"/>
    </xf>
    <xf numFmtId="0" fontId="206" fillId="131" borderId="408" applyNumberFormat="0" applyProtection="0">
      <alignment horizontal="left"/>
    </xf>
    <xf numFmtId="0" fontId="16" fillId="0" borderId="0" applyNumberFormat="0" applyFill="0" applyBorder="0" applyProtection="0">
      <alignment horizontal="right" wrapText="1"/>
    </xf>
    <xf numFmtId="0" fontId="52" fillId="0" borderId="409" applyNumberFormat="0" applyFill="0" applyAlignment="0" applyProtection="0"/>
    <xf numFmtId="9" fontId="16" fillId="0" borderId="0" applyFont="0" applyFill="0" applyBorder="0" applyAlignment="0" applyProtection="0"/>
    <xf numFmtId="0" fontId="16" fillId="16" borderId="0" applyNumberFormat="0"/>
    <xf numFmtId="0" fontId="207" fillId="133" borderId="0" applyNumberFormat="0"/>
    <xf numFmtId="0" fontId="208" fillId="134" borderId="0" applyNumberFormat="0"/>
    <xf numFmtId="0" fontId="16" fillId="135" borderId="0" applyNumberFormat="0"/>
    <xf numFmtId="0" fontId="16" fillId="136" borderId="0" applyNumberFormat="0"/>
    <xf numFmtId="0" fontId="16" fillId="137" borderId="0" applyNumberFormat="0"/>
    <xf numFmtId="0" fontId="16" fillId="16" borderId="0" applyNumberFormat="0">
      <alignment horizontal="right"/>
    </xf>
    <xf numFmtId="0" fontId="209" fillId="138" borderId="0" applyNumberFormat="0">
      <alignment horizontal="center" vertical="center"/>
    </xf>
    <xf numFmtId="0" fontId="1" fillId="0" borderId="0"/>
    <xf numFmtId="0" fontId="1" fillId="0" borderId="0"/>
    <xf numFmtId="2" fontId="203" fillId="132" borderId="408" applyProtection="0">
      <alignment horizontal="right"/>
    </xf>
    <xf numFmtId="44" fontId="1" fillId="0" borderId="0" applyFont="0" applyFill="0" applyBorder="0" applyAlignment="0" applyProtection="0"/>
    <xf numFmtId="0" fontId="1" fillId="31" borderId="402"/>
    <xf numFmtId="41" fontId="1" fillId="0" borderId="0" applyFont="0" applyFill="0" applyBorder="0" applyAlignment="0" applyProtection="0"/>
    <xf numFmtId="164" fontId="1" fillId="107" borderId="402"/>
    <xf numFmtId="0" fontId="1" fillId="0" borderId="0"/>
    <xf numFmtId="0" fontId="45" fillId="40" borderId="410" applyNumberFormat="0" applyAlignment="0" applyProtection="0"/>
    <xf numFmtId="43" fontId="1" fillId="0" borderId="0" applyFont="0" applyFill="0" applyBorder="0" applyAlignment="0" applyProtection="0"/>
    <xf numFmtId="0" fontId="203" fillId="131" borderId="408" applyNumberFormat="0" applyAlignment="0" applyProtection="0"/>
    <xf numFmtId="2" fontId="204" fillId="71" borderId="408" applyProtection="0">
      <alignment horizontal="right"/>
    </xf>
    <xf numFmtId="14" fontId="205" fillId="101" borderId="408" applyProtection="0">
      <alignment horizontal="right"/>
    </xf>
    <xf numFmtId="14" fontId="205" fillId="101" borderId="408" applyProtection="0">
      <alignment horizontal="left"/>
    </xf>
    <xf numFmtId="0" fontId="206" fillId="131" borderId="408" applyNumberFormat="0" applyProtection="0">
      <alignment horizontal="left"/>
    </xf>
    <xf numFmtId="0" fontId="52" fillId="0" borderId="409" applyNumberFormat="0" applyFill="0" applyAlignment="0" applyProtection="0"/>
    <xf numFmtId="0" fontId="45" fillId="40" borderId="410" applyNumberFormat="0" applyAlignment="0" applyProtection="0"/>
    <xf numFmtId="0" fontId="1" fillId="3" borderId="3" applyNumberFormat="0" applyFont="0" applyAlignment="0" applyProtection="0"/>
    <xf numFmtId="0" fontId="48" fillId="67" borderId="407" applyNumberFormat="0" applyAlignment="0" applyProtection="0"/>
    <xf numFmtId="0" fontId="203" fillId="131" borderId="408" applyNumberFormat="0" applyAlignment="0" applyProtection="0"/>
    <xf numFmtId="2" fontId="203" fillId="132" borderId="408" applyProtection="0">
      <alignment horizontal="right"/>
    </xf>
    <xf numFmtId="2" fontId="204" fillId="71" borderId="408" applyProtection="0">
      <alignment horizontal="right"/>
    </xf>
    <xf numFmtId="14" fontId="205" fillId="101" borderId="408" applyProtection="0">
      <alignment horizontal="right"/>
    </xf>
    <xf numFmtId="14" fontId="205" fillId="101" borderId="408" applyProtection="0">
      <alignment horizontal="left"/>
    </xf>
    <xf numFmtId="0" fontId="206" fillId="131" borderId="408" applyNumberFormat="0" applyProtection="0">
      <alignment horizontal="left"/>
    </xf>
    <xf numFmtId="0" fontId="52" fillId="0" borderId="409" applyNumberFormat="0" applyFill="0" applyAlignment="0" applyProtection="0"/>
    <xf numFmtId="0" fontId="48" fillId="67" borderId="407" applyNumberFormat="0" applyAlignment="0" applyProtection="0"/>
    <xf numFmtId="0" fontId="203" fillId="131" borderId="408" applyNumberFormat="0" applyAlignment="0" applyProtection="0"/>
    <xf numFmtId="2" fontId="203" fillId="132" borderId="408" applyProtection="0">
      <alignment horizontal="right"/>
    </xf>
    <xf numFmtId="2" fontId="204" fillId="71" borderId="408" applyProtection="0">
      <alignment horizontal="right"/>
    </xf>
    <xf numFmtId="14" fontId="205" fillId="101" borderId="408" applyProtection="0">
      <alignment horizontal="right"/>
    </xf>
    <xf numFmtId="14" fontId="205" fillId="101" borderId="408" applyProtection="0">
      <alignment horizontal="left"/>
    </xf>
    <xf numFmtId="0" fontId="206" fillId="131" borderId="408" applyNumberFormat="0" applyProtection="0">
      <alignment horizontal="left"/>
    </xf>
    <xf numFmtId="0" fontId="52" fillId="0" borderId="409" applyNumberFormat="0" applyFill="0" applyAlignment="0" applyProtection="0"/>
    <xf numFmtId="0" fontId="43" fillId="16" borderId="0" applyNumberFormat="0" applyFill="0" applyBorder="0" applyAlignment="0" applyProtection="0"/>
    <xf numFmtId="0" fontId="1" fillId="0" borderId="0"/>
    <xf numFmtId="0" fontId="51" fillId="0" borderId="0"/>
    <xf numFmtId="199" fontId="16" fillId="16" borderId="0" applyFont="0" applyFill="0" applyBorder="0" applyAlignment="0" applyProtection="0"/>
    <xf numFmtId="2" fontId="71" fillId="20" borderId="413" applyNumberFormat="0">
      <alignment horizontal="center" vertical="center"/>
    </xf>
    <xf numFmtId="0" fontId="192" fillId="126" borderId="0" applyNumberFormat="0" applyBorder="0">
      <alignment horizontal="center" wrapText="1"/>
    </xf>
    <xf numFmtId="0" fontId="5" fillId="120" borderId="0" applyNumberFormat="0" applyFont="0" applyBorder="0" applyAlignment="0"/>
    <xf numFmtId="0" fontId="5" fillId="121" borderId="0" applyNumberFormat="0" applyFont="0" applyBorder="0" applyAlignment="0"/>
    <xf numFmtId="2" fontId="210" fillId="17" borderId="414" applyNumberFormat="0"/>
    <xf numFmtId="0" fontId="200" fillId="18" borderId="415"/>
    <xf numFmtId="39" fontId="211" fillId="139" borderId="0" applyAlignment="0" applyProtection="0">
      <alignment horizontal="center"/>
    </xf>
    <xf numFmtId="5" fontId="16" fillId="0" borderId="0" applyFont="0" applyFill="0" applyBorder="0" applyAlignment="0" applyProtection="0"/>
    <xf numFmtId="0" fontId="87" fillId="78" borderId="416">
      <alignment horizontal="center"/>
    </xf>
    <xf numFmtId="0" fontId="87" fillId="17" borderId="417" applyNumberFormat="0" applyAlignment="0">
      <alignment horizontal="center"/>
    </xf>
    <xf numFmtId="0" fontId="87" fillId="0" borderId="418">
      <alignment horizontal="center"/>
    </xf>
    <xf numFmtId="0" fontId="87" fillId="17" borderId="419" applyNumberFormat="0">
      <alignment horizontal="center"/>
    </xf>
    <xf numFmtId="0" fontId="8" fillId="22" borderId="50">
      <alignment horizontal="left"/>
    </xf>
    <xf numFmtId="197" fontId="102" fillId="96" borderId="90" applyFont="0" applyBorder="0" applyAlignment="0">
      <alignment horizontal="center" vertical="center"/>
    </xf>
    <xf numFmtId="0" fontId="191" fillId="122" borderId="0" applyNumberFormat="0">
      <alignment horizontal="center"/>
    </xf>
    <xf numFmtId="0" fontId="145" fillId="74" borderId="84">
      <alignment wrapText="1"/>
    </xf>
    <xf numFmtId="0" fontId="76" fillId="95" borderId="76"/>
    <xf numFmtId="0" fontId="188" fillId="140" borderId="0" applyBorder="0" applyAlignment="0" applyProtection="0"/>
    <xf numFmtId="170" fontId="212" fillId="17" borderId="0" applyNumberFormat="0">
      <alignment wrapText="1"/>
    </xf>
    <xf numFmtId="0" fontId="1" fillId="30" borderId="4" applyBorder="0"/>
    <xf numFmtId="0" fontId="189" fillId="141" borderId="420" applyNumberFormat="0">
      <alignment horizontal="center" vertical="center"/>
      <protection locked="0"/>
    </xf>
    <xf numFmtId="0" fontId="189" fillId="141" borderId="421" applyNumberFormat="0">
      <alignment horizontal="center" vertical="center"/>
      <protection locked="0"/>
    </xf>
    <xf numFmtId="0" fontId="189" fillId="141" borderId="422" applyNumberFormat="0">
      <alignment horizontal="center" vertical="center"/>
      <protection locked="0"/>
    </xf>
    <xf numFmtId="0" fontId="213" fillId="142" borderId="0" applyNumberFormat="0">
      <alignment horizontal="right" vertical="center" wrapText="1"/>
    </xf>
    <xf numFmtId="164" fontId="8" fillId="31" borderId="402"/>
    <xf numFmtId="167" fontId="8" fillId="31" borderId="402"/>
    <xf numFmtId="0" fontId="6" fillId="31" borderId="402">
      <alignment wrapText="1"/>
    </xf>
    <xf numFmtId="0" fontId="84" fillId="143" borderId="402"/>
    <xf numFmtId="0" fontId="192" fillId="127" borderId="78" applyNumberFormat="0" applyBorder="0">
      <alignment horizontal="center" wrapText="1"/>
    </xf>
    <xf numFmtId="0" fontId="76" fillId="123" borderId="4" applyBorder="0"/>
    <xf numFmtId="41" fontId="214" fillId="78" borderId="423" applyNumberFormat="0" applyFill="0" applyAlignment="0" applyProtection="0"/>
    <xf numFmtId="0" fontId="191" fillId="92" borderId="0" applyNumberFormat="0">
      <alignment horizontal="center"/>
    </xf>
    <xf numFmtId="0" fontId="1" fillId="0" borderId="0"/>
    <xf numFmtId="0" fontId="215" fillId="0" borderId="0"/>
    <xf numFmtId="0" fontId="76" fillId="144" borderId="4" applyBorder="0"/>
    <xf numFmtId="9" fontId="16" fillId="0" borderId="0" applyFont="0" applyFill="0" applyBorder="0" applyAlignment="0" applyProtection="0"/>
    <xf numFmtId="0" fontId="216" fillId="115" borderId="0" applyNumberFormat="0" applyFill="0" applyBorder="0" applyAlignment="0" applyProtection="0"/>
    <xf numFmtId="0" fontId="217" fillId="21" borderId="424"/>
    <xf numFmtId="2" fontId="218" fillId="145" borderId="425" applyNumberFormat="0"/>
    <xf numFmtId="0" fontId="192" fillId="125" borderId="77" applyNumberFormat="0" applyFont="0" applyBorder="0">
      <alignment horizontal="center" wrapText="1"/>
    </xf>
    <xf numFmtId="0" fontId="1" fillId="31" borderId="411" applyBorder="0">
      <alignment vertical="top" wrapText="1"/>
    </xf>
    <xf numFmtId="0" fontId="192" fillId="23" borderId="0" applyNumberFormat="0" applyBorder="0">
      <alignment horizontal="center" wrapText="1"/>
    </xf>
    <xf numFmtId="0" fontId="219" fillId="0" borderId="0" applyNumberFormat="0" applyFill="0" applyBorder="0">
      <alignment horizontal="center"/>
    </xf>
    <xf numFmtId="0" fontId="220" fillId="144" borderId="426"/>
    <xf numFmtId="0" fontId="76" fillId="124" borderId="4" applyBorder="0"/>
    <xf numFmtId="0" fontId="1" fillId="0" borderId="0"/>
    <xf numFmtId="0" fontId="31" fillId="67" borderId="410" applyNumberFormat="0" applyAlignment="0" applyProtection="0"/>
    <xf numFmtId="0" fontId="221" fillId="21" borderId="0" applyAlignment="0" applyProtection="0"/>
    <xf numFmtId="0" fontId="221" fillId="21" borderId="0" applyAlignment="0" applyProtection="0"/>
    <xf numFmtId="0" fontId="128" fillId="85" borderId="2" applyNumberFormat="0" applyAlignment="0" applyProtection="0"/>
    <xf numFmtId="0" fontId="221" fillId="21" borderId="0" applyAlignment="0" applyProtection="0"/>
    <xf numFmtId="44" fontId="222"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 fillId="0" borderId="0" applyFont="0" applyFill="0" applyBorder="0" applyAlignment="0" applyProtection="0"/>
    <xf numFmtId="0" fontId="37" fillId="0" borderId="36" applyNumberFormat="0" applyFill="0" applyAlignment="0" applyProtection="0"/>
    <xf numFmtId="164" fontId="1" fillId="31" borderId="402">
      <alignment horizontal="right"/>
    </xf>
    <xf numFmtId="0" fontId="223" fillId="29" borderId="0"/>
    <xf numFmtId="0" fontId="202" fillId="0" borderId="406" applyNumberFormat="0" applyFill="0" applyAlignment="0" applyProtection="0"/>
    <xf numFmtId="0" fontId="90" fillId="20" borderId="0" applyNumberFormat="0" applyAlignment="0" applyProtection="0"/>
    <xf numFmtId="0" fontId="90" fillId="20" borderId="0" applyNumberFormat="0" applyAlignment="0" applyProtection="0"/>
    <xf numFmtId="0" fontId="74" fillId="0" borderId="98" applyNumberFormat="0" applyFill="0" applyAlignment="0" applyProtection="0"/>
    <xf numFmtId="0" fontId="90" fillId="20" borderId="0" applyNumberFormat="0" applyAlignment="0" applyProtection="0"/>
    <xf numFmtId="0" fontId="224" fillId="19" borderId="0"/>
    <xf numFmtId="0" fontId="225" fillId="86" borderId="0"/>
    <xf numFmtId="43" fontId="226" fillId="19" borderId="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1" fillId="0" borderId="0"/>
    <xf numFmtId="0" fontId="1" fillId="0" borderId="0"/>
    <xf numFmtId="0" fontId="1" fillId="0" borderId="0"/>
    <xf numFmtId="0" fontId="47" fillId="0" borderId="0"/>
    <xf numFmtId="0" fontId="28" fillId="73" borderId="427" applyNumberFormat="0" applyFont="0" applyAlignment="0" applyProtection="0"/>
    <xf numFmtId="0" fontId="227" fillId="130" borderId="0"/>
    <xf numFmtId="166" fontId="64" fillId="23" borderId="0"/>
    <xf numFmtId="43" fontId="226" fillId="84" borderId="2"/>
    <xf numFmtId="0" fontId="16" fillId="0" borderId="0">
      <alignment readingOrder="1"/>
    </xf>
    <xf numFmtId="0" fontId="24" fillId="71" borderId="412">
      <alignment horizontal="left"/>
    </xf>
    <xf numFmtId="0" fontId="99" fillId="0" borderId="0" applyNumberFormat="0" applyFill="0" applyBorder="0" applyAlignment="0" applyProtection="0"/>
    <xf numFmtId="0" fontId="228" fillId="85" borderId="2" applyNumberFormat="0" applyAlignment="0" applyProtection="0"/>
    <xf numFmtId="0" fontId="1" fillId="0" borderId="0"/>
    <xf numFmtId="43" fontId="1" fillId="0" borderId="0" applyFont="0" applyFill="0" applyBorder="0" applyAlignment="0" applyProtection="0"/>
    <xf numFmtId="0" fontId="16" fillId="0" borderId="0" applyNumberFormat="0" applyFill="0" applyBorder="0" applyAlignment="0" applyProtection="0"/>
    <xf numFmtId="0" fontId="28" fillId="40" borderId="0" applyNumberFormat="0" applyBorder="0" applyAlignment="0" applyProtection="0"/>
    <xf numFmtId="0" fontId="1" fillId="6" borderId="0" applyNumberFormat="0" applyBorder="0" applyAlignment="0" applyProtection="0"/>
    <xf numFmtId="0" fontId="28" fillId="35" borderId="0" applyNumberFormat="0" applyBorder="0" applyAlignment="0" applyProtection="0"/>
    <xf numFmtId="0" fontId="1" fillId="8" borderId="0" applyNumberFormat="0" applyBorder="0" applyAlignment="0" applyProtection="0"/>
    <xf numFmtId="0" fontId="28" fillId="146" borderId="0" applyNumberFormat="0" applyBorder="0" applyAlignment="0" applyProtection="0"/>
    <xf numFmtId="0" fontId="1" fillId="12" borderId="0" applyNumberFormat="0" applyBorder="0" applyAlignment="0" applyProtection="0"/>
    <xf numFmtId="0" fontId="28" fillId="147" borderId="0" applyNumberFormat="0" applyBorder="0" applyAlignment="0" applyProtection="0"/>
    <xf numFmtId="0" fontId="1" fillId="7" borderId="0" applyNumberFormat="0" applyBorder="0" applyAlignment="0" applyProtection="0"/>
    <xf numFmtId="0" fontId="28" fillId="40" borderId="0" applyNumberFormat="0" applyBorder="0" applyAlignment="0" applyProtection="0"/>
    <xf numFmtId="0" fontId="1" fillId="7" borderId="0" applyNumberFormat="0" applyBorder="0" applyAlignment="0" applyProtection="0"/>
    <xf numFmtId="0" fontId="28" fillId="73" borderId="0" applyNumberFormat="0" applyBorder="0" applyAlignment="0" applyProtection="0"/>
    <xf numFmtId="0" fontId="1" fillId="9" borderId="0" applyNumberFormat="0" applyBorder="0" applyAlignment="0" applyProtection="0"/>
    <xf numFmtId="0" fontId="5" fillId="117" borderId="0" applyNumberFormat="0" applyBorder="0" applyAlignment="0" applyProtection="0"/>
    <xf numFmtId="0" fontId="29" fillId="147" borderId="0" applyNumberFormat="0" applyBorder="0" applyAlignment="0" applyProtection="0"/>
    <xf numFmtId="0" fontId="29" fillId="73" borderId="0" applyNumberFormat="0" applyBorder="0" applyAlignment="0" applyProtection="0"/>
    <xf numFmtId="0" fontId="29" fillId="35" borderId="0" applyNumberFormat="0" applyBorder="0" applyAlignment="0" applyProtection="0"/>
    <xf numFmtId="0" fontId="5" fillId="118" borderId="0" applyNumberFormat="0" applyBorder="0" applyAlignment="0" applyProtection="0"/>
    <xf numFmtId="0" fontId="5" fillId="120" borderId="0" applyNumberFormat="0" applyBorder="0" applyAlignment="0" applyProtection="0"/>
    <xf numFmtId="0" fontId="5" fillId="121" borderId="0" applyNumberFormat="0" applyBorder="0" applyAlignment="0" applyProtection="0"/>
    <xf numFmtId="0" fontId="5" fillId="116" borderId="0" applyNumberFormat="0" applyBorder="0" applyAlignment="0" applyProtection="0"/>
    <xf numFmtId="0" fontId="29" fillId="147" borderId="0" applyNumberFormat="0" applyBorder="0" applyAlignment="0" applyProtection="0"/>
    <xf numFmtId="0" fontId="29" fillId="148" borderId="0" applyNumberFormat="0" applyBorder="0" applyAlignment="0" applyProtection="0"/>
    <xf numFmtId="0" fontId="29" fillId="73" borderId="0" applyNumberFormat="0" applyBorder="0" applyAlignment="0" applyProtection="0"/>
    <xf numFmtId="0" fontId="29" fillId="35" borderId="0" applyNumberFormat="0" applyBorder="0" applyAlignment="0" applyProtection="0"/>
    <xf numFmtId="0" fontId="29" fillId="39" borderId="0" applyNumberFormat="0" applyBorder="0" applyAlignment="0" applyProtection="0"/>
    <xf numFmtId="0" fontId="5" fillId="119" borderId="0" applyNumberFormat="0" applyBorder="0" applyAlignment="0" applyProtection="0"/>
    <xf numFmtId="0" fontId="29" fillId="147" borderId="0" applyNumberFormat="0" applyBorder="0" applyAlignment="0" applyProtection="0"/>
    <xf numFmtId="0" fontId="29" fillId="42" borderId="0" applyNumberFormat="0" applyBorder="0" applyAlignment="0" applyProtection="0"/>
    <xf numFmtId="0" fontId="230" fillId="36" borderId="0" applyNumberFormat="0" applyBorder="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231" fillId="85" borderId="2" applyNumberFormat="0" applyAlignment="0"/>
    <xf numFmtId="0" fontId="31" fillId="67"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16" fillId="149" borderId="2"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231" fillId="85" borderId="2" applyNumberFormat="0" applyAlignment="0"/>
    <xf numFmtId="0" fontId="31" fillId="75" borderId="410" applyNumberFormat="0" applyAlignment="0" applyProtection="0"/>
    <xf numFmtId="0" fontId="31" fillId="75" borderId="410" applyNumberFormat="0" applyAlignment="0" applyProtection="0"/>
    <xf numFmtId="0" fontId="232" fillId="75" borderId="2" applyNumberFormat="0" applyAlignment="0" applyProtection="0"/>
    <xf numFmtId="0" fontId="7" fillId="85" borderId="2" applyNumberFormat="0" applyAlignment="0" applyProtection="0"/>
    <xf numFmtId="0" fontId="31" fillId="75" borderId="410" applyNumberFormat="0" applyAlignment="0" applyProtection="0"/>
    <xf numFmtId="0" fontId="57" fillId="78" borderId="2" applyNumberFormat="0" applyBorder="0" applyAlignment="0" applyProtection="0"/>
    <xf numFmtId="0" fontId="32" fillId="68" borderId="35" applyNumberFormat="0" applyAlignment="0" applyProtection="0"/>
    <xf numFmtId="43" fontId="15"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200"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0" fontId="233" fillId="0" borderId="0" applyNumberFormat="0" applyFill="0" applyBorder="0" applyAlignment="0" applyProtection="0"/>
    <xf numFmtId="5"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7"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93" fillId="0" borderId="0" applyFont="0" applyFill="0" applyBorder="0" applyAlignment="0" applyProtection="0"/>
    <xf numFmtId="44" fontId="234" fillId="0" borderId="0" applyFont="0" applyFill="0" applyBorder="0" applyAlignment="0" applyProtection="0"/>
    <xf numFmtId="44" fontId="16" fillId="0" borderId="0" applyFont="0" applyFill="0" applyBorder="0" applyAlignment="0" applyProtection="0"/>
    <xf numFmtId="7" fontId="1" fillId="0" borderId="0" applyFont="0" applyFill="0" applyBorder="0" applyAlignment="0" applyProtection="0"/>
    <xf numFmtId="44" fontId="16" fillId="0" borderId="0" applyFont="0" applyFill="0" applyBorder="0" applyAlignment="0" applyProtection="0"/>
    <xf numFmtId="173" fontId="16" fillId="0" borderId="0" applyFont="0" applyFill="0" applyBorder="0" applyAlignment="0" applyProtection="0">
      <alignment vertical="top"/>
      <protection hidden="1"/>
    </xf>
    <xf numFmtId="4" fontId="235" fillId="0" borderId="0">
      <alignment horizontal="right" vertical="center"/>
    </xf>
    <xf numFmtId="0" fontId="34" fillId="150" borderId="0" applyNumberFormat="0" applyBorder="0" applyAlignment="0" applyProtection="0"/>
    <xf numFmtId="0" fontId="236" fillId="0" borderId="0">
      <alignment vertical="center"/>
    </xf>
    <xf numFmtId="0" fontId="236" fillId="0" borderId="0">
      <alignment horizontal="right" vertical="center"/>
    </xf>
    <xf numFmtId="0" fontId="236" fillId="0" borderId="89">
      <alignment horizontal="right" vertical="center"/>
    </xf>
    <xf numFmtId="0" fontId="186" fillId="0" borderId="397" applyNumberFormat="0" applyFill="0" applyAlignment="0" applyProtection="0"/>
    <xf numFmtId="0" fontId="186" fillId="0" borderId="397" applyNumberFormat="0" applyFill="0" applyAlignment="0"/>
    <xf numFmtId="0" fontId="55" fillId="0" borderId="47" applyNumberFormat="0" applyFill="0" applyAlignment="0" applyProtection="0"/>
    <xf numFmtId="0" fontId="186" fillId="0" borderId="397" applyNumberFormat="0" applyFill="0" applyAlignment="0"/>
    <xf numFmtId="0" fontId="186" fillId="0" borderId="397" applyNumberFormat="0" applyFill="0" applyAlignment="0" applyProtection="0"/>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 fillId="0" borderId="1" applyNumberFormat="0" applyFill="0" applyAlignment="0" applyProtection="0"/>
    <xf numFmtId="0" fontId="38" fillId="0" borderId="38" applyNumberFormat="0" applyFill="0" applyAlignment="0" applyProtection="0"/>
    <xf numFmtId="0" fontId="2" fillId="0" borderId="1" applyNumberFormat="0" applyFill="0" applyAlignment="0" applyProtection="0"/>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 fillId="0" borderId="1" applyNumberFormat="0" applyFill="0" applyAlignment="0" applyProtection="0"/>
    <xf numFmtId="0" fontId="24" fillId="71" borderId="412">
      <alignment horizontal="left"/>
    </xf>
    <xf numFmtId="0" fontId="187" fillId="0" borderId="398" applyNumberFormat="0" applyFill="0" applyAlignment="0" applyProtection="0"/>
    <xf numFmtId="0" fontId="187" fillId="0" borderId="0" applyNumberFormat="0" applyFill="0" applyBorder="0" applyAlignment="0" applyProtection="0"/>
    <xf numFmtId="0" fontId="27" fillId="0" borderId="0">
      <alignment horizontal="center" wrapText="1"/>
    </xf>
    <xf numFmtId="0" fontId="237" fillId="0" borderId="0">
      <alignment horizontal="center" wrapText="1"/>
    </xf>
    <xf numFmtId="0" fontId="237" fillId="0" borderId="0">
      <alignment horizontal="center" wrapText="1"/>
    </xf>
    <xf numFmtId="0" fontId="19" fillId="0" borderId="0" applyNumberFormat="0" applyFill="0" applyBorder="0" applyAlignment="0" applyProtection="0"/>
    <xf numFmtId="0" fontId="195" fillId="0" borderId="0" applyNumberFormat="0" applyFill="0" applyBorder="0" applyAlignment="0" applyProtection="0">
      <alignment vertical="top"/>
      <protection locked="0"/>
    </xf>
    <xf numFmtId="0" fontId="238" fillId="0" borderId="0" applyNumberFormat="0" applyFill="0" applyBorder="0" applyAlignment="0" applyProtection="0"/>
    <xf numFmtId="0" fontId="239" fillId="0" borderId="401" applyNumberFormat="0" applyFont="0" applyFill="0" applyAlignment="0" applyProtection="0"/>
    <xf numFmtId="0" fontId="42" fillId="0" borderId="0" applyNumberFormat="0" applyFill="0" applyBorder="0" applyAlignment="0" applyProtection="0">
      <alignment vertical="top"/>
      <protection locked="0"/>
    </xf>
    <xf numFmtId="0" fontId="19" fillId="0" borderId="0" applyNumberFormat="0" applyFill="0" applyBorder="0" applyAlignment="0" applyProtection="0"/>
    <xf numFmtId="0" fontId="40" fillId="0" borderId="0" applyNumberFormat="0" applyFill="0" applyBorder="0" applyAlignment="0" applyProtection="0">
      <alignment readingOrder="1"/>
    </xf>
    <xf numFmtId="0" fontId="239" fillId="0" borderId="401" applyNumberFormat="0" applyFont="0" applyFill="0" applyAlignment="0" applyProtection="0"/>
    <xf numFmtId="0" fontId="43" fillId="0" borderId="0" applyNumberFormat="0" applyFill="0" applyBorder="0" applyAlignment="0" applyProtection="0"/>
    <xf numFmtId="0" fontId="19" fillId="0" borderId="0" applyNumberFormat="0" applyFill="0" applyBorder="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189" fillId="141" borderId="428" applyNumberFormat="0">
      <alignment horizontal="left" wrapText="1"/>
      <protection locked="0"/>
    </xf>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189" fillId="141" borderId="428" applyNumberFormat="0">
      <alignment horizontal="left" wrapText="1"/>
      <protection locked="0"/>
    </xf>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201" fontId="189" fillId="141" borderId="422" applyFont="0" applyFill="0" applyBorder="0" applyAlignment="0" applyProtection="0">
      <alignment horizontal="center" vertical="center"/>
      <protection locked="0"/>
    </xf>
    <xf numFmtId="0" fontId="202" fillId="0" borderId="406" applyNumberFormat="0" applyFill="0" applyAlignment="0" applyProtection="0"/>
    <xf numFmtId="0" fontId="74" fillId="0" borderId="429" applyNumberFormat="0" applyFill="0" applyAlignment="0" applyProtection="0"/>
    <xf numFmtId="0" fontId="46" fillId="40" borderId="0" applyNumberFormat="0" applyBorder="0" applyAlignment="0" applyProtection="0"/>
    <xf numFmtId="0" fontId="46" fillId="73" borderId="0" applyNumberFormat="0" applyBorder="0" applyAlignment="0" applyProtection="0"/>
    <xf numFmtId="0" fontId="233" fillId="0" borderId="0" applyNumberFormat="0" applyFill="0" applyBorder="0" applyAlignment="0" applyProtection="0"/>
    <xf numFmtId="0" fontId="1" fillId="0" borderId="0"/>
    <xf numFmtId="0" fontId="16" fillId="0" borderId="0"/>
    <xf numFmtId="0" fontId="1" fillId="0" borderId="0"/>
    <xf numFmtId="0" fontId="28" fillId="0" borderId="0"/>
    <xf numFmtId="0" fontId="16" fillId="0" borderId="0"/>
    <xf numFmtId="0" fontId="16" fillId="0" borderId="0"/>
    <xf numFmtId="0" fontId="28"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234" fillId="0" borderId="0"/>
    <xf numFmtId="0" fontId="16" fillId="0" borderId="0"/>
    <xf numFmtId="0" fontId="16" fillId="0" borderId="0"/>
    <xf numFmtId="0" fontId="16" fillId="0" borderId="0"/>
    <xf numFmtId="0" fontId="16" fillId="97" borderId="0"/>
    <xf numFmtId="0" fontId="16" fillId="0" borderId="0"/>
    <xf numFmtId="0" fontId="16" fillId="0" borderId="0"/>
    <xf numFmtId="0" fontId="16" fillId="0" borderId="0"/>
    <xf numFmtId="0" fontId="16" fillId="0" borderId="0">
      <alignment readingOrder="1"/>
    </xf>
    <xf numFmtId="0" fontId="1" fillId="0" borderId="0"/>
    <xf numFmtId="0" fontId="16" fillId="0" borderId="0" applyNumberFormat="0" applyFill="0" applyBorder="0" applyAlignment="0" applyProtection="0"/>
    <xf numFmtId="0" fontId="16" fillId="0" borderId="0"/>
    <xf numFmtId="0" fontId="16" fillId="0" borderId="0"/>
    <xf numFmtId="0" fontId="16" fillId="0" borderId="0">
      <alignment readingOrder="1"/>
    </xf>
    <xf numFmtId="0" fontId="240" fillId="0" borderId="0"/>
    <xf numFmtId="0" fontId="16" fillId="0" borderId="0"/>
    <xf numFmtId="0" fontId="16" fillId="0" borderId="0">
      <alignment readingOrder="1"/>
    </xf>
    <xf numFmtId="0" fontId="16" fillId="0" borderId="0"/>
    <xf numFmtId="0" fontId="1" fillId="0" borderId="0"/>
    <xf numFmtId="0" fontId="1" fillId="0" borderId="0"/>
    <xf numFmtId="0" fontId="241" fillId="0" borderId="0"/>
    <xf numFmtId="0" fontId="234" fillId="0" borderId="0"/>
    <xf numFmtId="0" fontId="1" fillId="0" borderId="0"/>
    <xf numFmtId="0" fontId="16" fillId="0" borderId="0"/>
    <xf numFmtId="0" fontId="215" fillId="0" borderId="0"/>
    <xf numFmtId="0" fontId="16" fillId="0" borderId="0"/>
    <xf numFmtId="0" fontId="242" fillId="0" borderId="0"/>
    <xf numFmtId="0" fontId="16" fillId="0" borderId="0"/>
    <xf numFmtId="0" fontId="1" fillId="0" borderId="0"/>
    <xf numFmtId="0" fontId="16" fillId="0" borderId="0"/>
    <xf numFmtId="0" fontId="202" fillId="0" borderId="436" applyNumberFormat="0" applyFill="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3" fillId="0" borderId="0"/>
    <xf numFmtId="0" fontId="236" fillId="0" borderId="432">
      <alignment horizontal="right" vertical="center"/>
    </xf>
    <xf numFmtId="0" fontId="16" fillId="0" borderId="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67"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240" fillId="0" borderId="0"/>
    <xf numFmtId="0" fontId="16" fillId="0" borderId="0"/>
    <xf numFmtId="0" fontId="16" fillId="0" borderId="0"/>
    <xf numFmtId="0" fontId="16" fillId="0" borderId="0"/>
    <xf numFmtId="0" fontId="28" fillId="0" borderId="0"/>
    <xf numFmtId="0" fontId="16" fillId="0" borderId="0"/>
    <xf numFmtId="0" fontId="16" fillId="0" borderId="0"/>
    <xf numFmtId="0" fontId="215" fillId="0" borderId="0"/>
    <xf numFmtId="0" fontId="1" fillId="0" borderId="0"/>
    <xf numFmtId="0" fontId="16" fillId="0" borderId="0"/>
    <xf numFmtId="0" fontId="1" fillId="0" borderId="0"/>
    <xf numFmtId="0" fontId="242" fillId="0" borderId="0"/>
    <xf numFmtId="0" fontId="1" fillId="0" borderId="0"/>
    <xf numFmtId="0" fontId="16" fillId="0" borderId="0"/>
    <xf numFmtId="0" fontId="16" fillId="0" borderId="0"/>
    <xf numFmtId="0" fontId="16" fillId="97" borderId="0"/>
    <xf numFmtId="0" fontId="47" fillId="0" borderId="0"/>
    <xf numFmtId="0" fontId="1" fillId="0" borderId="0"/>
    <xf numFmtId="0" fontId="16" fillId="0" borderId="0"/>
    <xf numFmtId="0" fontId="1" fillId="0" borderId="0"/>
    <xf numFmtId="0" fontId="16" fillId="0" borderId="0"/>
    <xf numFmtId="0" fontId="24" fillId="71" borderId="440">
      <alignment horizontal="left"/>
    </xf>
    <xf numFmtId="0" fontId="28" fillId="73" borderId="441" applyNumberFormat="0" applyFont="0" applyAlignment="0" applyProtection="0"/>
    <xf numFmtId="0" fontId="16" fillId="0" borderId="0"/>
    <xf numFmtId="0" fontId="33" fillId="0" borderId="0"/>
    <xf numFmtId="0" fontId="16" fillId="0" borderId="0"/>
    <xf numFmtId="0" fontId="1" fillId="0" borderId="0"/>
    <xf numFmtId="0" fontId="16" fillId="0" borderId="0"/>
    <xf numFmtId="0" fontId="202" fillId="0" borderId="436" applyNumberFormat="0" applyFill="0" applyAlignment="0" applyProtection="0"/>
    <xf numFmtId="0" fontId="33" fillId="0" borderId="0"/>
    <xf numFmtId="0" fontId="1" fillId="0" borderId="0"/>
    <xf numFmtId="0" fontId="1" fillId="0" borderId="0"/>
    <xf numFmtId="0" fontId="28" fillId="0" borderId="0"/>
    <xf numFmtId="0" fontId="16" fillId="97" borderId="0"/>
    <xf numFmtId="0" fontId="1" fillId="0" borderId="0"/>
    <xf numFmtId="0" fontId="1" fillId="0" borderId="0"/>
    <xf numFmtId="0" fontId="1" fillId="0" borderId="0"/>
    <xf numFmtId="0" fontId="31" fillId="67" borderId="435" applyNumberFormat="0" applyAlignment="0" applyProtection="0"/>
    <xf numFmtId="0" fontId="1" fillId="0" borderId="0"/>
    <xf numFmtId="0" fontId="1" fillId="0" borderId="0"/>
    <xf numFmtId="0" fontId="16" fillId="0" borderId="0">
      <alignment readingOrder="1"/>
    </xf>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6"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6" fillId="73"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6" fillId="3" borderId="3"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28"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6" fillId="3" borderId="3" applyNumberFormat="0" applyFont="0" applyAlignment="0" applyProtection="0"/>
    <xf numFmtId="0" fontId="11" fillId="114" borderId="3" applyNumberFormat="0" applyProtection="0">
      <alignment vertical="top" wrapText="1"/>
    </xf>
    <xf numFmtId="0" fontId="28" fillId="73"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2" fontId="190" fillId="85" borderId="430" applyAlignment="0"/>
    <xf numFmtId="0" fontId="48" fillId="67"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2" fontId="190" fillId="85" borderId="430" applyAlignment="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244" fillId="75" borderId="399" applyNumberFormat="0" applyAlignment="0" applyProtection="0"/>
    <xf numFmtId="0" fontId="48" fillId="75" borderId="407" applyNumberFormat="0" applyAlignment="0" applyProtection="0"/>
    <xf numFmtId="0" fontId="190" fillId="85" borderId="399" applyNumberFormat="0" applyAlignment="0" applyProtection="0"/>
    <xf numFmtId="9" fontId="15"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197" fontId="102" fillId="96" borderId="434" applyFont="0" applyBorder="0" applyAlignment="0">
      <alignment horizontal="center" vertical="center"/>
    </xf>
    <xf numFmtId="9" fontId="28"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28"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52" fillId="0" borderId="439" applyNumberFormat="0" applyFill="0" applyAlignment="0" applyProtection="0"/>
    <xf numFmtId="0" fontId="206" fillId="131" borderId="438" applyNumberFormat="0" applyProtection="0">
      <alignment horizontal="left"/>
    </xf>
    <xf numFmtId="14" fontId="205" fillId="101" borderId="438" applyProtection="0">
      <alignment horizontal="left"/>
    </xf>
    <xf numFmtId="14" fontId="205" fillId="101" borderId="438" applyProtection="0">
      <alignment horizontal="right"/>
    </xf>
    <xf numFmtId="2" fontId="204" fillId="71" borderId="438" applyProtection="0">
      <alignment horizontal="right"/>
    </xf>
    <xf numFmtId="2" fontId="203" fillId="132" borderId="438" applyProtection="0">
      <alignment horizontal="right"/>
    </xf>
    <xf numFmtId="0" fontId="203" fillId="131" borderId="438" applyNumberFormat="0" applyAlignment="0" applyProtection="0"/>
    <xf numFmtId="0" fontId="48" fillId="67" borderId="437" applyNumberFormat="0" applyAlignment="0" applyProtection="0"/>
    <xf numFmtId="0" fontId="52" fillId="0" borderId="439" applyNumberFormat="0" applyFill="0" applyAlignment="0" applyProtection="0"/>
    <xf numFmtId="0" fontId="206" fillId="131" borderId="438" applyNumberFormat="0" applyProtection="0">
      <alignment horizontal="left"/>
    </xf>
    <xf numFmtId="14" fontId="205" fillId="101" borderId="438" applyProtection="0">
      <alignment horizontal="left"/>
    </xf>
    <xf numFmtId="14" fontId="205" fillId="101" borderId="438" applyProtection="0">
      <alignment horizontal="right"/>
    </xf>
    <xf numFmtId="2" fontId="204" fillId="71" borderId="438" applyProtection="0">
      <alignment horizontal="right"/>
    </xf>
    <xf numFmtId="2" fontId="203" fillId="132" borderId="438" applyProtection="0">
      <alignment horizontal="right"/>
    </xf>
    <xf numFmtId="0" fontId="203" fillId="131" borderId="438" applyNumberFormat="0" applyAlignment="0" applyProtection="0"/>
    <xf numFmtId="0" fontId="48" fillId="67" borderId="437" applyNumberFormat="0" applyAlignment="0" applyProtection="0"/>
    <xf numFmtId="0" fontId="45" fillId="40" borderId="435" applyNumberFormat="0" applyAlignment="0" applyProtection="0"/>
    <xf numFmtId="0" fontId="52" fillId="0" borderId="439" applyNumberFormat="0" applyFill="0" applyAlignment="0" applyProtection="0"/>
    <xf numFmtId="0" fontId="206" fillId="131" borderId="438" applyNumberFormat="0" applyProtection="0">
      <alignment horizontal="left"/>
    </xf>
    <xf numFmtId="14" fontId="205" fillId="101" borderId="438" applyProtection="0">
      <alignment horizontal="left"/>
    </xf>
    <xf numFmtId="14" fontId="205" fillId="101" borderId="438" applyProtection="0">
      <alignment horizontal="right"/>
    </xf>
    <xf numFmtId="2" fontId="204" fillId="71" borderId="438" applyProtection="0">
      <alignment horizontal="right"/>
    </xf>
    <xf numFmtId="0" fontId="203" fillId="131" borderId="438" applyNumberFormat="0" applyAlignment="0" applyProtection="0"/>
    <xf numFmtId="0" fontId="45" fillId="40" borderId="435" applyNumberFormat="0" applyAlignment="0" applyProtection="0"/>
    <xf numFmtId="2" fontId="203" fillId="132" borderId="438" applyProtection="0">
      <alignment horizontal="right"/>
    </xf>
    <xf numFmtId="0" fontId="52" fillId="0" borderId="439" applyNumberFormat="0" applyFill="0" applyAlignment="0" applyProtection="0"/>
    <xf numFmtId="0" fontId="206" fillId="131" borderId="438" applyNumberFormat="0" applyProtection="0">
      <alignment horizontal="left"/>
    </xf>
    <xf numFmtId="14" fontId="205" fillId="101" borderId="438" applyProtection="0">
      <alignment horizontal="left"/>
    </xf>
    <xf numFmtId="14" fontId="205" fillId="101" borderId="438" applyProtection="0">
      <alignment horizontal="right"/>
    </xf>
    <xf numFmtId="2" fontId="204" fillId="71" borderId="438" applyProtection="0">
      <alignment horizontal="right"/>
    </xf>
    <xf numFmtId="2" fontId="203" fillId="132" borderId="438" applyProtection="0">
      <alignment horizontal="right"/>
    </xf>
    <xf numFmtId="0" fontId="203" fillId="131" borderId="438" applyNumberFormat="0" applyAlignment="0" applyProtection="0"/>
    <xf numFmtId="0" fontId="48" fillId="67" borderId="437" applyNumberFormat="0" applyAlignment="0" applyProtection="0"/>
    <xf numFmtId="0" fontId="202" fillId="0" borderId="436" applyNumberFormat="0" applyFill="0" applyAlignment="0" applyProtection="0"/>
    <xf numFmtId="0" fontId="45" fillId="40" borderId="435" applyNumberFormat="0" applyAlignment="0" applyProtection="0"/>
    <xf numFmtId="9" fontId="33" fillId="0" borderId="0" applyFont="0" applyFill="0" applyBorder="0" applyAlignment="0" applyProtection="0"/>
    <xf numFmtId="9" fontId="234"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4" fontId="34" fillId="151" borderId="0" applyNumberFormat="0" applyProtection="0">
      <alignment horizontal="left" vertical="center" indent="1"/>
    </xf>
    <xf numFmtId="0" fontId="235" fillId="0" borderId="0">
      <alignment horizontal="left"/>
    </xf>
    <xf numFmtId="6" fontId="235" fillId="0" borderId="0">
      <alignment horizontal="right"/>
    </xf>
    <xf numFmtId="3" fontId="235" fillId="0" borderId="0">
      <alignment horizontal="right"/>
    </xf>
    <xf numFmtId="9" fontId="235" fillId="0" borderId="0">
      <alignment horizontal="right"/>
    </xf>
    <xf numFmtId="0" fontId="245" fillId="71" borderId="0" applyProtection="0">
      <alignment horizontal="left"/>
    </xf>
    <xf numFmtId="0" fontId="245" fillId="71" borderId="0">
      <alignment horizontal="right"/>
    </xf>
    <xf numFmtId="0" fontId="246" fillId="0" borderId="0" applyNumberFormat="0" applyFill="0" applyBorder="0">
      <alignment horizontal="center"/>
    </xf>
    <xf numFmtId="0" fontId="59" fillId="0" borderId="0" applyNumberFormat="0" applyFill="0" applyBorder="0" applyAlignment="0" applyProtection="0"/>
    <xf numFmtId="0" fontId="246" fillId="0" borderId="0" applyNumberFormat="0" applyFill="0" applyBorder="0">
      <alignment horizontal="center"/>
    </xf>
    <xf numFmtId="0" fontId="229" fillId="0" borderId="0" applyNumberFormat="0" applyFill="0" applyBorder="0" applyAlignment="0" applyProtection="0"/>
    <xf numFmtId="0" fontId="185" fillId="0" borderId="0" applyNumberFormat="0" applyFill="0" applyBorder="0" applyAlignment="0" applyProtection="0"/>
    <xf numFmtId="0" fontId="52" fillId="0" borderId="431" applyNumberFormat="0" applyFill="0" applyAlignment="0" applyProtection="0"/>
    <xf numFmtId="0" fontId="52" fillId="0" borderId="409"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48" fillId="0" borderId="431" applyNumberFormat="0" applyFill="0" applyAlignment="0" applyProtection="0"/>
    <xf numFmtId="0" fontId="4" fillId="0" borderId="400" applyNumberFormat="0" applyFill="0" applyAlignment="0" applyProtection="0"/>
    <xf numFmtId="0" fontId="48" fillId="0" borderId="431" applyNumberFormat="0" applyFill="0" applyAlignment="0" applyProtection="0"/>
    <xf numFmtId="0" fontId="247" fillId="0" borderId="0" applyNumberFormat="0" applyFill="0" applyBorder="0" applyAlignment="0" applyProtection="0"/>
    <xf numFmtId="43" fontId="16" fillId="0" borderId="0" applyFont="0" applyFill="0" applyBorder="0" applyAlignment="0" applyProtection="0"/>
    <xf numFmtId="0" fontId="241" fillId="67" borderId="0">
      <alignment wrapText="1"/>
    </xf>
    <xf numFmtId="0" fontId="241" fillId="0" borderId="0">
      <alignment wrapText="1"/>
    </xf>
    <xf numFmtId="0" fontId="241" fillId="0" borderId="0">
      <alignment wrapText="1"/>
    </xf>
    <xf numFmtId="0" fontId="248" fillId="0" borderId="0">
      <alignment vertical="center"/>
    </xf>
    <xf numFmtId="0" fontId="24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48" fillId="0" borderId="0">
      <alignment vertical="center"/>
    </xf>
    <xf numFmtId="0" fontId="249" fillId="0" borderId="0">
      <alignment vertical="center"/>
    </xf>
    <xf numFmtId="0" fontId="242" fillId="0" borderId="0"/>
    <xf numFmtId="0" fontId="250" fillId="0" borderId="0">
      <alignmen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26" fillId="16" borderId="2" applyNumberFormat="0" applyAlignment="0" applyProtection="0"/>
    <xf numFmtId="0" fontId="1" fillId="31" borderId="402"/>
    <xf numFmtId="0" fontId="1" fillId="17" borderId="50" applyNumberFormat="0" applyAlignment="0" applyProtection="0"/>
    <xf numFmtId="0" fontId="31" fillId="67" borderId="410" applyNumberFormat="0" applyAlignment="0" applyProtection="0"/>
    <xf numFmtId="0" fontId="7" fillId="85" borderId="2" applyNumberFormat="0" applyAlignment="0" applyProtection="0"/>
    <xf numFmtId="0" fontId="221" fillId="21" borderId="0" applyAlignment="0" applyProtection="0"/>
    <xf numFmtId="0" fontId="226" fillId="16" borderId="2" applyNumberFormat="0" applyAlignment="0" applyProtection="0"/>
    <xf numFmtId="41" fontId="1" fillId="0" borderId="0" applyFont="0" applyFill="0" applyBorder="0" applyAlignment="0" applyProtection="0"/>
    <xf numFmtId="43" fontId="84"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1" fillId="0" borderId="0" applyFont="0" applyFill="0" applyBorder="0" applyAlignment="0" applyProtection="0"/>
    <xf numFmtId="0" fontId="201" fillId="0" borderId="0" applyFont="0" applyFill="0" applyBorder="0" applyAlignment="0" applyProtection="0"/>
    <xf numFmtId="183" fontId="16" fillId="0" borderId="0" applyFont="0" applyFill="0" applyBorder="0" applyAlignment="0" applyProtection="0"/>
    <xf numFmtId="2" fontId="201" fillId="0" borderId="0" applyFont="0" applyFill="0" applyBorder="0" applyAlignment="0" applyProtection="0"/>
    <xf numFmtId="184" fontId="16" fillId="0" borderId="0" applyFont="0" applyFill="0" applyBorder="0" applyAlignment="0" applyProtection="0"/>
    <xf numFmtId="164" fontId="1" fillId="107" borderId="402"/>
    <xf numFmtId="0" fontId="1" fillId="0" borderId="0"/>
    <xf numFmtId="0" fontId="16"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84" fillId="0" borderId="0"/>
    <xf numFmtId="0" fontId="251" fillId="0" borderId="0"/>
    <xf numFmtId="0" fontId="84" fillId="0" borderId="0"/>
    <xf numFmtId="0" fontId="2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3" borderId="3" applyNumberFormat="0" applyFont="0" applyAlignment="0" applyProtection="0"/>
    <xf numFmtId="0" fontId="28" fillId="3" borderId="3" applyNumberFormat="0" applyFont="0" applyAlignment="0" applyProtection="0"/>
    <xf numFmtId="0" fontId="1" fillId="3" borderId="3" applyNumberFormat="0" applyFont="0" applyAlignment="0" applyProtection="0"/>
    <xf numFmtId="0" fontId="16" fillId="3" borderId="3" applyNumberFormat="0" applyFont="0" applyAlignment="0" applyProtection="0"/>
    <xf numFmtId="0" fontId="48" fillId="67" borderId="407" applyNumberFormat="0" applyAlignment="0" applyProtection="0"/>
    <xf numFmtId="0" fontId="48" fillId="67" borderId="407" applyNumberFormat="0" applyAlignment="0" applyProtection="0"/>
    <xf numFmtId="0" fontId="48" fillId="67" borderId="407" applyNumberFormat="0" applyAlignment="0" applyProtection="0"/>
    <xf numFmtId="0" fontId="48" fillId="67" borderId="407" applyNumberFormat="0" applyAlignment="0" applyProtection="0"/>
    <xf numFmtId="9" fontId="1" fillId="0" borderId="0" applyFont="0" applyFill="0" applyBorder="0" applyAlignment="0" applyProtection="0"/>
    <xf numFmtId="9" fontId="16" fillId="0" borderId="0" applyFont="0" applyFill="0" applyBorder="0" applyAlignment="0" applyProtection="0"/>
    <xf numFmtId="0" fontId="203" fillId="131" borderId="408" applyNumberFormat="0" applyAlignment="0" applyProtection="0"/>
    <xf numFmtId="0" fontId="203" fillId="131" borderId="408" applyNumberFormat="0" applyAlignment="0" applyProtection="0"/>
    <xf numFmtId="0" fontId="203" fillId="131" borderId="408" applyNumberFormat="0" applyAlignment="0" applyProtection="0"/>
    <xf numFmtId="2" fontId="203" fillId="132" borderId="408" applyProtection="0">
      <alignment horizontal="right"/>
    </xf>
    <xf numFmtId="2" fontId="203" fillId="132" borderId="408" applyProtection="0">
      <alignment horizontal="right"/>
    </xf>
    <xf numFmtId="2" fontId="203" fillId="132" borderId="408" applyProtection="0">
      <alignment horizontal="right"/>
    </xf>
    <xf numFmtId="2" fontId="204" fillId="71" borderId="408" applyProtection="0">
      <alignment horizontal="right"/>
    </xf>
    <xf numFmtId="2" fontId="204" fillId="71" borderId="408" applyProtection="0">
      <alignment horizontal="right"/>
    </xf>
    <xf numFmtId="2" fontId="204" fillId="71" borderId="408" applyProtection="0">
      <alignment horizontal="right"/>
    </xf>
    <xf numFmtId="14" fontId="205" fillId="101" borderId="408" applyProtection="0">
      <alignment horizontal="right"/>
    </xf>
    <xf numFmtId="14" fontId="205" fillId="101" borderId="408" applyProtection="0">
      <alignment horizontal="right"/>
    </xf>
    <xf numFmtId="14" fontId="205" fillId="101" borderId="408" applyProtection="0">
      <alignment horizontal="right"/>
    </xf>
    <xf numFmtId="14" fontId="205" fillId="101" borderId="408" applyProtection="0">
      <alignment horizontal="left"/>
    </xf>
    <xf numFmtId="14" fontId="205" fillId="101" borderId="408" applyProtection="0">
      <alignment horizontal="left"/>
    </xf>
    <xf numFmtId="14" fontId="205" fillId="101" borderId="408" applyProtection="0">
      <alignment horizontal="left"/>
    </xf>
    <xf numFmtId="0" fontId="206" fillId="131" borderId="408" applyNumberFormat="0" applyProtection="0">
      <alignment horizontal="left"/>
    </xf>
    <xf numFmtId="0" fontId="206" fillId="131" borderId="408" applyNumberFormat="0" applyProtection="0">
      <alignment horizontal="left"/>
    </xf>
    <xf numFmtId="0" fontId="206" fillId="131" borderId="408" applyNumberFormat="0" applyProtection="0">
      <alignment horizontal="left"/>
    </xf>
    <xf numFmtId="0" fontId="52" fillId="0" borderId="409" applyNumberFormat="0" applyFill="0" applyAlignment="0" applyProtection="0"/>
    <xf numFmtId="0" fontId="52" fillId="0" borderId="409" applyNumberFormat="0" applyFill="0" applyAlignment="0" applyProtection="0"/>
    <xf numFmtId="0" fontId="52" fillId="0" borderId="409" applyNumberFormat="0" applyFill="0" applyAlignment="0" applyProtection="0"/>
    <xf numFmtId="0" fontId="52" fillId="0" borderId="409"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0" fontId="16" fillId="0" borderId="0">
      <alignment readingOrder="1"/>
    </xf>
    <xf numFmtId="0" fontId="16" fillId="0" borderId="0">
      <alignment readingOrder="1"/>
    </xf>
    <xf numFmtId="0" fontId="1" fillId="0" borderId="0"/>
    <xf numFmtId="0" fontId="202" fillId="0" borderId="406" applyNumberFormat="0" applyFill="0" applyAlignment="0" applyProtection="0"/>
    <xf numFmtId="0" fontId="16" fillId="0" borderId="0"/>
    <xf numFmtId="0" fontId="1" fillId="0" borderId="0"/>
    <xf numFmtId="0" fontId="1" fillId="0" borderId="0"/>
    <xf numFmtId="0" fontId="1" fillId="0" borderId="0"/>
    <xf numFmtId="0" fontId="62" fillId="152" borderId="0" applyNumberFormat="0" applyBorder="0" applyAlignment="0" applyProtection="0"/>
    <xf numFmtId="0" fontId="1" fillId="0" borderId="0"/>
    <xf numFmtId="44" fontId="28" fillId="0" borderId="0" applyFont="0" applyFill="0" applyBorder="0" applyAlignment="0" applyProtection="0"/>
    <xf numFmtId="0" fontId="41" fillId="0" borderId="0" applyNumberFormat="0" applyFill="0" applyBorder="0" applyAlignment="0" applyProtection="0">
      <alignment vertical="top"/>
      <protection locked="0"/>
    </xf>
    <xf numFmtId="0" fontId="1" fillId="0" borderId="0"/>
    <xf numFmtId="0" fontId="1" fillId="0" borderId="0"/>
    <xf numFmtId="0" fontId="16" fillId="0" borderId="0">
      <alignment readingOrder="1"/>
    </xf>
    <xf numFmtId="0" fontId="16" fillId="0" borderId="0"/>
    <xf numFmtId="0" fontId="1" fillId="0" borderId="0"/>
    <xf numFmtId="43" fontId="16" fillId="0" borderId="0" applyFont="0" applyFill="0" applyBorder="0" applyAlignment="0" applyProtection="0"/>
    <xf numFmtId="9" fontId="16" fillId="0" borderId="0" applyFont="0" applyFill="0" applyBorder="0" applyAlignment="0" applyProtection="0"/>
    <xf numFmtId="0" fontId="1" fillId="0" borderId="0"/>
    <xf numFmtId="0" fontId="16" fillId="0" borderId="0"/>
    <xf numFmtId="0" fontId="1" fillId="0" borderId="0"/>
    <xf numFmtId="0" fontId="15" fillId="0" borderId="0"/>
    <xf numFmtId="0" fontId="16" fillId="0" borderId="0">
      <alignment readingOrder="1"/>
    </xf>
    <xf numFmtId="43" fontId="16" fillId="0" borderId="0" applyFont="0" applyFill="0" applyBorder="0" applyAlignment="0" applyProtection="0"/>
    <xf numFmtId="0" fontId="16" fillId="0" borderId="0"/>
    <xf numFmtId="0" fontId="1" fillId="0" borderId="0"/>
    <xf numFmtId="0" fontId="16" fillId="0" borderId="0"/>
    <xf numFmtId="0" fontId="28" fillId="75" borderId="0" applyNumberFormat="0" applyBorder="0" applyAlignment="0" applyProtection="0"/>
    <xf numFmtId="0" fontId="28" fillId="40" borderId="0" applyNumberFormat="0" applyBorder="0" applyAlignment="0" applyProtection="0"/>
    <xf numFmtId="0" fontId="28" fillId="35" borderId="0" applyNumberFormat="0" applyBorder="0" applyAlignment="0" applyProtection="0"/>
    <xf numFmtId="0" fontId="28" fillId="75" borderId="0" applyNumberFormat="0" applyBorder="0" applyAlignment="0" applyProtection="0"/>
    <xf numFmtId="0" fontId="28" fillId="146" borderId="0" applyNumberFormat="0" applyBorder="0" applyAlignment="0" applyProtection="0"/>
    <xf numFmtId="0" fontId="28" fillId="40" borderId="0" applyNumberFormat="0" applyBorder="0" applyAlignment="0" applyProtection="0"/>
    <xf numFmtId="0" fontId="28" fillId="67" borderId="0" applyNumberFormat="0" applyBorder="0" applyAlignment="0" applyProtection="0"/>
    <xf numFmtId="0" fontId="28" fillId="40" borderId="0" applyNumberFormat="0" applyBorder="0" applyAlignment="0" applyProtection="0"/>
    <xf numFmtId="0" fontId="28" fillId="35" borderId="0" applyNumberFormat="0" applyBorder="0" applyAlignment="0" applyProtection="0"/>
    <xf numFmtId="0" fontId="28" fillId="67"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9" fillId="35" borderId="0" applyNumberFormat="0" applyBorder="0" applyAlignment="0" applyProtection="0"/>
    <xf numFmtId="0" fontId="29" fillId="148" borderId="0" applyNumberFormat="0" applyBorder="0" applyAlignment="0" applyProtection="0"/>
    <xf numFmtId="0" fontId="29" fillId="35" borderId="0" applyNumberFormat="0" applyBorder="0" applyAlignment="0" applyProtection="0"/>
    <xf numFmtId="0" fontId="29" fillId="42" borderId="0" applyNumberFormat="0" applyBorder="0" applyAlignment="0" applyProtection="0"/>
    <xf numFmtId="0" fontId="230" fillId="36" borderId="0" applyNumberFormat="0" applyBorder="0" applyAlignment="0" applyProtection="0"/>
    <xf numFmtId="0" fontId="38" fillId="0" borderId="38" applyNumberFormat="0" applyFill="0" applyAlignment="0" applyProtection="0"/>
    <xf numFmtId="0" fontId="202" fillId="0" borderId="406" applyNumberFormat="0" applyFill="0" applyAlignment="0" applyProtection="0"/>
    <xf numFmtId="0" fontId="46" fillId="73" borderId="0" applyNumberFormat="0" applyBorder="0" applyAlignment="0" applyProtection="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readingOrder="1"/>
    </xf>
    <xf numFmtId="0" fontId="1" fillId="0" borderId="0"/>
    <xf numFmtId="0" fontId="47" fillId="0" borderId="0"/>
    <xf numFmtId="0" fontId="63" fillId="72" borderId="427" applyNumberFormat="0" applyFont="0" applyAlignment="0" applyProtection="0"/>
    <xf numFmtId="0" fontId="16" fillId="73" borderId="427" applyNumberFormat="0" applyFont="0" applyAlignment="0" applyProtection="0"/>
    <xf numFmtId="9" fontId="61"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0" fontId="52" fillId="0" borderId="431" applyNumberFormat="0" applyFill="0" applyAlignment="0" applyProtection="0"/>
    <xf numFmtId="0" fontId="1" fillId="0" borderId="0"/>
    <xf numFmtId="0" fontId="16" fillId="0" borderId="0"/>
    <xf numFmtId="0" fontId="1" fillId="0" borderId="0"/>
    <xf numFmtId="0" fontId="1" fillId="0" borderId="0"/>
    <xf numFmtId="0" fontId="16" fillId="0" borderId="0"/>
    <xf numFmtId="0" fontId="16" fillId="0" borderId="0"/>
    <xf numFmtId="0" fontId="16" fillId="0" borderId="0">
      <alignment readingOrder="1"/>
    </xf>
    <xf numFmtId="0" fontId="16" fillId="0" borderId="0"/>
    <xf numFmtId="0" fontId="16" fillId="0" borderId="0"/>
    <xf numFmtId="0" fontId="16" fillId="0" borderId="0"/>
    <xf numFmtId="0" fontId="1" fillId="0" borderId="0"/>
    <xf numFmtId="0" fontId="1" fillId="0" borderId="0"/>
    <xf numFmtId="0" fontId="1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43" fontId="16" fillId="0" borderId="0" applyFont="0" applyFill="0" applyBorder="0" applyAlignment="0" applyProtection="0"/>
    <xf numFmtId="44" fontId="16" fillId="0" borderId="0" applyFont="0" applyFill="0" applyBorder="0" applyAlignment="0" applyProtection="0"/>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73" borderId="427" applyNumberFormat="0" applyFont="0" applyAlignment="0" applyProtection="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73" borderId="427" applyNumberFormat="0" applyFont="0" applyAlignment="0" applyProtection="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1" fillId="0" borderId="0"/>
    <xf numFmtId="0" fontId="16" fillId="0" borderId="0">
      <alignment readingOrder="1"/>
    </xf>
    <xf numFmtId="0" fontId="1" fillId="0" borderId="0"/>
    <xf numFmtId="0" fontId="16" fillId="16" borderId="0"/>
    <xf numFmtId="9" fontId="16" fillId="0" borderId="0" applyFont="0" applyFill="0" applyBorder="0" applyAlignment="0" applyProtection="0"/>
    <xf numFmtId="0" fontId="1" fillId="0" borderId="0"/>
    <xf numFmtId="0" fontId="1" fillId="0" borderId="0"/>
    <xf numFmtId="0" fontId="16" fillId="3" borderId="3" applyNumberFormat="0" applyFon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 borderId="3" applyNumberFormat="0" applyFont="0" applyAlignment="0" applyProtection="0"/>
    <xf numFmtId="0" fontId="1" fillId="31" borderId="402"/>
    <xf numFmtId="41" fontId="1" fillId="0" borderId="0" applyFont="0" applyFill="0" applyBorder="0" applyAlignment="0" applyProtection="0"/>
    <xf numFmtId="164" fontId="1" fillId="107" borderId="402"/>
    <xf numFmtId="43" fontId="1" fillId="0" borderId="0" applyFont="0" applyFill="0" applyBorder="0" applyAlignment="0" applyProtection="0"/>
    <xf numFmtId="9" fontId="1" fillId="0" borderId="0" applyFont="0" applyFill="0" applyBorder="0" applyAlignment="0" applyProtection="0"/>
    <xf numFmtId="0" fontId="32" fillId="68" borderId="35" applyNumberFormat="0" applyAlignment="0" applyProtection="0"/>
    <xf numFmtId="43" fontId="1" fillId="0" borderId="0" applyFont="0" applyFill="0" applyBorder="0" applyAlignment="0" applyProtection="0"/>
    <xf numFmtId="0" fontId="1" fillId="3" borderId="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3" borderId="3" applyNumberFormat="0" applyFont="0" applyAlignment="0" applyProtection="0"/>
    <xf numFmtId="0" fontId="1" fillId="31" borderId="402"/>
    <xf numFmtId="41" fontId="1" fillId="0" borderId="0" applyFont="0" applyFill="0" applyBorder="0" applyAlignment="0" applyProtection="0"/>
    <xf numFmtId="164" fontId="1" fillId="107" borderId="402"/>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3" borderId="3" applyNumberFormat="0" applyFont="0" applyAlignment="0" applyProtection="0"/>
    <xf numFmtId="44" fontId="16" fillId="0" borderId="0" applyFont="0" applyFill="0" applyBorder="0" applyAlignment="0" applyProtection="0"/>
    <xf numFmtId="0" fontId="1" fillId="0" borderId="0"/>
    <xf numFmtId="0" fontId="1" fillId="30" borderId="4"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64" fontId="1" fillId="31" borderId="402">
      <alignment horizontal="right"/>
    </xf>
    <xf numFmtId="0" fontId="202" fillId="0" borderId="40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6" fillId="0" borderId="0">
      <alignment readingOrder="1"/>
    </xf>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68" borderId="35" applyNumberFormat="0" applyAlignment="0" applyProtection="0"/>
    <xf numFmtId="0" fontId="32" fillId="68" borderId="3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7" fontId="1" fillId="0" borderId="0" applyFont="0" applyFill="0" applyBorder="0" applyAlignment="0" applyProtection="0"/>
    <xf numFmtId="44" fontId="1" fillId="0" borderId="0" applyFont="0" applyFill="0" applyBorder="0" applyAlignment="0" applyProtection="0"/>
    <xf numFmtId="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2" fillId="0" borderId="40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31" borderId="402"/>
    <xf numFmtId="0" fontId="1" fillId="17" borderId="50" applyNumberFormat="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107" borderId="40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3" applyNumberFormat="0" applyFont="0" applyAlignment="0" applyProtection="0"/>
    <xf numFmtId="0" fontId="1" fillId="3" borderId="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6" fillId="0" borderId="0">
      <alignment readingOrder="1"/>
    </xf>
    <xf numFmtId="0" fontId="16" fillId="0" borderId="0">
      <alignment readingOrder="1"/>
    </xf>
    <xf numFmtId="0" fontId="99" fillId="0" borderId="0" applyNumberFormat="0" applyFill="0" applyBorder="0" applyAlignment="0" applyProtection="0"/>
    <xf numFmtId="0" fontId="99"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99" fillId="0" borderId="0" applyNumberFormat="0" applyFill="0" applyBorder="0" applyAlignment="0" applyProtection="0"/>
    <xf numFmtId="0" fontId="228" fillId="85" borderId="2" applyNumberFormat="0" applyAlignment="0" applyProtection="0"/>
    <xf numFmtId="0" fontId="1" fillId="0" borderId="0"/>
    <xf numFmtId="0" fontId="24" fillId="71" borderId="412">
      <alignment horizontal="left"/>
    </xf>
    <xf numFmtId="0" fontId="40" fillId="0" borderId="0" applyNumberFormat="0" applyFill="0" applyBorder="0" applyAlignment="0" applyProtection="0">
      <alignment vertical="top"/>
      <protection locked="0"/>
    </xf>
    <xf numFmtId="0" fontId="16" fillId="0" borderId="0">
      <alignment readingOrder="1"/>
    </xf>
    <xf numFmtId="9" fontId="28" fillId="0" borderId="0" applyFont="0" applyFill="0" applyBorder="0" applyAlignment="0" applyProtection="0"/>
    <xf numFmtId="43" fontId="1" fillId="0" borderId="0" applyFont="0" applyFill="0" applyBorder="0" applyAlignment="0" applyProtection="0"/>
    <xf numFmtId="0" fontId="1" fillId="0" borderId="0"/>
    <xf numFmtId="0" fontId="31" fillId="67" borderId="41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1" fillId="0" borderId="38" applyNumberFormat="0" applyFill="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alignment readingOrder="1"/>
    </xf>
    <xf numFmtId="0" fontId="54" fillId="76" borderId="0" applyNumberFormat="0" applyBorder="0" applyAlignment="0" applyProtection="0"/>
    <xf numFmtId="0" fontId="54" fillId="40" borderId="0" applyNumberFormat="0" applyBorder="0" applyAlignment="0" applyProtection="0"/>
    <xf numFmtId="0" fontId="54" fillId="73" borderId="0" applyNumberFormat="0" applyBorder="0" applyAlignment="0" applyProtection="0"/>
    <xf numFmtId="0" fontId="54" fillId="76"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54" fillId="67" borderId="0" applyNumberFormat="0" applyBorder="0" applyAlignment="0" applyProtection="0"/>
    <xf numFmtId="0" fontId="54" fillId="42" borderId="0" applyNumberFormat="0" applyBorder="0" applyAlignment="0" applyProtection="0"/>
    <xf numFmtId="0" fontId="28" fillId="36" borderId="0" applyNumberFormat="0" applyBorder="0" applyAlignment="0" applyProtection="0"/>
    <xf numFmtId="0" fontId="54" fillId="72" borderId="0" applyNumberFormat="0" applyBorder="0" applyAlignment="0" applyProtection="0"/>
    <xf numFmtId="0" fontId="54" fillId="67" borderId="0" applyNumberFormat="0" applyBorder="0" applyAlignment="0" applyProtection="0"/>
    <xf numFmtId="0" fontId="54" fillId="41" borderId="0" applyNumberFormat="0" applyBorder="0" applyAlignment="0" applyProtection="0"/>
    <xf numFmtId="0" fontId="54" fillId="40" borderId="0" applyNumberFormat="0" applyBorder="0" applyAlignment="0" applyProtection="0"/>
    <xf numFmtId="0" fontId="29" fillId="72" borderId="0" applyNumberFormat="0" applyBorder="0" applyAlignment="0" applyProtection="0"/>
    <xf numFmtId="0" fontId="29" fillId="55" borderId="0" applyNumberFormat="0" applyBorder="0" applyAlignment="0" applyProtection="0"/>
    <xf numFmtId="0" fontId="29" fillId="58" borderId="0" applyNumberFormat="0" applyBorder="0" applyAlignment="0" applyProtection="0"/>
    <xf numFmtId="0" fontId="29" fillId="66" borderId="0" applyNumberFormat="0" applyBorder="0" applyAlignment="0" applyProtection="0"/>
    <xf numFmtId="0" fontId="30" fillId="36" borderId="0" applyNumberFormat="0" applyBorder="0" applyAlignment="0" applyProtection="0"/>
    <xf numFmtId="41" fontId="33"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5" fillId="0" borderId="47" applyNumberFormat="0" applyFill="0" applyAlignment="0" applyProtection="0"/>
    <xf numFmtId="0" fontId="44" fillId="0" borderId="0" applyNumberFormat="0" applyFill="0" applyBorder="0" applyAlignment="0" applyProtection="0">
      <alignment vertical="top"/>
      <protection locked="0"/>
    </xf>
    <xf numFmtId="0" fontId="46" fillId="72" borderId="0" applyNumberFormat="0" applyBorder="0" applyAlignment="0" applyProtection="0"/>
    <xf numFmtId="0" fontId="1"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57" fillId="0" borderId="0"/>
    <xf numFmtId="0" fontId="58" fillId="0" borderId="0"/>
    <xf numFmtId="0" fontId="58" fillId="0" borderId="0"/>
    <xf numFmtId="0" fontId="58" fillId="0" borderId="0"/>
    <xf numFmtId="0" fontId="16" fillId="0" borderId="0"/>
    <xf numFmtId="0" fontId="16" fillId="0" borderId="0">
      <alignment readingOrder="1"/>
    </xf>
    <xf numFmtId="0" fontId="1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xf numFmtId="0" fontId="48" fillId="0" borderId="431" applyNumberFormat="0" applyFill="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6" fillId="0" borderId="0">
      <alignment readingOrder="1"/>
    </xf>
    <xf numFmtId="0" fontId="1"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1" fillId="0" borderId="0"/>
    <xf numFmtId="0" fontId="1" fillId="0" borderId="0"/>
    <xf numFmtId="0" fontId="1" fillId="0" borderId="0"/>
    <xf numFmtId="9" fontId="15" fillId="0" borderId="0" applyFont="0" applyFill="0" applyBorder="0" applyAlignment="0" applyProtection="0"/>
    <xf numFmtId="9" fontId="1" fillId="0" borderId="0" applyFont="0" applyFill="0" applyBorder="0" applyAlignment="0" applyProtection="0"/>
    <xf numFmtId="0" fontId="16" fillId="16" borderId="0"/>
    <xf numFmtId="0" fontId="16" fillId="0" borderId="0">
      <alignment readingOrder="1"/>
    </xf>
    <xf numFmtId="0" fontId="24" fillId="71" borderId="433">
      <alignment horizontal="left"/>
    </xf>
    <xf numFmtId="0" fontId="15" fillId="3" borderId="3"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16"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16" fillId="73"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28" fillId="73"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67"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52" fillId="0" borderId="442" applyNumberFormat="0" applyFill="0" applyAlignment="0" applyProtection="0"/>
    <xf numFmtId="0" fontId="52" fillId="0" borderId="439"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48" fillId="0" borderId="442" applyNumberFormat="0" applyFill="0" applyAlignment="0" applyProtection="0"/>
    <xf numFmtId="0" fontId="48" fillId="0" borderId="442" applyNumberFormat="0" applyFill="0" applyAlignment="0" applyProtection="0"/>
    <xf numFmtId="0" fontId="31" fillId="67" borderId="435" applyNumberFormat="0" applyAlignment="0" applyProtection="0"/>
    <xf numFmtId="0" fontId="48" fillId="67" borderId="437" applyNumberFormat="0" applyAlignment="0" applyProtection="0"/>
    <xf numFmtId="0" fontId="48" fillId="67" borderId="437" applyNumberFormat="0" applyAlignment="0" applyProtection="0"/>
    <xf numFmtId="0" fontId="48" fillId="67" borderId="437" applyNumberFormat="0" applyAlignment="0" applyProtection="0"/>
    <xf numFmtId="0" fontId="48" fillId="67" borderId="437" applyNumberFormat="0" applyAlignment="0" applyProtection="0"/>
    <xf numFmtId="0" fontId="203" fillId="131" borderId="438" applyNumberFormat="0" applyAlignment="0" applyProtection="0"/>
    <xf numFmtId="0" fontId="203" fillId="131" borderId="438" applyNumberFormat="0" applyAlignment="0" applyProtection="0"/>
    <xf numFmtId="0" fontId="203" fillId="131" borderId="438" applyNumberFormat="0" applyAlignment="0" applyProtection="0"/>
    <xf numFmtId="2" fontId="203" fillId="132" borderId="438" applyProtection="0">
      <alignment horizontal="right"/>
    </xf>
    <xf numFmtId="2" fontId="203" fillId="132" borderId="438" applyProtection="0">
      <alignment horizontal="right"/>
    </xf>
    <xf numFmtId="2" fontId="203" fillId="132" borderId="438" applyProtection="0">
      <alignment horizontal="right"/>
    </xf>
    <xf numFmtId="2" fontId="204" fillId="71" borderId="438" applyProtection="0">
      <alignment horizontal="right"/>
    </xf>
    <xf numFmtId="2" fontId="204" fillId="71" borderId="438" applyProtection="0">
      <alignment horizontal="right"/>
    </xf>
    <xf numFmtId="2" fontId="204" fillId="71" borderId="438" applyProtection="0">
      <alignment horizontal="right"/>
    </xf>
    <xf numFmtId="14" fontId="205" fillId="101" borderId="438" applyProtection="0">
      <alignment horizontal="right"/>
    </xf>
    <xf numFmtId="14" fontId="205" fillId="101" borderId="438" applyProtection="0">
      <alignment horizontal="right"/>
    </xf>
    <xf numFmtId="14" fontId="205" fillId="101" borderId="438" applyProtection="0">
      <alignment horizontal="right"/>
    </xf>
    <xf numFmtId="14" fontId="205" fillId="101" borderId="438" applyProtection="0">
      <alignment horizontal="left"/>
    </xf>
    <xf numFmtId="14" fontId="205" fillId="101" borderId="438" applyProtection="0">
      <alignment horizontal="left"/>
    </xf>
    <xf numFmtId="14" fontId="205" fillId="101" borderId="438" applyProtection="0">
      <alignment horizontal="left"/>
    </xf>
    <xf numFmtId="0" fontId="206" fillId="131" borderId="438" applyNumberFormat="0" applyProtection="0">
      <alignment horizontal="left"/>
    </xf>
    <xf numFmtId="0" fontId="206" fillId="131" borderId="438" applyNumberFormat="0" applyProtection="0">
      <alignment horizontal="left"/>
    </xf>
    <xf numFmtId="0" fontId="206" fillId="131" borderId="438" applyNumberFormat="0" applyProtection="0">
      <alignment horizontal="left"/>
    </xf>
    <xf numFmtId="0" fontId="52" fillId="0" borderId="439" applyNumberFormat="0" applyFill="0" applyAlignment="0" applyProtection="0"/>
    <xf numFmtId="0" fontId="52" fillId="0" borderId="439" applyNumberFormat="0" applyFill="0" applyAlignment="0" applyProtection="0"/>
    <xf numFmtId="0" fontId="52" fillId="0" borderId="439" applyNumberFormat="0" applyFill="0" applyAlignment="0" applyProtection="0"/>
    <xf numFmtId="0" fontId="52" fillId="0" borderId="439" applyNumberFormat="0" applyFill="0" applyAlignment="0" applyProtection="0"/>
    <xf numFmtId="0" fontId="63" fillId="72" borderId="441" applyNumberFormat="0" applyFont="0" applyAlignment="0" applyProtection="0"/>
    <xf numFmtId="0" fontId="16" fillId="73" borderId="441" applyNumberFormat="0" applyFont="0" applyAlignment="0" applyProtection="0"/>
    <xf numFmtId="0" fontId="52" fillId="0" borderId="442" applyNumberFormat="0" applyFill="0" applyAlignment="0" applyProtection="0"/>
    <xf numFmtId="0" fontId="16" fillId="73" borderId="441" applyNumberFormat="0" applyFont="0" applyAlignment="0" applyProtection="0"/>
    <xf numFmtId="0" fontId="16" fillId="73" borderId="441" applyNumberFormat="0" applyFont="0" applyAlignment="0" applyProtection="0"/>
    <xf numFmtId="0" fontId="24" fillId="71" borderId="440">
      <alignment horizontal="left"/>
    </xf>
    <xf numFmtId="0" fontId="31" fillId="67" borderId="435" applyNumberFormat="0" applyAlignment="0" applyProtection="0"/>
    <xf numFmtId="0" fontId="48" fillId="0" borderId="442" applyNumberFormat="0" applyFill="0" applyAlignment="0" applyProtection="0"/>
    <xf numFmtId="0" fontId="24" fillId="71" borderId="440">
      <alignment horizontal="left"/>
    </xf>
  </cellStyleXfs>
  <cellXfs count="2082">
    <xf numFmtId="0" fontId="0" fillId="0" borderId="0" xfId="0"/>
    <xf numFmtId="0" fontId="5" fillId="89" borderId="0" xfId="0" applyFont="1" applyFill="1" applyAlignment="1">
      <alignment vertical="center" wrapText="1"/>
    </xf>
    <xf numFmtId="10" fontId="162" fillId="17" borderId="246" xfId="0" applyNumberFormat="1" applyFont="1" applyFill="1" applyBorder="1"/>
    <xf numFmtId="10" fontId="162" fillId="17" borderId="289" xfId="0" applyNumberFormat="1" applyFont="1" applyFill="1" applyBorder="1"/>
    <xf numFmtId="0" fontId="0" fillId="16" borderId="0" xfId="0" applyFill="1"/>
    <xf numFmtId="164" fontId="0" fillId="16" borderId="0" xfId="0" applyNumberFormat="1" applyFill="1"/>
    <xf numFmtId="165" fontId="0" fillId="16" borderId="0" xfId="1" applyNumberFormat="1" applyFont="1" applyFill="1"/>
    <xf numFmtId="0" fontId="0" fillId="16" borderId="0" xfId="0" applyFill="1" applyAlignment="1">
      <alignment wrapText="1"/>
    </xf>
    <xf numFmtId="0" fontId="12" fillId="24" borderId="0" xfId="0" applyFont="1" applyFill="1" applyAlignment="1">
      <alignment wrapText="1"/>
    </xf>
    <xf numFmtId="0" fontId="12" fillId="24" borderId="0" xfId="0" applyFont="1" applyFill="1"/>
    <xf numFmtId="0" fontId="12" fillId="25" borderId="0" xfId="0" applyFont="1" applyFill="1"/>
    <xf numFmtId="0" fontId="12" fillId="24" borderId="23" xfId="0" applyFont="1" applyFill="1" applyBorder="1" applyAlignment="1">
      <alignment wrapText="1"/>
    </xf>
    <xf numFmtId="0" fontId="12" fillId="24" borderId="23" xfId="0" applyFont="1" applyFill="1" applyBorder="1"/>
    <xf numFmtId="0" fontId="0" fillId="0" borderId="0" xfId="0" pivotButton="1"/>
    <xf numFmtId="0" fontId="22" fillId="16" borderId="0" xfId="0" applyFont="1" applyFill="1" applyAlignment="1">
      <alignment wrapText="1"/>
    </xf>
    <xf numFmtId="166" fontId="6" fillId="16" borderId="0" xfId="0" applyNumberFormat="1" applyFont="1" applyFill="1"/>
    <xf numFmtId="0" fontId="67" fillId="24" borderId="23" xfId="0" applyFont="1" applyFill="1" applyBorder="1" applyAlignment="1">
      <alignment wrapText="1"/>
    </xf>
    <xf numFmtId="0" fontId="67" fillId="24" borderId="0" xfId="0" applyFont="1" applyFill="1" applyAlignment="1">
      <alignment wrapText="1"/>
    </xf>
    <xf numFmtId="166" fontId="6" fillId="17" borderId="72" xfId="0" applyNumberFormat="1" applyFont="1" applyFill="1" applyBorder="1"/>
    <xf numFmtId="0" fontId="69" fillId="16" borderId="0" xfId="0" applyFont="1" applyFill="1"/>
    <xf numFmtId="0" fontId="70" fillId="16" borderId="0" xfId="0" applyFont="1" applyFill="1"/>
    <xf numFmtId="0" fontId="0" fillId="16" borderId="88" xfId="0" applyFill="1" applyBorder="1"/>
    <xf numFmtId="9" fontId="0" fillId="16" borderId="0" xfId="0" applyNumberFormat="1" applyFill="1"/>
    <xf numFmtId="0" fontId="8" fillId="22" borderId="4" xfId="0" applyFont="1" applyFill="1" applyBorder="1" applyAlignment="1">
      <alignment horizontal="left" wrapText="1"/>
    </xf>
    <xf numFmtId="0" fontId="8" fillId="22" borderId="91" xfId="0" applyFont="1" applyFill="1" applyBorder="1" applyAlignment="1">
      <alignment horizontal="left" wrapText="1"/>
    </xf>
    <xf numFmtId="0" fontId="8" fillId="22" borderId="0" xfId="0" applyFont="1" applyFill="1" applyAlignment="1">
      <alignment horizontal="left" vertical="center" wrapText="1"/>
    </xf>
    <xf numFmtId="0" fontId="19" fillId="16" borderId="0" xfId="9100" applyFill="1"/>
    <xf numFmtId="0" fontId="8" fillId="22" borderId="77" xfId="0" applyFont="1" applyFill="1" applyBorder="1" applyAlignment="1">
      <alignment horizontal="left" vertical="center"/>
    </xf>
    <xf numFmtId="0" fontId="13" fillId="80" borderId="0" xfId="0" applyFont="1" applyFill="1"/>
    <xf numFmtId="0" fontId="14" fillId="0" borderId="0" xfId="0" applyFont="1"/>
    <xf numFmtId="0" fontId="68" fillId="19" borderId="114" xfId="0" applyFont="1" applyFill="1" applyBorder="1"/>
    <xf numFmtId="0" fontId="65" fillId="0" borderId="0" xfId="0" applyFont="1"/>
    <xf numFmtId="176" fontId="0" fillId="16" borderId="0" xfId="0" applyNumberFormat="1" applyFill="1"/>
    <xf numFmtId="0" fontId="79" fillId="80" borderId="0" xfId="132" applyFont="1" applyFill="1" applyAlignment="1">
      <alignment horizontal="center" vertical="center" wrapText="1"/>
    </xf>
    <xf numFmtId="0" fontId="6" fillId="0" borderId="0" xfId="132" applyFont="1" applyAlignment="1">
      <alignment horizontal="center" vertical="center"/>
    </xf>
    <xf numFmtId="164" fontId="6" fillId="0" borderId="0" xfId="132" applyNumberFormat="1" applyFont="1" applyAlignment="1">
      <alignment vertical="center"/>
    </xf>
    <xf numFmtId="0" fontId="6" fillId="0" borderId="0" xfId="132" applyFont="1" applyAlignment="1">
      <alignment vertical="center"/>
    </xf>
    <xf numFmtId="9" fontId="66" fillId="0" borderId="0" xfId="7" applyFont="1" applyAlignment="1">
      <alignment vertical="center"/>
    </xf>
    <xf numFmtId="0" fontId="79" fillId="80" borderId="77" xfId="132" applyFont="1" applyFill="1" applyBorder="1" applyAlignment="1">
      <alignment horizontal="center" vertical="center" wrapText="1"/>
    </xf>
    <xf numFmtId="0" fontId="79" fillId="80" borderId="78" xfId="132" applyFont="1" applyFill="1" applyBorder="1" applyAlignment="1">
      <alignment horizontal="center" vertical="center" wrapText="1"/>
    </xf>
    <xf numFmtId="164" fontId="6" fillId="0" borderId="77" xfId="132" applyNumberFormat="1" applyFont="1" applyBorder="1" applyAlignment="1">
      <alignment vertical="center"/>
    </xf>
    <xf numFmtId="164" fontId="6" fillId="0" borderId="78" xfId="132" applyNumberFormat="1" applyFont="1" applyBorder="1" applyAlignment="1">
      <alignment vertical="center"/>
    </xf>
    <xf numFmtId="0" fontId="6" fillId="0" borderId="77" xfId="132" applyFont="1" applyBorder="1" applyAlignment="1">
      <alignment vertical="center"/>
    </xf>
    <xf numFmtId="0" fontId="6" fillId="0" borderId="88" xfId="132" applyFont="1" applyBorder="1" applyAlignment="1">
      <alignment vertical="center"/>
    </xf>
    <xf numFmtId="0" fontId="82" fillId="16" borderId="0" xfId="0" applyFont="1" applyFill="1"/>
    <xf numFmtId="0" fontId="77" fillId="16" borderId="0" xfId="0" applyFont="1" applyFill="1"/>
    <xf numFmtId="0" fontId="84" fillId="16" borderId="0" xfId="0" applyFont="1" applyFill="1"/>
    <xf numFmtId="0" fontId="6" fillId="0" borderId="0" xfId="0" applyFont="1"/>
    <xf numFmtId="0" fontId="77" fillId="0" borderId="0" xfId="0" applyFont="1"/>
    <xf numFmtId="0" fontId="87" fillId="24" borderId="0" xfId="0" applyFont="1" applyFill="1"/>
    <xf numFmtId="0" fontId="6" fillId="16" borderId="0" xfId="0" applyFont="1" applyFill="1"/>
    <xf numFmtId="164" fontId="6" fillId="16" borderId="0" xfId="0" applyNumberFormat="1" applyFont="1" applyFill="1"/>
    <xf numFmtId="165" fontId="6" fillId="16" borderId="0" xfId="1" applyNumberFormat="1" applyFont="1" applyFill="1"/>
    <xf numFmtId="0" fontId="66" fillId="16" borderId="0" xfId="0" applyFont="1" applyFill="1" applyAlignment="1">
      <alignment wrapText="1"/>
    </xf>
    <xf numFmtId="0" fontId="66" fillId="16" borderId="0" xfId="0" applyFont="1" applyFill="1"/>
    <xf numFmtId="0" fontId="66" fillId="16" borderId="56" xfId="0" applyFont="1" applyFill="1" applyBorder="1" applyAlignment="1">
      <alignment wrapText="1"/>
    </xf>
    <xf numFmtId="164" fontId="66" fillId="16" borderId="57" xfId="0" applyNumberFormat="1" applyFont="1" applyFill="1" applyBorder="1" applyAlignment="1">
      <alignment wrapText="1"/>
    </xf>
    <xf numFmtId="164" fontId="66" fillId="16" borderId="56" xfId="0" applyNumberFormat="1" applyFont="1" applyFill="1" applyBorder="1" applyAlignment="1">
      <alignment wrapText="1"/>
    </xf>
    <xf numFmtId="0" fontId="66" fillId="16" borderId="57" xfId="0" applyFont="1" applyFill="1" applyBorder="1" applyAlignment="1">
      <alignment wrapText="1"/>
    </xf>
    <xf numFmtId="1" fontId="6" fillId="16" borderId="61" xfId="0" applyNumberFormat="1" applyFont="1" applyFill="1" applyBorder="1"/>
    <xf numFmtId="1" fontId="6" fillId="16" borderId="94" xfId="0" applyNumberFormat="1" applyFont="1" applyFill="1" applyBorder="1"/>
    <xf numFmtId="1" fontId="6" fillId="16" borderId="58" xfId="0" applyNumberFormat="1" applyFont="1" applyFill="1" applyBorder="1"/>
    <xf numFmtId="164" fontId="6" fillId="16" borderId="61" xfId="1" applyNumberFormat="1" applyFont="1" applyFill="1" applyBorder="1"/>
    <xf numFmtId="164" fontId="6" fillId="16" borderId="58" xfId="1" applyNumberFormat="1" applyFont="1" applyFill="1" applyBorder="1"/>
    <xf numFmtId="1" fontId="6" fillId="16" borderId="23" xfId="0" applyNumberFormat="1" applyFont="1" applyFill="1" applyBorder="1"/>
    <xf numFmtId="1" fontId="6" fillId="16" borderId="0" xfId="0" applyNumberFormat="1" applyFont="1" applyFill="1"/>
    <xf numFmtId="1" fontId="6" fillId="16" borderId="24" xfId="0" applyNumberFormat="1" applyFont="1" applyFill="1" applyBorder="1"/>
    <xf numFmtId="164" fontId="6" fillId="16" borderId="23" xfId="1" applyNumberFormat="1" applyFont="1" applyFill="1" applyBorder="1"/>
    <xf numFmtId="164" fontId="6" fillId="16" borderId="24" xfId="1" applyNumberFormat="1" applyFont="1" applyFill="1" applyBorder="1"/>
    <xf numFmtId="0" fontId="6" fillId="16" borderId="23" xfId="0" applyFont="1" applyFill="1" applyBorder="1"/>
    <xf numFmtId="164" fontId="6" fillId="16" borderId="24" xfId="0" applyNumberFormat="1" applyFont="1" applyFill="1" applyBorder="1"/>
    <xf numFmtId="0" fontId="6" fillId="16" borderId="24" xfId="0" applyFont="1" applyFill="1" applyBorder="1"/>
    <xf numFmtId="0" fontId="89" fillId="16" borderId="23" xfId="0" applyFont="1" applyFill="1" applyBorder="1"/>
    <xf numFmtId="0" fontId="89" fillId="16" borderId="24" xfId="0" applyFont="1" applyFill="1" applyBorder="1" applyAlignment="1">
      <alignment wrapText="1"/>
    </xf>
    <xf numFmtId="0" fontId="66" fillId="16" borderId="0" xfId="0" applyFont="1" applyFill="1" applyAlignment="1">
      <alignment horizontal="right" vertical="center"/>
    </xf>
    <xf numFmtId="0" fontId="6" fillId="16" borderId="0" xfId="0" applyFont="1" applyFill="1" applyAlignment="1">
      <alignment vertical="center"/>
    </xf>
    <xf numFmtId="0" fontId="89" fillId="16" borderId="0" xfId="0" applyFont="1" applyFill="1"/>
    <xf numFmtId="0" fontId="6" fillId="0" borderId="77" xfId="0" applyFont="1" applyBorder="1"/>
    <xf numFmtId="0" fontId="6" fillId="0" borderId="78" xfId="0" applyFont="1" applyBorder="1"/>
    <xf numFmtId="0" fontId="6" fillId="16" borderId="89" xfId="0" applyFont="1" applyFill="1" applyBorder="1"/>
    <xf numFmtId="164" fontId="6" fillId="16" borderId="89" xfId="0" applyNumberFormat="1" applyFont="1" applyFill="1" applyBorder="1"/>
    <xf numFmtId="0" fontId="87" fillId="24" borderId="23" xfId="0" applyFont="1" applyFill="1" applyBorder="1"/>
    <xf numFmtId="0" fontId="87" fillId="25" borderId="0" xfId="0" applyFont="1" applyFill="1"/>
    <xf numFmtId="164" fontId="76" fillId="0" borderId="0" xfId="0" applyNumberFormat="1" applyFont="1" applyAlignment="1">
      <alignment wrapText="1"/>
    </xf>
    <xf numFmtId="0" fontId="76" fillId="0" borderId="0" xfId="0" applyFont="1" applyAlignment="1">
      <alignment wrapText="1"/>
    </xf>
    <xf numFmtId="0" fontId="76" fillId="0" borderId="0" xfId="0" applyFont="1"/>
    <xf numFmtId="0" fontId="91" fillId="16" borderId="0" xfId="0" applyFont="1" applyFill="1"/>
    <xf numFmtId="9" fontId="6" fillId="18" borderId="61" xfId="2" applyFont="1" applyFill="1" applyBorder="1"/>
    <xf numFmtId="9" fontId="6" fillId="18" borderId="58" xfId="2" applyFont="1" applyFill="1" applyBorder="1"/>
    <xf numFmtId="9" fontId="6" fillId="18" borderId="23" xfId="2" applyFont="1" applyFill="1" applyBorder="1"/>
    <xf numFmtId="9" fontId="6" fillId="18" borderId="24" xfId="2" applyFont="1" applyFill="1" applyBorder="1"/>
    <xf numFmtId="43" fontId="92" fillId="16" borderId="0" xfId="0" applyNumberFormat="1" applyFont="1" applyFill="1"/>
    <xf numFmtId="0" fontId="6" fillId="17" borderId="18" xfId="0" applyFont="1" applyFill="1" applyBorder="1" applyAlignment="1">
      <alignment wrapText="1"/>
    </xf>
    <xf numFmtId="0" fontId="6" fillId="16" borderId="25" xfId="0" applyFont="1" applyFill="1" applyBorder="1"/>
    <xf numFmtId="0" fontId="6" fillId="16" borderId="26" xfId="0" applyFont="1" applyFill="1" applyBorder="1"/>
    <xf numFmtId="164" fontId="6" fillId="16" borderId="26" xfId="0" applyNumberFormat="1" applyFont="1" applyFill="1" applyBorder="1"/>
    <xf numFmtId="43" fontId="6" fillId="17" borderId="18" xfId="1" applyFont="1" applyFill="1" applyBorder="1"/>
    <xf numFmtId="0" fontId="6" fillId="17" borderId="68" xfId="0" applyFont="1" applyFill="1" applyBorder="1" applyAlignment="1">
      <alignment wrapText="1"/>
    </xf>
    <xf numFmtId="0" fontId="6" fillId="17" borderId="69" xfId="0" applyFont="1" applyFill="1" applyBorder="1" applyAlignment="1">
      <alignment wrapText="1"/>
    </xf>
    <xf numFmtId="43" fontId="6" fillId="17" borderId="70" xfId="1" applyFont="1" applyFill="1" applyBorder="1"/>
    <xf numFmtId="0" fontId="0" fillId="0" borderId="0" xfId="0" applyAlignment="1">
      <alignment wrapText="1"/>
    </xf>
    <xf numFmtId="0" fontId="6" fillId="16" borderId="76" xfId="0" applyFont="1" applyFill="1" applyBorder="1"/>
    <xf numFmtId="0" fontId="87" fillId="24" borderId="77" xfId="0" applyFont="1" applyFill="1" applyBorder="1"/>
    <xf numFmtId="0" fontId="87" fillId="24" borderId="88" xfId="0" applyFont="1" applyFill="1" applyBorder="1"/>
    <xf numFmtId="0" fontId="87" fillId="25" borderId="89" xfId="0" applyFont="1" applyFill="1" applyBorder="1"/>
    <xf numFmtId="0" fontId="12" fillId="24" borderId="77" xfId="0" applyFont="1" applyFill="1" applyBorder="1"/>
    <xf numFmtId="0" fontId="6" fillId="17" borderId="154" xfId="0" applyFont="1" applyFill="1" applyBorder="1" applyAlignment="1">
      <alignment wrapText="1"/>
    </xf>
    <xf numFmtId="0" fontId="6" fillId="17" borderId="155" xfId="0" applyFont="1" applyFill="1" applyBorder="1" applyAlignment="1">
      <alignment wrapText="1"/>
    </xf>
    <xf numFmtId="166" fontId="6" fillId="17" borderId="156" xfId="0" applyNumberFormat="1" applyFont="1" applyFill="1" applyBorder="1"/>
    <xf numFmtId="10" fontId="90" fillId="17" borderId="19" xfId="0" applyNumberFormat="1" applyFont="1" applyFill="1" applyBorder="1"/>
    <xf numFmtId="0" fontId="66" fillId="16" borderId="61" xfId="0" applyFont="1" applyFill="1" applyBorder="1" applyAlignment="1">
      <alignment wrapText="1"/>
    </xf>
    <xf numFmtId="0" fontId="66" fillId="16" borderId="94" xfId="0" applyFont="1" applyFill="1" applyBorder="1" applyAlignment="1">
      <alignment wrapText="1"/>
    </xf>
    <xf numFmtId="164" fontId="66" fillId="16" borderId="94" xfId="0" applyNumberFormat="1" applyFont="1" applyFill="1" applyBorder="1" applyAlignment="1">
      <alignment wrapText="1"/>
    </xf>
    <xf numFmtId="164" fontId="66" fillId="16" borderId="58" xfId="0" applyNumberFormat="1" applyFont="1" applyFill="1" applyBorder="1" applyAlignment="1">
      <alignment wrapText="1"/>
    </xf>
    <xf numFmtId="164" fontId="6" fillId="16" borderId="27" xfId="0" applyNumberFormat="1" applyFont="1" applyFill="1" applyBorder="1"/>
    <xf numFmtId="164" fontId="6" fillId="0" borderId="77" xfId="9148" applyNumberFormat="1" applyFont="1" applyBorder="1" applyAlignment="1">
      <alignment vertical="center"/>
    </xf>
    <xf numFmtId="164" fontId="6" fillId="0" borderId="78" xfId="9148" applyNumberFormat="1" applyFont="1" applyBorder="1" applyAlignment="1">
      <alignment vertical="center"/>
    </xf>
    <xf numFmtId="164" fontId="6" fillId="0" borderId="88" xfId="9148" applyNumberFormat="1" applyFont="1" applyBorder="1" applyAlignment="1">
      <alignment vertical="center"/>
    </xf>
    <xf numFmtId="164" fontId="6" fillId="0" borderId="90" xfId="9148" applyNumberFormat="1" applyFont="1" applyBorder="1" applyAlignment="1">
      <alignment vertical="center"/>
    </xf>
    <xf numFmtId="0" fontId="105" fillId="0" borderId="0" xfId="0" applyFont="1"/>
    <xf numFmtId="0" fontId="95" fillId="0" borderId="0" xfId="0" applyFont="1"/>
    <xf numFmtId="0" fontId="66" fillId="0" borderId="0" xfId="0" applyFont="1"/>
    <xf numFmtId="0" fontId="95" fillId="16" borderId="0" xfId="0" applyFont="1" applyFill="1"/>
    <xf numFmtId="0" fontId="87" fillId="24" borderId="23" xfId="0" applyFont="1" applyFill="1" applyBorder="1" applyAlignment="1">
      <alignment wrapText="1"/>
    </xf>
    <xf numFmtId="0" fontId="87" fillId="24" borderId="0" xfId="0" applyFont="1" applyFill="1" applyAlignment="1">
      <alignment wrapText="1"/>
    </xf>
    <xf numFmtId="0" fontId="6" fillId="16" borderId="0" xfId="0" applyFont="1" applyFill="1" applyAlignment="1">
      <alignment wrapText="1"/>
    </xf>
    <xf numFmtId="43" fontId="6" fillId="16" borderId="0" xfId="0" applyNumberFormat="1" applyFont="1" applyFill="1"/>
    <xf numFmtId="0" fontId="105" fillId="16" borderId="0" xfId="0" applyFont="1" applyFill="1"/>
    <xf numFmtId="0" fontId="96" fillId="16" borderId="1" xfId="3" applyFont="1" applyFill="1"/>
    <xf numFmtId="9" fontId="6" fillId="16" borderId="0" xfId="0" applyNumberFormat="1" applyFont="1" applyFill="1"/>
    <xf numFmtId="2" fontId="6" fillId="31" borderId="28" xfId="2" applyNumberFormat="1" applyFont="1" applyFill="1" applyBorder="1"/>
    <xf numFmtId="0" fontId="6" fillId="16" borderId="88" xfId="0" applyFont="1" applyFill="1" applyBorder="1"/>
    <xf numFmtId="0" fontId="93" fillId="16" borderId="0" xfId="0" applyFont="1" applyFill="1"/>
    <xf numFmtId="0" fontId="66" fillId="16" borderId="77" xfId="0" applyFont="1" applyFill="1" applyBorder="1" applyAlignment="1">
      <alignment wrapText="1"/>
    </xf>
    <xf numFmtId="164" fontId="6" fillId="16" borderId="0" xfId="0" applyNumberFormat="1" applyFont="1" applyFill="1" applyAlignment="1">
      <alignment horizontal="center"/>
    </xf>
    <xf numFmtId="0" fontId="66" fillId="90" borderId="51" xfId="0" applyFont="1" applyFill="1" applyBorder="1" applyAlignment="1">
      <alignment wrapText="1"/>
    </xf>
    <xf numFmtId="0" fontId="6" fillId="16" borderId="51" xfId="0" applyFont="1" applyFill="1" applyBorder="1"/>
    <xf numFmtId="0" fontId="66" fillId="16" borderId="51" xfId="0" applyFont="1" applyFill="1" applyBorder="1"/>
    <xf numFmtId="164" fontId="6" fillId="17" borderId="51" xfId="0" applyNumberFormat="1" applyFont="1" applyFill="1" applyBorder="1" applyAlignment="1">
      <alignment horizontal="center"/>
    </xf>
    <xf numFmtId="164" fontId="6" fillId="23" borderId="51" xfId="0" applyNumberFormat="1" applyFont="1" applyFill="1" applyBorder="1" applyAlignment="1">
      <alignment horizontal="center"/>
    </xf>
    <xf numFmtId="164" fontId="6" fillId="22" borderId="51" xfId="0" applyNumberFormat="1" applyFont="1" applyFill="1" applyBorder="1" applyAlignment="1">
      <alignment horizontal="center"/>
    </xf>
    <xf numFmtId="0" fontId="92" fillId="0" borderId="0" xfId="0" applyFont="1" applyAlignment="1">
      <alignment wrapText="1"/>
    </xf>
    <xf numFmtId="0" fontId="6" fillId="16" borderId="0" xfId="0" applyFont="1" applyFill="1" applyAlignment="1">
      <alignment horizontal="center"/>
    </xf>
    <xf numFmtId="9" fontId="6" fillId="0" borderId="0" xfId="0" applyNumberFormat="1" applyFont="1"/>
    <xf numFmtId="0" fontId="6" fillId="74" borderId="0" xfId="0" applyFont="1" applyFill="1"/>
    <xf numFmtId="0" fontId="6" fillId="22" borderId="0" xfId="0" applyFont="1" applyFill="1"/>
    <xf numFmtId="9" fontId="66" fillId="23" borderId="0" xfId="2" applyFont="1" applyFill="1" applyAlignment="1"/>
    <xf numFmtId="0" fontId="96" fillId="16" borderId="0" xfId="0" applyFont="1" applyFill="1"/>
    <xf numFmtId="167" fontId="106" fillId="0" borderId="98" xfId="9098" applyNumberFormat="1" applyFont="1"/>
    <xf numFmtId="0" fontId="6" fillId="0" borderId="99" xfId="0" applyFont="1" applyBorder="1" applyAlignment="1">
      <alignment wrapText="1"/>
    </xf>
    <xf numFmtId="167" fontId="106" fillId="0" borderId="100" xfId="9098" applyNumberFormat="1" applyFont="1" applyBorder="1"/>
    <xf numFmtId="0" fontId="6" fillId="0" borderId="101" xfId="0" applyFont="1" applyBorder="1" applyAlignment="1">
      <alignment wrapText="1"/>
    </xf>
    <xf numFmtId="167" fontId="106" fillId="0" borderId="102" xfId="9098" applyNumberFormat="1" applyFont="1" applyBorder="1"/>
    <xf numFmtId="0" fontId="6" fillId="0" borderId="103" xfId="0" applyFont="1" applyBorder="1" applyAlignment="1">
      <alignment wrapText="1"/>
    </xf>
    <xf numFmtId="167" fontId="106" fillId="0" borderId="104" xfId="9098" applyNumberFormat="1" applyFont="1" applyBorder="1"/>
    <xf numFmtId="0" fontId="6" fillId="16" borderId="5" xfId="0" applyFont="1" applyFill="1" applyBorder="1"/>
    <xf numFmtId="0" fontId="6" fillId="16" borderId="6" xfId="0" applyFont="1" applyFill="1" applyBorder="1"/>
    <xf numFmtId="9" fontId="106" fillId="0" borderId="102" xfId="9098" applyNumberFormat="1" applyFont="1" applyBorder="1"/>
    <xf numFmtId="9" fontId="6" fillId="16" borderId="78" xfId="0" applyNumberFormat="1" applyFont="1" applyFill="1" applyBorder="1"/>
    <xf numFmtId="0" fontId="66" fillId="0" borderId="77" xfId="147" applyFont="1" applyBorder="1" applyAlignment="1">
      <alignment wrapText="1"/>
    </xf>
    <xf numFmtId="0" fontId="6" fillId="16" borderId="90" xfId="0" applyFont="1" applyFill="1" applyBorder="1"/>
    <xf numFmtId="0" fontId="108" fillId="16" borderId="0" xfId="0" applyFont="1" applyFill="1"/>
    <xf numFmtId="0" fontId="6" fillId="0" borderId="105" xfId="0" applyFont="1" applyBorder="1" applyAlignment="1">
      <alignment wrapText="1"/>
    </xf>
    <xf numFmtId="10" fontId="109" fillId="85" borderId="31" xfId="0" applyNumberFormat="1" applyFont="1" applyFill="1" applyBorder="1"/>
    <xf numFmtId="9" fontId="109" fillId="85" borderId="31" xfId="2" applyFont="1" applyFill="1" applyBorder="1"/>
    <xf numFmtId="0" fontId="6" fillId="0" borderId="106" xfId="0" applyFont="1" applyBorder="1" applyAlignment="1">
      <alignment wrapText="1"/>
    </xf>
    <xf numFmtId="0" fontId="66" fillId="0" borderId="101" xfId="0" applyFont="1" applyBorder="1" applyAlignment="1">
      <alignment wrapText="1"/>
    </xf>
    <xf numFmtId="0" fontId="66" fillId="0" borderId="106" xfId="0" applyFont="1" applyBorder="1" applyAlignment="1">
      <alignment wrapText="1"/>
    </xf>
    <xf numFmtId="0" fontId="66" fillId="0" borderId="107" xfId="0" applyFont="1" applyBorder="1" applyAlignment="1">
      <alignment wrapText="1"/>
    </xf>
    <xf numFmtId="0" fontId="66" fillId="0" borderId="108" xfId="0" applyFont="1" applyBorder="1" applyAlignment="1">
      <alignment wrapText="1"/>
    </xf>
    <xf numFmtId="167" fontId="110" fillId="16" borderId="0" xfId="0" applyNumberFormat="1" applyFont="1" applyFill="1"/>
    <xf numFmtId="165" fontId="6" fillId="16" borderId="0" xfId="1" applyNumberFormat="1" applyFont="1" applyFill="1" applyAlignment="1">
      <alignment wrapText="1"/>
    </xf>
    <xf numFmtId="0" fontId="6" fillId="16" borderId="134" xfId="9099" applyFont="1" applyFill="1" applyBorder="1"/>
    <xf numFmtId="0" fontId="8" fillId="16" borderId="109" xfId="9099" applyFont="1" applyFill="1" applyBorder="1" applyAlignment="1">
      <alignment wrapText="1"/>
    </xf>
    <xf numFmtId="41" fontId="8" fillId="16" borderId="110" xfId="0" applyNumberFormat="1" applyFont="1" applyFill="1" applyBorder="1" applyAlignment="1">
      <alignment horizontal="left"/>
    </xf>
    <xf numFmtId="9" fontId="84" fillId="0" borderId="110" xfId="0" applyNumberFormat="1" applyFont="1" applyBorder="1" applyAlignment="1">
      <alignment horizontal="left"/>
    </xf>
    <xf numFmtId="164" fontId="66" fillId="18" borderId="26" xfId="1" applyNumberFormat="1" applyFont="1" applyFill="1" applyBorder="1"/>
    <xf numFmtId="41" fontId="8" fillId="86" borderId="112" xfId="0" applyNumberFormat="1" applyFont="1" applyFill="1" applyBorder="1" applyAlignment="1">
      <alignment horizontal="left"/>
    </xf>
    <xf numFmtId="41" fontId="8" fillId="86" borderId="135" xfId="0" applyNumberFormat="1" applyFont="1" applyFill="1" applyBorder="1" applyAlignment="1">
      <alignment horizontal="left"/>
    </xf>
    <xf numFmtId="41" fontId="8" fillId="16" borderId="111" xfId="0" applyNumberFormat="1" applyFont="1" applyFill="1" applyBorder="1" applyAlignment="1">
      <alignment horizontal="left"/>
    </xf>
    <xf numFmtId="0" fontId="8" fillId="16" borderId="137" xfId="0" applyFont="1" applyFill="1" applyBorder="1" applyAlignment="1">
      <alignment wrapText="1"/>
    </xf>
    <xf numFmtId="41" fontId="8" fillId="16" borderId="138" xfId="0" applyNumberFormat="1" applyFont="1" applyFill="1" applyBorder="1" applyAlignment="1">
      <alignment horizontal="left"/>
    </xf>
    <xf numFmtId="41" fontId="84" fillId="0" borderId="138" xfId="0" applyNumberFormat="1" applyFont="1" applyBorder="1" applyAlignment="1">
      <alignment horizontal="left"/>
    </xf>
    <xf numFmtId="41" fontId="8" fillId="86" borderId="139" xfId="0" applyNumberFormat="1" applyFont="1" applyFill="1" applyBorder="1" applyAlignment="1">
      <alignment horizontal="left"/>
    </xf>
    <xf numFmtId="41" fontId="8" fillId="86" borderId="140" xfId="0" applyNumberFormat="1" applyFont="1" applyFill="1" applyBorder="1" applyAlignment="1">
      <alignment horizontal="left"/>
    </xf>
    <xf numFmtId="0" fontId="6" fillId="16" borderId="136" xfId="0" applyFont="1" applyFill="1" applyBorder="1"/>
    <xf numFmtId="0" fontId="84" fillId="0" borderId="0" xfId="0" applyFont="1"/>
    <xf numFmtId="0" fontId="83" fillId="32" borderId="0" xfId="0" applyFont="1" applyFill="1" applyAlignment="1">
      <alignment horizontal="center" wrapText="1"/>
    </xf>
    <xf numFmtId="0" fontId="84" fillId="74" borderId="0" xfId="0" applyFont="1" applyFill="1"/>
    <xf numFmtId="0" fontId="6" fillId="0" borderId="5" xfId="0" applyFont="1" applyBorder="1"/>
    <xf numFmtId="0" fontId="6" fillId="0" borderId="76" xfId="0" applyFont="1" applyBorder="1"/>
    <xf numFmtId="0" fontId="6" fillId="0" borderId="88" xfId="0" applyFont="1" applyBorder="1"/>
    <xf numFmtId="0" fontId="6" fillId="0" borderId="89" xfId="0" applyFont="1" applyBorder="1"/>
    <xf numFmtId="0" fontId="6" fillId="16" borderId="78" xfId="0" applyFont="1" applyFill="1" applyBorder="1"/>
    <xf numFmtId="0" fontId="111" fillId="16" borderId="127" xfId="0" applyFont="1" applyFill="1" applyBorder="1" applyAlignment="1">
      <alignment horizontal="center" wrapText="1"/>
    </xf>
    <xf numFmtId="0" fontId="111" fillId="16" borderId="128" xfId="0" applyFont="1" applyFill="1" applyBorder="1" applyAlignment="1">
      <alignment horizontal="center" wrapText="1"/>
    </xf>
    <xf numFmtId="0" fontId="111" fillId="16" borderId="129" xfId="0" applyFont="1" applyFill="1" applyBorder="1" applyAlignment="1">
      <alignment horizontal="center" wrapText="1"/>
    </xf>
    <xf numFmtId="0" fontId="111" fillId="16" borderId="130" xfId="0" applyFont="1" applyFill="1" applyBorder="1" applyAlignment="1">
      <alignment horizontal="center" wrapText="1"/>
    </xf>
    <xf numFmtId="0" fontId="111" fillId="16" borderId="131" xfId="0" applyFont="1" applyFill="1" applyBorder="1" applyAlignment="1">
      <alignment horizontal="center" wrapText="1"/>
    </xf>
    <xf numFmtId="9" fontId="79" fillId="0" borderId="129" xfId="2" applyFont="1" applyFill="1" applyBorder="1" applyAlignment="1">
      <alignment horizontal="center" wrapText="1"/>
    </xf>
    <xf numFmtId="0" fontId="111" fillId="86" borderId="132" xfId="0" applyFont="1" applyFill="1" applyBorder="1" applyAlignment="1">
      <alignment horizontal="center" wrapText="1"/>
    </xf>
    <xf numFmtId="0" fontId="111" fillId="86" borderId="133" xfId="0" applyFont="1" applyFill="1" applyBorder="1" applyAlignment="1">
      <alignment horizontal="center" wrapText="1"/>
    </xf>
    <xf numFmtId="0" fontId="90" fillId="17" borderId="15" xfId="0" applyFont="1" applyFill="1" applyBorder="1" applyAlignment="1">
      <alignment wrapText="1"/>
    </xf>
    <xf numFmtId="0" fontId="112" fillId="16" borderId="0" xfId="0" applyFont="1" applyFill="1"/>
    <xf numFmtId="0" fontId="92" fillId="16" borderId="0" xfId="0" applyFont="1" applyFill="1"/>
    <xf numFmtId="9" fontId="0" fillId="16" borderId="0" xfId="12" applyFont="1" applyFill="1" applyBorder="1"/>
    <xf numFmtId="164" fontId="95" fillId="16" borderId="0" xfId="0" applyNumberFormat="1" applyFont="1" applyFill="1"/>
    <xf numFmtId="43" fontId="6" fillId="17" borderId="9" xfId="1" applyFont="1" applyFill="1" applyBorder="1"/>
    <xf numFmtId="0" fontId="103" fillId="16" borderId="0" xfId="0" applyFont="1" applyFill="1"/>
    <xf numFmtId="0" fontId="107" fillId="16" borderId="0" xfId="0" applyFont="1" applyFill="1"/>
    <xf numFmtId="0" fontId="86" fillId="16" borderId="0" xfId="0" applyFont="1" applyFill="1"/>
    <xf numFmtId="0" fontId="6" fillId="16" borderId="0" xfId="0" applyFont="1" applyFill="1" applyAlignment="1">
      <alignment vertical="center" wrapText="1"/>
    </xf>
    <xf numFmtId="0" fontId="6" fillId="16" borderId="23" xfId="205" applyFont="1" applyFill="1" applyBorder="1"/>
    <xf numFmtId="0" fontId="6" fillId="16" borderId="0" xfId="205" applyFont="1" applyFill="1"/>
    <xf numFmtId="0" fontId="6" fillId="16" borderId="25" xfId="205" applyFont="1" applyFill="1" applyBorder="1"/>
    <xf numFmtId="0" fontId="6" fillId="16" borderId="26" xfId="205" applyFont="1" applyFill="1" applyBorder="1"/>
    <xf numFmtId="9" fontId="6" fillId="16" borderId="51" xfId="2" applyFont="1" applyFill="1" applyBorder="1"/>
    <xf numFmtId="9" fontId="93" fillId="16" borderId="0" xfId="205" applyNumberFormat="1" applyFont="1" applyFill="1" applyAlignment="1">
      <alignment horizontal="right"/>
    </xf>
    <xf numFmtId="0" fontId="84" fillId="0" borderId="0" xfId="8" applyFont="1" applyAlignment="1">
      <alignment horizontal="center"/>
    </xf>
    <xf numFmtId="0" fontId="83" fillId="16" borderId="0" xfId="205" applyFont="1" applyFill="1"/>
    <xf numFmtId="175" fontId="84" fillId="0" borderId="51" xfId="9097" applyNumberFormat="1" applyFont="1" applyBorder="1"/>
    <xf numFmtId="0" fontId="83" fillId="16" borderId="26" xfId="205" applyFont="1" applyFill="1" applyBorder="1"/>
    <xf numFmtId="0" fontId="83" fillId="16" borderId="23" xfId="205" applyFont="1" applyFill="1" applyBorder="1"/>
    <xf numFmtId="9" fontId="83" fillId="16" borderId="51" xfId="205" applyNumberFormat="1" applyFont="1" applyFill="1" applyBorder="1"/>
    <xf numFmtId="0" fontId="112" fillId="0" borderId="0" xfId="0" applyFont="1"/>
    <xf numFmtId="0" fontId="6" fillId="19" borderId="0" xfId="0" applyFont="1" applyFill="1"/>
    <xf numFmtId="0" fontId="76" fillId="16" borderId="0" xfId="0" applyFont="1" applyFill="1"/>
    <xf numFmtId="0" fontId="6" fillId="0" borderId="0" xfId="0" applyFont="1" applyAlignment="1">
      <alignment wrapText="1"/>
    </xf>
    <xf numFmtId="0" fontId="96" fillId="16" borderId="0" xfId="3" applyFont="1" applyFill="1" applyBorder="1"/>
    <xf numFmtId="0" fontId="93" fillId="0" borderId="0" xfId="0" applyFont="1"/>
    <xf numFmtId="164" fontId="86" fillId="16" borderId="0" xfId="0" applyNumberFormat="1" applyFont="1" applyFill="1"/>
    <xf numFmtId="0" fontId="115" fillId="0" borderId="0" xfId="0" applyFont="1"/>
    <xf numFmtId="43" fontId="6" fillId="0" borderId="0" xfId="0" applyNumberFormat="1" applyFont="1"/>
    <xf numFmtId="43" fontId="6" fillId="17" borderId="68" xfId="1" applyFont="1" applyFill="1" applyBorder="1"/>
    <xf numFmtId="43" fontId="6" fillId="17" borderId="69" xfId="1" applyFont="1" applyFill="1" applyBorder="1"/>
    <xf numFmtId="14" fontId="8" fillId="0" borderId="0" xfId="0" applyNumberFormat="1" applyFont="1" applyAlignment="1">
      <alignment horizontal="left"/>
    </xf>
    <xf numFmtId="176" fontId="6" fillId="16" borderId="0" xfId="1" applyNumberFormat="1" applyFont="1" applyFill="1"/>
    <xf numFmtId="176" fontId="96" fillId="16" borderId="1" xfId="3" applyNumberFormat="1" applyFont="1" applyFill="1"/>
    <xf numFmtId="176" fontId="96" fillId="16" borderId="0" xfId="3" applyNumberFormat="1" applyFont="1" applyFill="1" applyBorder="1"/>
    <xf numFmtId="0" fontId="84" fillId="16" borderId="0" xfId="0" applyFont="1" applyFill="1" applyAlignment="1">
      <alignment vertical="center" wrapText="1"/>
    </xf>
    <xf numFmtId="164" fontId="6" fillId="16" borderId="0" xfId="1" applyNumberFormat="1" applyFont="1" applyFill="1"/>
    <xf numFmtId="0" fontId="120" fillId="16" borderId="0" xfId="0" applyFont="1" applyFill="1"/>
    <xf numFmtId="0" fontId="122" fillId="83" borderId="31" xfId="9" applyFont="1" applyFill="1" applyBorder="1" applyAlignment="1">
      <alignment horizontal="center"/>
    </xf>
    <xf numFmtId="0" fontId="122" fillId="83" borderId="32" xfId="9" applyFont="1" applyFill="1" applyBorder="1" applyAlignment="1">
      <alignment horizontal="center"/>
    </xf>
    <xf numFmtId="1" fontId="122" fillId="83" borderId="32" xfId="9" applyNumberFormat="1" applyFont="1" applyFill="1" applyBorder="1" applyAlignment="1">
      <alignment horizontal="center"/>
    </xf>
    <xf numFmtId="0" fontId="0" fillId="20" borderId="5" xfId="0" applyFill="1" applyBorder="1"/>
    <xf numFmtId="0" fontId="0" fillId="20" borderId="76" xfId="0" applyFill="1" applyBorder="1"/>
    <xf numFmtId="0" fontId="0" fillId="20" borderId="6" xfId="0" applyFill="1" applyBorder="1"/>
    <xf numFmtId="0" fontId="124" fillId="16" borderId="77" xfId="0" applyFont="1" applyFill="1" applyBorder="1" applyAlignment="1">
      <alignment wrapText="1"/>
    </xf>
    <xf numFmtId="0" fontId="124" fillId="16" borderId="0" xfId="0" applyFont="1" applyFill="1" applyAlignment="1">
      <alignment wrapText="1"/>
    </xf>
    <xf numFmtId="0" fontId="124" fillId="16" borderId="78" xfId="0" applyFont="1" applyFill="1" applyBorder="1" applyAlignment="1">
      <alignment wrapText="1"/>
    </xf>
    <xf numFmtId="0" fontId="124" fillId="16" borderId="141" xfId="0" applyFont="1" applyFill="1" applyBorder="1" applyAlignment="1">
      <alignment wrapText="1"/>
    </xf>
    <xf numFmtId="0" fontId="0" fillId="16" borderId="79" xfId="0" applyFill="1" applyBorder="1"/>
    <xf numFmtId="0" fontId="0" fillId="16" borderId="80" xfId="0" applyFill="1" applyBorder="1"/>
    <xf numFmtId="167" fontId="0" fillId="16" borderId="81" xfId="0" applyNumberFormat="1" applyFill="1" applyBorder="1"/>
    <xf numFmtId="9" fontId="0" fillId="16" borderId="0" xfId="12" applyFont="1" applyFill="1"/>
    <xf numFmtId="0" fontId="0" fillId="16" borderId="82" xfId="0" applyFill="1" applyBorder="1"/>
    <xf numFmtId="0" fontId="0" fillId="16" borderId="83" xfId="0" applyFill="1" applyBorder="1"/>
    <xf numFmtId="167" fontId="0" fillId="16" borderId="84" xfId="0" applyNumberFormat="1" applyFill="1" applyBorder="1"/>
    <xf numFmtId="0" fontId="0" fillId="16" borderId="85" xfId="0" applyFill="1" applyBorder="1"/>
    <xf numFmtId="0" fontId="0" fillId="16" borderId="86" xfId="0" applyFill="1" applyBorder="1"/>
    <xf numFmtId="167" fontId="0" fillId="16" borderId="87" xfId="0" applyNumberFormat="1" applyFill="1" applyBorder="1"/>
    <xf numFmtId="0" fontId="0" fillId="16" borderId="89" xfId="0" applyFill="1" applyBorder="1"/>
    <xf numFmtId="9" fontId="0" fillId="16" borderId="90" xfId="0" applyNumberFormat="1" applyFill="1" applyBorder="1"/>
    <xf numFmtId="0" fontId="23" fillId="99" borderId="0" xfId="0" applyFont="1" applyFill="1"/>
    <xf numFmtId="9" fontId="23" fillId="16" borderId="0" xfId="0" applyNumberFormat="1" applyFont="1" applyFill="1"/>
    <xf numFmtId="0" fontId="122" fillId="83" borderId="0" xfId="9" applyFont="1" applyFill="1" applyAlignment="1">
      <alignment horizontal="center"/>
    </xf>
    <xf numFmtId="169" fontId="122" fillId="83" borderId="0" xfId="9" applyNumberFormat="1" applyFont="1" applyFill="1" applyAlignment="1">
      <alignment horizontal="center"/>
    </xf>
    <xf numFmtId="0" fontId="66" fillId="20" borderId="4" xfId="0" applyFont="1" applyFill="1" applyBorder="1" applyAlignment="1">
      <alignment horizontal="center" wrapText="1"/>
    </xf>
    <xf numFmtId="0" fontId="84" fillId="83" borderId="5" xfId="9" applyFont="1" applyFill="1" applyBorder="1" applyAlignment="1">
      <alignment horizontal="center"/>
    </xf>
    <xf numFmtId="0" fontId="84" fillId="83" borderId="77" xfId="9" applyFont="1" applyFill="1" applyBorder="1" applyAlignment="1">
      <alignment horizontal="center"/>
    </xf>
    <xf numFmtId="167" fontId="84" fillId="83" borderId="0" xfId="12" applyNumberFormat="1" applyFont="1" applyFill="1" applyBorder="1" applyAlignment="1">
      <alignment horizontal="center"/>
    </xf>
    <xf numFmtId="0" fontId="84" fillId="83" borderId="88" xfId="9" applyFont="1" applyFill="1" applyBorder="1" applyAlignment="1">
      <alignment horizontal="center"/>
    </xf>
    <xf numFmtId="0" fontId="84" fillId="83" borderId="0" xfId="9" applyFont="1" applyFill="1" applyAlignment="1">
      <alignment horizontal="center"/>
    </xf>
    <xf numFmtId="0" fontId="6" fillId="16" borderId="0" xfId="0" applyFont="1" applyFill="1" applyAlignment="1">
      <alignment horizontal="left" vertical="top" wrapText="1"/>
    </xf>
    <xf numFmtId="0" fontId="66" fillId="16" borderId="0" xfId="0" applyFont="1" applyFill="1" applyAlignment="1">
      <alignment horizontal="left" vertical="top"/>
    </xf>
    <xf numFmtId="0" fontId="8" fillId="16" borderId="0" xfId="0" applyFont="1" applyFill="1" applyAlignment="1">
      <alignment horizontal="left" vertical="top" wrapText="1" indent="1"/>
    </xf>
    <xf numFmtId="0" fontId="66" fillId="16" borderId="0" xfId="0" quotePrefix="1" applyFont="1" applyFill="1" applyAlignment="1">
      <alignment horizontal="left" vertical="top"/>
    </xf>
    <xf numFmtId="168" fontId="6" fillId="0" borderId="0" xfId="1" applyNumberFormat="1" applyFont="1"/>
    <xf numFmtId="43" fontId="8" fillId="16" borderId="0" xfId="1" applyFont="1" applyFill="1" applyBorder="1"/>
    <xf numFmtId="0" fontId="86" fillId="16" borderId="0" xfId="0" applyFont="1" applyFill="1" applyAlignment="1">
      <alignment horizontal="left" wrapText="1"/>
    </xf>
    <xf numFmtId="166" fontId="6" fillId="0" borderId="0" xfId="0" applyNumberFormat="1" applyFont="1"/>
    <xf numFmtId="164" fontId="6" fillId="0" borderId="0" xfId="0" applyNumberFormat="1" applyFont="1"/>
    <xf numFmtId="164" fontId="80" fillId="0" borderId="0" xfId="4" applyNumberFormat="1" applyFont="1" applyFill="1" applyBorder="1"/>
    <xf numFmtId="10" fontId="90" fillId="0" borderId="0" xfId="0" applyNumberFormat="1" applyFont="1"/>
    <xf numFmtId="43" fontId="6" fillId="0" borderId="0" xfId="1" applyFont="1" applyFill="1" applyBorder="1"/>
    <xf numFmtId="164" fontId="3" fillId="0" borderId="0" xfId="4" applyNumberFormat="1" applyFill="1" applyBorder="1"/>
    <xf numFmtId="0" fontId="78" fillId="0" borderId="0" xfId="0" applyFont="1"/>
    <xf numFmtId="168" fontId="6" fillId="0" borderId="0" xfId="0" applyNumberFormat="1" applyFont="1"/>
    <xf numFmtId="168" fontId="6" fillId="0" borderId="0" xfId="1" applyNumberFormat="1" applyFont="1" applyFill="1" applyBorder="1"/>
    <xf numFmtId="0" fontId="8" fillId="0" borderId="0" xfId="0" applyFont="1" applyAlignment="1">
      <alignment wrapText="1"/>
    </xf>
    <xf numFmtId="9" fontId="6" fillId="19" borderId="185" xfId="2" applyFont="1" applyFill="1" applyBorder="1" applyAlignment="1">
      <alignment horizontal="center"/>
    </xf>
    <xf numFmtId="0" fontId="93" fillId="0" borderId="0" xfId="0" applyFont="1" applyAlignment="1">
      <alignment horizontal="left" indent="1"/>
    </xf>
    <xf numFmtId="0" fontId="5" fillId="108" borderId="0" xfId="0" applyFont="1" applyFill="1" applyAlignment="1">
      <alignment wrapText="1"/>
    </xf>
    <xf numFmtId="0" fontId="0" fillId="74" borderId="184" xfId="0" applyFill="1" applyBorder="1"/>
    <xf numFmtId="9" fontId="0" fillId="74" borderId="184" xfId="2" applyFont="1" applyFill="1" applyBorder="1"/>
    <xf numFmtId="0" fontId="4" fillId="0" borderId="0" xfId="0" applyFont="1"/>
    <xf numFmtId="0" fontId="5" fillId="108" borderId="184" xfId="0" applyFont="1" applyFill="1" applyBorder="1" applyAlignment="1">
      <alignment wrapText="1"/>
    </xf>
    <xf numFmtId="171" fontId="0" fillId="74" borderId="184" xfId="2" applyNumberFormat="1" applyFont="1" applyFill="1" applyBorder="1"/>
    <xf numFmtId="165" fontId="0" fillId="74" borderId="184" xfId="1" applyNumberFormat="1" applyFont="1" applyFill="1" applyBorder="1"/>
    <xf numFmtId="165" fontId="0" fillId="74" borderId="186" xfId="1" applyNumberFormat="1" applyFont="1" applyFill="1" applyBorder="1"/>
    <xf numFmtId="0" fontId="135" fillId="0" borderId="0" xfId="0" applyFont="1"/>
    <xf numFmtId="0" fontId="136" fillId="0" borderId="0" xfId="0" applyFont="1" applyAlignment="1">
      <alignment horizontal="right"/>
    </xf>
    <xf numFmtId="0" fontId="4" fillId="74" borderId="184" xfId="0" applyFont="1" applyFill="1" applyBorder="1" applyAlignment="1">
      <alignment vertical="center" wrapText="1"/>
    </xf>
    <xf numFmtId="0" fontId="4" fillId="74" borderId="184" xfId="0" applyFont="1" applyFill="1" applyBorder="1" applyAlignment="1">
      <alignment horizontal="center" vertical="center" wrapText="1"/>
    </xf>
    <xf numFmtId="0" fontId="0" fillId="0" borderId="184" xfId="0" applyBorder="1"/>
    <xf numFmtId="3" fontId="0" fillId="0" borderId="184" xfId="0" applyNumberFormat="1" applyBorder="1" applyAlignment="1">
      <alignment horizontal="center"/>
    </xf>
    <xf numFmtId="0" fontId="0" fillId="74" borderId="0" xfId="0" applyFill="1"/>
    <xf numFmtId="0" fontId="0" fillId="0" borderId="0" xfId="0" applyAlignment="1">
      <alignment horizontal="center" wrapText="1"/>
    </xf>
    <xf numFmtId="2" fontId="0" fillId="0" borderId="0" xfId="0" applyNumberFormat="1"/>
    <xf numFmtId="0" fontId="4" fillId="0" borderId="184" xfId="0" applyFont="1" applyBorder="1" applyAlignment="1">
      <alignment wrapText="1"/>
    </xf>
    <xf numFmtId="0" fontId="4" fillId="0" borderId="184" xfId="0" applyFont="1" applyBorder="1"/>
    <xf numFmtId="9" fontId="0" fillId="0" borderId="184" xfId="0" applyNumberFormat="1" applyBorder="1" applyAlignment="1">
      <alignment horizontal="center"/>
    </xf>
    <xf numFmtId="0" fontId="0" fillId="94" borderId="0" xfId="0" applyFill="1"/>
    <xf numFmtId="164" fontId="84" fillId="17" borderId="18" xfId="1" applyNumberFormat="1" applyFont="1" applyFill="1" applyBorder="1" applyAlignment="1">
      <alignment horizontal="right"/>
    </xf>
    <xf numFmtId="0" fontId="138" fillId="107" borderId="0" xfId="0" applyFont="1" applyFill="1"/>
    <xf numFmtId="0" fontId="139" fillId="107" borderId="0" xfId="0" applyFont="1" applyFill="1"/>
    <xf numFmtId="0" fontId="85" fillId="20" borderId="45" xfId="9" applyFont="1" applyFill="1" applyBorder="1" applyAlignment="1">
      <alignment horizontal="center"/>
    </xf>
    <xf numFmtId="0" fontId="84" fillId="83" borderId="141" xfId="9" applyFont="1" applyFill="1" applyBorder="1" applyAlignment="1">
      <alignment horizontal="center"/>
    </xf>
    <xf numFmtId="0" fontId="84" fillId="83" borderId="161" xfId="9" applyFont="1" applyFill="1" applyBorder="1" applyAlignment="1">
      <alignment horizontal="center"/>
    </xf>
    <xf numFmtId="0" fontId="121" fillId="82" borderId="184" xfId="8152" applyFont="1" applyFill="1" applyBorder="1" applyAlignment="1">
      <alignment horizontal="center" wrapText="1"/>
    </xf>
    <xf numFmtId="0" fontId="121" fillId="82" borderId="184" xfId="8152" applyFont="1" applyFill="1" applyBorder="1" applyAlignment="1">
      <alignment horizontal="center"/>
    </xf>
    <xf numFmtId="0" fontId="122" fillId="83" borderId="184" xfId="9" applyFont="1" applyFill="1" applyBorder="1" applyAlignment="1">
      <alignment horizontal="center"/>
    </xf>
    <xf numFmtId="164" fontId="0" fillId="16" borderId="184" xfId="14" applyNumberFormat="1" applyFont="1" applyFill="1" applyBorder="1"/>
    <xf numFmtId="0" fontId="66" fillId="20" borderId="45" xfId="0" applyFont="1" applyFill="1" applyBorder="1" applyAlignment="1">
      <alignment horizontal="center"/>
    </xf>
    <xf numFmtId="0" fontId="66" fillId="20" borderId="4" xfId="0" applyFont="1" applyFill="1" applyBorder="1" applyAlignment="1">
      <alignment horizontal="center"/>
    </xf>
    <xf numFmtId="0" fontId="66" fillId="20" borderId="92" xfId="0" applyFont="1" applyFill="1" applyBorder="1" applyAlignment="1">
      <alignment horizontal="center"/>
    </xf>
    <xf numFmtId="0" fontId="66" fillId="20" borderId="91" xfId="0" applyFont="1" applyFill="1" applyBorder="1" applyAlignment="1">
      <alignment horizontal="center"/>
    </xf>
    <xf numFmtId="0" fontId="84" fillId="83" borderId="33" xfId="9" applyFont="1" applyFill="1" applyBorder="1" applyAlignment="1">
      <alignment horizontal="center" vertical="center"/>
    </xf>
    <xf numFmtId="0" fontId="84" fillId="83" borderId="141" xfId="9" applyFont="1" applyFill="1" applyBorder="1" applyAlignment="1">
      <alignment horizontal="center" vertical="center"/>
    </xf>
    <xf numFmtId="0" fontId="84" fillId="83" borderId="161" xfId="9" applyFont="1" applyFill="1" applyBorder="1" applyAlignment="1">
      <alignment horizontal="center" vertical="center"/>
    </xf>
    <xf numFmtId="0" fontId="141" fillId="79" borderId="187" xfId="0" applyFont="1" applyFill="1" applyBorder="1" applyAlignment="1">
      <alignment horizontal="centerContinuous"/>
    </xf>
    <xf numFmtId="0" fontId="21" fillId="32" borderId="184" xfId="0" applyFont="1" applyFill="1" applyBorder="1" applyAlignment="1">
      <alignment horizontal="center" wrapText="1"/>
    </xf>
    <xf numFmtId="0" fontId="21" fillId="32" borderId="25" xfId="0" applyFont="1" applyFill="1" applyBorder="1" applyAlignment="1">
      <alignment horizontal="center" wrapText="1"/>
    </xf>
    <xf numFmtId="0" fontId="21" fillId="32" borderId="43" xfId="0" applyFont="1" applyFill="1" applyBorder="1" applyAlignment="1">
      <alignment horizontal="center" wrapText="1"/>
    </xf>
    <xf numFmtId="0" fontId="16" fillId="16" borderId="0" xfId="13" applyFont="1" applyFill="1" applyAlignment="1">
      <alignment vertical="center" wrapText="1"/>
    </xf>
    <xf numFmtId="3" fontId="16" fillId="16" borderId="0" xfId="13" applyNumberFormat="1" applyFont="1" applyFill="1" applyAlignment="1">
      <alignment vertical="center" wrapText="1"/>
    </xf>
    <xf numFmtId="1" fontId="1" fillId="16" borderId="0" xfId="13" applyNumberFormat="1" applyFill="1" applyAlignment="1">
      <alignment vertical="center" readingOrder="1"/>
    </xf>
    <xf numFmtId="178" fontId="1" fillId="16" borderId="0" xfId="13" applyNumberFormat="1" applyFill="1" applyAlignment="1">
      <alignment vertical="center" readingOrder="1"/>
    </xf>
    <xf numFmtId="44" fontId="1" fillId="16" borderId="0" xfId="13" applyNumberFormat="1" applyFill="1" applyAlignment="1">
      <alignment vertical="center" readingOrder="1"/>
    </xf>
    <xf numFmtId="0" fontId="16" fillId="16" borderId="0" xfId="13" applyFont="1" applyFill="1" applyAlignment="1">
      <alignment vertical="center" readingOrder="1"/>
    </xf>
    <xf numFmtId="178" fontId="16" fillId="16" borderId="0" xfId="9222" applyNumberFormat="1" applyFill="1" applyAlignment="1">
      <alignment vertical="center" readingOrder="1"/>
    </xf>
    <xf numFmtId="0" fontId="0" fillId="16" borderId="0" xfId="0" applyFill="1" applyAlignment="1">
      <alignment horizontal="center" vertical="center"/>
    </xf>
    <xf numFmtId="0" fontId="0" fillId="87" borderId="186" xfId="0" applyFill="1" applyBorder="1" applyAlignment="1">
      <alignment horizontal="center" wrapText="1"/>
    </xf>
    <xf numFmtId="0" fontId="83" fillId="16" borderId="0" xfId="8" applyFont="1" applyFill="1" applyAlignment="1">
      <alignment horizontal="center" wrapText="1"/>
    </xf>
    <xf numFmtId="0" fontId="83" fillId="16" borderId="0" xfId="0" applyFont="1" applyFill="1" applyAlignment="1">
      <alignment horizontal="center" wrapText="1"/>
    </xf>
    <xf numFmtId="0" fontId="84" fillId="16" borderId="0" xfId="9" applyFont="1" applyFill="1" applyAlignment="1">
      <alignment wrapText="1"/>
    </xf>
    <xf numFmtId="1" fontId="84" fillId="16" borderId="0" xfId="9" applyNumberFormat="1" applyFont="1" applyFill="1" applyAlignment="1">
      <alignment wrapText="1"/>
    </xf>
    <xf numFmtId="6" fontId="84" fillId="16" borderId="0" xfId="9" applyNumberFormat="1" applyFont="1" applyFill="1" applyAlignment="1">
      <alignment wrapText="1"/>
    </xf>
    <xf numFmtId="164" fontId="14" fillId="16" borderId="0" xfId="0" applyNumberFormat="1" applyFont="1" applyFill="1"/>
    <xf numFmtId="165" fontId="6" fillId="16" borderId="0" xfId="1" applyNumberFormat="1" applyFont="1" applyFill="1" applyBorder="1"/>
    <xf numFmtId="164" fontId="0" fillId="16" borderId="0" xfId="14" applyNumberFormat="1" applyFont="1" applyFill="1" applyBorder="1"/>
    <xf numFmtId="0" fontId="121" fillId="16" borderId="0" xfId="8152" applyFont="1" applyFill="1" applyAlignment="1">
      <alignment horizontal="center"/>
    </xf>
    <xf numFmtId="1" fontId="23" fillId="16" borderId="0" xfId="0" applyNumberFormat="1" applyFont="1" applyFill="1"/>
    <xf numFmtId="0" fontId="16" fillId="0" borderId="0" xfId="0" applyFont="1" applyAlignment="1">
      <alignment vertical="center" wrapText="1"/>
    </xf>
    <xf numFmtId="3" fontId="16" fillId="0" borderId="0" xfId="0" applyNumberFormat="1" applyFont="1" applyAlignment="1">
      <alignment vertical="center" wrapText="1"/>
    </xf>
    <xf numFmtId="1" fontId="0" fillId="0" borderId="0" xfId="0" applyNumberFormat="1" applyAlignment="1">
      <alignment vertical="center" readingOrder="1"/>
    </xf>
    <xf numFmtId="178" fontId="0" fillId="0" borderId="0" xfId="0" applyNumberFormat="1" applyAlignment="1">
      <alignment vertical="center" readingOrder="1"/>
    </xf>
    <xf numFmtId="44" fontId="0" fillId="0" borderId="0" xfId="0" applyNumberFormat="1" applyAlignment="1">
      <alignment vertical="center" readingOrder="1"/>
    </xf>
    <xf numFmtId="0" fontId="16" fillId="0" borderId="0" xfId="0" applyFont="1" applyAlignment="1">
      <alignment vertical="center" readingOrder="1"/>
    </xf>
    <xf numFmtId="178" fontId="16" fillId="0" borderId="0" xfId="9223" applyNumberFormat="1" applyAlignment="1">
      <alignment vertical="center" readingOrder="1"/>
    </xf>
    <xf numFmtId="0" fontId="124" fillId="16" borderId="77" xfId="0" applyFont="1" applyFill="1" applyBorder="1" applyAlignment="1">
      <alignment horizontal="center" vertical="center" wrapText="1"/>
    </xf>
    <xf numFmtId="0" fontId="124" fillId="16" borderId="78" xfId="0" applyFont="1" applyFill="1" applyBorder="1" applyAlignment="1">
      <alignment horizontal="center" vertical="center" wrapText="1"/>
    </xf>
    <xf numFmtId="0" fontId="136" fillId="16" borderId="0" xfId="0" applyFont="1" applyFill="1"/>
    <xf numFmtId="0" fontId="142" fillId="16" borderId="1" xfId="3" applyFont="1" applyFill="1"/>
    <xf numFmtId="0" fontId="142" fillId="16" borderId="0" xfId="0" applyFont="1" applyFill="1"/>
    <xf numFmtId="0" fontId="143" fillId="16" borderId="1" xfId="3" applyFont="1" applyFill="1"/>
    <xf numFmtId="0" fontId="124" fillId="16" borderId="141" xfId="0" applyFont="1" applyFill="1" applyBorder="1" applyAlignment="1">
      <alignment horizontal="center" vertical="center" wrapText="1"/>
    </xf>
    <xf numFmtId="0" fontId="0" fillId="20" borderId="33" xfId="0" applyFill="1" applyBorder="1" applyAlignment="1">
      <alignment wrapText="1"/>
    </xf>
    <xf numFmtId="164" fontId="0" fillId="16" borderId="79" xfId="1" applyNumberFormat="1" applyFont="1" applyFill="1" applyBorder="1"/>
    <xf numFmtId="164" fontId="0" fillId="16" borderId="82" xfId="1" applyNumberFormat="1" applyFont="1" applyFill="1" applyBorder="1"/>
    <xf numFmtId="164" fontId="0" fillId="16" borderId="85" xfId="1" applyNumberFormat="1" applyFont="1" applyFill="1" applyBorder="1"/>
    <xf numFmtId="164" fontId="0" fillId="16" borderId="88" xfId="1" applyNumberFormat="1" applyFont="1" applyFill="1" applyBorder="1"/>
    <xf numFmtId="164" fontId="0" fillId="16" borderId="172" xfId="1" applyNumberFormat="1" applyFont="1" applyFill="1" applyBorder="1"/>
    <xf numFmtId="164" fontId="0" fillId="16" borderId="188" xfId="1" applyNumberFormat="1" applyFont="1" applyFill="1" applyBorder="1"/>
    <xf numFmtId="164" fontId="0" fillId="16" borderId="189" xfId="1" applyNumberFormat="1" applyFont="1" applyFill="1" applyBorder="1"/>
    <xf numFmtId="164" fontId="0" fillId="16" borderId="161" xfId="1" applyNumberFormat="1" applyFont="1" applyFill="1" applyBorder="1"/>
    <xf numFmtId="9" fontId="0" fillId="16" borderId="80" xfId="2" applyFont="1" applyFill="1" applyBorder="1"/>
    <xf numFmtId="9" fontId="0" fillId="16" borderId="83" xfId="2" applyFont="1" applyFill="1" applyBorder="1"/>
    <xf numFmtId="9" fontId="0" fillId="16" borderId="89" xfId="2" applyFont="1" applyFill="1" applyBorder="1"/>
    <xf numFmtId="1" fontId="23" fillId="99" borderId="0" xfId="0" applyNumberFormat="1" applyFont="1" applyFill="1" applyAlignment="1">
      <alignment horizontal="center"/>
    </xf>
    <xf numFmtId="1" fontId="0" fillId="0" borderId="0" xfId="0" applyNumberFormat="1"/>
    <xf numFmtId="164" fontId="0" fillId="0" borderId="0" xfId="0" applyNumberFormat="1"/>
    <xf numFmtId="0" fontId="144" fillId="0" borderId="0" xfId="0" applyFont="1"/>
    <xf numFmtId="0" fontId="6" fillId="0" borderId="184" xfId="0" applyFont="1" applyBorder="1"/>
    <xf numFmtId="9" fontId="6" fillId="0" borderId="184" xfId="2" applyFont="1" applyBorder="1"/>
    <xf numFmtId="0" fontId="142" fillId="94" borderId="0" xfId="0" applyFont="1" applyFill="1"/>
    <xf numFmtId="9" fontId="6" fillId="19" borderId="184" xfId="0" applyNumberFormat="1" applyFont="1" applyFill="1" applyBorder="1"/>
    <xf numFmtId="164" fontId="66" fillId="84" borderId="184" xfId="1" applyNumberFormat="1" applyFont="1" applyFill="1" applyBorder="1"/>
    <xf numFmtId="10" fontId="0" fillId="0" borderId="0" xfId="2" applyNumberFormat="1" applyFont="1"/>
    <xf numFmtId="0" fontId="87" fillId="0" borderId="0" xfId="0" applyFont="1"/>
    <xf numFmtId="164" fontId="80" fillId="0" borderId="0" xfId="4" applyNumberFormat="1" applyFont="1" applyFill="1" applyBorder="1" applyAlignment="1">
      <alignment horizontal="center" vertical="center" wrapText="1"/>
    </xf>
    <xf numFmtId="43" fontId="92" fillId="0" borderId="0" xfId="0" applyNumberFormat="1" applyFont="1"/>
    <xf numFmtId="164" fontId="84" fillId="0" borderId="0" xfId="4" applyNumberFormat="1" applyFont="1" applyFill="1" applyBorder="1" applyAlignment="1">
      <alignment horizontal="right"/>
    </xf>
    <xf numFmtId="0" fontId="6" fillId="17" borderId="191" xfId="0" applyFont="1" applyFill="1" applyBorder="1" applyAlignment="1">
      <alignment wrapText="1"/>
    </xf>
    <xf numFmtId="0" fontId="6" fillId="17" borderId="192" xfId="0" applyFont="1" applyFill="1" applyBorder="1" applyAlignment="1">
      <alignment wrapText="1"/>
    </xf>
    <xf numFmtId="166" fontId="6" fillId="17" borderId="194" xfId="0" applyNumberFormat="1" applyFont="1" applyFill="1" applyBorder="1"/>
    <xf numFmtId="43" fontId="6" fillId="17" borderId="120" xfId="1" applyFont="1" applyFill="1" applyBorder="1"/>
    <xf numFmtId="43" fontId="6" fillId="17" borderId="121" xfId="1" applyFont="1" applyFill="1" applyBorder="1"/>
    <xf numFmtId="164" fontId="80" fillId="17" borderId="192" xfId="4" applyNumberFormat="1" applyFont="1" applyFill="1" applyBorder="1"/>
    <xf numFmtId="164" fontId="84" fillId="17" borderId="120" xfId="1" applyNumberFormat="1" applyFont="1" applyFill="1" applyBorder="1" applyAlignment="1">
      <alignment horizontal="right"/>
    </xf>
    <xf numFmtId="0" fontId="8" fillId="17" borderId="195" xfId="0" applyFont="1" applyFill="1" applyBorder="1"/>
    <xf numFmtId="43" fontId="6" fillId="17" borderId="191" xfId="1" applyFont="1" applyFill="1" applyBorder="1"/>
    <xf numFmtId="43" fontId="6" fillId="17" borderId="192" xfId="1" applyFont="1" applyFill="1" applyBorder="1"/>
    <xf numFmtId="43" fontId="6" fillId="17" borderId="195" xfId="1" applyFont="1" applyFill="1" applyBorder="1"/>
    <xf numFmtId="43" fontId="145" fillId="0" borderId="23" xfId="0" applyNumberFormat="1" applyFont="1" applyBorder="1" applyAlignment="1">
      <alignment vertical="center" textRotation="90"/>
    </xf>
    <xf numFmtId="0" fontId="12" fillId="0" borderId="0" xfId="0" applyFont="1"/>
    <xf numFmtId="0" fontId="6" fillId="17" borderId="122" xfId="0" applyFont="1" applyFill="1" applyBorder="1" applyAlignment="1">
      <alignment wrapText="1"/>
    </xf>
    <xf numFmtId="0" fontId="102" fillId="0" borderId="0" xfId="0" applyFont="1"/>
    <xf numFmtId="0" fontId="146" fillId="109" borderId="200" xfId="0" applyFont="1" applyFill="1" applyBorder="1" applyAlignment="1">
      <alignment vertical="center" wrapText="1"/>
    </xf>
    <xf numFmtId="0" fontId="146" fillId="109" borderId="6" xfId="0" applyFont="1" applyFill="1" applyBorder="1" applyAlignment="1">
      <alignment vertical="center" wrapText="1"/>
    </xf>
    <xf numFmtId="0" fontId="146" fillId="109" borderId="157" xfId="0" applyFont="1" applyFill="1" applyBorder="1" applyAlignment="1">
      <alignment vertical="top" wrapText="1"/>
    </xf>
    <xf numFmtId="0" fontId="146" fillId="109" borderId="90" xfId="0" applyFont="1" applyFill="1" applyBorder="1" applyAlignment="1">
      <alignment vertical="top" wrapText="1"/>
    </xf>
    <xf numFmtId="0" fontId="146" fillId="109" borderId="44" xfId="0" applyFont="1" applyFill="1" applyBorder="1" applyAlignment="1">
      <alignment horizontal="center" vertical="center" wrapText="1"/>
    </xf>
    <xf numFmtId="0" fontId="146" fillId="113" borderId="59" xfId="0" applyFont="1" applyFill="1" applyBorder="1" applyAlignment="1">
      <alignment horizontal="center" vertical="center" wrapText="1"/>
    </xf>
    <xf numFmtId="0" fontId="146" fillId="109" borderId="60" xfId="0" applyFont="1" applyFill="1" applyBorder="1" applyAlignment="1">
      <alignment horizontal="center" vertical="center" wrapText="1"/>
    </xf>
    <xf numFmtId="0" fontId="146" fillId="109" borderId="151" xfId="0" applyFont="1" applyFill="1" applyBorder="1" applyAlignment="1">
      <alignment horizontal="center" vertical="center" wrapText="1"/>
    </xf>
    <xf numFmtId="0" fontId="146" fillId="113" borderId="60" xfId="0" applyFont="1" applyFill="1" applyBorder="1" applyAlignment="1">
      <alignment horizontal="center" vertical="center" wrapText="1"/>
    </xf>
    <xf numFmtId="169" fontId="84" fillId="84" borderId="149" xfId="205" applyNumberFormat="1" applyFont="1" applyFill="1" applyBorder="1"/>
    <xf numFmtId="169" fontId="84" fillId="84" borderId="62" xfId="205" applyNumberFormat="1" applyFont="1" applyFill="1" applyBorder="1"/>
    <xf numFmtId="169" fontId="84" fillId="84" borderId="43" xfId="205" applyNumberFormat="1" applyFont="1" applyFill="1" applyBorder="1"/>
    <xf numFmtId="0" fontId="118" fillId="97" borderId="0" xfId="0" applyFont="1" applyFill="1" applyAlignment="1">
      <alignment vertical="center"/>
    </xf>
    <xf numFmtId="0" fontId="148" fillId="97" borderId="0" xfId="0" applyFont="1" applyFill="1" applyAlignment="1">
      <alignment vertical="center"/>
    </xf>
    <xf numFmtId="0" fontId="147" fillId="0" borderId="0" xfId="0" applyFont="1"/>
    <xf numFmtId="0" fontId="147" fillId="0" borderId="0" xfId="0" applyFont="1" applyAlignment="1">
      <alignment vertical="center" wrapText="1"/>
    </xf>
    <xf numFmtId="43" fontId="6" fillId="17" borderId="211" xfId="1" applyFont="1" applyFill="1" applyBorder="1"/>
    <xf numFmtId="0" fontId="6" fillId="16" borderId="0" xfId="0" applyFont="1" applyFill="1" applyAlignment="1">
      <alignment horizontal="left" vertical="center"/>
    </xf>
    <xf numFmtId="0" fontId="6" fillId="0" borderId="186" xfId="0" applyFont="1" applyBorder="1" applyAlignment="1">
      <alignment wrapText="1"/>
    </xf>
    <xf numFmtId="0" fontId="6" fillId="0" borderId="186" xfId="0" applyFont="1" applyBorder="1"/>
    <xf numFmtId="0" fontId="6" fillId="0" borderId="187" xfId="0" applyFont="1" applyBorder="1"/>
    <xf numFmtId="9" fontId="66" fillId="17" borderId="184" xfId="2" applyFont="1" applyFill="1" applyBorder="1"/>
    <xf numFmtId="9" fontId="6" fillId="17" borderId="184" xfId="2" applyFont="1" applyFill="1" applyBorder="1"/>
    <xf numFmtId="0" fontId="6" fillId="74" borderId="186" xfId="0" applyFont="1" applyFill="1" applyBorder="1"/>
    <xf numFmtId="0" fontId="6" fillId="74" borderId="150" xfId="0" applyFont="1" applyFill="1" applyBorder="1"/>
    <xf numFmtId="0" fontId="6" fillId="74" borderId="150" xfId="0" applyFont="1" applyFill="1" applyBorder="1" applyAlignment="1">
      <alignment horizontal="right"/>
    </xf>
    <xf numFmtId="0" fontId="6" fillId="74" borderId="187" xfId="0" applyFont="1" applyFill="1" applyBorder="1"/>
    <xf numFmtId="0" fontId="6" fillId="74" borderId="184" xfId="0" applyFont="1" applyFill="1" applyBorder="1"/>
    <xf numFmtId="0" fontId="6" fillId="74" borderId="184" xfId="0" applyFont="1" applyFill="1" applyBorder="1" applyAlignment="1">
      <alignment horizontal="center" wrapText="1"/>
    </xf>
    <xf numFmtId="0" fontId="6" fillId="74" borderId="186" xfId="0" applyFont="1" applyFill="1" applyBorder="1" applyAlignment="1">
      <alignment horizontal="center" wrapText="1"/>
    </xf>
    <xf numFmtId="0" fontId="6" fillId="74" borderId="187" xfId="0" applyFont="1" applyFill="1" applyBorder="1" applyAlignment="1">
      <alignment horizontal="center" wrapText="1"/>
    </xf>
    <xf numFmtId="164" fontId="6" fillId="22" borderId="184" xfId="0" applyNumberFormat="1" applyFont="1" applyFill="1" applyBorder="1" applyAlignment="1">
      <alignment horizontal="center"/>
    </xf>
    <xf numFmtId="164" fontId="6" fillId="22" borderId="186" xfId="0" applyNumberFormat="1" applyFont="1" applyFill="1" applyBorder="1"/>
    <xf numFmtId="164" fontId="6" fillId="22" borderId="150" xfId="0" applyNumberFormat="1" applyFont="1" applyFill="1" applyBorder="1"/>
    <xf numFmtId="9" fontId="6" fillId="19" borderId="184" xfId="2" applyFont="1" applyFill="1" applyBorder="1"/>
    <xf numFmtId="43" fontId="66" fillId="16" borderId="184" xfId="0" applyNumberFormat="1" applyFont="1" applyFill="1" applyBorder="1"/>
    <xf numFmtId="0" fontId="84" fillId="16" borderId="0" xfId="9" applyFont="1" applyFill="1" applyAlignment="1">
      <alignment horizontal="left" wrapText="1"/>
    </xf>
    <xf numFmtId="0" fontId="66" fillId="90" borderId="51" xfId="0" applyFont="1" applyFill="1" applyBorder="1" applyAlignment="1">
      <alignment vertical="center" wrapText="1"/>
    </xf>
    <xf numFmtId="9" fontId="66" fillId="0" borderId="0" xfId="2" applyFont="1" applyFill="1" applyAlignment="1"/>
    <xf numFmtId="164" fontId="6" fillId="16" borderId="51" xfId="0" applyNumberFormat="1" applyFont="1" applyFill="1" applyBorder="1" applyAlignment="1">
      <alignment horizontal="center"/>
    </xf>
    <xf numFmtId="164" fontId="79" fillId="88" borderId="215" xfId="8191" applyNumberFormat="1" applyFont="1" applyFill="1" applyBorder="1" applyAlignment="1">
      <alignment vertical="center"/>
    </xf>
    <xf numFmtId="1" fontId="23" fillId="18" borderId="0" xfId="0" applyNumberFormat="1" applyFont="1" applyFill="1" applyAlignment="1">
      <alignment horizontal="center"/>
    </xf>
    <xf numFmtId="49" fontId="116" fillId="0" borderId="0" xfId="0" applyNumberFormat="1" applyFont="1" applyAlignment="1">
      <alignment vertical="center" wrapText="1"/>
    </xf>
    <xf numFmtId="49" fontId="6" fillId="0" borderId="0" xfId="0" applyNumberFormat="1" applyFont="1" applyAlignment="1">
      <alignment vertical="center" wrapText="1"/>
    </xf>
    <xf numFmtId="0" fontId="78" fillId="17" borderId="70" xfId="0" applyFont="1" applyFill="1" applyBorder="1"/>
    <xf numFmtId="0" fontId="78" fillId="17" borderId="195" xfId="0" applyFont="1" applyFill="1" applyBorder="1"/>
    <xf numFmtId="164" fontId="78" fillId="17" borderId="69" xfId="4" applyNumberFormat="1" applyFont="1" applyFill="1" applyBorder="1"/>
    <xf numFmtId="164" fontId="78" fillId="17" borderId="192" xfId="4" applyNumberFormat="1" applyFont="1" applyFill="1" applyBorder="1"/>
    <xf numFmtId="0" fontId="6" fillId="17" borderId="211" xfId="0" applyFont="1" applyFill="1" applyBorder="1" applyAlignment="1">
      <alignment wrapText="1"/>
    </xf>
    <xf numFmtId="0" fontId="8" fillId="17" borderId="212" xfId="0" applyFont="1" applyFill="1" applyBorder="1"/>
    <xf numFmtId="10" fontId="90" fillId="17" borderId="213" xfId="0" applyNumberFormat="1" applyFont="1" applyFill="1" applyBorder="1"/>
    <xf numFmtId="0" fontId="137" fillId="16" borderId="0" xfId="0" applyFont="1" applyFill="1" applyAlignment="1">
      <alignment horizontal="left" vertical="center" wrapText="1"/>
    </xf>
    <xf numFmtId="0" fontId="87" fillId="24" borderId="26" xfId="0" applyFont="1" applyFill="1" applyBorder="1"/>
    <xf numFmtId="0" fontId="87" fillId="25" borderId="26" xfId="0" applyFont="1" applyFill="1" applyBorder="1"/>
    <xf numFmtId="0" fontId="6" fillId="17" borderId="20" xfId="0" applyFont="1" applyFill="1" applyBorder="1" applyAlignment="1">
      <alignment wrapText="1"/>
    </xf>
    <xf numFmtId="43" fontId="6" fillId="17" borderId="20" xfId="1" applyFont="1" applyFill="1" applyBorder="1"/>
    <xf numFmtId="43" fontId="6" fillId="17" borderId="21" xfId="1" applyFont="1" applyFill="1" applyBorder="1"/>
    <xf numFmtId="0" fontId="87" fillId="24" borderId="77" xfId="0" applyFont="1" applyFill="1" applyBorder="1" applyAlignment="1">
      <alignment wrapText="1"/>
    </xf>
    <xf numFmtId="0" fontId="77" fillId="16" borderId="0" xfId="0" applyFont="1" applyFill="1" applyAlignment="1">
      <alignment vertical="center"/>
    </xf>
    <xf numFmtId="0" fontId="6" fillId="0" borderId="0" xfId="0" applyFont="1" applyAlignment="1">
      <alignment horizontal="left" vertical="center" wrapText="1"/>
    </xf>
    <xf numFmtId="0" fontId="6" fillId="17" borderId="252" xfId="0" applyFont="1" applyFill="1" applyBorder="1" applyAlignment="1">
      <alignment wrapText="1"/>
    </xf>
    <xf numFmtId="1" fontId="66" fillId="0" borderId="0" xfId="0" applyNumberFormat="1" applyFont="1" applyAlignment="1">
      <alignment horizontal="center" vertical="center"/>
    </xf>
    <xf numFmtId="2" fontId="6" fillId="16" borderId="0" xfId="1" applyNumberFormat="1" applyFont="1" applyFill="1" applyBorder="1" applyAlignment="1">
      <alignment horizontal="center" vertical="center"/>
    </xf>
    <xf numFmtId="2" fontId="6" fillId="0" borderId="26" xfId="1" applyNumberFormat="1" applyFont="1" applyBorder="1" applyAlignment="1">
      <alignment horizontal="center" vertical="center"/>
    </xf>
    <xf numFmtId="2" fontId="6" fillId="0" borderId="0" xfId="1" applyNumberFormat="1" applyFont="1" applyBorder="1" applyAlignment="1">
      <alignment horizontal="center" vertical="center"/>
    </xf>
    <xf numFmtId="0" fontId="66" fillId="0" borderId="0" xfId="0" applyFont="1" applyAlignment="1">
      <alignment horizontal="right"/>
    </xf>
    <xf numFmtId="2" fontId="6" fillId="0" borderId="0" xfId="0" applyNumberFormat="1" applyFont="1"/>
    <xf numFmtId="179" fontId="6" fillId="0" borderId="0" xfId="1" applyNumberFormat="1" applyFont="1" applyBorder="1" applyAlignment="1">
      <alignment horizontal="center" vertical="center"/>
    </xf>
    <xf numFmtId="0" fontId="19" fillId="0" borderId="0" xfId="9100"/>
    <xf numFmtId="1" fontId="0" fillId="16" borderId="184" xfId="0" applyNumberFormat="1" applyFill="1" applyBorder="1"/>
    <xf numFmtId="0" fontId="123" fillId="83" borderId="184" xfId="9" applyFont="1" applyFill="1" applyBorder="1" applyAlignment="1">
      <alignment horizontal="center"/>
    </xf>
    <xf numFmtId="0" fontId="121" fillId="82" borderId="217" xfId="8152" applyFont="1" applyFill="1" applyBorder="1" applyAlignment="1">
      <alignment horizontal="center" wrapText="1"/>
    </xf>
    <xf numFmtId="0" fontId="122" fillId="83" borderId="259" xfId="9" applyFont="1" applyFill="1" applyBorder="1" applyAlignment="1">
      <alignment horizontal="center"/>
    </xf>
    <xf numFmtId="1" fontId="122" fillId="83" borderId="184" xfId="9" applyNumberFormat="1" applyFont="1" applyFill="1" applyBorder="1" applyAlignment="1">
      <alignment horizontal="center"/>
    </xf>
    <xf numFmtId="0" fontId="123" fillId="83" borderId="259" xfId="9" applyFont="1" applyFill="1" applyBorder="1" applyAlignment="1">
      <alignment horizontal="center"/>
    </xf>
    <xf numFmtId="1" fontId="123" fillId="83" borderId="184" xfId="9" applyNumberFormat="1" applyFont="1" applyFill="1" applyBorder="1" applyAlignment="1">
      <alignment horizontal="center"/>
    </xf>
    <xf numFmtId="0" fontId="122" fillId="83" borderId="260" xfId="9" applyFont="1" applyFill="1" applyBorder="1" applyAlignment="1">
      <alignment horizontal="center"/>
    </xf>
    <xf numFmtId="0" fontId="122" fillId="83" borderId="261" xfId="9" applyFont="1" applyFill="1" applyBorder="1" applyAlignment="1">
      <alignment horizontal="center"/>
    </xf>
    <xf numFmtId="1" fontId="122" fillId="83" borderId="261" xfId="9" applyNumberFormat="1" applyFont="1" applyFill="1" applyBorder="1" applyAlignment="1">
      <alignment horizontal="center"/>
    </xf>
    <xf numFmtId="0" fontId="24" fillId="79" borderId="240" xfId="0" applyFont="1" applyFill="1" applyBorder="1" applyAlignment="1">
      <alignment horizontal="centerContinuous"/>
    </xf>
    <xf numFmtId="0" fontId="140" fillId="79" borderId="240" xfId="0" applyFont="1" applyFill="1" applyBorder="1" applyAlignment="1">
      <alignment horizontal="centerContinuous"/>
    </xf>
    <xf numFmtId="0" fontId="140" fillId="79" borderId="217" xfId="0" applyFont="1" applyFill="1" applyBorder="1" applyAlignment="1">
      <alignment horizontal="centerContinuous"/>
    </xf>
    <xf numFmtId="4" fontId="0" fillId="0" borderId="0" xfId="0" applyNumberFormat="1"/>
    <xf numFmtId="166" fontId="6" fillId="17" borderId="70" xfId="0" applyNumberFormat="1" applyFont="1" applyFill="1" applyBorder="1"/>
    <xf numFmtId="164" fontId="6" fillId="22" borderId="239" xfId="0" applyNumberFormat="1" applyFont="1" applyFill="1" applyBorder="1" applyAlignment="1">
      <alignment horizontal="right"/>
    </xf>
    <xf numFmtId="43" fontId="6" fillId="16" borderId="184" xfId="0" applyNumberFormat="1" applyFont="1" applyFill="1" applyBorder="1"/>
    <xf numFmtId="9" fontId="66" fillId="19" borderId="184" xfId="2" applyFont="1" applyFill="1" applyBorder="1" applyAlignment="1">
      <alignment horizontal="center"/>
    </xf>
    <xf numFmtId="0" fontId="93" fillId="16" borderId="0" xfId="0" applyFont="1" applyFill="1" applyAlignment="1">
      <alignment wrapText="1"/>
    </xf>
    <xf numFmtId="0" fontId="6" fillId="0" borderId="0" xfId="0" applyFont="1" applyAlignment="1">
      <alignment horizontal="left" vertical="center"/>
    </xf>
    <xf numFmtId="0" fontId="0" fillId="0" borderId="0" xfId="0" applyAlignment="1">
      <alignment horizontal="center"/>
    </xf>
    <xf numFmtId="0" fontId="0" fillId="0" borderId="265" xfId="0" applyBorder="1"/>
    <xf numFmtId="0" fontId="0" fillId="0" borderId="265" xfId="0" applyBorder="1" applyAlignment="1">
      <alignment horizontal="right"/>
    </xf>
    <xf numFmtId="14" fontId="0" fillId="0" borderId="0" xfId="0" applyNumberFormat="1"/>
    <xf numFmtId="0" fontId="161" fillId="0" borderId="24" xfId="0" applyFont="1" applyBorder="1"/>
    <xf numFmtId="0" fontId="160" fillId="0" borderId="24" xfId="0" applyFont="1" applyBorder="1"/>
    <xf numFmtId="0" fontId="0" fillId="0" borderId="0" xfId="0" applyAlignment="1">
      <alignment horizontal="right"/>
    </xf>
    <xf numFmtId="0" fontId="0" fillId="0" borderId="0" xfId="0" applyAlignment="1">
      <alignment horizontal="right" wrapText="1"/>
    </xf>
    <xf numFmtId="0" fontId="4" fillId="74" borderId="184" xfId="0" applyFont="1" applyFill="1" applyBorder="1" applyAlignment="1">
      <alignment wrapText="1"/>
    </xf>
    <xf numFmtId="0" fontId="4" fillId="74" borderId="184" xfId="0" applyFont="1" applyFill="1" applyBorder="1" applyAlignment="1">
      <alignment horizontal="right" wrapText="1"/>
    </xf>
    <xf numFmtId="0" fontId="0" fillId="21" borderId="184" xfId="0" applyFill="1" applyBorder="1"/>
    <xf numFmtId="0" fontId="0" fillId="21" borderId="184" xfId="0" applyFill="1" applyBorder="1" applyAlignment="1">
      <alignment horizontal="right"/>
    </xf>
    <xf numFmtId="0" fontId="0" fillId="20" borderId="184" xfId="0" applyFill="1" applyBorder="1"/>
    <xf numFmtId="0" fontId="0" fillId="20" borderId="184" xfId="0" applyFill="1" applyBorder="1" applyAlignment="1">
      <alignment horizontal="right"/>
    </xf>
    <xf numFmtId="1" fontId="0" fillId="0" borderId="184" xfId="0" applyNumberFormat="1" applyBorder="1"/>
    <xf numFmtId="0" fontId="0" fillId="0" borderId="184" xfId="0" applyBorder="1" applyAlignment="1">
      <alignment horizontal="right"/>
    </xf>
    <xf numFmtId="167" fontId="0" fillId="0" borderId="184" xfId="0" applyNumberFormat="1" applyBorder="1" applyAlignment="1">
      <alignment horizontal="right"/>
    </xf>
    <xf numFmtId="9" fontId="0" fillId="0" borderId="184" xfId="2" applyFont="1" applyBorder="1" applyAlignment="1">
      <alignment horizontal="right"/>
    </xf>
    <xf numFmtId="0" fontId="0" fillId="0" borderId="184" xfId="0" applyBorder="1" applyAlignment="1">
      <alignment wrapText="1"/>
    </xf>
    <xf numFmtId="1" fontId="0" fillId="0" borderId="0" xfId="0" applyNumberFormat="1" applyAlignment="1">
      <alignment horizontal="center"/>
    </xf>
    <xf numFmtId="0" fontId="158" fillId="74" borderId="184" xfId="8" applyFont="1" applyFill="1" applyBorder="1" applyAlignment="1">
      <alignment wrapText="1"/>
    </xf>
    <xf numFmtId="0" fontId="158" fillId="74" borderId="184" xfId="8" applyFont="1" applyFill="1" applyBorder="1" applyAlignment="1">
      <alignment horizontal="center" wrapText="1"/>
    </xf>
    <xf numFmtId="0" fontId="158" fillId="74" borderId="184" xfId="8" applyFont="1" applyFill="1" applyBorder="1" applyAlignment="1">
      <alignment horizontal="center" vertical="center" wrapText="1"/>
    </xf>
    <xf numFmtId="1" fontId="0" fillId="87" borderId="184" xfId="0" applyNumberFormat="1" applyFill="1" applyBorder="1"/>
    <xf numFmtId="1" fontId="0" fillId="0" borderId="184" xfId="0" applyNumberFormat="1" applyBorder="1" applyAlignment="1">
      <alignment horizontal="right"/>
    </xf>
    <xf numFmtId="0" fontId="0" fillId="0" borderId="184" xfId="0" applyBorder="1" applyAlignment="1">
      <alignment horizontal="right" wrapText="1"/>
    </xf>
    <xf numFmtId="167" fontId="0" fillId="0" borderId="184" xfId="2" applyNumberFormat="1" applyFont="1" applyBorder="1" applyAlignment="1">
      <alignment horizontal="right" wrapText="1"/>
    </xf>
    <xf numFmtId="167" fontId="0" fillId="0" borderId="184" xfId="2" applyNumberFormat="1" applyFont="1" applyBorder="1" applyAlignment="1">
      <alignment horizontal="right"/>
    </xf>
    <xf numFmtId="164" fontId="0" fillId="21" borderId="184" xfId="1" applyNumberFormat="1" applyFont="1" applyFill="1" applyBorder="1" applyAlignment="1">
      <alignment horizontal="right"/>
    </xf>
    <xf numFmtId="164" fontId="0" fillId="20" borderId="184" xfId="1" applyNumberFormat="1" applyFont="1" applyFill="1" applyBorder="1" applyAlignment="1">
      <alignment horizontal="right"/>
    </xf>
    <xf numFmtId="164" fontId="0" fillId="0" borderId="0" xfId="1" applyNumberFormat="1" applyFont="1" applyBorder="1"/>
    <xf numFmtId="9" fontId="0" fillId="20" borderId="184" xfId="2" applyFont="1" applyFill="1" applyBorder="1" applyAlignment="1">
      <alignment horizontal="right"/>
    </xf>
    <xf numFmtId="9" fontId="0" fillId="21" borderId="184" xfId="2" applyFont="1" applyFill="1" applyBorder="1" applyAlignment="1">
      <alignment horizontal="right"/>
    </xf>
    <xf numFmtId="0" fontId="4" fillId="0" borderId="0" xfId="0" applyFont="1" applyAlignment="1">
      <alignment horizontal="left"/>
    </xf>
    <xf numFmtId="0" fontId="4" fillId="0" borderId="0" xfId="0" applyFont="1" applyAlignment="1">
      <alignment horizontal="right" wrapText="1"/>
    </xf>
    <xf numFmtId="164" fontId="0" fillId="0" borderId="0" xfId="1" applyNumberFormat="1" applyFont="1" applyFill="1" applyBorder="1"/>
    <xf numFmtId="9" fontId="0" fillId="0" borderId="0" xfId="2" applyFont="1" applyFill="1" applyBorder="1"/>
    <xf numFmtId="164" fontId="0" fillId="0" borderId="0" xfId="1" applyNumberFormat="1" applyFont="1" applyFill="1" applyBorder="1" applyAlignment="1">
      <alignment horizontal="right"/>
    </xf>
    <xf numFmtId="9" fontId="0" fillId="0" borderId="0" xfId="2" applyFont="1" applyFill="1" applyBorder="1" applyAlignment="1">
      <alignment horizontal="right"/>
    </xf>
    <xf numFmtId="164" fontId="4" fillId="0" borderId="0" xfId="0" applyNumberFormat="1" applyFont="1" applyAlignment="1">
      <alignment horizontal="right"/>
    </xf>
    <xf numFmtId="1" fontId="4" fillId="0" borderId="0" xfId="0" applyNumberFormat="1" applyFont="1" applyAlignment="1">
      <alignment horizontal="right"/>
    </xf>
    <xf numFmtId="0" fontId="0" fillId="29" borderId="184" xfId="0" applyFill="1" applyBorder="1"/>
    <xf numFmtId="1" fontId="0" fillId="29" borderId="184" xfId="0" applyNumberFormat="1" applyFill="1" applyBorder="1"/>
    <xf numFmtId="0" fontId="83" fillId="16" borderId="240" xfId="205" applyFont="1" applyFill="1" applyBorder="1"/>
    <xf numFmtId="0" fontId="6" fillId="16" borderId="180" xfId="205" applyFont="1" applyFill="1" applyBorder="1" applyAlignment="1">
      <alignment wrapText="1"/>
    </xf>
    <xf numFmtId="175" fontId="84" fillId="0" borderId="184" xfId="9097" applyNumberFormat="1" applyFont="1" applyBorder="1"/>
    <xf numFmtId="43" fontId="6" fillId="16" borderId="186" xfId="1" applyFont="1" applyFill="1" applyBorder="1"/>
    <xf numFmtId="0" fontId="117" fillId="89" borderId="239" xfId="0" applyFont="1" applyFill="1" applyBorder="1" applyAlignment="1">
      <alignment horizontal="center" vertical="center"/>
    </xf>
    <xf numFmtId="2" fontId="117" fillId="89" borderId="184" xfId="0" applyNumberFormat="1" applyFont="1" applyFill="1" applyBorder="1" applyAlignment="1">
      <alignment horizontal="center" vertical="center"/>
    </xf>
    <xf numFmtId="2" fontId="70" fillId="0" borderId="0" xfId="0" applyNumberFormat="1" applyFont="1"/>
    <xf numFmtId="49" fontId="163" fillId="16" borderId="180" xfId="0" applyNumberFormat="1" applyFont="1" applyFill="1" applyBorder="1" applyAlignment="1">
      <alignment vertical="center" wrapText="1"/>
    </xf>
    <xf numFmtId="49" fontId="163" fillId="16" borderId="0" xfId="0" applyNumberFormat="1" applyFont="1" applyFill="1" applyAlignment="1">
      <alignment vertical="center" wrapText="1"/>
    </xf>
    <xf numFmtId="49" fontId="162" fillId="16" borderId="0" xfId="0" applyNumberFormat="1" applyFont="1" applyFill="1" applyAlignment="1">
      <alignment vertical="center" wrapText="1"/>
    </xf>
    <xf numFmtId="2" fontId="165" fillId="0" borderId="225" xfId="1" applyNumberFormat="1" applyFont="1" applyBorder="1" applyAlignment="1">
      <alignment horizontal="center" vertical="center"/>
    </xf>
    <xf numFmtId="2" fontId="165" fillId="0" borderId="227" xfId="1" applyNumberFormat="1" applyFont="1" applyBorder="1" applyAlignment="1">
      <alignment horizontal="center" vertical="center"/>
    </xf>
    <xf numFmtId="0" fontId="117" fillId="95" borderId="25" xfId="0" applyFont="1" applyFill="1" applyBorder="1" applyAlignment="1">
      <alignment vertical="center"/>
    </xf>
    <xf numFmtId="0" fontId="117" fillId="95" borderId="27" xfId="0" applyFont="1" applyFill="1" applyBorder="1" applyAlignment="1">
      <alignment vertical="center"/>
    </xf>
    <xf numFmtId="0" fontId="117" fillId="95" borderId="26" xfId="0" applyFont="1" applyFill="1" applyBorder="1" applyAlignment="1">
      <alignment horizontal="left" vertical="center"/>
    </xf>
    <xf numFmtId="2" fontId="117" fillId="95" borderId="173" xfId="0" applyNumberFormat="1" applyFont="1" applyFill="1" applyBorder="1" applyAlignment="1">
      <alignment horizontal="center" vertical="center"/>
    </xf>
    <xf numFmtId="2" fontId="117" fillId="95" borderId="174" xfId="0" applyNumberFormat="1" applyFont="1" applyFill="1" applyBorder="1" applyAlignment="1">
      <alignment horizontal="center" vertical="center"/>
    </xf>
    <xf numFmtId="2" fontId="117" fillId="95" borderId="26" xfId="0" applyNumberFormat="1" applyFont="1" applyFill="1" applyBorder="1" applyAlignment="1">
      <alignment horizontal="center" vertical="center"/>
    </xf>
    <xf numFmtId="2" fontId="117" fillId="95" borderId="175" xfId="0" applyNumberFormat="1" applyFont="1" applyFill="1" applyBorder="1" applyAlignment="1">
      <alignment horizontal="center" vertical="center"/>
    </xf>
    <xf numFmtId="9" fontId="117" fillId="95" borderId="173" xfId="2" applyFont="1" applyFill="1" applyBorder="1" applyAlignment="1">
      <alignment horizontal="center" vertical="center"/>
    </xf>
    <xf numFmtId="9" fontId="79" fillId="93" borderId="173" xfId="2" applyFont="1" applyFill="1" applyBorder="1" applyAlignment="1">
      <alignment horizontal="center" vertical="center"/>
    </xf>
    <xf numFmtId="9" fontId="79" fillId="93" borderId="174" xfId="2" applyFont="1" applyFill="1" applyBorder="1" applyAlignment="1">
      <alignment horizontal="center" vertical="center"/>
    </xf>
    <xf numFmtId="9" fontId="162" fillId="16" borderId="268" xfId="2" applyFont="1" applyFill="1" applyBorder="1" applyAlignment="1">
      <alignment horizontal="center" vertical="center"/>
    </xf>
    <xf numFmtId="9" fontId="162" fillId="16" borderId="198" xfId="2" applyFont="1" applyFill="1" applyBorder="1" applyAlignment="1">
      <alignment horizontal="center" vertical="center"/>
    </xf>
    <xf numFmtId="9" fontId="165" fillId="16" borderId="269" xfId="2" applyFont="1" applyFill="1" applyBorder="1" applyAlignment="1">
      <alignment horizontal="center" vertical="center"/>
    </xf>
    <xf numFmtId="9" fontId="79" fillId="93" borderId="207" xfId="2" applyFont="1" applyFill="1" applyBorder="1" applyAlignment="1">
      <alignment horizontal="center" vertical="center"/>
    </xf>
    <xf numFmtId="9" fontId="79" fillId="93" borderId="197" xfId="2" applyFont="1" applyFill="1" applyBorder="1" applyAlignment="1">
      <alignment horizontal="center" vertical="center"/>
    </xf>
    <xf numFmtId="9" fontId="79" fillId="93" borderId="258" xfId="2" applyFont="1" applyFill="1" applyBorder="1" applyAlignment="1">
      <alignment horizontal="center" vertical="center"/>
    </xf>
    <xf numFmtId="2" fontId="162" fillId="16" borderId="169" xfId="1" applyNumberFormat="1" applyFont="1" applyFill="1" applyBorder="1" applyAlignment="1">
      <alignment horizontal="center" vertical="center"/>
    </xf>
    <xf numFmtId="2" fontId="162" fillId="16" borderId="166" xfId="1" applyNumberFormat="1" applyFont="1" applyFill="1" applyBorder="1" applyAlignment="1">
      <alignment horizontal="center" vertical="center"/>
    </xf>
    <xf numFmtId="2" fontId="165" fillId="16" borderId="170" xfId="1" applyNumberFormat="1" applyFont="1" applyFill="1" applyBorder="1" applyAlignment="1">
      <alignment horizontal="center" vertical="center"/>
    </xf>
    <xf numFmtId="2" fontId="162" fillId="16" borderId="268" xfId="1" applyNumberFormat="1" applyFont="1" applyFill="1" applyBorder="1" applyAlignment="1">
      <alignment horizontal="center" vertical="center"/>
    </xf>
    <xf numFmtId="2" fontId="162" fillId="16" borderId="198" xfId="1" applyNumberFormat="1" applyFont="1" applyFill="1" applyBorder="1" applyAlignment="1">
      <alignment horizontal="center" vertical="center"/>
    </xf>
    <xf numFmtId="2" fontId="165" fillId="16" borderId="269" xfId="1" applyNumberFormat="1" applyFont="1" applyFill="1" applyBorder="1" applyAlignment="1">
      <alignment horizontal="center" vertical="center"/>
    </xf>
    <xf numFmtId="2" fontId="79" fillId="93" borderId="207" xfId="1" applyNumberFormat="1" applyFont="1" applyFill="1" applyBorder="1" applyAlignment="1">
      <alignment horizontal="center" vertical="center"/>
    </xf>
    <xf numFmtId="2" fontId="79" fillId="93" borderId="197" xfId="1" applyNumberFormat="1" applyFont="1" applyFill="1" applyBorder="1" applyAlignment="1">
      <alignment horizontal="center" vertical="center"/>
    </xf>
    <xf numFmtId="2" fontId="79" fillId="93" borderId="258" xfId="1" applyNumberFormat="1" applyFont="1" applyFill="1" applyBorder="1" applyAlignment="1">
      <alignment horizontal="center" vertical="center"/>
    </xf>
    <xf numFmtId="0" fontId="162" fillId="16" borderId="0" xfId="0" applyFont="1" applyFill="1" applyAlignment="1">
      <alignment vertical="center"/>
    </xf>
    <xf numFmtId="0" fontId="0" fillId="16" borderId="184" xfId="0" applyFill="1" applyBorder="1"/>
    <xf numFmtId="0" fontId="0" fillId="16" borderId="184" xfId="0" applyFill="1" applyBorder="1" applyAlignment="1">
      <alignment wrapText="1"/>
    </xf>
    <xf numFmtId="0" fontId="0" fillId="16" borderId="184" xfId="0" applyFill="1" applyBorder="1" applyAlignment="1">
      <alignment horizontal="right"/>
    </xf>
    <xf numFmtId="9" fontId="0" fillId="16" borderId="184" xfId="2" applyFont="1" applyFill="1" applyBorder="1" applyAlignment="1">
      <alignment horizontal="right"/>
    </xf>
    <xf numFmtId="1" fontId="0" fillId="16" borderId="184" xfId="0" applyNumberFormat="1" applyFill="1" applyBorder="1" applyAlignment="1">
      <alignment horizontal="right"/>
    </xf>
    <xf numFmtId="180" fontId="0" fillId="16" borderId="184" xfId="0" applyNumberFormat="1" applyFill="1" applyBorder="1"/>
    <xf numFmtId="0" fontId="19" fillId="16" borderId="222" xfId="9100" applyFill="1" applyBorder="1" applyAlignment="1">
      <alignment horizontal="left" vertical="center"/>
    </xf>
    <xf numFmtId="0" fontId="19" fillId="16" borderId="64" xfId="9100" applyFill="1" applyBorder="1" applyAlignment="1">
      <alignment horizontal="left" vertical="center"/>
    </xf>
    <xf numFmtId="49" fontId="167" fillId="0" borderId="0" xfId="0" applyNumberFormat="1" applyFont="1" applyAlignment="1">
      <alignment vertical="center" wrapText="1"/>
    </xf>
    <xf numFmtId="0" fontId="168" fillId="96" borderId="186" xfId="0" applyFont="1" applyFill="1" applyBorder="1" applyAlignment="1">
      <alignment vertical="center"/>
    </xf>
    <xf numFmtId="0" fontId="168" fillId="96" borderId="239" xfId="0" applyFont="1" applyFill="1" applyBorder="1" applyAlignment="1">
      <alignment vertical="center"/>
    </xf>
    <xf numFmtId="0" fontId="168" fillId="96" borderId="184" xfId="0" applyFont="1" applyFill="1" applyBorder="1" applyAlignment="1">
      <alignment horizontal="center" vertical="center" wrapText="1"/>
    </xf>
    <xf numFmtId="49" fontId="166" fillId="0" borderId="0" xfId="0" applyNumberFormat="1" applyFont="1" applyAlignment="1">
      <alignment vertical="top" wrapText="1"/>
    </xf>
    <xf numFmtId="0" fontId="169" fillId="0" borderId="0" xfId="0" applyFont="1"/>
    <xf numFmtId="0" fontId="170" fillId="0" borderId="0" xfId="0" applyFont="1"/>
    <xf numFmtId="49" fontId="162" fillId="0" borderId="0" xfId="0" applyNumberFormat="1" applyFont="1" applyAlignment="1">
      <alignment horizontal="left" vertical="center" wrapText="1"/>
    </xf>
    <xf numFmtId="49" fontId="162" fillId="0" borderId="0" xfId="0" applyNumberFormat="1" applyFont="1" applyAlignment="1">
      <alignment vertical="top"/>
    </xf>
    <xf numFmtId="0" fontId="166" fillId="97" borderId="264" xfId="0" applyFont="1" applyFill="1" applyBorder="1" applyAlignment="1">
      <alignment horizontal="left" vertical="center" indent="1"/>
    </xf>
    <xf numFmtId="0" fontId="166" fillId="97" borderId="222" xfId="0" applyFont="1" applyFill="1" applyBorder="1" applyAlignment="1">
      <alignment horizontal="left" vertical="center" indent="1"/>
    </xf>
    <xf numFmtId="0" fontId="167" fillId="17" borderId="204" xfId="0" applyFont="1" applyFill="1" applyBorder="1" applyAlignment="1">
      <alignment horizontal="left" vertical="center" indent="1"/>
    </xf>
    <xf numFmtId="2" fontId="166" fillId="17" borderId="266" xfId="0" applyNumberFormat="1" applyFont="1" applyFill="1" applyBorder="1" applyAlignment="1">
      <alignment horizontal="center" vertical="center"/>
    </xf>
    <xf numFmtId="2" fontId="171" fillId="18" borderId="184" xfId="0" applyNumberFormat="1" applyFont="1" applyFill="1" applyBorder="1" applyAlignment="1">
      <alignment horizontal="center" vertical="center"/>
    </xf>
    <xf numFmtId="0" fontId="19" fillId="16" borderId="264" xfId="9100" applyFill="1" applyBorder="1" applyAlignment="1">
      <alignment horizontal="left" vertical="center"/>
    </xf>
    <xf numFmtId="2" fontId="162" fillId="16" borderId="205" xfId="1" applyNumberFormat="1" applyFont="1" applyFill="1" applyBorder="1" applyAlignment="1">
      <alignment horizontal="center" vertical="center"/>
    </xf>
    <xf numFmtId="2" fontId="162" fillId="16" borderId="167" xfId="1" applyNumberFormat="1" applyFont="1" applyFill="1" applyBorder="1" applyAlignment="1">
      <alignment horizontal="center" vertical="center"/>
    </xf>
    <xf numFmtId="2" fontId="165" fillId="16" borderId="263" xfId="1" applyNumberFormat="1" applyFont="1" applyFill="1" applyBorder="1" applyAlignment="1">
      <alignment horizontal="center" vertical="center"/>
    </xf>
    <xf numFmtId="0" fontId="162" fillId="17" borderId="267" xfId="0" applyFont="1" applyFill="1" applyBorder="1" applyAlignment="1">
      <alignment vertical="center"/>
    </xf>
    <xf numFmtId="2" fontId="162" fillId="17" borderId="202" xfId="1" applyNumberFormat="1" applyFont="1" applyFill="1" applyBorder="1" applyAlignment="1">
      <alignment horizontal="center" vertical="center"/>
    </xf>
    <xf numFmtId="2" fontId="162" fillId="17" borderId="203" xfId="1" applyNumberFormat="1" applyFont="1" applyFill="1" applyBorder="1" applyAlignment="1">
      <alignment horizontal="center" vertical="center"/>
    </xf>
    <xf numFmtId="2" fontId="165" fillId="17" borderId="270" xfId="1" applyNumberFormat="1" applyFont="1" applyFill="1" applyBorder="1" applyAlignment="1">
      <alignment horizontal="center" vertical="center"/>
    </xf>
    <xf numFmtId="9" fontId="162" fillId="17" borderId="202" xfId="2" applyFont="1" applyFill="1" applyBorder="1" applyAlignment="1">
      <alignment horizontal="center" vertical="center"/>
    </xf>
    <xf numFmtId="9" fontId="162" fillId="17" borderId="203" xfId="2" applyFont="1" applyFill="1" applyBorder="1" applyAlignment="1">
      <alignment horizontal="center" vertical="center"/>
    </xf>
    <xf numFmtId="9" fontId="165" fillId="17" borderId="270" xfId="2" applyFont="1" applyFill="1" applyBorder="1" applyAlignment="1">
      <alignment horizontal="center" vertical="center"/>
    </xf>
    <xf numFmtId="49" fontId="8" fillId="17" borderId="266" xfId="0" applyNumberFormat="1" applyFont="1" applyFill="1" applyBorder="1" applyAlignment="1">
      <alignment vertical="center"/>
    </xf>
    <xf numFmtId="49" fontId="64" fillId="17" borderId="266" xfId="0" applyNumberFormat="1" applyFont="1" applyFill="1" applyBorder="1" applyAlignment="1">
      <alignment vertical="center"/>
    </xf>
    <xf numFmtId="0" fontId="161" fillId="0" borderId="0" xfId="0" applyFont="1"/>
    <xf numFmtId="0" fontId="162" fillId="97" borderId="264" xfId="0" applyFont="1" applyFill="1" applyBorder="1" applyAlignment="1">
      <alignment horizontal="left" vertical="center" indent="1"/>
    </xf>
    <xf numFmtId="0" fontId="162" fillId="97" borderId="168" xfId="0" applyFont="1" applyFill="1" applyBorder="1" applyAlignment="1">
      <alignment horizontal="left" vertical="center" indent="1"/>
    </xf>
    <xf numFmtId="0" fontId="163" fillId="97" borderId="168" xfId="0" applyFont="1" applyFill="1" applyBorder="1" applyAlignment="1">
      <alignment horizontal="left" vertical="center" indent="1"/>
    </xf>
    <xf numFmtId="0" fontId="162" fillId="97" borderId="222" xfId="0" applyFont="1" applyFill="1" applyBorder="1" applyAlignment="1">
      <alignment horizontal="left" vertical="center" indent="1"/>
    </xf>
    <xf numFmtId="0" fontId="162" fillId="97" borderId="142" xfId="0" applyFont="1" applyFill="1" applyBorder="1" applyAlignment="1">
      <alignment horizontal="left" vertical="center" indent="1"/>
    </xf>
    <xf numFmtId="0" fontId="163" fillId="97" borderId="142" xfId="0" applyFont="1" applyFill="1" applyBorder="1" applyAlignment="1">
      <alignment horizontal="left" vertical="center" indent="1"/>
    </xf>
    <xf numFmtId="0" fontId="162" fillId="97" borderId="223" xfId="0" applyFont="1" applyFill="1" applyBorder="1" applyAlignment="1">
      <alignment horizontal="left" vertical="center" indent="1"/>
    </xf>
    <xf numFmtId="0" fontId="163" fillId="97" borderId="224" xfId="0" applyFont="1" applyFill="1" applyBorder="1" applyAlignment="1">
      <alignment horizontal="left" vertical="center" indent="1"/>
    </xf>
    <xf numFmtId="2" fontId="162" fillId="0" borderId="218" xfId="0" applyNumberFormat="1" applyFont="1" applyBorder="1" applyAlignment="1">
      <alignment horizontal="center" vertical="center"/>
    </xf>
    <xf numFmtId="2" fontId="162" fillId="0" borderId="219" xfId="0" applyNumberFormat="1" applyFont="1" applyBorder="1" applyAlignment="1">
      <alignment horizontal="center" vertical="center"/>
    </xf>
    <xf numFmtId="2" fontId="162" fillId="0" borderId="220" xfId="0" applyNumberFormat="1" applyFont="1" applyBorder="1" applyAlignment="1">
      <alignment horizontal="center" vertical="center"/>
    </xf>
    <xf numFmtId="0" fontId="81" fillId="89" borderId="271" xfId="0" applyFont="1" applyFill="1" applyBorder="1" applyAlignment="1">
      <alignment horizontal="center" vertical="center"/>
    </xf>
    <xf numFmtId="0" fontId="81" fillId="89" borderId="173" xfId="0" applyFont="1" applyFill="1" applyBorder="1" applyAlignment="1">
      <alignment horizontal="center" vertical="center"/>
    </xf>
    <xf numFmtId="0" fontId="173" fillId="16" borderId="173" xfId="0" applyFont="1" applyFill="1" applyBorder="1" applyAlignment="1">
      <alignment horizontal="center" wrapText="1"/>
    </xf>
    <xf numFmtId="0" fontId="173" fillId="16" borderId="174" xfId="0" applyFont="1" applyFill="1" applyBorder="1" applyAlignment="1">
      <alignment horizontal="center" wrapText="1"/>
    </xf>
    <xf numFmtId="0" fontId="66" fillId="18" borderId="0" xfId="0" applyFont="1" applyFill="1" applyAlignment="1">
      <alignment horizontal="right" wrapText="1"/>
    </xf>
    <xf numFmtId="2" fontId="0" fillId="0" borderId="0" xfId="0" pivotButton="1" applyNumberFormat="1"/>
    <xf numFmtId="0" fontId="76" fillId="0" borderId="0" xfId="0" applyFont="1" applyAlignment="1">
      <alignment vertical="center" wrapText="1"/>
    </xf>
    <xf numFmtId="0" fontId="5" fillId="0" borderId="0" xfId="0" applyFont="1" applyAlignment="1">
      <alignment vertical="center" wrapText="1"/>
    </xf>
    <xf numFmtId="0" fontId="137" fillId="16" borderId="0" xfId="0" applyFont="1" applyFill="1" applyAlignment="1">
      <alignment vertical="center"/>
    </xf>
    <xf numFmtId="164" fontId="80" fillId="17" borderId="209" xfId="4" applyNumberFormat="1" applyFont="1" applyFill="1" applyBorder="1"/>
    <xf numFmtId="164" fontId="84" fillId="17" borderId="20" xfId="1" applyNumberFormat="1" applyFont="1" applyFill="1" applyBorder="1" applyAlignment="1">
      <alignment horizontal="right"/>
    </xf>
    <xf numFmtId="43" fontId="6" fillId="17" borderId="209" xfId="1" applyFont="1" applyFill="1" applyBorder="1"/>
    <xf numFmtId="43" fontId="6" fillId="17" borderId="212" xfId="1" applyFont="1" applyFill="1" applyBorder="1"/>
    <xf numFmtId="43" fontId="162" fillId="0" borderId="23" xfId="0" applyNumberFormat="1" applyFont="1" applyBorder="1" applyAlignment="1">
      <alignment vertical="center"/>
    </xf>
    <xf numFmtId="2" fontId="162" fillId="16" borderId="301" xfId="1" applyNumberFormat="1" applyFont="1" applyFill="1" applyBorder="1" applyAlignment="1">
      <alignment horizontal="center" vertical="center"/>
    </xf>
    <xf numFmtId="2" fontId="162" fillId="16" borderId="201" xfId="1" applyNumberFormat="1" applyFont="1" applyFill="1" applyBorder="1" applyAlignment="1">
      <alignment horizontal="center" vertical="center"/>
    </xf>
    <xf numFmtId="2" fontId="165" fillId="16" borderId="302" xfId="1" applyNumberFormat="1" applyFont="1" applyFill="1" applyBorder="1" applyAlignment="1">
      <alignment horizontal="center" vertical="center"/>
    </xf>
    <xf numFmtId="10" fontId="0" fillId="0" borderId="0" xfId="0" applyNumberFormat="1"/>
    <xf numFmtId="10" fontId="0" fillId="0" borderId="0" xfId="0" pivotButton="1" applyNumberFormat="1"/>
    <xf numFmtId="0" fontId="6" fillId="17" borderId="72" xfId="0" applyFont="1" applyFill="1" applyBorder="1" applyAlignment="1">
      <alignment wrapText="1"/>
    </xf>
    <xf numFmtId="0" fontId="6" fillId="17" borderId="194" xfId="0" applyFont="1" applyFill="1" applyBorder="1" applyAlignment="1">
      <alignment wrapText="1"/>
    </xf>
    <xf numFmtId="164" fontId="0" fillId="16" borderId="80" xfId="1" applyNumberFormat="1" applyFont="1" applyFill="1" applyBorder="1"/>
    <xf numFmtId="164" fontId="0" fillId="16" borderId="83" xfId="1" applyNumberFormat="1" applyFont="1" applyFill="1" applyBorder="1"/>
    <xf numFmtId="164" fontId="0" fillId="16" borderId="86" xfId="1" applyNumberFormat="1" applyFont="1" applyFill="1" applyBorder="1"/>
    <xf numFmtId="164" fontId="0" fillId="16" borderId="89" xfId="1" applyNumberFormat="1" applyFont="1" applyFill="1" applyBorder="1"/>
    <xf numFmtId="2" fontId="6" fillId="31" borderId="0" xfId="2" applyNumberFormat="1" applyFont="1" applyFill="1" applyBorder="1" applyAlignment="1">
      <alignment horizontal="left"/>
    </xf>
    <xf numFmtId="0" fontId="124" fillId="16" borderId="0" xfId="0" applyFont="1" applyFill="1" applyAlignment="1">
      <alignment horizontal="center" vertical="center" wrapText="1"/>
    </xf>
    <xf numFmtId="0" fontId="6" fillId="17" borderId="156" xfId="0" applyFont="1" applyFill="1" applyBorder="1" applyAlignment="1">
      <alignment wrapText="1"/>
    </xf>
    <xf numFmtId="0" fontId="95" fillId="16" borderId="0" xfId="0" applyFont="1" applyFill="1" applyAlignment="1">
      <alignment wrapText="1"/>
    </xf>
    <xf numFmtId="165" fontId="95" fillId="16" borderId="0" xfId="1" applyNumberFormat="1" applyFont="1" applyFill="1"/>
    <xf numFmtId="168" fontId="95" fillId="16" borderId="0" xfId="1" applyNumberFormat="1" applyFont="1" applyFill="1"/>
    <xf numFmtId="0" fontId="87" fillId="24" borderId="13" xfId="0" applyFont="1" applyFill="1" applyBorder="1"/>
    <xf numFmtId="0" fontId="87" fillId="24" borderId="14" xfId="0" applyFont="1" applyFill="1" applyBorder="1"/>
    <xf numFmtId="0" fontId="6" fillId="20" borderId="0" xfId="0" applyFont="1" applyFill="1" applyAlignment="1">
      <alignment horizontal="center"/>
    </xf>
    <xf numFmtId="0" fontId="6" fillId="74" borderId="239" xfId="0" applyFont="1" applyFill="1" applyBorder="1" applyAlignment="1">
      <alignment horizontal="center" wrapText="1"/>
    </xf>
    <xf numFmtId="0" fontId="6" fillId="0" borderId="239" xfId="0" applyFont="1" applyBorder="1"/>
    <xf numFmtId="0" fontId="6" fillId="74" borderId="239" xfId="0" applyFont="1" applyFill="1" applyBorder="1" applyAlignment="1">
      <alignment horizontal="right"/>
    </xf>
    <xf numFmtId="0" fontId="174" fillId="0" borderId="0" xfId="0" applyFont="1"/>
    <xf numFmtId="0" fontId="175" fillId="0" borderId="0" xfId="0" applyFont="1" applyAlignment="1">
      <alignment horizontal="left" vertical="center" indent="1"/>
    </xf>
    <xf numFmtId="0" fontId="112" fillId="0" borderId="0" xfId="0" applyFont="1" applyAlignment="1">
      <alignment horizontal="left" vertical="center" indent="2"/>
    </xf>
    <xf numFmtId="17" fontId="105" fillId="0" borderId="0" xfId="0" applyNumberFormat="1" applyFont="1" applyAlignment="1">
      <alignment horizontal="left" vertical="center" indent="1"/>
    </xf>
    <xf numFmtId="43" fontId="12" fillId="24" borderId="0" xfId="0" applyNumberFormat="1" applyFont="1" applyFill="1"/>
    <xf numFmtId="181" fontId="12" fillId="24" borderId="0" xfId="0" applyNumberFormat="1" applyFont="1" applyFill="1"/>
    <xf numFmtId="182" fontId="12" fillId="24" borderId="0" xfId="0" applyNumberFormat="1" applyFont="1" applyFill="1"/>
    <xf numFmtId="0" fontId="87" fillId="25" borderId="0" xfId="0" applyFont="1" applyFill="1" applyAlignment="1">
      <alignment horizontal="right"/>
    </xf>
    <xf numFmtId="10" fontId="90" fillId="17" borderId="214" xfId="0" applyNumberFormat="1" applyFont="1" applyFill="1" applyBorder="1"/>
    <xf numFmtId="0" fontId="87" fillId="25" borderId="89" xfId="0" applyFont="1" applyFill="1" applyBorder="1" applyAlignment="1">
      <alignment horizontal="right"/>
    </xf>
    <xf numFmtId="0" fontId="87" fillId="25" borderId="26" xfId="0" applyFont="1" applyFill="1" applyBorder="1" applyAlignment="1">
      <alignment horizontal="right"/>
    </xf>
    <xf numFmtId="0" fontId="177" fillId="17" borderId="0" xfId="0" applyFont="1" applyFill="1"/>
    <xf numFmtId="0" fontId="162" fillId="17" borderId="66" xfId="0" applyFont="1" applyFill="1" applyBorder="1" applyAlignment="1">
      <alignment wrapText="1"/>
    </xf>
    <xf numFmtId="0" fontId="162" fillId="17" borderId="71" xfId="0" applyFont="1" applyFill="1" applyBorder="1" applyAlignment="1">
      <alignment wrapText="1"/>
    </xf>
    <xf numFmtId="166" fontId="162" fillId="17" borderId="71" xfId="0" applyNumberFormat="1" applyFont="1" applyFill="1" applyBorder="1"/>
    <xf numFmtId="164" fontId="162" fillId="17" borderId="228" xfId="0" applyNumberFormat="1" applyFont="1" applyFill="1" applyBorder="1"/>
    <xf numFmtId="43" fontId="162" fillId="17" borderId="65" xfId="1" applyFont="1" applyFill="1" applyBorder="1"/>
    <xf numFmtId="0" fontId="162" fillId="17" borderId="69" xfId="0" applyFont="1" applyFill="1" applyBorder="1" applyAlignment="1">
      <alignment vertical="center" wrapText="1"/>
    </xf>
    <xf numFmtId="0" fontId="162" fillId="17" borderId="69" xfId="0" applyFont="1" applyFill="1" applyBorder="1" applyAlignment="1">
      <alignment wrapText="1"/>
    </xf>
    <xf numFmtId="0" fontId="162" fillId="17" borderId="72" xfId="0" applyFont="1" applyFill="1" applyBorder="1" applyAlignment="1">
      <alignment wrapText="1"/>
    </xf>
    <xf numFmtId="166" fontId="162" fillId="17" borderId="72" xfId="0" applyNumberFormat="1" applyFont="1" applyFill="1" applyBorder="1"/>
    <xf numFmtId="43" fontId="162" fillId="17" borderId="68" xfId="1" applyFont="1" applyFill="1" applyBorder="1"/>
    <xf numFmtId="43" fontId="162" fillId="17" borderId="170" xfId="1" applyFont="1" applyFill="1" applyBorder="1"/>
    <xf numFmtId="0" fontId="162" fillId="17" borderId="209" xfId="0" applyFont="1" applyFill="1" applyBorder="1" applyAlignment="1">
      <alignment vertical="center" wrapText="1"/>
    </xf>
    <xf numFmtId="0" fontId="162" fillId="17" borderId="209" xfId="0" applyFont="1" applyFill="1" applyBorder="1" applyAlignment="1">
      <alignment wrapText="1"/>
    </xf>
    <xf numFmtId="43" fontId="162" fillId="17" borderId="211" xfId="1" applyFont="1" applyFill="1" applyBorder="1"/>
    <xf numFmtId="0" fontId="6" fillId="17" borderId="222" xfId="0" applyFont="1" applyFill="1" applyBorder="1" applyAlignment="1">
      <alignment vertical="center" wrapText="1"/>
    </xf>
    <xf numFmtId="0" fontId="6" fillId="17" borderId="223" xfId="0" applyFont="1" applyFill="1" applyBorder="1" applyAlignment="1">
      <alignment vertical="center" wrapText="1"/>
    </xf>
    <xf numFmtId="0" fontId="162" fillId="17" borderId="320" xfId="0" applyFont="1" applyFill="1" applyBorder="1" applyAlignment="1">
      <alignment vertical="center" wrapText="1"/>
    </xf>
    <xf numFmtId="166" fontId="162" fillId="17" borderId="321" xfId="0" applyNumberFormat="1" applyFont="1" applyFill="1" applyBorder="1"/>
    <xf numFmtId="43" fontId="162" fillId="17" borderId="319" xfId="1" applyFont="1" applyFill="1" applyBorder="1"/>
    <xf numFmtId="166" fontId="162" fillId="17" borderId="210" xfId="0" applyNumberFormat="1" applyFont="1" applyFill="1" applyBorder="1"/>
    <xf numFmtId="0" fontId="6" fillId="17" borderId="300" xfId="0" applyFont="1" applyFill="1" applyBorder="1" applyAlignment="1">
      <alignment vertical="center" wrapText="1"/>
    </xf>
    <xf numFmtId="0" fontId="162" fillId="17" borderId="192" xfId="0" applyFont="1" applyFill="1" applyBorder="1" applyAlignment="1">
      <alignment vertical="center" wrapText="1"/>
    </xf>
    <xf numFmtId="166" fontId="162" fillId="17" borderId="194" xfId="0" applyNumberFormat="1" applyFont="1" applyFill="1" applyBorder="1"/>
    <xf numFmtId="0" fontId="6" fillId="17" borderId="326" xfId="0" applyFont="1" applyFill="1" applyBorder="1" applyAlignment="1">
      <alignment vertical="center" wrapText="1"/>
    </xf>
    <xf numFmtId="43" fontId="162" fillId="17" borderId="191" xfId="1" applyFont="1" applyFill="1" applyBorder="1"/>
    <xf numFmtId="0" fontId="87" fillId="24" borderId="23" xfId="0" applyFont="1" applyFill="1" applyBorder="1" applyAlignment="1">
      <alignment vertical="center" wrapText="1"/>
    </xf>
    <xf numFmtId="0" fontId="87" fillId="24" borderId="0" xfId="0" applyFont="1" applyFill="1" applyAlignment="1">
      <alignment vertical="center" wrapText="1"/>
    </xf>
    <xf numFmtId="0" fontId="162" fillId="17" borderId="328" xfId="0" applyFont="1" applyFill="1" applyBorder="1" applyAlignment="1">
      <alignment vertical="center" wrapText="1"/>
    </xf>
    <xf numFmtId="0" fontId="162" fillId="17" borderId="329" xfId="0" applyFont="1" applyFill="1" applyBorder="1" applyAlignment="1">
      <alignment vertical="center" wrapText="1"/>
    </xf>
    <xf numFmtId="166" fontId="162" fillId="17" borderId="70" xfId="0" applyNumberFormat="1" applyFont="1" applyFill="1" applyBorder="1"/>
    <xf numFmtId="0" fontId="162" fillId="17" borderId="280" xfId="0" applyFont="1" applyFill="1" applyBorder="1" applyAlignment="1">
      <alignment vertical="center" wrapText="1"/>
    </xf>
    <xf numFmtId="0" fontId="162" fillId="17" borderId="330" xfId="0" applyFont="1" applyFill="1" applyBorder="1" applyAlignment="1">
      <alignment vertical="center" wrapText="1"/>
    </xf>
    <xf numFmtId="0" fontId="6" fillId="17" borderId="264" xfId="0" applyFont="1" applyFill="1" applyBorder="1" applyAlignment="1">
      <alignment vertical="center" wrapText="1"/>
    </xf>
    <xf numFmtId="0" fontId="162" fillId="17" borderId="250" xfId="0" applyFont="1" applyFill="1" applyBorder="1" applyAlignment="1">
      <alignment vertical="center" wrapText="1"/>
    </xf>
    <xf numFmtId="0" fontId="162" fillId="17" borderId="236" xfId="0" applyFont="1" applyFill="1" applyBorder="1" applyAlignment="1">
      <alignment vertical="center" wrapText="1"/>
    </xf>
    <xf numFmtId="0" fontId="162" fillId="17" borderId="236" xfId="0" applyFont="1" applyFill="1" applyBorder="1" applyAlignment="1">
      <alignment wrapText="1"/>
    </xf>
    <xf numFmtId="0" fontId="162" fillId="17" borderId="237" xfId="0" applyFont="1" applyFill="1" applyBorder="1" applyAlignment="1">
      <alignment wrapText="1"/>
    </xf>
    <xf numFmtId="166" fontId="162" fillId="17" borderId="115" xfId="0" applyNumberFormat="1" applyFont="1" applyFill="1" applyBorder="1"/>
    <xf numFmtId="43" fontId="162" fillId="17" borderId="238" xfId="1" applyFont="1" applyFill="1" applyBorder="1"/>
    <xf numFmtId="0" fontId="90" fillId="21" borderId="190" xfId="0" applyFont="1" applyFill="1" applyBorder="1" applyAlignment="1">
      <alignment horizontal="center" vertical="center" wrapText="1"/>
    </xf>
    <xf numFmtId="0" fontId="90" fillId="21" borderId="183" xfId="0" applyFont="1" applyFill="1" applyBorder="1" applyAlignment="1">
      <alignment horizontal="center" vertical="center" wrapText="1"/>
    </xf>
    <xf numFmtId="165" fontId="90" fillId="18" borderId="182" xfId="1" applyNumberFormat="1" applyFont="1" applyFill="1" applyBorder="1" applyAlignment="1">
      <alignment horizontal="center" vertical="center" wrapText="1"/>
    </xf>
    <xf numFmtId="0" fontId="13" fillId="89" borderId="0" xfId="0" applyFont="1" applyFill="1" applyAlignment="1">
      <alignment vertical="center" wrapText="1"/>
    </xf>
    <xf numFmtId="0" fontId="113" fillId="17" borderId="7" xfId="0" applyFont="1" applyFill="1" applyBorder="1" applyAlignment="1">
      <alignment vertical="center" wrapText="1"/>
    </xf>
    <xf numFmtId="0" fontId="113" fillId="17" borderId="15" xfId="0" applyFont="1" applyFill="1" applyBorder="1" applyAlignment="1">
      <alignment vertical="center" wrapText="1"/>
    </xf>
    <xf numFmtId="0" fontId="90" fillId="21" borderId="16" xfId="0" applyFont="1" applyFill="1" applyBorder="1" applyAlignment="1">
      <alignment horizontal="center" vertical="center" wrapText="1"/>
    </xf>
    <xf numFmtId="0" fontId="113" fillId="17" borderId="16" xfId="0" applyFont="1" applyFill="1" applyBorder="1" applyAlignment="1">
      <alignment vertical="center" wrapText="1"/>
    </xf>
    <xf numFmtId="0" fontId="162" fillId="17" borderId="65" xfId="0" applyFont="1" applyFill="1" applyBorder="1" applyAlignment="1">
      <alignment wrapText="1"/>
    </xf>
    <xf numFmtId="43" fontId="162" fillId="17" borderId="71" xfId="1" applyFont="1" applyFill="1" applyBorder="1" applyAlignment="1">
      <alignment wrapText="1"/>
    </xf>
    <xf numFmtId="164" fontId="162" fillId="17" borderId="65" xfId="0" applyNumberFormat="1" applyFont="1" applyFill="1" applyBorder="1"/>
    <xf numFmtId="164" fontId="162" fillId="17" borderId="66" xfId="0" applyNumberFormat="1" applyFont="1" applyFill="1" applyBorder="1"/>
    <xf numFmtId="10" fontId="162" fillId="17" borderId="67" xfId="0" applyNumberFormat="1" applyFont="1" applyFill="1" applyBorder="1"/>
    <xf numFmtId="43" fontId="162" fillId="17" borderId="65" xfId="1" applyFont="1" applyFill="1" applyBorder="1" applyAlignment="1"/>
    <xf numFmtId="43" fontId="162" fillId="17" borderId="66" xfId="1" applyFont="1" applyFill="1" applyBorder="1" applyAlignment="1"/>
    <xf numFmtId="43" fontId="162" fillId="17" borderId="67" xfId="1" applyFont="1" applyFill="1" applyBorder="1" applyAlignment="1"/>
    <xf numFmtId="0" fontId="162" fillId="17" borderId="68" xfId="0" applyFont="1" applyFill="1" applyBorder="1" applyAlignment="1">
      <alignment wrapText="1"/>
    </xf>
    <xf numFmtId="43" fontId="162" fillId="17" borderId="72" xfId="1" applyFont="1" applyFill="1" applyBorder="1" applyAlignment="1">
      <alignment wrapText="1"/>
    </xf>
    <xf numFmtId="164" fontId="162" fillId="17" borderId="68" xfId="0" applyNumberFormat="1" applyFont="1" applyFill="1" applyBorder="1"/>
    <xf numFmtId="164" fontId="162" fillId="17" borderId="69" xfId="0" applyNumberFormat="1" applyFont="1" applyFill="1" applyBorder="1"/>
    <xf numFmtId="10" fontId="162" fillId="17" borderId="70" xfId="0" applyNumberFormat="1" applyFont="1" applyFill="1" applyBorder="1"/>
    <xf numFmtId="164" fontId="162" fillId="17" borderId="68" xfId="4" applyNumberFormat="1" applyFont="1" applyFill="1" applyBorder="1" applyAlignment="1"/>
    <xf numFmtId="43" fontId="162" fillId="17" borderId="68" xfId="1" applyFont="1" applyFill="1" applyBorder="1" applyAlignment="1"/>
    <xf numFmtId="43" fontId="162" fillId="17" borderId="69" xfId="1" applyFont="1" applyFill="1" applyBorder="1" applyAlignment="1"/>
    <xf numFmtId="43" fontId="162" fillId="17" borderId="70" xfId="1" applyFont="1" applyFill="1" applyBorder="1" applyAlignment="1"/>
    <xf numFmtId="43" fontId="162" fillId="17" borderId="69" xfId="1" applyFont="1" applyFill="1" applyBorder="1" applyAlignment="1">
      <alignment wrapText="1"/>
    </xf>
    <xf numFmtId="0" fontId="162" fillId="17" borderId="211" xfId="0" applyFont="1" applyFill="1" applyBorder="1" applyAlignment="1">
      <alignment wrapText="1"/>
    </xf>
    <xf numFmtId="43" fontId="162" fillId="17" borderId="210" xfId="1" applyFont="1" applyFill="1" applyBorder="1" applyAlignment="1">
      <alignment wrapText="1"/>
    </xf>
    <xf numFmtId="164" fontId="162" fillId="17" borderId="211" xfId="0" applyNumberFormat="1" applyFont="1" applyFill="1" applyBorder="1"/>
    <xf numFmtId="164" fontId="162" fillId="17" borderId="209" xfId="0" applyNumberFormat="1" applyFont="1" applyFill="1" applyBorder="1"/>
    <xf numFmtId="10" fontId="162" fillId="17" borderId="212" xfId="0" applyNumberFormat="1" applyFont="1" applyFill="1" applyBorder="1"/>
    <xf numFmtId="164" fontId="162" fillId="17" borderId="211" xfId="4" applyNumberFormat="1" applyFont="1" applyFill="1" applyBorder="1" applyAlignment="1"/>
    <xf numFmtId="43" fontId="162" fillId="17" borderId="211" xfId="1" applyFont="1" applyFill="1" applyBorder="1" applyAlignment="1"/>
    <xf numFmtId="43" fontId="162" fillId="17" borderId="209" xfId="1" applyFont="1" applyFill="1" applyBorder="1" applyAlignment="1"/>
    <xf numFmtId="43" fontId="162" fillId="17" borderId="212" xfId="1" applyFont="1" applyFill="1" applyBorder="1" applyAlignment="1"/>
    <xf numFmtId="0" fontId="162" fillId="17" borderId="238" xfId="0" applyFont="1" applyFill="1" applyBorder="1" applyAlignment="1">
      <alignment wrapText="1"/>
    </xf>
    <xf numFmtId="43" fontId="162" fillId="17" borderId="237" xfId="1" applyFont="1" applyFill="1" applyBorder="1" applyAlignment="1">
      <alignment wrapText="1"/>
    </xf>
    <xf numFmtId="166" fontId="162" fillId="17" borderId="237" xfId="0" applyNumberFormat="1" applyFont="1" applyFill="1" applyBorder="1"/>
    <xf numFmtId="164" fontId="162" fillId="17" borderId="238" xfId="0" applyNumberFormat="1" applyFont="1" applyFill="1" applyBorder="1"/>
    <xf numFmtId="164" fontId="162" fillId="17" borderId="236" xfId="0" applyNumberFormat="1" applyFont="1" applyFill="1" applyBorder="1"/>
    <xf numFmtId="10" fontId="162" fillId="17" borderId="115" xfId="0" applyNumberFormat="1" applyFont="1" applyFill="1" applyBorder="1"/>
    <xf numFmtId="164" fontId="162" fillId="17" borderId="238" xfId="4" applyNumberFormat="1" applyFont="1" applyFill="1" applyBorder="1" applyAlignment="1"/>
    <xf numFmtId="43" fontId="162" fillId="17" borderId="238" xfId="1" applyFont="1" applyFill="1" applyBorder="1" applyAlignment="1"/>
    <xf numFmtId="43" fontId="162" fillId="17" borderId="236" xfId="1" applyFont="1" applyFill="1" applyBorder="1" applyAlignment="1"/>
    <xf numFmtId="43" fontId="162" fillId="17" borderId="115" xfId="1" applyFont="1" applyFill="1" applyBorder="1" applyAlignment="1"/>
    <xf numFmtId="164" fontId="162" fillId="22" borderId="66" xfId="4" applyNumberFormat="1" applyFont="1" applyFill="1" applyBorder="1" applyAlignment="1"/>
    <xf numFmtId="164" fontId="162" fillId="22" borderId="69" xfId="4" applyNumberFormat="1" applyFont="1" applyFill="1" applyBorder="1" applyAlignment="1"/>
    <xf numFmtId="164" fontId="162" fillId="22" borderId="209" xfId="4" applyNumberFormat="1" applyFont="1" applyFill="1" applyBorder="1" applyAlignment="1"/>
    <xf numFmtId="164" fontId="162" fillId="22" borderId="236" xfId="4" applyNumberFormat="1" applyFont="1" applyFill="1" applyBorder="1" applyAlignment="1"/>
    <xf numFmtId="0" fontId="90" fillId="17" borderId="190" xfId="0" applyFont="1" applyFill="1" applyBorder="1" applyAlignment="1">
      <alignment horizontal="center" vertical="center" wrapText="1"/>
    </xf>
    <xf numFmtId="0" fontId="90" fillId="17" borderId="183" xfId="0" applyFont="1" applyFill="1" applyBorder="1" applyAlignment="1">
      <alignment horizontal="center" vertical="center" wrapText="1"/>
    </xf>
    <xf numFmtId="0" fontId="8" fillId="17" borderId="190" xfId="0" applyFont="1" applyFill="1" applyBorder="1" applyAlignment="1">
      <alignment horizontal="center" vertical="center" wrapText="1"/>
    </xf>
    <xf numFmtId="0" fontId="90" fillId="17" borderId="182" xfId="0" applyFont="1" applyFill="1" applyBorder="1" applyAlignment="1">
      <alignment horizontal="center" vertical="center" wrapText="1"/>
    </xf>
    <xf numFmtId="0" fontId="8" fillId="17" borderId="182" xfId="0" applyFont="1" applyFill="1" applyBorder="1" applyAlignment="1">
      <alignment horizontal="center" vertical="center" wrapText="1"/>
    </xf>
    <xf numFmtId="0" fontId="177" fillId="17" borderId="0" xfId="9226"/>
    <xf numFmtId="0" fontId="90" fillId="17" borderId="15" xfId="0" applyFont="1" applyFill="1" applyBorder="1" applyAlignment="1">
      <alignment vertical="center" wrapText="1"/>
    </xf>
    <xf numFmtId="0" fontId="90" fillId="17" borderId="7" xfId="0" applyFont="1" applyFill="1" applyBorder="1" applyAlignment="1">
      <alignment vertical="center" wrapText="1"/>
    </xf>
    <xf numFmtId="0" fontId="90" fillId="17" borderId="16" xfId="0" applyFont="1" applyFill="1" applyBorder="1" applyAlignment="1">
      <alignment horizontal="center" vertical="center" wrapText="1"/>
    </xf>
    <xf numFmtId="0" fontId="8" fillId="17" borderId="16" xfId="0" applyFont="1" applyFill="1" applyBorder="1" applyAlignment="1">
      <alignment vertical="center" wrapText="1"/>
    </xf>
    <xf numFmtId="10" fontId="162" fillId="17" borderId="274" xfId="0" applyNumberFormat="1" applyFont="1" applyFill="1" applyBorder="1"/>
    <xf numFmtId="10" fontId="162" fillId="17" borderId="298" xfId="0" applyNumberFormat="1" applyFont="1" applyFill="1" applyBorder="1"/>
    <xf numFmtId="10" fontId="162" fillId="17" borderId="306" xfId="0" applyNumberFormat="1" applyFont="1" applyFill="1" applyBorder="1"/>
    <xf numFmtId="0" fontId="90" fillId="17" borderId="23" xfId="0" applyFont="1" applyFill="1" applyBorder="1" applyAlignment="1">
      <alignment vertical="center" wrapText="1"/>
    </xf>
    <xf numFmtId="0" fontId="6" fillId="17" borderId="230" xfId="0" applyFont="1" applyFill="1" applyBorder="1" applyAlignment="1">
      <alignment wrapText="1"/>
    </xf>
    <xf numFmtId="0" fontId="6" fillId="17" borderId="142" xfId="0" applyFont="1" applyFill="1" applyBorder="1" applyAlignment="1">
      <alignment wrapText="1"/>
    </xf>
    <xf numFmtId="0" fontId="6" fillId="17" borderId="231" xfId="0" applyFont="1" applyFill="1" applyBorder="1" applyAlignment="1">
      <alignment wrapText="1"/>
    </xf>
    <xf numFmtId="0" fontId="6" fillId="17" borderId="224" xfId="0" applyFont="1" applyFill="1" applyBorder="1" applyAlignment="1">
      <alignment wrapText="1"/>
    </xf>
    <xf numFmtId="0" fontId="180" fillId="17" borderId="0" xfId="9226" applyFont="1"/>
    <xf numFmtId="0" fontId="162" fillId="17" borderId="228" xfId="0" applyFont="1" applyFill="1" applyBorder="1" applyAlignment="1">
      <alignment wrapText="1"/>
    </xf>
    <xf numFmtId="0" fontId="162" fillId="17" borderId="339" xfId="0" applyFont="1" applyFill="1" applyBorder="1" applyAlignment="1">
      <alignment wrapText="1"/>
    </xf>
    <xf numFmtId="164" fontId="162" fillId="17" borderId="338" xfId="4" applyNumberFormat="1" applyFont="1" applyFill="1" applyBorder="1"/>
    <xf numFmtId="165" fontId="162" fillId="17" borderId="65" xfId="0" applyNumberFormat="1" applyFont="1" applyFill="1" applyBorder="1"/>
    <xf numFmtId="43" fontId="162" fillId="17" borderId="66" xfId="0" applyNumberFormat="1" applyFont="1" applyFill="1" applyBorder="1"/>
    <xf numFmtId="43" fontId="162" fillId="17" borderId="67" xfId="1" applyFont="1" applyFill="1" applyBorder="1"/>
    <xf numFmtId="0" fontId="162" fillId="17" borderId="230" xfId="0" applyFont="1" applyFill="1" applyBorder="1" applyAlignment="1">
      <alignment wrapText="1"/>
    </xf>
    <xf numFmtId="0" fontId="162" fillId="17" borderId="142" xfId="0" applyFont="1" applyFill="1" applyBorder="1" applyAlignment="1">
      <alignment wrapText="1"/>
    </xf>
    <xf numFmtId="164" fontId="162" fillId="17" borderId="219" xfId="4" applyNumberFormat="1" applyFont="1" applyFill="1" applyBorder="1"/>
    <xf numFmtId="165" fontId="162" fillId="17" borderId="68" xfId="0" applyNumberFormat="1" applyFont="1" applyFill="1" applyBorder="1"/>
    <xf numFmtId="43" fontId="162" fillId="17" borderId="69" xfId="0" applyNumberFormat="1" applyFont="1" applyFill="1" applyBorder="1"/>
    <xf numFmtId="43" fontId="162" fillId="17" borderId="70" xfId="1" applyFont="1" applyFill="1" applyBorder="1"/>
    <xf numFmtId="0" fontId="162" fillId="17" borderId="231" xfId="0" applyFont="1" applyFill="1" applyBorder="1" applyAlignment="1">
      <alignment wrapText="1"/>
    </xf>
    <xf numFmtId="0" fontId="162" fillId="17" borderId="224" xfId="0" applyFont="1" applyFill="1" applyBorder="1" applyAlignment="1">
      <alignment wrapText="1"/>
    </xf>
    <xf numFmtId="164" fontId="162" fillId="17" borderId="220" xfId="4" applyNumberFormat="1" applyFont="1" applyFill="1" applyBorder="1"/>
    <xf numFmtId="165" fontId="162" fillId="17" borderId="211" xfId="0" applyNumberFormat="1" applyFont="1" applyFill="1" applyBorder="1"/>
    <xf numFmtId="43" fontId="162" fillId="17" borderId="209" xfId="0" applyNumberFormat="1" applyFont="1" applyFill="1" applyBorder="1"/>
    <xf numFmtId="43" fontId="162" fillId="17" borderId="212" xfId="1" applyFont="1" applyFill="1" applyBorder="1"/>
    <xf numFmtId="0" fontId="162" fillId="17" borderId="331" xfId="0" applyFont="1" applyFill="1" applyBorder="1" applyAlignment="1">
      <alignment wrapText="1"/>
    </xf>
    <xf numFmtId="0" fontId="162" fillId="17" borderId="332" xfId="0" applyFont="1" applyFill="1" applyBorder="1" applyAlignment="1">
      <alignment wrapText="1"/>
    </xf>
    <xf numFmtId="0" fontId="162" fillId="17" borderId="333" xfId="0" applyFont="1" applyFill="1" applyBorder="1" applyAlignment="1">
      <alignment wrapText="1"/>
    </xf>
    <xf numFmtId="166" fontId="162" fillId="17" borderId="334" xfId="0" applyNumberFormat="1" applyFont="1" applyFill="1" applyBorder="1"/>
    <xf numFmtId="164" fontId="162" fillId="17" borderId="331" xfId="0" applyNumberFormat="1" applyFont="1" applyFill="1" applyBorder="1"/>
    <xf numFmtId="164" fontId="162" fillId="17" borderId="335" xfId="0" applyNumberFormat="1" applyFont="1" applyFill="1" applyBorder="1"/>
    <xf numFmtId="10" fontId="162" fillId="22" borderId="94" xfId="2" applyNumberFormat="1" applyFont="1" applyFill="1" applyBorder="1" applyAlignment="1">
      <alignment horizontal="left" vertical="center" wrapText="1"/>
    </xf>
    <xf numFmtId="164" fontId="162" fillId="17" borderId="336" xfId="4" applyNumberFormat="1" applyFont="1" applyFill="1" applyBorder="1"/>
    <xf numFmtId="0" fontId="162" fillId="22" borderId="94" xfId="0" applyFont="1" applyFill="1" applyBorder="1" applyAlignment="1">
      <alignment horizontal="left" vertical="center" wrapText="1"/>
    </xf>
    <xf numFmtId="165" fontId="162" fillId="17" borderId="331" xfId="0" applyNumberFormat="1" applyFont="1" applyFill="1" applyBorder="1"/>
    <xf numFmtId="43" fontId="162" fillId="17" borderId="335" xfId="0" applyNumberFormat="1" applyFont="1" applyFill="1" applyBorder="1"/>
    <xf numFmtId="43" fontId="162" fillId="17" borderId="337" xfId="1" applyFont="1" applyFill="1" applyBorder="1"/>
    <xf numFmtId="0" fontId="162" fillId="17" borderId="232" xfId="0" applyFont="1" applyFill="1" applyBorder="1" applyAlignment="1">
      <alignment wrapText="1"/>
    </xf>
    <xf numFmtId="0" fontId="162" fillId="17" borderId="233" xfId="0" applyFont="1" applyFill="1" applyBorder="1" applyAlignment="1">
      <alignment wrapText="1"/>
    </xf>
    <xf numFmtId="0" fontId="162" fillId="17" borderId="63" xfId="0" applyFont="1" applyFill="1" applyBorder="1" applyAlignment="1">
      <alignment wrapText="1"/>
    </xf>
    <xf numFmtId="166" fontId="162" fillId="17" borderId="159" xfId="0" applyNumberFormat="1" applyFont="1" applyFill="1" applyBorder="1"/>
    <xf numFmtId="164" fontId="162" fillId="17" borderId="232" xfId="0" applyNumberFormat="1" applyFont="1" applyFill="1" applyBorder="1"/>
    <xf numFmtId="164" fontId="162" fillId="17" borderId="158" xfId="0" applyNumberFormat="1" applyFont="1" applyFill="1" applyBorder="1"/>
    <xf numFmtId="10" fontId="162" fillId="22" borderId="0" xfId="2" applyNumberFormat="1" applyFont="1" applyFill="1" applyBorder="1" applyAlignment="1">
      <alignment horizontal="left" vertical="center" wrapText="1"/>
    </xf>
    <xf numFmtId="164" fontId="162" fillId="17" borderId="234" xfId="4" applyNumberFormat="1" applyFont="1" applyFill="1" applyBorder="1"/>
    <xf numFmtId="0" fontId="162" fillId="22" borderId="0" xfId="0" applyFont="1" applyFill="1" applyAlignment="1">
      <alignment horizontal="left" vertical="center" wrapText="1"/>
    </xf>
    <xf numFmtId="165" fontId="162" fillId="17" borderId="232" xfId="0" applyNumberFormat="1" applyFont="1" applyFill="1" applyBorder="1"/>
    <xf numFmtId="43" fontId="162" fillId="17" borderId="158" xfId="0" applyNumberFormat="1" applyFont="1" applyFill="1" applyBorder="1"/>
    <xf numFmtId="43" fontId="162" fillId="17" borderId="213" xfId="1" applyFont="1" applyFill="1" applyBorder="1"/>
    <xf numFmtId="0" fontId="162" fillId="17" borderId="309" xfId="0" applyFont="1" applyFill="1" applyBorder="1" applyAlignment="1">
      <alignment wrapText="1"/>
    </xf>
    <xf numFmtId="0" fontId="162" fillId="17" borderId="310" xfId="0" applyFont="1" applyFill="1" applyBorder="1" applyAlignment="1">
      <alignment wrapText="1"/>
    </xf>
    <xf numFmtId="0" fontId="162" fillId="17" borderId="311" xfId="0" applyFont="1" applyFill="1" applyBorder="1" applyAlignment="1">
      <alignment wrapText="1"/>
    </xf>
    <xf numFmtId="166" fontId="162" fillId="17" borderId="312" xfId="0" applyNumberFormat="1" applyFont="1" applyFill="1" applyBorder="1"/>
    <xf numFmtId="164" fontId="162" fillId="17" borderId="309" xfId="0" applyNumberFormat="1" applyFont="1" applyFill="1" applyBorder="1"/>
    <xf numFmtId="164" fontId="162" fillId="17" borderId="235" xfId="0" applyNumberFormat="1" applyFont="1" applyFill="1" applyBorder="1"/>
    <xf numFmtId="10" fontId="162" fillId="22" borderId="26" xfId="2" applyNumberFormat="1" applyFont="1" applyFill="1" applyBorder="1" applyAlignment="1">
      <alignment horizontal="left" vertical="center" wrapText="1"/>
    </xf>
    <xf numFmtId="164" fontId="162" fillId="17" borderId="119" xfId="4" applyNumberFormat="1" applyFont="1" applyFill="1" applyBorder="1"/>
    <xf numFmtId="0" fontId="162" fillId="22" borderId="26" xfId="0" applyFont="1" applyFill="1" applyBorder="1" applyAlignment="1">
      <alignment horizontal="left" vertical="center" wrapText="1"/>
    </xf>
    <xf numFmtId="165" fontId="162" fillId="17" borderId="309" xfId="0" applyNumberFormat="1" applyFont="1" applyFill="1" applyBorder="1"/>
    <xf numFmtId="43" fontId="162" fillId="17" borderId="235" xfId="0" applyNumberFormat="1" applyFont="1" applyFill="1" applyBorder="1"/>
    <xf numFmtId="43" fontId="162" fillId="17" borderId="214" xfId="1" applyFont="1" applyFill="1" applyBorder="1"/>
    <xf numFmtId="0" fontId="6" fillId="17" borderId="343" xfId="0" applyFont="1" applyFill="1" applyBorder="1" applyAlignment="1">
      <alignment wrapText="1"/>
    </xf>
    <xf numFmtId="0" fontId="6" fillId="17" borderId="344" xfId="0" applyFont="1" applyFill="1" applyBorder="1" applyAlignment="1">
      <alignment wrapText="1"/>
    </xf>
    <xf numFmtId="0" fontId="68" fillId="17" borderId="15" xfId="0" applyFont="1" applyFill="1" applyBorder="1" applyAlignment="1">
      <alignment vertical="center" wrapText="1"/>
    </xf>
    <xf numFmtId="0" fontId="90" fillId="17" borderId="16" xfId="0" applyFont="1" applyFill="1" applyBorder="1" applyAlignment="1">
      <alignment vertical="center" wrapText="1"/>
    </xf>
    <xf numFmtId="164" fontId="162" fillId="17" borderId="285" xfId="0" applyNumberFormat="1" applyFont="1" applyFill="1" applyBorder="1"/>
    <xf numFmtId="0" fontId="162" fillId="17" borderId="286" xfId="0" applyFont="1" applyFill="1" applyBorder="1" applyAlignment="1">
      <alignment wrapText="1"/>
    </xf>
    <xf numFmtId="0" fontId="162" fillId="17" borderId="241" xfId="0" applyFont="1" applyFill="1" applyBorder="1"/>
    <xf numFmtId="0" fontId="162" fillId="17" borderId="241" xfId="0" applyFont="1" applyFill="1" applyBorder="1" applyAlignment="1">
      <alignment wrapText="1"/>
    </xf>
    <xf numFmtId="0" fontId="162" fillId="17" borderId="341" xfId="0" applyFont="1" applyFill="1" applyBorder="1" applyAlignment="1">
      <alignment wrapText="1"/>
    </xf>
    <xf numFmtId="0" fontId="162" fillId="17" borderId="245" xfId="0" applyFont="1" applyFill="1" applyBorder="1"/>
    <xf numFmtId="164" fontId="162" fillId="17" borderId="286" xfId="0" applyNumberFormat="1" applyFont="1" applyFill="1" applyBorder="1"/>
    <xf numFmtId="164" fontId="162" fillId="17" borderId="241" xfId="0" applyNumberFormat="1" applyFont="1" applyFill="1" applyBorder="1"/>
    <xf numFmtId="164" fontId="162" fillId="22" borderId="241" xfId="4" applyNumberFormat="1" applyFont="1" applyFill="1" applyBorder="1"/>
    <xf numFmtId="164" fontId="162" fillId="17" borderId="286" xfId="4" applyNumberFormat="1" applyFont="1" applyFill="1" applyBorder="1" applyAlignment="1">
      <alignment horizontal="right"/>
    </xf>
    <xf numFmtId="0" fontId="162" fillId="22" borderId="246" xfId="0" applyFont="1" applyFill="1" applyBorder="1" applyAlignment="1">
      <alignment vertical="top" wrapText="1"/>
    </xf>
    <xf numFmtId="43" fontId="162" fillId="17" borderId="286" xfId="1" applyFont="1" applyFill="1" applyBorder="1"/>
    <xf numFmtId="43" fontId="162" fillId="17" borderId="241" xfId="1" applyFont="1" applyFill="1" applyBorder="1"/>
    <xf numFmtId="43" fontId="162" fillId="17" borderId="246" xfId="9172" applyNumberFormat="1" applyFont="1" applyFill="1" applyBorder="1"/>
    <xf numFmtId="43" fontId="162" fillId="17" borderId="246" xfId="1" applyFont="1" applyFill="1" applyBorder="1"/>
    <xf numFmtId="0" fontId="162" fillId="17" borderId="288" xfId="0" applyFont="1" applyFill="1" applyBorder="1" applyAlignment="1">
      <alignment wrapText="1"/>
    </xf>
    <xf numFmtId="0" fontId="162" fillId="17" borderId="342" xfId="0" applyFont="1" applyFill="1" applyBorder="1" applyAlignment="1">
      <alignment wrapText="1"/>
    </xf>
    <xf numFmtId="164" fontId="162" fillId="17" borderId="288" xfId="0" applyNumberFormat="1" applyFont="1" applyFill="1" applyBorder="1"/>
    <xf numFmtId="164" fontId="162" fillId="17" borderId="251" xfId="0" applyNumberFormat="1" applyFont="1" applyFill="1" applyBorder="1"/>
    <xf numFmtId="164" fontId="162" fillId="22" borderId="251" xfId="4" applyNumberFormat="1" applyFont="1" applyFill="1" applyBorder="1" applyAlignment="1">
      <alignment horizontal="left" wrapText="1"/>
    </xf>
    <xf numFmtId="0" fontId="162" fillId="22" borderId="298" xfId="0" applyFont="1" applyFill="1" applyBorder="1" applyAlignment="1">
      <alignment vertical="top" wrapText="1"/>
    </xf>
    <xf numFmtId="43" fontId="162" fillId="17" borderId="288" xfId="1" applyFont="1" applyFill="1" applyBorder="1"/>
    <xf numFmtId="43" fontId="162" fillId="17" borderId="251" xfId="1" applyFont="1" applyFill="1" applyBorder="1"/>
    <xf numFmtId="43" fontId="162" fillId="17" borderId="298" xfId="1" applyFont="1" applyFill="1" applyBorder="1"/>
    <xf numFmtId="10" fontId="162" fillId="17" borderId="216" xfId="0" applyNumberFormat="1" applyFont="1" applyFill="1" applyBorder="1"/>
    <xf numFmtId="0" fontId="162" fillId="17" borderId="346" xfId="0" applyFont="1" applyFill="1" applyBorder="1" applyAlignment="1">
      <alignment wrapText="1"/>
    </xf>
    <xf numFmtId="169" fontId="162" fillId="17" borderId="66" xfId="0" applyNumberFormat="1" applyFont="1" applyFill="1" applyBorder="1" applyAlignment="1">
      <alignment wrapText="1"/>
    </xf>
    <xf numFmtId="164" fontId="162" fillId="17" borderId="8" xfId="0" applyNumberFormat="1" applyFont="1" applyFill="1" applyBorder="1"/>
    <xf numFmtId="164" fontId="162" fillId="17" borderId="17" xfId="4" applyNumberFormat="1" applyFont="1" applyFill="1" applyBorder="1" applyAlignment="1">
      <alignment horizontal="right"/>
    </xf>
    <xf numFmtId="43" fontId="162" fillId="17" borderId="66" xfId="1" applyFont="1" applyFill="1" applyBorder="1"/>
    <xf numFmtId="0" fontId="162" fillId="17" borderId="178" xfId="0" applyFont="1" applyFill="1" applyBorder="1" applyAlignment="1">
      <alignment wrapText="1"/>
    </xf>
    <xf numFmtId="169" fontId="162" fillId="17" borderId="69" xfId="0" applyNumberFormat="1" applyFont="1" applyFill="1" applyBorder="1" applyAlignment="1">
      <alignment wrapText="1"/>
    </xf>
    <xf numFmtId="164" fontId="162" fillId="17" borderId="9" xfId="0" applyNumberFormat="1" applyFont="1" applyFill="1" applyBorder="1"/>
    <xf numFmtId="164" fontId="162" fillId="17" borderId="18" xfId="4" applyNumberFormat="1" applyFont="1" applyFill="1" applyBorder="1" applyAlignment="1">
      <alignment horizontal="right"/>
    </xf>
    <xf numFmtId="43" fontId="162" fillId="17" borderId="69" xfId="1" applyFont="1" applyFill="1" applyBorder="1"/>
    <xf numFmtId="0" fontId="162" fillId="17" borderId="308" xfId="0" applyFont="1" applyFill="1" applyBorder="1" applyAlignment="1">
      <alignment wrapText="1"/>
    </xf>
    <xf numFmtId="169" fontId="162" fillId="17" borderId="209" xfId="0" applyNumberFormat="1" applyFont="1" applyFill="1" applyBorder="1" applyAlignment="1">
      <alignment wrapText="1"/>
    </xf>
    <xf numFmtId="164" fontId="162" fillId="17" borderId="21" xfId="0" applyNumberFormat="1" applyFont="1" applyFill="1" applyBorder="1"/>
    <xf numFmtId="164" fontId="162" fillId="17" borderId="20" xfId="4" applyNumberFormat="1" applyFont="1" applyFill="1" applyBorder="1" applyAlignment="1">
      <alignment horizontal="right"/>
    </xf>
    <xf numFmtId="43" fontId="162" fillId="17" borderId="209" xfId="1" applyFont="1" applyFill="1" applyBorder="1"/>
    <xf numFmtId="0" fontId="162" fillId="17" borderId="7" xfId="0" applyFont="1" applyFill="1" applyBorder="1" applyAlignment="1">
      <alignment vertical="center" wrapText="1"/>
    </xf>
    <xf numFmtId="0" fontId="162" fillId="17" borderId="190" xfId="0" applyFont="1" applyFill="1" applyBorder="1" applyAlignment="1">
      <alignment vertical="center" wrapText="1"/>
    </xf>
    <xf numFmtId="0" fontId="166" fillId="17" borderId="190" xfId="0" applyFont="1" applyFill="1" applyBorder="1" applyAlignment="1">
      <alignment vertical="center"/>
    </xf>
    <xf numFmtId="0" fontId="166" fillId="17" borderId="190" xfId="9100" applyFont="1" applyFill="1" applyBorder="1" applyAlignment="1">
      <alignment vertical="center" wrapText="1"/>
    </xf>
    <xf numFmtId="0" fontId="162" fillId="17" borderId="183" xfId="0" applyFont="1" applyFill="1" applyBorder="1" applyAlignment="1">
      <alignment horizontal="center" vertical="center" wrapText="1"/>
    </xf>
    <xf numFmtId="0" fontId="162" fillId="17" borderId="182" xfId="0" applyFont="1" applyFill="1" applyBorder="1" applyAlignment="1">
      <alignment horizontal="center" vertical="center" wrapText="1"/>
    </xf>
    <xf numFmtId="0" fontId="183" fillId="17" borderId="183" xfId="0" applyFont="1" applyFill="1" applyBorder="1" applyAlignment="1">
      <alignment vertical="center" wrapText="1"/>
    </xf>
    <xf numFmtId="0" fontId="162" fillId="17" borderId="182" xfId="0" applyFont="1" applyFill="1" applyBorder="1" applyAlignment="1">
      <alignment vertical="center" wrapText="1"/>
    </xf>
    <xf numFmtId="0" fontId="162" fillId="17" borderId="347" xfId="0" applyFont="1" applyFill="1" applyBorder="1" applyAlignment="1">
      <alignment wrapText="1"/>
    </xf>
    <xf numFmtId="169" fontId="162" fillId="17" borderId="236" xfId="0" applyNumberFormat="1" applyFont="1" applyFill="1" applyBorder="1" applyAlignment="1">
      <alignment wrapText="1"/>
    </xf>
    <xf numFmtId="164" fontId="162" fillId="17" borderId="123" xfId="0" applyNumberFormat="1" applyFont="1" applyFill="1" applyBorder="1"/>
    <xf numFmtId="43" fontId="162" fillId="17" borderId="236" xfId="1" applyFont="1" applyFill="1" applyBorder="1"/>
    <xf numFmtId="43" fontId="162" fillId="17" borderId="115" xfId="1" applyFont="1" applyFill="1" applyBorder="1"/>
    <xf numFmtId="43" fontId="162" fillId="17" borderId="348" xfId="1" applyFont="1" applyFill="1" applyBorder="1"/>
    <xf numFmtId="43" fontId="162" fillId="17" borderId="252" xfId="1" applyFont="1" applyFill="1" applyBorder="1"/>
    <xf numFmtId="43" fontId="162" fillId="17" borderId="344" xfId="1" applyFont="1" applyFill="1" applyBorder="1"/>
    <xf numFmtId="43" fontId="162" fillId="17" borderId="343" xfId="1" applyFont="1" applyFill="1" applyBorder="1"/>
    <xf numFmtId="0" fontId="162" fillId="17" borderId="163" xfId="0" applyFont="1" applyFill="1" applyBorder="1" applyAlignment="1">
      <alignment wrapText="1"/>
    </xf>
    <xf numFmtId="0" fontId="162" fillId="17" borderId="303" xfId="0" applyFont="1" applyFill="1" applyBorder="1" applyAlignment="1">
      <alignment wrapText="1"/>
    </xf>
    <xf numFmtId="166" fontId="162" fillId="17" borderId="124" xfId="0" applyNumberFormat="1" applyFont="1" applyFill="1" applyBorder="1"/>
    <xf numFmtId="164" fontId="162" fillId="17" borderId="18" xfId="0" applyNumberFormat="1" applyFont="1" applyFill="1" applyBorder="1"/>
    <xf numFmtId="43" fontId="162" fillId="17" borderId="122" xfId="1" applyFont="1" applyFill="1" applyBorder="1"/>
    <xf numFmtId="43" fontId="162" fillId="17" borderId="123" xfId="1" applyFont="1" applyFill="1" applyBorder="1"/>
    <xf numFmtId="43" fontId="162" fillId="17" borderId="125" xfId="1" applyFont="1" applyFill="1" applyBorder="1"/>
    <xf numFmtId="0" fontId="162" fillId="17" borderId="11" xfId="0" applyFont="1" applyFill="1" applyBorder="1" applyAlignment="1">
      <alignment wrapText="1"/>
    </xf>
    <xf numFmtId="0" fontId="162" fillId="17" borderId="304" xfId="0" applyFont="1" applyFill="1" applyBorder="1" applyAlignment="1">
      <alignment wrapText="1"/>
    </xf>
    <xf numFmtId="166" fontId="162" fillId="17" borderId="12" xfId="0" applyNumberFormat="1" applyFont="1" applyFill="1" applyBorder="1"/>
    <xf numFmtId="43" fontId="162" fillId="17" borderId="19" xfId="1" applyFont="1" applyFill="1" applyBorder="1"/>
    <xf numFmtId="0" fontId="162" fillId="17" borderId="20" xfId="0" applyFont="1" applyFill="1" applyBorder="1" applyAlignment="1">
      <alignment wrapText="1"/>
    </xf>
    <xf numFmtId="0" fontId="162" fillId="17" borderId="272" xfId="0" applyFont="1" applyFill="1" applyBorder="1" applyAlignment="1">
      <alignment wrapText="1"/>
    </xf>
    <xf numFmtId="0" fontId="162" fillId="17" borderId="305" xfId="0" applyFont="1" applyFill="1" applyBorder="1" applyAlignment="1">
      <alignment wrapText="1"/>
    </xf>
    <xf numFmtId="164" fontId="162" fillId="17" borderId="20" xfId="0" applyNumberFormat="1" applyFont="1" applyFill="1" applyBorder="1"/>
    <xf numFmtId="43" fontId="162" fillId="17" borderId="144" xfId="1" applyFont="1" applyFill="1" applyBorder="1"/>
    <xf numFmtId="0" fontId="90" fillId="17" borderId="15" xfId="0" applyFont="1" applyFill="1" applyBorder="1" applyAlignment="1">
      <alignment horizontal="center" vertical="center" wrapText="1"/>
    </xf>
    <xf numFmtId="0" fontId="90" fillId="17" borderId="27" xfId="0" applyFont="1" applyFill="1" applyBorder="1" applyAlignment="1">
      <alignment vertical="center" wrapText="1"/>
    </xf>
    <xf numFmtId="0" fontId="162" fillId="24" borderId="23" xfId="0" applyFont="1" applyFill="1" applyBorder="1"/>
    <xf numFmtId="0" fontId="162" fillId="25" borderId="0" xfId="0" applyFont="1" applyFill="1"/>
    <xf numFmtId="0" fontId="162" fillId="25" borderId="0" xfId="0" applyFont="1" applyFill="1" applyAlignment="1">
      <alignment horizontal="right"/>
    </xf>
    <xf numFmtId="0" fontId="162" fillId="24" borderId="0" xfId="0" applyFont="1" applyFill="1"/>
    <xf numFmtId="0" fontId="162" fillId="24" borderId="77" xfId="0" applyFont="1" applyFill="1" applyBorder="1"/>
    <xf numFmtId="164" fontId="162" fillId="22" borderId="9" xfId="4" applyNumberFormat="1" applyFont="1" applyFill="1" applyBorder="1"/>
    <xf numFmtId="164" fontId="162" fillId="22" borderId="21" xfId="4" applyNumberFormat="1" applyFont="1" applyFill="1" applyBorder="1"/>
    <xf numFmtId="0" fontId="162" fillId="22" borderId="29" xfId="0" applyFont="1" applyFill="1" applyBorder="1"/>
    <xf numFmtId="0" fontId="13" fillId="89" borderId="186" xfId="0" applyFont="1" applyFill="1" applyBorder="1" applyAlignment="1">
      <alignment vertical="center" wrapText="1"/>
    </xf>
    <xf numFmtId="0" fontId="87" fillId="24" borderId="186" xfId="0" applyFont="1" applyFill="1" applyBorder="1"/>
    <xf numFmtId="0" fontId="87" fillId="24" borderId="239" xfId="0" applyFont="1" applyFill="1" applyBorder="1"/>
    <xf numFmtId="0" fontId="76" fillId="89" borderId="239" xfId="0" applyFont="1" applyFill="1" applyBorder="1" applyAlignment="1">
      <alignment vertical="center" wrapText="1"/>
    </xf>
    <xf numFmtId="164" fontId="162" fillId="17" borderId="228" xfId="0" applyNumberFormat="1" applyFont="1" applyFill="1" applyBorder="1" applyAlignment="1">
      <alignment horizontal="right"/>
    </xf>
    <xf numFmtId="164" fontId="162" fillId="17" borderId="230" xfId="0" applyNumberFormat="1" applyFont="1" applyFill="1" applyBorder="1" applyAlignment="1">
      <alignment horizontal="right"/>
    </xf>
    <xf numFmtId="0" fontId="162" fillId="17" borderId="349" xfId="0" applyFont="1" applyFill="1" applyBorder="1" applyAlignment="1">
      <alignment wrapText="1"/>
    </xf>
    <xf numFmtId="164" fontId="162" fillId="17" borderId="68" xfId="4" applyNumberFormat="1" applyFont="1" applyFill="1" applyBorder="1" applyAlignment="1">
      <alignment horizontal="right"/>
    </xf>
    <xf numFmtId="0" fontId="162" fillId="17" borderId="350" xfId="0" applyFont="1" applyFill="1" applyBorder="1" applyAlignment="1">
      <alignment wrapText="1"/>
    </xf>
    <xf numFmtId="164" fontId="162" fillId="17" borderId="211" xfId="4" applyNumberFormat="1" applyFont="1" applyFill="1" applyBorder="1" applyAlignment="1">
      <alignment horizontal="right"/>
    </xf>
    <xf numFmtId="0" fontId="162" fillId="17" borderId="351" xfId="0" applyFont="1" applyFill="1" applyBorder="1" applyAlignment="1">
      <alignment wrapText="1"/>
    </xf>
    <xf numFmtId="0" fontId="162" fillId="17" borderId="352" xfId="0" applyFont="1" applyFill="1" applyBorder="1" applyAlignment="1">
      <alignment wrapText="1"/>
    </xf>
    <xf numFmtId="0" fontId="162" fillId="17" borderId="327" xfId="0" applyFont="1" applyFill="1" applyBorder="1" applyAlignment="1">
      <alignment wrapText="1"/>
    </xf>
    <xf numFmtId="164" fontId="162" fillId="17" borderId="192" xfId="0" applyNumberFormat="1" applyFont="1" applyFill="1" applyBorder="1"/>
    <xf numFmtId="10" fontId="162" fillId="17" borderId="195" xfId="0" applyNumberFormat="1" applyFont="1" applyFill="1" applyBorder="1"/>
    <xf numFmtId="43" fontId="162" fillId="17" borderId="192" xfId="1" applyFont="1" applyFill="1" applyBorder="1"/>
    <xf numFmtId="43" fontId="162" fillId="17" borderId="195" xfId="1" applyFont="1" applyFill="1" applyBorder="1"/>
    <xf numFmtId="0" fontId="162" fillId="17" borderId="323" xfId="0" applyFont="1" applyFill="1" applyBorder="1" applyAlignment="1">
      <alignment wrapText="1"/>
    </xf>
    <xf numFmtId="0" fontId="162" fillId="17" borderId="325" xfId="0" applyFont="1" applyFill="1" applyBorder="1" applyAlignment="1">
      <alignment wrapText="1"/>
    </xf>
    <xf numFmtId="164" fontId="162" fillId="17" borderId="320" xfId="0" applyNumberFormat="1" applyFont="1" applyFill="1" applyBorder="1"/>
    <xf numFmtId="10" fontId="162" fillId="17" borderId="322" xfId="0" applyNumberFormat="1" applyFont="1" applyFill="1" applyBorder="1"/>
    <xf numFmtId="43" fontId="162" fillId="17" borderId="320" xfId="1" applyFont="1" applyFill="1" applyBorder="1"/>
    <xf numFmtId="43" fontId="162" fillId="17" borderId="322" xfId="1" applyFont="1" applyFill="1" applyBorder="1"/>
    <xf numFmtId="164" fontId="162" fillId="17" borderId="352" xfId="0" applyNumberFormat="1" applyFont="1" applyFill="1" applyBorder="1" applyAlignment="1">
      <alignment horizontal="right"/>
    </xf>
    <xf numFmtId="0" fontId="162" fillId="17" borderId="353" xfId="0" applyFont="1" applyFill="1" applyBorder="1" applyAlignment="1">
      <alignment wrapText="1"/>
    </xf>
    <xf numFmtId="0" fontId="6" fillId="17" borderId="319" xfId="0" applyFont="1" applyFill="1" applyBorder="1" applyAlignment="1">
      <alignment wrapText="1"/>
    </xf>
    <xf numFmtId="0" fontId="6" fillId="17" borderId="323" xfId="0" applyFont="1" applyFill="1" applyBorder="1" applyAlignment="1">
      <alignment wrapText="1"/>
    </xf>
    <xf numFmtId="0" fontId="6" fillId="17" borderId="325" xfId="0" applyFont="1" applyFill="1" applyBorder="1" applyAlignment="1">
      <alignment wrapText="1"/>
    </xf>
    <xf numFmtId="166" fontId="6" fillId="17" borderId="322" xfId="0" applyNumberFormat="1" applyFont="1" applyFill="1" applyBorder="1"/>
    <xf numFmtId="43" fontId="6" fillId="17" borderId="323" xfId="1" applyFont="1" applyFill="1" applyBorder="1"/>
    <xf numFmtId="43" fontId="6" fillId="17" borderId="320" xfId="1" applyFont="1" applyFill="1" applyBorder="1"/>
    <xf numFmtId="164" fontId="84" fillId="17" borderId="319" xfId="4" applyNumberFormat="1" applyFont="1" applyFill="1" applyBorder="1" applyAlignment="1">
      <alignment horizontal="right"/>
    </xf>
    <xf numFmtId="43" fontId="6" fillId="17" borderId="322" xfId="1" applyFont="1" applyFill="1" applyBorder="1"/>
    <xf numFmtId="43" fontId="6" fillId="17" borderId="230" xfId="1" applyFont="1" applyFill="1" applyBorder="1"/>
    <xf numFmtId="164" fontId="84" fillId="17" borderId="68" xfId="4" applyNumberFormat="1" applyFont="1" applyFill="1" applyBorder="1" applyAlignment="1">
      <alignment horizontal="right"/>
    </xf>
    <xf numFmtId="166" fontId="6" fillId="17" borderId="212" xfId="0" applyNumberFormat="1" applyFont="1" applyFill="1" applyBorder="1"/>
    <xf numFmtId="43" fontId="6" fillId="17" borderId="231" xfId="1" applyFont="1" applyFill="1" applyBorder="1"/>
    <xf numFmtId="164" fontId="84" fillId="17" borderId="211" xfId="4" applyNumberFormat="1" applyFont="1" applyFill="1" applyBorder="1" applyAlignment="1">
      <alignment horizontal="right"/>
    </xf>
    <xf numFmtId="164" fontId="162" fillId="17" borderId="65" xfId="4" applyNumberFormat="1" applyFont="1" applyFill="1" applyBorder="1" applyAlignment="1">
      <alignment horizontal="right"/>
    </xf>
    <xf numFmtId="43" fontId="162" fillId="17" borderId="65" xfId="0" applyNumberFormat="1" applyFont="1" applyFill="1" applyBorder="1"/>
    <xf numFmtId="43" fontId="162" fillId="17" borderId="68" xfId="0" applyNumberFormat="1" applyFont="1" applyFill="1" applyBorder="1"/>
    <xf numFmtId="0" fontId="162" fillId="17" borderId="210" xfId="0" applyFont="1" applyFill="1" applyBorder="1" applyAlignment="1">
      <alignment wrapText="1"/>
    </xf>
    <xf numFmtId="43" fontId="162" fillId="17" borderId="211" xfId="0" applyNumberFormat="1" applyFont="1" applyFill="1" applyBorder="1"/>
    <xf numFmtId="0" fontId="13" fillId="89" borderId="184" xfId="0" applyFont="1" applyFill="1" applyBorder="1" applyAlignment="1">
      <alignment vertical="center" wrapText="1"/>
    </xf>
    <xf numFmtId="0" fontId="65" fillId="21" borderId="182" xfId="0" applyFont="1" applyFill="1" applyBorder="1" applyAlignment="1">
      <alignment horizontal="center" vertical="center" wrapText="1"/>
    </xf>
    <xf numFmtId="0" fontId="87" fillId="24" borderId="23" xfId="0" applyFont="1" applyFill="1" applyBorder="1" applyAlignment="1">
      <alignment horizontal="center" vertical="center" wrapText="1"/>
    </xf>
    <xf numFmtId="0" fontId="87" fillId="24" borderId="0" xfId="0" applyFont="1" applyFill="1" applyAlignment="1">
      <alignment horizontal="center" vertical="center" wrapText="1"/>
    </xf>
    <xf numFmtId="0" fontId="114" fillId="74" borderId="7" xfId="0" applyFont="1" applyFill="1" applyBorder="1" applyAlignment="1">
      <alignment horizontal="center" vertical="center" wrapText="1"/>
    </xf>
    <xf numFmtId="0" fontId="114" fillId="74" borderId="15" xfId="0" applyFont="1" applyFill="1" applyBorder="1" applyAlignment="1">
      <alignment horizontal="center" vertical="center" wrapText="1"/>
    </xf>
    <xf numFmtId="0" fontId="65" fillId="17" borderId="15" xfId="0" applyFont="1" applyFill="1" applyBorder="1" applyAlignment="1">
      <alignment horizontal="center" vertical="center" wrapText="1"/>
    </xf>
    <xf numFmtId="0" fontId="114" fillId="74" borderId="16" xfId="0" applyFont="1" applyFill="1" applyBorder="1" applyAlignment="1">
      <alignment horizontal="center" vertical="center" wrapText="1"/>
    </xf>
    <xf numFmtId="0" fontId="113" fillId="17" borderId="7" xfId="0" applyFont="1" applyFill="1" applyBorder="1" applyAlignment="1">
      <alignment horizontal="center" vertical="center" wrapText="1"/>
    </xf>
    <xf numFmtId="0" fontId="113" fillId="17" borderId="15" xfId="0" applyFont="1" applyFill="1" applyBorder="1" applyAlignment="1">
      <alignment horizontal="center" vertical="center" wrapText="1"/>
    </xf>
    <xf numFmtId="0" fontId="113" fillId="17" borderId="16" xfId="0" applyFont="1" applyFill="1" applyBorder="1" applyAlignment="1">
      <alignment horizontal="center" vertical="center" wrapText="1"/>
    </xf>
    <xf numFmtId="0" fontId="155" fillId="17" borderId="190" xfId="0" applyFont="1" applyFill="1" applyBorder="1" applyAlignment="1">
      <alignment horizontal="center" vertical="center" wrapText="1"/>
    </xf>
    <xf numFmtId="0" fontId="155" fillId="17" borderId="183" xfId="0" applyFont="1" applyFill="1" applyBorder="1" applyAlignment="1">
      <alignment horizontal="center" vertical="center" wrapText="1"/>
    </xf>
    <xf numFmtId="0" fontId="155" fillId="17" borderId="182" xfId="0" applyFont="1" applyFill="1" applyBorder="1" applyAlignment="1">
      <alignment horizontal="center" vertical="center" wrapText="1"/>
    </xf>
    <xf numFmtId="0" fontId="90" fillId="17" borderId="7" xfId="0" applyFont="1" applyFill="1" applyBorder="1" applyAlignment="1">
      <alignment horizontal="center" vertical="center" wrapText="1"/>
    </xf>
    <xf numFmtId="0" fontId="68" fillId="17" borderId="15" xfId="0" applyFont="1" applyFill="1" applyBorder="1" applyAlignment="1">
      <alignment horizontal="center" vertical="center" wrapText="1"/>
    </xf>
    <xf numFmtId="0" fontId="12" fillId="24" borderId="23" xfId="0" applyFont="1" applyFill="1" applyBorder="1" applyAlignment="1">
      <alignment horizontal="center" vertical="center" wrapText="1"/>
    </xf>
    <xf numFmtId="0" fontId="12" fillId="24" borderId="0" xfId="0" applyFont="1" applyFill="1" applyAlignment="1">
      <alignment horizontal="center" vertical="center" wrapText="1"/>
    </xf>
    <xf numFmtId="0" fontId="90" fillId="17" borderId="240" xfId="0" applyFont="1" applyFill="1" applyBorder="1" applyAlignment="1">
      <alignment horizontal="center" vertical="center" wrapText="1"/>
    </xf>
    <xf numFmtId="0" fontId="90" fillId="17" borderId="94" xfId="0" applyFont="1" applyFill="1" applyBorder="1" applyAlignment="1">
      <alignment horizontal="center" vertical="center" wrapText="1"/>
    </xf>
    <xf numFmtId="0" fontId="90" fillId="21" borderId="313" xfId="0" applyFont="1" applyFill="1" applyBorder="1" applyAlignment="1">
      <alignment horizontal="center" vertical="center" wrapText="1"/>
    </xf>
    <xf numFmtId="0" fontId="68" fillId="17" borderId="240" xfId="0" applyFont="1" applyFill="1" applyBorder="1" applyAlignment="1">
      <alignment horizontal="center" vertical="center" wrapText="1"/>
    </xf>
    <xf numFmtId="0" fontId="90" fillId="17" borderId="313" xfId="0" applyFont="1" applyFill="1" applyBorder="1" applyAlignment="1">
      <alignment horizontal="center" vertical="center" wrapText="1"/>
    </xf>
    <xf numFmtId="0" fontId="68" fillId="17" borderId="183" xfId="0" applyFont="1" applyFill="1" applyBorder="1" applyAlignment="1">
      <alignment horizontal="center" vertical="center" wrapText="1"/>
    </xf>
    <xf numFmtId="0" fontId="90" fillId="17" borderId="25" xfId="0" applyFont="1" applyFill="1" applyBorder="1" applyAlignment="1">
      <alignment horizontal="left" vertical="center" wrapText="1"/>
    </xf>
    <xf numFmtId="0" fontId="90" fillId="17" borderId="26" xfId="0" applyFont="1" applyFill="1" applyBorder="1" applyAlignment="1">
      <alignment horizontal="left" vertical="center" wrapText="1"/>
    </xf>
    <xf numFmtId="0" fontId="87" fillId="17" borderId="23" xfId="0" applyFont="1" applyFill="1" applyBorder="1" applyAlignment="1">
      <alignment horizontal="left" wrapText="1"/>
    </xf>
    <xf numFmtId="0" fontId="87" fillId="17" borderId="0" xfId="0" applyFont="1" applyFill="1" applyAlignment="1">
      <alignment horizontal="left" wrapText="1"/>
    </xf>
    <xf numFmtId="0" fontId="90" fillId="17" borderId="183" xfId="0" applyFont="1" applyFill="1" applyBorder="1" applyAlignment="1">
      <alignment horizontal="left" vertical="center" wrapText="1"/>
    </xf>
    <xf numFmtId="0" fontId="90" fillId="17" borderId="190" xfId="0" applyFont="1" applyFill="1" applyBorder="1" applyAlignment="1">
      <alignment horizontal="left" vertical="center" wrapText="1"/>
    </xf>
    <xf numFmtId="0" fontId="90" fillId="17" borderId="15" xfId="0" applyFont="1" applyFill="1" applyBorder="1" applyAlignment="1">
      <alignment horizontal="left" vertical="center" wrapText="1"/>
    </xf>
    <xf numFmtId="0" fontId="90" fillId="17" borderId="7" xfId="0" applyFont="1" applyFill="1" applyBorder="1" applyAlignment="1">
      <alignment horizontal="left" vertical="center" wrapText="1"/>
    </xf>
    <xf numFmtId="0" fontId="90" fillId="17" borderId="240" xfId="0" applyFont="1" applyFill="1" applyBorder="1" applyAlignment="1">
      <alignment horizontal="left" vertical="center" wrapText="1"/>
    </xf>
    <xf numFmtId="0" fontId="90" fillId="17" borderId="94" xfId="0" applyFont="1" applyFill="1" applyBorder="1" applyAlignment="1">
      <alignment horizontal="left" vertical="center" wrapText="1"/>
    </xf>
    <xf numFmtId="0" fontId="12" fillId="24" borderId="23" xfId="0" applyFont="1" applyFill="1" applyBorder="1" applyAlignment="1">
      <alignment horizontal="left" wrapText="1"/>
    </xf>
    <xf numFmtId="0" fontId="12" fillId="24" borderId="0" xfId="0" applyFont="1" applyFill="1" applyAlignment="1">
      <alignment horizontal="left" wrapText="1"/>
    </xf>
    <xf numFmtId="0" fontId="90" fillId="21" borderId="7" xfId="0" applyFont="1" applyFill="1" applyBorder="1" applyAlignment="1">
      <alignment horizontal="left" vertical="center" wrapText="1"/>
    </xf>
    <xf numFmtId="0" fontId="114" fillId="74" borderId="7" xfId="0" applyFont="1" applyFill="1" applyBorder="1" applyAlignment="1">
      <alignment horizontal="left" vertical="center" wrapText="1"/>
    </xf>
    <xf numFmtId="0" fontId="84" fillId="24" borderId="23" xfId="0" applyFont="1" applyFill="1" applyBorder="1" applyAlignment="1">
      <alignment horizontal="left" vertical="center" wrapText="1"/>
    </xf>
    <xf numFmtId="0" fontId="84" fillId="24" borderId="0" xfId="0" applyFont="1" applyFill="1" applyAlignment="1">
      <alignment horizontal="left" vertical="center" wrapText="1"/>
    </xf>
    <xf numFmtId="0" fontId="81" fillId="17" borderId="183" xfId="0" applyFont="1" applyFill="1" applyBorder="1" applyAlignment="1">
      <alignment horizontal="left" vertical="center" wrapText="1"/>
    </xf>
    <xf numFmtId="0" fontId="155" fillId="17" borderId="190" xfId="0" applyFont="1" applyFill="1" applyBorder="1" applyAlignment="1">
      <alignment horizontal="left" vertical="center" wrapText="1"/>
    </xf>
    <xf numFmtId="0" fontId="6" fillId="17" borderId="65" xfId="0" applyFont="1" applyFill="1" applyBorder="1" applyAlignment="1">
      <alignment vertical="center" wrapText="1"/>
    </xf>
    <xf numFmtId="0" fontId="6" fillId="17" borderId="66" xfId="0" applyFont="1" applyFill="1" applyBorder="1" applyAlignment="1">
      <alignment vertical="center" wrapText="1"/>
    </xf>
    <xf numFmtId="0" fontId="6" fillId="17" borderId="71" xfId="0" applyFont="1" applyFill="1" applyBorder="1" applyAlignment="1">
      <alignment vertical="center" wrapText="1"/>
    </xf>
    <xf numFmtId="166" fontId="6" fillId="17" borderId="71" xfId="0" applyNumberFormat="1" applyFont="1" applyFill="1" applyBorder="1" applyAlignment="1">
      <alignment vertical="center"/>
    </xf>
    <xf numFmtId="164" fontId="6" fillId="17" borderId="65" xfId="0" applyNumberFormat="1" applyFont="1" applyFill="1" applyBorder="1" applyAlignment="1">
      <alignment vertical="center"/>
    </xf>
    <xf numFmtId="164" fontId="6" fillId="17" borderId="66" xfId="0" applyNumberFormat="1" applyFont="1" applyFill="1" applyBorder="1" applyAlignment="1">
      <alignment vertical="center"/>
    </xf>
    <xf numFmtId="164" fontId="162" fillId="22" borderId="66" xfId="4" applyNumberFormat="1" applyFont="1" applyFill="1" applyBorder="1" applyAlignment="1">
      <alignment vertical="center" wrapText="1"/>
    </xf>
    <xf numFmtId="10" fontId="90" fillId="18" borderId="67" xfId="0" applyNumberFormat="1" applyFont="1" applyFill="1" applyBorder="1" applyAlignment="1">
      <alignment vertical="center"/>
    </xf>
    <xf numFmtId="165" fontId="6" fillId="17" borderId="65" xfId="0" applyNumberFormat="1" applyFont="1" applyFill="1" applyBorder="1" applyAlignment="1">
      <alignment vertical="center"/>
    </xf>
    <xf numFmtId="0" fontId="8" fillId="22" borderId="67" xfId="0" applyFont="1" applyFill="1" applyBorder="1" applyAlignment="1">
      <alignment vertical="center" wrapText="1"/>
    </xf>
    <xf numFmtId="43" fontId="6" fillId="17" borderId="66" xfId="0" applyNumberFormat="1" applyFont="1" applyFill="1" applyBorder="1" applyAlignment="1">
      <alignment vertical="center"/>
    </xf>
    <xf numFmtId="43" fontId="6" fillId="17" borderId="67" xfId="1" applyFont="1" applyFill="1" applyBorder="1" applyAlignment="1">
      <alignment vertical="center"/>
    </xf>
    <xf numFmtId="0" fontId="6" fillId="17" borderId="68" xfId="0" applyFont="1" applyFill="1" applyBorder="1" applyAlignment="1">
      <alignment vertical="center" wrapText="1"/>
    </xf>
    <xf numFmtId="0" fontId="6" fillId="17" borderId="69" xfId="0" applyFont="1" applyFill="1" applyBorder="1" applyAlignment="1">
      <alignment vertical="center" wrapText="1"/>
    </xf>
    <xf numFmtId="0" fontId="6" fillId="17" borderId="72" xfId="0" applyFont="1" applyFill="1" applyBorder="1" applyAlignment="1">
      <alignment vertical="center" wrapText="1"/>
    </xf>
    <xf numFmtId="166" fontId="6" fillId="17" borderId="72" xfId="0" applyNumberFormat="1" applyFont="1" applyFill="1" applyBorder="1" applyAlignment="1">
      <alignment vertical="center"/>
    </xf>
    <xf numFmtId="164" fontId="6" fillId="17" borderId="68" xfId="0" applyNumberFormat="1" applyFont="1" applyFill="1" applyBorder="1" applyAlignment="1">
      <alignment vertical="center"/>
    </xf>
    <xf numFmtId="164" fontId="6" fillId="17" borderId="69" xfId="0" applyNumberFormat="1" applyFont="1" applyFill="1" applyBorder="1" applyAlignment="1">
      <alignment vertical="center"/>
    </xf>
    <xf numFmtId="164" fontId="162" fillId="22" borderId="69" xfId="4" applyNumberFormat="1" applyFont="1" applyFill="1" applyBorder="1" applyAlignment="1">
      <alignment vertical="center" wrapText="1"/>
    </xf>
    <xf numFmtId="10" fontId="90" fillId="18" borderId="70" xfId="0" applyNumberFormat="1" applyFont="1" applyFill="1" applyBorder="1" applyAlignment="1">
      <alignment vertical="center"/>
    </xf>
    <xf numFmtId="165" fontId="6" fillId="17" borderId="68" xfId="0" applyNumberFormat="1" applyFont="1" applyFill="1" applyBorder="1" applyAlignment="1">
      <alignment vertical="center"/>
    </xf>
    <xf numFmtId="0" fontId="8" fillId="22" borderId="70" xfId="0" applyFont="1" applyFill="1" applyBorder="1" applyAlignment="1">
      <alignment vertical="center" wrapText="1"/>
    </xf>
    <xf numFmtId="43" fontId="6" fillId="17" borderId="69" xfId="0" applyNumberFormat="1" applyFont="1" applyFill="1" applyBorder="1" applyAlignment="1">
      <alignment vertical="center"/>
    </xf>
    <xf numFmtId="43" fontId="6" fillId="17" borderId="70" xfId="1" applyFont="1" applyFill="1" applyBorder="1" applyAlignment="1">
      <alignment vertical="center"/>
    </xf>
    <xf numFmtId="10" fontId="84" fillId="18" borderId="70" xfId="0" applyNumberFormat="1" applyFont="1" applyFill="1" applyBorder="1"/>
    <xf numFmtId="0" fontId="6" fillId="17" borderId="211" xfId="0" applyFont="1" applyFill="1" applyBorder="1" applyAlignment="1">
      <alignment vertical="center" wrapText="1"/>
    </xf>
    <xf numFmtId="0" fontId="6" fillId="17" borderId="209" xfId="0" applyFont="1" applyFill="1" applyBorder="1" applyAlignment="1">
      <alignment vertical="center" wrapText="1"/>
    </xf>
    <xf numFmtId="0" fontId="6" fillId="17" borderId="210" xfId="0" applyFont="1" applyFill="1" applyBorder="1" applyAlignment="1">
      <alignment vertical="center" wrapText="1"/>
    </xf>
    <xf numFmtId="166" fontId="6" fillId="17" borderId="210" xfId="0" applyNumberFormat="1" applyFont="1" applyFill="1" applyBorder="1" applyAlignment="1">
      <alignment vertical="center"/>
    </xf>
    <xf numFmtId="164" fontId="6" fillId="17" borderId="211" xfId="0" applyNumberFormat="1" applyFont="1" applyFill="1" applyBorder="1" applyAlignment="1">
      <alignment vertical="center"/>
    </xf>
    <xf numFmtId="164" fontId="6" fillId="17" borderId="209" xfId="0" applyNumberFormat="1" applyFont="1" applyFill="1" applyBorder="1" applyAlignment="1">
      <alignment vertical="center"/>
    </xf>
    <xf numFmtId="164" fontId="162" fillId="22" borderId="209" xfId="4" applyNumberFormat="1" applyFont="1" applyFill="1" applyBorder="1" applyAlignment="1">
      <alignment vertical="center" wrapText="1"/>
    </xf>
    <xf numFmtId="10" fontId="84" fillId="18" borderId="212" xfId="0" applyNumberFormat="1" applyFont="1" applyFill="1" applyBorder="1"/>
    <xf numFmtId="165" fontId="6" fillId="17" borderId="211" xfId="0" applyNumberFormat="1" applyFont="1" applyFill="1" applyBorder="1" applyAlignment="1">
      <alignment vertical="center"/>
    </xf>
    <xf numFmtId="0" fontId="8" fillId="22" borderId="212" xfId="0" applyFont="1" applyFill="1" applyBorder="1" applyAlignment="1">
      <alignment vertical="center" wrapText="1"/>
    </xf>
    <xf numFmtId="43" fontId="6" fillId="17" borderId="209" xfId="0" applyNumberFormat="1" applyFont="1" applyFill="1" applyBorder="1" applyAlignment="1">
      <alignment vertical="center"/>
    </xf>
    <xf numFmtId="43" fontId="6" fillId="17" borderId="212" xfId="1" applyFont="1" applyFill="1" applyBorder="1" applyAlignment="1">
      <alignment vertical="center"/>
    </xf>
    <xf numFmtId="166" fontId="162" fillId="17" borderId="67" xfId="0" applyNumberFormat="1" applyFont="1" applyFill="1" applyBorder="1"/>
    <xf numFmtId="164" fontId="162" fillId="17" borderId="222" xfId="0" applyNumberFormat="1" applyFont="1" applyFill="1" applyBorder="1" applyAlignment="1">
      <alignment horizontal="right"/>
    </xf>
    <xf numFmtId="43" fontId="162" fillId="17" borderId="65" xfId="4" applyNumberFormat="1" applyFont="1" applyFill="1" applyBorder="1" applyAlignment="1">
      <alignment horizontal="right"/>
    </xf>
    <xf numFmtId="43" fontId="162" fillId="17" borderId="228" xfId="0" applyNumberFormat="1" applyFont="1" applyFill="1" applyBorder="1"/>
    <xf numFmtId="43" fontId="162" fillId="17" borderId="229" xfId="1" applyFont="1" applyFill="1" applyBorder="1"/>
    <xf numFmtId="43" fontId="162" fillId="17" borderId="68" xfId="4" applyNumberFormat="1" applyFont="1" applyFill="1" applyBorder="1" applyAlignment="1">
      <alignment horizontal="right"/>
    </xf>
    <xf numFmtId="43" fontId="162" fillId="17" borderId="230" xfId="0" applyNumberFormat="1" applyFont="1" applyFill="1" applyBorder="1"/>
    <xf numFmtId="164" fontId="162" fillId="17" borderId="264" xfId="0" applyNumberFormat="1" applyFont="1" applyFill="1" applyBorder="1" applyAlignment="1">
      <alignment horizontal="right"/>
    </xf>
    <xf numFmtId="164" fontId="162" fillId="17" borderId="262" xfId="0" applyNumberFormat="1" applyFont="1" applyFill="1" applyBorder="1" applyAlignment="1">
      <alignment horizontal="right"/>
    </xf>
    <xf numFmtId="43" fontId="162" fillId="17" borderId="262" xfId="0" applyNumberFormat="1" applyFont="1" applyFill="1" applyBorder="1" applyAlignment="1">
      <alignment horizontal="right"/>
    </xf>
    <xf numFmtId="43" fontId="162" fillId="17" borderId="263" xfId="1" applyFont="1" applyFill="1" applyBorder="1" applyAlignment="1">
      <alignment horizontal="right"/>
    </xf>
    <xf numFmtId="43" fontId="162" fillId="17" borderId="230" xfId="0" applyNumberFormat="1" applyFont="1" applyFill="1" applyBorder="1" applyAlignment="1">
      <alignment horizontal="right"/>
    </xf>
    <xf numFmtId="43" fontId="162" fillId="17" borderId="170" xfId="1" applyFont="1" applyFill="1" applyBorder="1" applyAlignment="1">
      <alignment horizontal="right"/>
    </xf>
    <xf numFmtId="164" fontId="162" fillId="17" borderId="223" xfId="0" applyNumberFormat="1" applyFont="1" applyFill="1" applyBorder="1" applyAlignment="1">
      <alignment horizontal="right"/>
    </xf>
    <xf numFmtId="164" fontId="162" fillId="17" borderId="231" xfId="0" applyNumberFormat="1" applyFont="1" applyFill="1" applyBorder="1" applyAlignment="1">
      <alignment horizontal="right"/>
    </xf>
    <xf numFmtId="43" fontId="162" fillId="17" borderId="211" xfId="4" applyNumberFormat="1" applyFont="1" applyFill="1" applyBorder="1" applyAlignment="1">
      <alignment horizontal="right"/>
    </xf>
    <xf numFmtId="43" fontId="162" fillId="17" borderId="231" xfId="0" applyNumberFormat="1" applyFont="1" applyFill="1" applyBorder="1" applyAlignment="1">
      <alignment horizontal="right"/>
    </xf>
    <xf numFmtId="43" fontId="162" fillId="17" borderId="227" xfId="1" applyFont="1" applyFill="1" applyBorder="1" applyAlignment="1">
      <alignment horizontal="right"/>
    </xf>
    <xf numFmtId="164" fontId="162" fillId="17" borderId="318" xfId="0" applyNumberFormat="1" applyFont="1" applyFill="1" applyBorder="1" applyAlignment="1">
      <alignment horizontal="right"/>
    </xf>
    <xf numFmtId="0" fontId="162" fillId="17" borderId="7" xfId="0" applyFont="1" applyFill="1" applyBorder="1" applyAlignment="1">
      <alignment horizontal="center" vertical="center" wrapText="1"/>
    </xf>
    <xf numFmtId="0" fontId="162" fillId="17" borderId="7" xfId="0" applyFont="1" applyFill="1" applyBorder="1" applyAlignment="1">
      <alignment horizontal="left" vertical="center" wrapText="1"/>
    </xf>
    <xf numFmtId="0" fontId="162" fillId="17" borderId="15" xfId="0" applyFont="1" applyFill="1" applyBorder="1" applyAlignment="1">
      <alignment horizontal="center" vertical="center" wrapText="1"/>
    </xf>
    <xf numFmtId="0" fontId="162" fillId="17" borderId="16" xfId="0" applyFont="1" applyFill="1" applyBorder="1" applyAlignment="1">
      <alignment horizontal="center" vertical="center" wrapText="1"/>
    </xf>
    <xf numFmtId="0" fontId="162" fillId="17" borderId="190" xfId="0" applyFont="1" applyFill="1" applyBorder="1" applyAlignment="1">
      <alignment horizontal="center" vertical="center" wrapText="1"/>
    </xf>
    <xf numFmtId="49" fontId="162" fillId="22" borderId="357" xfId="4" applyNumberFormat="1" applyFont="1" applyFill="1" applyBorder="1" applyAlignment="1">
      <alignment horizontal="center" vertical="center" wrapText="1"/>
    </xf>
    <xf numFmtId="49" fontId="162" fillId="22" borderId="358" xfId="4" applyNumberFormat="1" applyFont="1" applyFill="1" applyBorder="1" applyAlignment="1">
      <alignment horizontal="center" vertical="center" wrapText="1"/>
    </xf>
    <xf numFmtId="49" fontId="162" fillId="22" borderId="359" xfId="4" applyNumberFormat="1" applyFont="1" applyFill="1" applyBorder="1" applyAlignment="1">
      <alignment horizontal="center" vertical="center" wrapText="1"/>
    </xf>
    <xf numFmtId="43" fontId="162" fillId="17" borderId="238" xfId="4" applyNumberFormat="1" applyFont="1" applyFill="1" applyBorder="1" applyAlignment="1">
      <alignment horizontal="right"/>
    </xf>
    <xf numFmtId="43" fontId="162" fillId="17" borderId="68" xfId="0" applyNumberFormat="1" applyFont="1" applyFill="1" applyBorder="1" applyAlignment="1">
      <alignment horizontal="right"/>
    </xf>
    <xf numFmtId="43" fontId="162" fillId="17" borderId="211" xfId="0" applyNumberFormat="1" applyFont="1" applyFill="1" applyBorder="1" applyAlignment="1">
      <alignment horizontal="right"/>
    </xf>
    <xf numFmtId="0" fontId="6" fillId="17" borderId="241" xfId="0" applyFont="1" applyFill="1" applyBorder="1" applyAlignment="1">
      <alignment horizontal="left" vertical="center"/>
    </xf>
    <xf numFmtId="0" fontId="6" fillId="17" borderId="245" xfId="0" applyFont="1" applyFill="1" applyBorder="1" applyAlignment="1">
      <alignment horizontal="left" vertical="center"/>
    </xf>
    <xf numFmtId="166" fontId="6" fillId="17" borderId="245" xfId="0" applyNumberFormat="1" applyFont="1" applyFill="1" applyBorder="1" applyAlignment="1">
      <alignment horizontal="left" vertical="center"/>
    </xf>
    <xf numFmtId="43" fontId="6" fillId="17" borderId="286" xfId="0" applyNumberFormat="1" applyFont="1" applyFill="1" applyBorder="1" applyAlignment="1">
      <alignment horizontal="left" vertical="center"/>
    </xf>
    <xf numFmtId="43" fontId="6" fillId="17" borderId="241" xfId="0" applyNumberFormat="1" applyFont="1" applyFill="1" applyBorder="1" applyAlignment="1">
      <alignment horizontal="left" vertical="center"/>
    </xf>
    <xf numFmtId="164" fontId="84" fillId="17" borderId="286" xfId="1" applyNumberFormat="1" applyFont="1" applyFill="1" applyBorder="1" applyAlignment="1">
      <alignment horizontal="left" vertical="center"/>
    </xf>
    <xf numFmtId="43" fontId="6" fillId="17" borderId="286" xfId="1" applyFont="1" applyFill="1" applyBorder="1" applyAlignment="1">
      <alignment horizontal="left" vertical="center"/>
    </xf>
    <xf numFmtId="43" fontId="6" fillId="17" borderId="241" xfId="1" applyFont="1" applyFill="1" applyBorder="1" applyAlignment="1">
      <alignment horizontal="left" vertical="center"/>
    </xf>
    <xf numFmtId="43" fontId="6" fillId="17" borderId="246" xfId="1" applyFont="1" applyFill="1" applyBorder="1" applyAlignment="1">
      <alignment horizontal="left" vertical="center"/>
    </xf>
    <xf numFmtId="0" fontId="6" fillId="17" borderId="251" xfId="0" applyFont="1" applyFill="1" applyBorder="1" applyAlignment="1">
      <alignment horizontal="left" vertical="center"/>
    </xf>
    <xf numFmtId="0" fontId="6" fillId="17" borderId="297" xfId="0" applyFont="1" applyFill="1" applyBorder="1" applyAlignment="1">
      <alignment horizontal="left" vertical="center"/>
    </xf>
    <xf numFmtId="166" fontId="6" fillId="17" borderId="297" xfId="0" applyNumberFormat="1" applyFont="1" applyFill="1" applyBorder="1" applyAlignment="1">
      <alignment horizontal="left" vertical="center"/>
    </xf>
    <xf numFmtId="43" fontId="6" fillId="17" borderId="288" xfId="1" applyFont="1" applyFill="1" applyBorder="1" applyAlignment="1">
      <alignment horizontal="left" vertical="center"/>
    </xf>
    <xf numFmtId="43" fontId="6" fillId="17" borderId="251" xfId="1" applyFont="1" applyFill="1" applyBorder="1" applyAlignment="1">
      <alignment horizontal="left" vertical="center"/>
    </xf>
    <xf numFmtId="43" fontId="6" fillId="17" borderId="298" xfId="1" applyFont="1" applyFill="1" applyBorder="1" applyAlignment="1">
      <alignment horizontal="left" vertical="center"/>
    </xf>
    <xf numFmtId="0" fontId="6" fillId="17" borderId="242" xfId="0" applyFont="1" applyFill="1" applyBorder="1" applyAlignment="1">
      <alignment horizontal="left" vertical="center"/>
    </xf>
    <xf numFmtId="0" fontId="6" fillId="17" borderId="273" xfId="0" applyFont="1" applyFill="1" applyBorder="1" applyAlignment="1">
      <alignment horizontal="left" vertical="center"/>
    </xf>
    <xf numFmtId="166" fontId="6" fillId="17" borderId="273" xfId="0" applyNumberFormat="1" applyFont="1" applyFill="1" applyBorder="1" applyAlignment="1">
      <alignment horizontal="left" vertical="center"/>
    </xf>
    <xf numFmtId="164" fontId="84" fillId="17" borderId="345" xfId="1" applyNumberFormat="1" applyFont="1" applyFill="1" applyBorder="1" applyAlignment="1">
      <alignment horizontal="left" vertical="center"/>
    </xf>
    <xf numFmtId="43" fontId="6" fillId="17" borderId="285" xfId="1" applyFont="1" applyFill="1" applyBorder="1" applyAlignment="1">
      <alignment horizontal="left" vertical="center"/>
    </xf>
    <xf numFmtId="43" fontId="6" fillId="17" borderId="242" xfId="1" applyFont="1" applyFill="1" applyBorder="1" applyAlignment="1">
      <alignment horizontal="left" vertical="center"/>
    </xf>
    <xf numFmtId="43" fontId="6" fillId="17" borderId="274" xfId="1" applyFont="1" applyFill="1" applyBorder="1" applyAlignment="1">
      <alignment horizontal="left" vertical="center"/>
    </xf>
    <xf numFmtId="0" fontId="172" fillId="17" borderId="183" xfId="0" applyFont="1" applyFill="1" applyBorder="1" applyAlignment="1">
      <alignment horizontal="center" vertical="center" wrapText="1"/>
    </xf>
    <xf numFmtId="0" fontId="173" fillId="17" borderId="7" xfId="0" applyFont="1" applyFill="1" applyBorder="1" applyAlignment="1">
      <alignment horizontal="left" vertical="center" wrapText="1"/>
    </xf>
    <xf numFmtId="0" fontId="173" fillId="17" borderId="190" xfId="0" applyFont="1" applyFill="1" applyBorder="1" applyAlignment="1">
      <alignment horizontal="left" vertical="center" wrapText="1"/>
    </xf>
    <xf numFmtId="0" fontId="173" fillId="17" borderId="183" xfId="0" applyFont="1" applyFill="1" applyBorder="1" applyAlignment="1">
      <alignment horizontal="center" vertical="center" wrapText="1"/>
    </xf>
    <xf numFmtId="0" fontId="173" fillId="17" borderId="190" xfId="0" applyFont="1" applyFill="1" applyBorder="1" applyAlignment="1">
      <alignment horizontal="center" vertical="center" wrapText="1"/>
    </xf>
    <xf numFmtId="0" fontId="173" fillId="17" borderId="182" xfId="0" applyFont="1" applyFill="1" applyBorder="1" applyAlignment="1">
      <alignment horizontal="center" vertical="center" wrapText="1"/>
    </xf>
    <xf numFmtId="0" fontId="6" fillId="17" borderId="365" xfId="0" applyFont="1" applyFill="1" applyBorder="1" applyAlignment="1">
      <alignment horizontal="left" vertical="center"/>
    </xf>
    <xf numFmtId="0" fontId="6" fillId="17" borderId="366" xfId="0" applyFont="1" applyFill="1" applyBorder="1" applyAlignment="1">
      <alignment horizontal="left" vertical="center"/>
    </xf>
    <xf numFmtId="0" fontId="6" fillId="17" borderId="169" xfId="0" applyFont="1" applyFill="1" applyBorder="1" applyAlignment="1">
      <alignment horizontal="left" vertical="center"/>
    </xf>
    <xf numFmtId="0" fontId="6" fillId="17" borderId="367" xfId="0" applyFont="1" applyFill="1" applyBorder="1" applyAlignment="1">
      <alignment horizontal="left" vertical="center"/>
    </xf>
    <xf numFmtId="0" fontId="6" fillId="17" borderId="368" xfId="0" applyFont="1" applyFill="1" applyBorder="1" applyAlignment="1">
      <alignment horizontal="left" vertical="center"/>
    </xf>
    <xf numFmtId="0" fontId="6" fillId="17" borderId="226" xfId="0" applyFont="1" applyFill="1" applyBorder="1" applyAlignment="1">
      <alignment horizontal="left" vertical="center"/>
    </xf>
    <xf numFmtId="0" fontId="162" fillId="16" borderId="236" xfId="0" applyFont="1" applyFill="1" applyBorder="1" applyAlignment="1">
      <alignment vertical="center" wrapText="1"/>
    </xf>
    <xf numFmtId="0" fontId="162" fillId="16" borderId="237" xfId="0" applyFont="1" applyFill="1" applyBorder="1" applyAlignment="1">
      <alignment vertical="center" wrapText="1"/>
    </xf>
    <xf numFmtId="166" fontId="162" fillId="16" borderId="237" xfId="0" applyNumberFormat="1" applyFont="1" applyFill="1" applyBorder="1"/>
    <xf numFmtId="164" fontId="162" fillId="16" borderId="238" xfId="0" applyNumberFormat="1" applyFont="1" applyFill="1" applyBorder="1"/>
    <xf numFmtId="43" fontId="162" fillId="16" borderId="290" xfId="1" applyFont="1" applyFill="1" applyBorder="1" applyAlignment="1">
      <alignment horizontal="right"/>
    </xf>
    <xf numFmtId="43" fontId="162" fillId="16" borderId="286" xfId="1" applyFont="1" applyFill="1" applyBorder="1" applyAlignment="1">
      <alignment horizontal="right"/>
    </xf>
    <xf numFmtId="164" fontId="162" fillId="16" borderId="277" xfId="0" applyNumberFormat="1" applyFont="1" applyFill="1" applyBorder="1"/>
    <xf numFmtId="43" fontId="162" fillId="16" borderId="292" xfId="1" applyFont="1" applyFill="1" applyBorder="1" applyAlignment="1">
      <alignment horizontal="right"/>
    </xf>
    <xf numFmtId="166" fontId="162" fillId="16" borderId="281" xfId="0" applyNumberFormat="1" applyFont="1" applyFill="1" applyBorder="1"/>
    <xf numFmtId="43" fontId="162" fillId="16" borderId="293" xfId="1" applyFont="1" applyFill="1" applyBorder="1" applyAlignment="1">
      <alignment horizontal="right"/>
    </xf>
    <xf numFmtId="166" fontId="162" fillId="16" borderId="273" xfId="0" applyNumberFormat="1" applyFont="1" applyFill="1" applyBorder="1"/>
    <xf numFmtId="164" fontId="162" fillId="16" borderId="283" xfId="0" applyNumberFormat="1" applyFont="1" applyFill="1" applyBorder="1"/>
    <xf numFmtId="166" fontId="162" fillId="16" borderId="245" xfId="0" applyNumberFormat="1" applyFont="1" applyFill="1" applyBorder="1"/>
    <xf numFmtId="0" fontId="162" fillId="16" borderId="241" xfId="0" applyFont="1" applyFill="1" applyBorder="1" applyAlignment="1">
      <alignment vertical="center" wrapText="1"/>
    </xf>
    <xf numFmtId="166" fontId="162" fillId="16" borderId="275" xfId="0" applyNumberFormat="1" applyFont="1" applyFill="1" applyBorder="1"/>
    <xf numFmtId="0" fontId="162" fillId="16" borderId="243" xfId="0" applyFont="1" applyFill="1" applyBorder="1" applyAlignment="1">
      <alignment vertical="center" wrapText="1"/>
    </xf>
    <xf numFmtId="166" fontId="162" fillId="16" borderId="247" xfId="0" applyNumberFormat="1" applyFont="1" applyFill="1" applyBorder="1"/>
    <xf numFmtId="0" fontId="162" fillId="16" borderId="69" xfId="0" applyFont="1" applyFill="1" applyBorder="1" applyAlignment="1">
      <alignment vertical="center" wrapText="1"/>
    </xf>
    <xf numFmtId="166" fontId="162" fillId="16" borderId="72" xfId="0" applyNumberFormat="1" applyFont="1" applyFill="1" applyBorder="1"/>
    <xf numFmtId="43" fontId="162" fillId="16" borderId="294" xfId="1" applyFont="1" applyFill="1" applyBorder="1" applyAlignment="1">
      <alignment horizontal="right"/>
    </xf>
    <xf numFmtId="0" fontId="162" fillId="16" borderId="242" xfId="0" applyFont="1" applyFill="1" applyBorder="1" applyAlignment="1">
      <alignment vertical="center" wrapText="1"/>
    </xf>
    <xf numFmtId="164" fontId="162" fillId="16" borderId="287" xfId="0" applyNumberFormat="1" applyFont="1" applyFill="1" applyBorder="1"/>
    <xf numFmtId="164" fontId="162" fillId="16" borderId="286" xfId="0" applyNumberFormat="1" applyFont="1" applyFill="1" applyBorder="1"/>
    <xf numFmtId="164" fontId="162" fillId="16" borderId="288" xfId="0" applyNumberFormat="1" applyFont="1" applyFill="1" applyBorder="1"/>
    <xf numFmtId="10" fontId="162" fillId="16" borderId="289" xfId="0" applyNumberFormat="1" applyFont="1" applyFill="1" applyBorder="1"/>
    <xf numFmtId="10" fontId="162" fillId="16" borderId="274" xfId="0" applyNumberFormat="1" applyFont="1" applyFill="1" applyBorder="1"/>
    <xf numFmtId="10" fontId="162" fillId="16" borderId="216" xfId="0" applyNumberFormat="1" applyFont="1" applyFill="1" applyBorder="1"/>
    <xf numFmtId="166" fontId="162" fillId="17" borderId="273" xfId="0" applyNumberFormat="1" applyFont="1" applyFill="1" applyBorder="1"/>
    <xf numFmtId="166" fontId="162" fillId="17" borderId="245" xfId="0" applyNumberFormat="1" applyFont="1" applyFill="1" applyBorder="1"/>
    <xf numFmtId="0" fontId="162" fillId="17" borderId="243" xfId="0" applyFont="1" applyFill="1" applyBorder="1" applyAlignment="1">
      <alignment wrapText="1"/>
    </xf>
    <xf numFmtId="164" fontId="162" fillId="17" borderId="294" xfId="0" applyNumberFormat="1" applyFont="1" applyFill="1" applyBorder="1"/>
    <xf numFmtId="0" fontId="162" fillId="17" borderId="242" xfId="0" applyFont="1" applyFill="1" applyBorder="1" applyAlignment="1">
      <alignment wrapText="1"/>
    </xf>
    <xf numFmtId="43" fontId="162" fillId="17" borderId="292" xfId="1" applyFont="1" applyFill="1" applyBorder="1"/>
    <xf numFmtId="43" fontId="162" fillId="17" borderId="257" xfId="1" applyFont="1" applyFill="1" applyBorder="1"/>
    <xf numFmtId="43" fontId="162" fillId="17" borderId="276" xfId="1" applyFont="1" applyFill="1" applyBorder="1"/>
    <xf numFmtId="0" fontId="162" fillId="17" borderId="251" xfId="0" applyFont="1" applyFill="1" applyBorder="1" applyAlignment="1">
      <alignment wrapText="1"/>
    </xf>
    <xf numFmtId="166" fontId="162" fillId="17" borderId="297" xfId="0" applyNumberFormat="1" applyFont="1" applyFill="1" applyBorder="1"/>
    <xf numFmtId="43" fontId="162" fillId="16" borderId="369" xfId="1" applyFont="1" applyFill="1" applyBorder="1"/>
    <xf numFmtId="43" fontId="162" fillId="16" borderId="363" xfId="1" applyFont="1" applyFill="1" applyBorder="1"/>
    <xf numFmtId="43" fontId="162" fillId="16" borderId="370" xfId="1" applyFont="1" applyFill="1" applyBorder="1"/>
    <xf numFmtId="43" fontId="162" fillId="16" borderId="371" xfId="1" applyFont="1" applyFill="1" applyBorder="1"/>
    <xf numFmtId="43" fontId="162" fillId="16" borderId="372" xfId="1" applyFont="1" applyFill="1" applyBorder="1"/>
    <xf numFmtId="43" fontId="162" fillId="17" borderId="363" xfId="1" applyFont="1" applyFill="1" applyBorder="1"/>
    <xf numFmtId="43" fontId="162" fillId="17" borderId="370" xfId="1" applyFont="1" applyFill="1" applyBorder="1"/>
    <xf numFmtId="43" fontId="162" fillId="16" borderId="374" xfId="1" applyFont="1" applyFill="1" applyBorder="1"/>
    <xf numFmtId="43" fontId="162" fillId="16" borderId="375" xfId="1" applyFont="1" applyFill="1" applyBorder="1"/>
    <xf numFmtId="43" fontId="162" fillId="16" borderId="376" xfId="1" applyFont="1" applyFill="1" applyBorder="1"/>
    <xf numFmtId="43" fontId="162" fillId="16" borderId="377" xfId="1" applyFont="1" applyFill="1" applyBorder="1"/>
    <xf numFmtId="43" fontId="162" fillId="16" borderId="378" xfId="1" applyFont="1" applyFill="1" applyBorder="1"/>
    <xf numFmtId="43" fontId="162" fillId="17" borderId="375" xfId="1" applyFont="1" applyFill="1" applyBorder="1"/>
    <xf numFmtId="43" fontId="162" fillId="17" borderId="376" xfId="1" applyFont="1" applyFill="1" applyBorder="1"/>
    <xf numFmtId="164" fontId="162" fillId="17" borderId="68" xfId="0" applyNumberFormat="1" applyFont="1" applyFill="1" applyBorder="1" applyAlignment="1">
      <alignment horizontal="right"/>
    </xf>
    <xf numFmtId="164" fontId="162" fillId="17" borderId="211" xfId="0" applyNumberFormat="1" applyFont="1" applyFill="1" applyBorder="1" applyAlignment="1">
      <alignment horizontal="right"/>
    </xf>
    <xf numFmtId="164" fontId="162" fillId="17" borderId="319" xfId="0" applyNumberFormat="1" applyFont="1" applyFill="1" applyBorder="1" applyAlignment="1">
      <alignment horizontal="right"/>
    </xf>
    <xf numFmtId="0" fontId="162" fillId="17" borderId="381" xfId="0" applyFont="1" applyFill="1" applyBorder="1" applyAlignment="1">
      <alignment wrapText="1"/>
    </xf>
    <xf numFmtId="0" fontId="162" fillId="17" borderId="382" xfId="0" applyFont="1" applyFill="1" applyBorder="1" applyAlignment="1">
      <alignment wrapText="1"/>
    </xf>
    <xf numFmtId="164" fontId="162" fillId="17" borderId="120" xfId="0" applyNumberFormat="1" applyFont="1" applyFill="1" applyBorder="1"/>
    <xf numFmtId="164" fontId="162" fillId="17" borderId="121" xfId="0" applyNumberFormat="1" applyFont="1" applyFill="1" applyBorder="1"/>
    <xf numFmtId="10" fontId="162" fillId="17" borderId="75" xfId="0" applyNumberFormat="1" applyFont="1" applyFill="1" applyBorder="1"/>
    <xf numFmtId="43" fontId="162" fillId="17" borderId="277" xfId="1" applyFont="1" applyFill="1" applyBorder="1"/>
    <xf numFmtId="0" fontId="162" fillId="17" borderId="383" xfId="0" applyFont="1" applyFill="1" applyBorder="1" applyAlignment="1">
      <alignment wrapText="1"/>
    </xf>
    <xf numFmtId="0" fontId="162" fillId="17" borderId="384" xfId="0" applyFont="1" applyFill="1" applyBorder="1" applyAlignment="1">
      <alignment wrapText="1"/>
    </xf>
    <xf numFmtId="164" fontId="162" fillId="17" borderId="385" xfId="0" applyNumberFormat="1" applyFont="1" applyFill="1" applyBorder="1"/>
    <xf numFmtId="164" fontId="162" fillId="17" borderId="386" xfId="0" applyNumberFormat="1" applyFont="1" applyFill="1" applyBorder="1"/>
    <xf numFmtId="43" fontId="162" fillId="17" borderId="385" xfId="1" applyFont="1" applyFill="1" applyBorder="1"/>
    <xf numFmtId="43" fontId="162" fillId="17" borderId="386" xfId="1" applyFont="1" applyFill="1" applyBorder="1"/>
    <xf numFmtId="0" fontId="78" fillId="22" borderId="322" xfId="0" applyFont="1" applyFill="1" applyBorder="1"/>
    <xf numFmtId="0" fontId="78" fillId="22" borderId="70" xfId="0" applyFont="1" applyFill="1" applyBorder="1"/>
    <xf numFmtId="0" fontId="78" fillId="22" borderId="212" xfId="0" applyFont="1" applyFill="1" applyBorder="1"/>
    <xf numFmtId="43" fontId="162" fillId="17" borderId="18" xfId="1" applyFont="1" applyFill="1" applyBorder="1"/>
    <xf numFmtId="43" fontId="162" fillId="17" borderId="9" xfId="1" applyFont="1" applyFill="1" applyBorder="1"/>
    <xf numFmtId="166" fontId="162" fillId="17" borderId="113" xfId="0" applyNumberFormat="1" applyFont="1" applyFill="1" applyBorder="1"/>
    <xf numFmtId="164" fontId="162" fillId="17" borderId="21" xfId="4" applyNumberFormat="1" applyFont="1" applyFill="1" applyBorder="1"/>
    <xf numFmtId="43" fontId="162" fillId="17" borderId="20" xfId="1" applyFont="1" applyFill="1" applyBorder="1"/>
    <xf numFmtId="43" fontId="162" fillId="17" borderId="21" xfId="1" applyFont="1" applyFill="1" applyBorder="1"/>
    <xf numFmtId="43" fontId="162" fillId="17" borderId="22" xfId="1" applyFont="1" applyFill="1" applyBorder="1"/>
    <xf numFmtId="0" fontId="162" fillId="22" borderId="29" xfId="0" applyFont="1" applyFill="1" applyBorder="1" applyAlignment="1">
      <alignment wrapText="1"/>
    </xf>
    <xf numFmtId="0" fontId="162" fillId="22" borderId="22" xfId="0" applyFont="1" applyFill="1" applyBorder="1"/>
    <xf numFmtId="49" fontId="162" fillId="17" borderId="11" xfId="0" applyNumberFormat="1" applyFont="1" applyFill="1" applyBorder="1" applyAlignment="1">
      <alignment horizontal="left" wrapText="1"/>
    </xf>
    <xf numFmtId="49" fontId="162" fillId="17" borderId="9" xfId="0" applyNumberFormat="1" applyFont="1" applyFill="1" applyBorder="1" applyAlignment="1">
      <alignment horizontal="left" wrapText="1"/>
    </xf>
    <xf numFmtId="0" fontId="162" fillId="17" borderId="9" xfId="0" applyFont="1" applyFill="1" applyBorder="1" applyAlignment="1">
      <alignment wrapText="1"/>
    </xf>
    <xf numFmtId="43" fontId="162" fillId="17" borderId="10" xfId="0" applyNumberFormat="1" applyFont="1" applyFill="1" applyBorder="1" applyAlignment="1">
      <alignment horizontal="right"/>
    </xf>
    <xf numFmtId="43" fontId="162" fillId="17" borderId="18" xfId="0" applyNumberFormat="1" applyFont="1" applyFill="1" applyBorder="1"/>
    <xf numFmtId="43" fontId="162" fillId="17" borderId="9" xfId="0" applyNumberFormat="1" applyFont="1" applyFill="1" applyBorder="1"/>
    <xf numFmtId="0" fontId="162" fillId="16" borderId="0" xfId="0" applyFont="1" applyFill="1"/>
    <xf numFmtId="43" fontId="162" fillId="16" borderId="0" xfId="0" applyNumberFormat="1" applyFont="1" applyFill="1"/>
    <xf numFmtId="43" fontId="162" fillId="17" borderId="18" xfId="4" applyNumberFormat="1" applyFont="1" applyFill="1" applyBorder="1" applyAlignment="1">
      <alignment horizontal="right"/>
    </xf>
    <xf numFmtId="164" fontId="162" fillId="17" borderId="307" xfId="4" applyNumberFormat="1" applyFont="1" applyFill="1" applyBorder="1"/>
    <xf numFmtId="0" fontId="162" fillId="0" borderId="0" xfId="0" applyFont="1"/>
    <xf numFmtId="164" fontId="162" fillId="17" borderId="121" xfId="4" applyNumberFormat="1" applyFont="1" applyFill="1" applyBorder="1"/>
    <xf numFmtId="49" fontId="162" fillId="17" borderId="20" xfId="0" applyNumberFormat="1" applyFont="1" applyFill="1" applyBorder="1" applyAlignment="1">
      <alignment horizontal="left" wrapText="1"/>
    </xf>
    <xf numFmtId="49" fontId="162" fillId="17" borderId="272" xfId="0" applyNumberFormat="1" applyFont="1" applyFill="1" applyBorder="1" applyAlignment="1">
      <alignment horizontal="left" wrapText="1"/>
    </xf>
    <xf numFmtId="49" fontId="162" fillId="17" borderId="21" xfId="0" applyNumberFormat="1" applyFont="1" applyFill="1" applyBorder="1" applyAlignment="1">
      <alignment horizontal="left" wrapText="1"/>
    </xf>
    <xf numFmtId="0" fontId="162" fillId="17" borderId="21" xfId="0" applyFont="1" applyFill="1" applyBorder="1" applyAlignment="1">
      <alignment wrapText="1"/>
    </xf>
    <xf numFmtId="166" fontId="162" fillId="17" borderId="22" xfId="0" applyNumberFormat="1" applyFont="1" applyFill="1" applyBorder="1"/>
    <xf numFmtId="164" fontId="162" fillId="17" borderId="272" xfId="0" applyNumberFormat="1" applyFont="1" applyFill="1" applyBorder="1"/>
    <xf numFmtId="164" fontId="162" fillId="17" borderId="388" xfId="4" applyNumberFormat="1" applyFont="1" applyFill="1" applyBorder="1"/>
    <xf numFmtId="43" fontId="162" fillId="17" borderId="20" xfId="4" applyNumberFormat="1" applyFont="1" applyFill="1" applyBorder="1" applyAlignment="1">
      <alignment horizontal="right"/>
    </xf>
    <xf numFmtId="43" fontId="162" fillId="17" borderId="20" xfId="0" applyNumberFormat="1" applyFont="1" applyFill="1" applyBorder="1"/>
    <xf numFmtId="43" fontId="162" fillId="17" borderId="21" xfId="0" applyNumberFormat="1" applyFont="1" applyFill="1" applyBorder="1"/>
    <xf numFmtId="0" fontId="87" fillId="17" borderId="23" xfId="0" applyFont="1" applyFill="1" applyBorder="1" applyAlignment="1">
      <alignment vertical="center" wrapText="1"/>
    </xf>
    <xf numFmtId="0" fontId="87" fillId="17" borderId="0" xfId="0" applyFont="1" applyFill="1" applyAlignment="1">
      <alignment vertical="center" wrapText="1"/>
    </xf>
    <xf numFmtId="0" fontId="6" fillId="17" borderId="389" xfId="0" applyFont="1" applyFill="1" applyBorder="1" applyAlignment="1">
      <alignment wrapText="1"/>
    </xf>
    <xf numFmtId="0" fontId="162" fillId="17" borderId="292" xfId="0" applyFont="1" applyFill="1" applyBorder="1" applyAlignment="1">
      <alignment wrapText="1"/>
    </xf>
    <xf numFmtId="0" fontId="162" fillId="17" borderId="390" xfId="0" applyFont="1" applyFill="1" applyBorder="1" applyAlignment="1">
      <alignment wrapText="1"/>
    </xf>
    <xf numFmtId="164" fontId="162" fillId="17" borderId="292" xfId="0" applyNumberFormat="1" applyFont="1" applyFill="1" applyBorder="1"/>
    <xf numFmtId="164" fontId="162" fillId="17" borderId="257" xfId="0" applyNumberFormat="1" applyFont="1" applyFill="1" applyBorder="1"/>
    <xf numFmtId="164" fontId="162" fillId="22" borderId="257" xfId="4" applyNumberFormat="1" applyFont="1" applyFill="1" applyBorder="1" applyAlignment="1">
      <alignment horizontal="left" wrapText="1"/>
    </xf>
    <xf numFmtId="10" fontId="162" fillId="17" borderId="276" xfId="0" applyNumberFormat="1" applyFont="1" applyFill="1" applyBorder="1"/>
    <xf numFmtId="0" fontId="162" fillId="22" borderId="276" xfId="0" applyFont="1" applyFill="1" applyBorder="1" applyAlignment="1">
      <alignment vertical="top" wrapText="1"/>
    </xf>
    <xf numFmtId="2" fontId="79" fillId="93" borderId="271" xfId="1" applyNumberFormat="1" applyFont="1" applyFill="1" applyBorder="1" applyAlignment="1">
      <alignment horizontal="center" vertical="center"/>
    </xf>
    <xf numFmtId="2" fontId="79" fillId="93" borderId="173" xfId="1" applyNumberFormat="1" applyFont="1" applyFill="1" applyBorder="1" applyAlignment="1">
      <alignment horizontal="center" vertical="center"/>
    </xf>
    <xf numFmtId="2" fontId="79" fillId="93" borderId="174" xfId="1" applyNumberFormat="1" applyFont="1" applyFill="1" applyBorder="1" applyAlignment="1">
      <alignment horizontal="center" vertical="center"/>
    </xf>
    <xf numFmtId="0" fontId="166" fillId="0" borderId="314" xfId="0" applyFont="1" applyBorder="1"/>
    <xf numFmtId="0" fontId="162" fillId="17" borderId="204" xfId="0" applyFont="1" applyFill="1" applyBorder="1" applyAlignment="1">
      <alignment vertical="center"/>
    </xf>
    <xf numFmtId="2" fontId="162" fillId="16" borderId="208" xfId="1" applyNumberFormat="1" applyFont="1" applyFill="1" applyBorder="1" applyAlignment="1">
      <alignment horizontal="center" vertical="center"/>
    </xf>
    <xf numFmtId="0" fontId="6" fillId="0" borderId="0" xfId="0" applyFont="1" applyAlignment="1">
      <alignment horizontal="right" wrapText="1"/>
    </xf>
    <xf numFmtId="164" fontId="162" fillId="17" borderId="288" xfId="1" applyNumberFormat="1" applyFont="1" applyFill="1" applyBorder="1"/>
    <xf numFmtId="0" fontId="4" fillId="16" borderId="0" xfId="0" applyFont="1" applyFill="1"/>
    <xf numFmtId="0" fontId="67" fillId="0" borderId="0" xfId="0" applyFont="1"/>
    <xf numFmtId="0" fontId="139" fillId="0" borderId="0" xfId="0" applyFont="1"/>
    <xf numFmtId="0" fontId="22" fillId="0" borderId="0" xfId="0" applyFont="1"/>
    <xf numFmtId="0" fontId="104" fillId="0" borderId="0" xfId="9100" applyFont="1" applyFill="1" applyBorder="1" applyAlignment="1" applyProtection="1"/>
    <xf numFmtId="0" fontId="11" fillId="0" borderId="0" xfId="0" applyFont="1"/>
    <xf numFmtId="9" fontId="0" fillId="18" borderId="184" xfId="2" applyFont="1" applyFill="1" applyBorder="1"/>
    <xf numFmtId="164" fontId="84" fillId="17" borderId="299" xfId="1" applyNumberFormat="1" applyFont="1" applyFill="1" applyBorder="1" applyAlignment="1">
      <alignment horizontal="left" vertical="center"/>
    </xf>
    <xf numFmtId="164" fontId="84" fillId="17" borderId="361" xfId="1" applyNumberFormat="1" applyFont="1" applyFill="1" applyBorder="1" applyAlignment="1">
      <alignment horizontal="left" vertical="center"/>
    </xf>
    <xf numFmtId="43" fontId="6" fillId="17" borderId="285" xfId="0" applyNumberFormat="1" applyFont="1" applyFill="1" applyBorder="1" applyAlignment="1">
      <alignment horizontal="left" vertical="center"/>
    </xf>
    <xf numFmtId="43" fontId="6" fillId="17" borderId="242" xfId="0" applyNumberFormat="1" applyFont="1" applyFill="1" applyBorder="1" applyAlignment="1">
      <alignment horizontal="left" vertical="center"/>
    </xf>
    <xf numFmtId="43" fontId="6" fillId="17" borderId="288" xfId="0" applyNumberFormat="1" applyFont="1" applyFill="1" applyBorder="1" applyAlignment="1">
      <alignment horizontal="left" vertical="center"/>
    </xf>
    <xf numFmtId="43" fontId="6" fillId="17" borderId="251" xfId="0" applyNumberFormat="1" applyFont="1" applyFill="1" applyBorder="1" applyAlignment="1">
      <alignment horizontal="left" vertical="center"/>
    </xf>
    <xf numFmtId="165" fontId="162" fillId="16" borderId="285" xfId="1" applyNumberFormat="1" applyFont="1" applyFill="1" applyBorder="1" applyAlignment="1">
      <alignment horizontal="right"/>
    </xf>
    <xf numFmtId="165" fontId="162" fillId="16" borderId="286" xfId="1" applyNumberFormat="1" applyFont="1" applyFill="1" applyBorder="1" applyAlignment="1">
      <alignment horizontal="right"/>
    </xf>
    <xf numFmtId="49" fontId="162" fillId="17" borderId="163" xfId="0" applyNumberFormat="1" applyFont="1" applyFill="1" applyBorder="1" applyAlignment="1">
      <alignment horizontal="left" wrapText="1"/>
    </xf>
    <xf numFmtId="49" fontId="162" fillId="17" borderId="123" xfId="0" applyNumberFormat="1" applyFont="1" applyFill="1" applyBorder="1" applyAlignment="1">
      <alignment horizontal="left" wrapText="1"/>
    </xf>
    <xf numFmtId="0" fontId="162" fillId="17" borderId="123" xfId="0" applyFont="1" applyFill="1" applyBorder="1" applyAlignment="1">
      <alignment wrapText="1"/>
    </xf>
    <xf numFmtId="164" fontId="162" fillId="17" borderId="122" xfId="0" applyNumberFormat="1" applyFont="1" applyFill="1" applyBorder="1"/>
    <xf numFmtId="164" fontId="162" fillId="17" borderId="393" xfId="4" applyNumberFormat="1" applyFont="1" applyFill="1" applyBorder="1"/>
    <xf numFmtId="43" fontId="162" fillId="17" borderId="122" xfId="4" applyNumberFormat="1" applyFont="1" applyFill="1" applyBorder="1" applyAlignment="1">
      <alignment horizontal="right"/>
    </xf>
    <xf numFmtId="164" fontId="162" fillId="17" borderId="164" xfId="4" applyNumberFormat="1" applyFont="1" applyFill="1" applyBorder="1"/>
    <xf numFmtId="43" fontId="162" fillId="17" borderId="122" xfId="0" applyNumberFormat="1" applyFont="1" applyFill="1" applyBorder="1"/>
    <xf numFmtId="43" fontId="162" fillId="17" borderId="123" xfId="0" applyNumberFormat="1" applyFont="1" applyFill="1" applyBorder="1"/>
    <xf numFmtId="0" fontId="162" fillId="24" borderId="26" xfId="0" applyFont="1" applyFill="1" applyBorder="1"/>
    <xf numFmtId="0" fontId="162" fillId="25" borderId="26" xfId="0" applyFont="1" applyFill="1" applyBorder="1"/>
    <xf numFmtId="0" fontId="162" fillId="25" borderId="26" xfId="0" applyFont="1" applyFill="1" applyBorder="1" applyAlignment="1">
      <alignment horizontal="right"/>
    </xf>
    <xf numFmtId="0" fontId="184" fillId="0" borderId="394" xfId="0" applyFont="1" applyBorder="1" applyAlignment="1">
      <alignment horizontal="left" wrapText="1"/>
    </xf>
    <xf numFmtId="0" fontId="184" fillId="0" borderId="395" xfId="0" applyFont="1" applyBorder="1" applyAlignment="1">
      <alignment horizontal="left" wrapText="1"/>
    </xf>
    <xf numFmtId="164" fontId="162" fillId="17" borderId="318" xfId="1" applyNumberFormat="1" applyFont="1" applyFill="1" applyBorder="1"/>
    <xf numFmtId="164" fontId="162" fillId="17" borderId="222" xfId="1" applyNumberFormat="1" applyFont="1" applyFill="1" applyBorder="1"/>
    <xf numFmtId="164" fontId="162" fillId="17" borderId="300" xfId="1" applyNumberFormat="1" applyFont="1" applyFill="1" applyBorder="1"/>
    <xf numFmtId="164" fontId="162" fillId="17" borderId="326" xfId="1" applyNumberFormat="1" applyFont="1" applyFill="1" applyBorder="1"/>
    <xf numFmtId="164" fontId="162" fillId="17" borderId="223" xfId="1" applyNumberFormat="1" applyFont="1" applyFill="1" applyBorder="1"/>
    <xf numFmtId="0" fontId="66" fillId="20" borderId="76" xfId="0" applyFont="1" applyFill="1" applyBorder="1" applyAlignment="1">
      <alignment horizontal="center" vertical="center" wrapText="1"/>
    </xf>
    <xf numFmtId="0" fontId="66" fillId="20" borderId="6" xfId="0" applyFont="1" applyFill="1" applyBorder="1" applyAlignment="1">
      <alignment horizontal="center"/>
    </xf>
    <xf numFmtId="167" fontId="84" fillId="83" borderId="76" xfId="12" applyNumberFormat="1" applyFont="1" applyFill="1" applyBorder="1" applyAlignment="1">
      <alignment horizontal="center"/>
    </xf>
    <xf numFmtId="167" fontId="84" fillId="83" borderId="6" xfId="12" applyNumberFormat="1" applyFont="1" applyFill="1" applyBorder="1" applyAlignment="1">
      <alignment horizontal="center"/>
    </xf>
    <xf numFmtId="167" fontId="84" fillId="83" borderId="78" xfId="12" applyNumberFormat="1" applyFont="1" applyFill="1" applyBorder="1" applyAlignment="1">
      <alignment horizontal="center"/>
    </xf>
    <xf numFmtId="167" fontId="84" fillId="83" borderId="432" xfId="12" applyNumberFormat="1" applyFont="1" applyFill="1" applyBorder="1" applyAlignment="1">
      <alignment horizontal="center"/>
    </xf>
    <xf numFmtId="167" fontId="84" fillId="83" borderId="434" xfId="12" applyNumberFormat="1" applyFont="1" applyFill="1" applyBorder="1" applyAlignment="1">
      <alignment horizontal="center"/>
    </xf>
    <xf numFmtId="167" fontId="84" fillId="83" borderId="76" xfId="12" applyNumberFormat="1" applyFont="1" applyFill="1" applyBorder="1" applyAlignment="1">
      <alignment horizontal="center" vertical="center"/>
    </xf>
    <xf numFmtId="167" fontId="84" fillId="83" borderId="6" xfId="12" applyNumberFormat="1" applyFont="1" applyFill="1" applyBorder="1" applyAlignment="1">
      <alignment horizontal="center" vertical="center"/>
    </xf>
    <xf numFmtId="167" fontId="84" fillId="83" borderId="0" xfId="12" applyNumberFormat="1" applyFont="1" applyFill="1" applyBorder="1" applyAlignment="1">
      <alignment horizontal="center" vertical="center"/>
    </xf>
    <xf numFmtId="167" fontId="84" fillId="83" borderId="78" xfId="12" applyNumberFormat="1" applyFont="1" applyFill="1" applyBorder="1" applyAlignment="1">
      <alignment horizontal="center" vertical="center"/>
    </xf>
    <xf numFmtId="167" fontId="84" fillId="83" borderId="432" xfId="12" applyNumberFormat="1" applyFont="1" applyFill="1" applyBorder="1" applyAlignment="1">
      <alignment horizontal="center" vertical="center"/>
    </xf>
    <xf numFmtId="167" fontId="84" fillId="83" borderId="434" xfId="12" applyNumberFormat="1" applyFont="1" applyFill="1" applyBorder="1" applyAlignment="1">
      <alignment horizontal="center" vertical="center"/>
    </xf>
    <xf numFmtId="167" fontId="84" fillId="83" borderId="5" xfId="12" applyNumberFormat="1" applyFont="1" applyFill="1" applyBorder="1" applyAlignment="1">
      <alignment horizontal="center"/>
    </xf>
    <xf numFmtId="167" fontId="84" fillId="83" borderId="77" xfId="12" applyNumberFormat="1" applyFont="1" applyFill="1" applyBorder="1" applyAlignment="1">
      <alignment horizontal="center"/>
    </xf>
    <xf numFmtId="167" fontId="84" fillId="83" borderId="88" xfId="12" applyNumberFormat="1" applyFont="1" applyFill="1" applyBorder="1" applyAlignment="1">
      <alignment horizontal="center"/>
    </xf>
    <xf numFmtId="0" fontId="66" fillId="20" borderId="5" xfId="0" applyFont="1" applyFill="1" applyBorder="1" applyAlignment="1">
      <alignment horizontal="center"/>
    </xf>
    <xf numFmtId="0" fontId="84" fillId="83" borderId="88" xfId="9" applyFont="1" applyFill="1" applyBorder="1" applyAlignment="1">
      <alignment horizontal="center" vertical="center"/>
    </xf>
    <xf numFmtId="0" fontId="84" fillId="83" borderId="77" xfId="9" applyFont="1" applyFill="1" applyBorder="1" applyAlignment="1">
      <alignment horizontal="center" vertical="center"/>
    </xf>
    <xf numFmtId="0" fontId="84" fillId="83" borderId="5" xfId="9" applyFont="1" applyFill="1" applyBorder="1" applyAlignment="1">
      <alignment horizontal="center" vertical="center"/>
    </xf>
    <xf numFmtId="0" fontId="85" fillId="20" borderId="5" xfId="9" applyFont="1" applyFill="1" applyBorder="1" applyAlignment="1">
      <alignment horizontal="center"/>
    </xf>
    <xf numFmtId="0" fontId="66" fillId="20" borderId="6" xfId="0" applyFont="1" applyFill="1" applyBorder="1" applyAlignment="1">
      <alignment horizontal="center" vertical="center" wrapText="1"/>
    </xf>
    <xf numFmtId="0" fontId="66" fillId="20" borderId="5" xfId="0" applyFont="1" applyFill="1" applyBorder="1" applyAlignment="1">
      <alignment horizontal="center" vertical="center" wrapText="1"/>
    </xf>
    <xf numFmtId="0" fontId="84" fillId="83" borderId="432" xfId="9" applyFont="1" applyFill="1" applyBorder="1" applyAlignment="1">
      <alignment horizontal="center"/>
    </xf>
    <xf numFmtId="0" fontId="84" fillId="83" borderId="76" xfId="9" applyFont="1" applyFill="1" applyBorder="1" applyAlignment="1">
      <alignment horizontal="center"/>
    </xf>
    <xf numFmtId="0" fontId="66" fillId="20" borderId="92" xfId="0" applyFont="1" applyFill="1" applyBorder="1" applyAlignment="1">
      <alignment horizontal="center" wrapText="1"/>
    </xf>
    <xf numFmtId="0" fontId="85" fillId="20" borderId="6" xfId="9" applyFont="1" applyFill="1" applyBorder="1" applyAlignment="1">
      <alignment horizontal="center"/>
    </xf>
    <xf numFmtId="167" fontId="84" fillId="83" borderId="5" xfId="12" applyNumberFormat="1" applyFont="1" applyFill="1" applyBorder="1" applyAlignment="1">
      <alignment horizontal="center" vertical="center"/>
    </xf>
    <xf numFmtId="0" fontId="66" fillId="20" borderId="76" xfId="0" applyFont="1" applyFill="1" applyBorder="1" applyAlignment="1">
      <alignment horizontal="center"/>
    </xf>
    <xf numFmtId="167" fontId="84" fillId="83" borderId="77" xfId="12" applyNumberFormat="1" applyFont="1" applyFill="1" applyBorder="1" applyAlignment="1">
      <alignment horizontal="center" vertical="center"/>
    </xf>
    <xf numFmtId="0" fontId="85" fillId="20" borderId="4" xfId="9" applyFont="1" applyFill="1" applyBorder="1" applyAlignment="1">
      <alignment horizontal="center"/>
    </xf>
    <xf numFmtId="0" fontId="85" fillId="20" borderId="76" xfId="9" applyFont="1" applyFill="1" applyBorder="1" applyAlignment="1">
      <alignment horizontal="center"/>
    </xf>
    <xf numFmtId="167" fontId="84" fillId="83" borderId="88" xfId="12" applyNumberFormat="1" applyFont="1" applyFill="1" applyBorder="1" applyAlignment="1">
      <alignment horizontal="center" vertical="center"/>
    </xf>
    <xf numFmtId="167" fontId="84" fillId="83" borderId="76" xfId="9292" applyNumberFormat="1" applyFont="1" applyFill="1" applyBorder="1" applyAlignment="1">
      <alignment horizontal="center"/>
    </xf>
    <xf numFmtId="167" fontId="84" fillId="83" borderId="432" xfId="9292" applyNumberFormat="1" applyFont="1" applyFill="1" applyBorder="1" applyAlignment="1">
      <alignment horizontal="center"/>
    </xf>
    <xf numFmtId="0" fontId="85" fillId="20" borderId="92" xfId="9" applyFont="1" applyFill="1" applyBorder="1" applyAlignment="1">
      <alignment horizontal="center"/>
    </xf>
    <xf numFmtId="0" fontId="85" fillId="20" borderId="91" xfId="9" applyFont="1" applyFill="1" applyBorder="1" applyAlignment="1">
      <alignment horizontal="center"/>
    </xf>
    <xf numFmtId="167" fontId="84" fillId="83" borderId="88" xfId="9" applyNumberFormat="1" applyFont="1" applyFill="1" applyBorder="1" applyAlignment="1">
      <alignment horizontal="center"/>
    </xf>
    <xf numFmtId="0" fontId="252" fillId="0" borderId="0" xfId="0" applyFont="1"/>
    <xf numFmtId="164" fontId="163" fillId="22" borderId="9" xfId="0" applyNumberFormat="1" applyFont="1" applyFill="1" applyBorder="1"/>
    <xf numFmtId="164" fontId="163" fillId="22" borderId="21" xfId="0" applyNumberFormat="1" applyFont="1" applyFill="1" applyBorder="1"/>
    <xf numFmtId="0" fontId="95" fillId="16" borderId="0" xfId="0" applyFont="1" applyFill="1" applyAlignment="1">
      <alignment vertical="center"/>
    </xf>
    <xf numFmtId="2" fontId="166" fillId="0" borderId="165" xfId="0" applyNumberFormat="1" applyFont="1" applyBorder="1" applyAlignment="1">
      <alignment horizontal="center"/>
    </xf>
    <xf numFmtId="1" fontId="166" fillId="0" borderId="206" xfId="0" applyNumberFormat="1" applyFont="1" applyBorder="1" applyAlignment="1">
      <alignment horizontal="center"/>
    </xf>
    <xf numFmtId="3" fontId="166" fillId="0" borderId="165" xfId="1" applyNumberFormat="1" applyFont="1" applyBorder="1" applyAlignment="1">
      <alignment horizontal="center"/>
    </xf>
    <xf numFmtId="0" fontId="173" fillId="16" borderId="271" xfId="0" applyFont="1" applyFill="1" applyBorder="1" applyAlignment="1">
      <alignment horizontal="center" wrapText="1"/>
    </xf>
    <xf numFmtId="2" fontId="171" fillId="18" borderId="271" xfId="0" applyNumberFormat="1" applyFont="1" applyFill="1" applyBorder="1" applyAlignment="1">
      <alignment horizontal="center" vertical="center"/>
    </xf>
    <xf numFmtId="2" fontId="162" fillId="16" borderId="207" xfId="1" applyNumberFormat="1" applyFont="1" applyFill="1" applyBorder="1" applyAlignment="1">
      <alignment horizontal="center" vertical="center"/>
    </xf>
    <xf numFmtId="0" fontId="19" fillId="16" borderId="444" xfId="9100" applyFill="1" applyBorder="1" applyAlignment="1">
      <alignment horizontal="left" vertical="center"/>
    </xf>
    <xf numFmtId="2" fontId="162" fillId="16" borderId="445" xfId="1" applyNumberFormat="1" applyFont="1" applyFill="1" applyBorder="1" applyAlignment="1">
      <alignment horizontal="center" vertical="center"/>
    </xf>
    <xf numFmtId="2" fontId="162" fillId="16" borderId="446" xfId="1" applyNumberFormat="1" applyFont="1" applyFill="1" applyBorder="1" applyAlignment="1">
      <alignment horizontal="center" vertical="center"/>
    </xf>
    <xf numFmtId="2" fontId="165" fillId="16" borderId="447" xfId="1" applyNumberFormat="1" applyFont="1" applyFill="1" applyBorder="1" applyAlignment="1">
      <alignment horizontal="center" vertical="center"/>
    </xf>
    <xf numFmtId="9" fontId="162" fillId="16" borderId="445" xfId="2" applyFont="1" applyFill="1" applyBorder="1" applyAlignment="1">
      <alignment horizontal="center" vertical="center"/>
    </xf>
    <xf numFmtId="9" fontId="162" fillId="16" borderId="446" xfId="2" applyFont="1" applyFill="1" applyBorder="1" applyAlignment="1">
      <alignment horizontal="center" vertical="center"/>
    </xf>
    <xf numFmtId="9" fontId="165" fillId="16" borderId="447" xfId="2" applyFont="1" applyFill="1" applyBorder="1" applyAlignment="1">
      <alignment horizontal="center" vertical="center"/>
    </xf>
    <xf numFmtId="2" fontId="162" fillId="16" borderId="450" xfId="1" applyNumberFormat="1" applyFont="1" applyFill="1" applyBorder="1" applyAlignment="1">
      <alignment horizontal="center" vertical="center"/>
    </xf>
    <xf numFmtId="2" fontId="162" fillId="16" borderId="451" xfId="1" applyNumberFormat="1" applyFont="1" applyFill="1" applyBorder="1" applyAlignment="1">
      <alignment horizontal="center" vertical="center"/>
    </xf>
    <xf numFmtId="2" fontId="165" fillId="16" borderId="452" xfId="1" applyNumberFormat="1" applyFont="1" applyFill="1" applyBorder="1" applyAlignment="1">
      <alignment horizontal="center" vertical="center"/>
    </xf>
    <xf numFmtId="9" fontId="162" fillId="16" borderId="450" xfId="2" applyFont="1" applyFill="1" applyBorder="1" applyAlignment="1">
      <alignment horizontal="center" vertical="center"/>
    </xf>
    <xf numFmtId="9" fontId="162" fillId="16" borderId="451" xfId="2" applyFont="1" applyFill="1" applyBorder="1" applyAlignment="1">
      <alignment horizontal="center" vertical="center"/>
    </xf>
    <xf numFmtId="9" fontId="165" fillId="16" borderId="452" xfId="2" applyFont="1" applyFill="1" applyBorder="1" applyAlignment="1">
      <alignment horizontal="center" vertical="center"/>
    </xf>
    <xf numFmtId="49" fontId="64" fillId="16" borderId="448" xfId="1" applyNumberFormat="1" applyFont="1" applyFill="1" applyBorder="1" applyAlignment="1">
      <alignment horizontal="left" vertical="center"/>
    </xf>
    <xf numFmtId="49" fontId="64" fillId="16" borderId="162" xfId="1" applyNumberFormat="1" applyFont="1" applyFill="1" applyBorder="1" applyAlignment="1">
      <alignment vertical="center"/>
    </xf>
    <xf numFmtId="49" fontId="64" fillId="16" borderId="162" xfId="0" applyNumberFormat="1" applyFont="1" applyFill="1" applyBorder="1" applyAlignment="1">
      <alignment vertical="center" wrapText="1"/>
    </xf>
    <xf numFmtId="49" fontId="64" fillId="16" borderId="162" xfId="1" applyNumberFormat="1" applyFont="1" applyFill="1" applyBorder="1" applyAlignment="1">
      <alignment horizontal="left" vertical="center"/>
    </xf>
    <xf numFmtId="49" fontId="64" fillId="16" borderId="162" xfId="0" applyNumberFormat="1" applyFont="1" applyFill="1" applyBorder="1" applyAlignment="1">
      <alignment vertical="center"/>
    </xf>
    <xf numFmtId="49" fontId="64" fillId="16" borderId="453" xfId="0" applyNumberFormat="1" applyFont="1" applyFill="1" applyBorder="1" applyAlignment="1">
      <alignment vertical="center"/>
    </xf>
    <xf numFmtId="0" fontId="19" fillId="16" borderId="391" xfId="9100" applyFill="1" applyBorder="1" applyAlignment="1">
      <alignment horizontal="left" vertical="center"/>
    </xf>
    <xf numFmtId="2" fontId="162" fillId="16" borderId="454" xfId="1" applyNumberFormat="1" applyFont="1" applyFill="1" applyBorder="1" applyAlignment="1">
      <alignment horizontal="center" vertical="center"/>
    </xf>
    <xf numFmtId="2" fontId="162" fillId="16" borderId="455" xfId="1" applyNumberFormat="1" applyFont="1" applyFill="1" applyBorder="1" applyAlignment="1">
      <alignment horizontal="center" vertical="center"/>
    </xf>
    <xf numFmtId="2" fontId="165" fillId="16" borderId="456" xfId="1" applyNumberFormat="1" applyFont="1" applyFill="1" applyBorder="1" applyAlignment="1">
      <alignment horizontal="center" vertical="center"/>
    </xf>
    <xf numFmtId="2" fontId="162" fillId="16" borderId="457" xfId="1" applyNumberFormat="1" applyFont="1" applyFill="1" applyBorder="1" applyAlignment="1">
      <alignment horizontal="center" vertical="center"/>
    </xf>
    <xf numFmtId="2" fontId="162" fillId="16" borderId="458" xfId="1" applyNumberFormat="1" applyFont="1" applyFill="1" applyBorder="1" applyAlignment="1">
      <alignment horizontal="center" vertical="center"/>
    </xf>
    <xf numFmtId="9" fontId="162" fillId="16" borderId="457" xfId="2" applyFont="1" applyFill="1" applyBorder="1" applyAlignment="1">
      <alignment horizontal="center" vertical="center"/>
    </xf>
    <xf numFmtId="9" fontId="162" fillId="16" borderId="458" xfId="2" applyFont="1" applyFill="1" applyBorder="1" applyAlignment="1">
      <alignment horizontal="center" vertical="center"/>
    </xf>
    <xf numFmtId="9" fontId="165" fillId="16" borderId="459" xfId="2" applyFont="1" applyFill="1" applyBorder="1" applyAlignment="1">
      <alignment horizontal="center" vertical="center"/>
    </xf>
    <xf numFmtId="49" fontId="64" fillId="16" borderId="448" xfId="0" applyNumberFormat="1" applyFont="1" applyFill="1" applyBorder="1" applyAlignment="1">
      <alignment vertical="center"/>
    </xf>
    <xf numFmtId="0" fontId="6" fillId="93" borderId="0" xfId="0" applyFont="1" applyFill="1"/>
    <xf numFmtId="49" fontId="64" fillId="93" borderId="184" xfId="0" applyNumberFormat="1" applyFont="1" applyFill="1" applyBorder="1" applyAlignment="1">
      <alignment vertical="center"/>
    </xf>
    <xf numFmtId="0" fontId="19" fillId="16" borderId="444" xfId="9100" applyFill="1" applyBorder="1"/>
    <xf numFmtId="0" fontId="19" fillId="16" borderId="449" xfId="9100" applyFill="1" applyBorder="1"/>
    <xf numFmtId="0" fontId="64" fillId="16" borderId="453" xfId="0" applyFont="1" applyFill="1" applyBorder="1" applyAlignment="1">
      <alignment vertical="center"/>
    </xf>
    <xf numFmtId="2" fontId="162" fillId="17" borderId="460" xfId="1" applyNumberFormat="1" applyFont="1" applyFill="1" applyBorder="1" applyAlignment="1">
      <alignment horizontal="center" vertical="center"/>
    </xf>
    <xf numFmtId="2" fontId="162" fillId="17" borderId="461" xfId="1" applyNumberFormat="1" applyFont="1" applyFill="1" applyBorder="1" applyAlignment="1">
      <alignment horizontal="center" vertical="center"/>
    </xf>
    <xf numFmtId="2" fontId="165" fillId="17" borderId="462" xfId="1" applyNumberFormat="1" applyFont="1" applyFill="1" applyBorder="1" applyAlignment="1">
      <alignment horizontal="center" vertical="center"/>
    </xf>
    <xf numFmtId="9" fontId="162" fillId="17" borderId="460" xfId="2" applyFont="1" applyFill="1" applyBorder="1" applyAlignment="1">
      <alignment horizontal="center" vertical="center"/>
    </xf>
    <xf numFmtId="9" fontId="162" fillId="17" borderId="461" xfId="2" applyFont="1" applyFill="1" applyBorder="1" applyAlignment="1">
      <alignment horizontal="center" vertical="center"/>
    </xf>
    <xf numFmtId="9" fontId="165" fillId="17" borderId="462" xfId="2" applyFont="1" applyFill="1" applyBorder="1" applyAlignment="1">
      <alignment horizontal="center" vertical="center"/>
    </xf>
    <xf numFmtId="0" fontId="19" fillId="0" borderId="315" xfId="9100" applyBorder="1"/>
    <xf numFmtId="2" fontId="162" fillId="16" borderId="463" xfId="1" applyNumberFormat="1" applyFont="1" applyFill="1" applyBorder="1" applyAlignment="1">
      <alignment horizontal="center" vertical="center"/>
    </xf>
    <xf numFmtId="2" fontId="162" fillId="16" borderId="464" xfId="1" applyNumberFormat="1" applyFont="1" applyFill="1" applyBorder="1" applyAlignment="1">
      <alignment horizontal="center" vertical="center"/>
    </xf>
    <xf numFmtId="2" fontId="165" fillId="16" borderId="465" xfId="1" applyNumberFormat="1" applyFont="1" applyFill="1" applyBorder="1" applyAlignment="1">
      <alignment horizontal="center" vertical="center"/>
    </xf>
    <xf numFmtId="9" fontId="162" fillId="16" borderId="463" xfId="2" applyFont="1" applyFill="1" applyBorder="1" applyAlignment="1">
      <alignment horizontal="center" vertical="center"/>
    </xf>
    <xf numFmtId="9" fontId="162" fillId="16" borderId="464" xfId="2" applyFont="1" applyFill="1" applyBorder="1" applyAlignment="1">
      <alignment horizontal="center" vertical="center"/>
    </xf>
    <xf numFmtId="9" fontId="165" fillId="16" borderId="465" xfId="2" applyFont="1" applyFill="1" applyBorder="1" applyAlignment="1">
      <alignment horizontal="center" vertical="center"/>
    </xf>
    <xf numFmtId="0" fontId="173" fillId="16" borderId="175" xfId="0" applyFont="1" applyFill="1" applyBorder="1" applyAlignment="1">
      <alignment horizontal="center" wrapText="1"/>
    </xf>
    <xf numFmtId="9" fontId="117" fillId="95" borderId="175" xfId="2" applyFont="1" applyFill="1" applyBorder="1" applyAlignment="1">
      <alignment horizontal="center" vertical="center"/>
    </xf>
    <xf numFmtId="0" fontId="152" fillId="0" borderId="217" xfId="0" applyFont="1" applyBorder="1" applyAlignment="1">
      <alignment vertical="center" wrapText="1"/>
    </xf>
    <xf numFmtId="0" fontId="0" fillId="0" borderId="62" xfId="0" applyBorder="1"/>
    <xf numFmtId="0" fontId="79" fillId="93" borderId="440" xfId="0" applyFont="1" applyFill="1" applyBorder="1" applyAlignment="1">
      <alignment horizontal="left" vertical="center"/>
    </xf>
    <xf numFmtId="2" fontId="117" fillId="95" borderId="271" xfId="0" applyNumberFormat="1" applyFont="1" applyFill="1" applyBorder="1" applyAlignment="1">
      <alignment horizontal="center" vertical="center"/>
    </xf>
    <xf numFmtId="0" fontId="19" fillId="0" borderId="0" xfId="9100" applyBorder="1"/>
    <xf numFmtId="0" fontId="19" fillId="0" borderId="26" xfId="9100" applyBorder="1"/>
    <xf numFmtId="43" fontId="162" fillId="16" borderId="469" xfId="0" applyNumberFormat="1" applyFont="1" applyFill="1" applyBorder="1" applyAlignment="1">
      <alignment horizontal="center" vertical="center"/>
    </xf>
    <xf numFmtId="0" fontId="164" fillId="0" borderId="467" xfId="0" applyFont="1" applyBorder="1" applyAlignment="1">
      <alignment vertical="center"/>
    </xf>
    <xf numFmtId="0" fontId="153" fillId="0" borderId="313" xfId="0" applyFont="1" applyBorder="1" applyAlignment="1">
      <alignment vertical="center"/>
    </xf>
    <xf numFmtId="0" fontId="153" fillId="0" borderId="24" xfId="0" applyFont="1" applyBorder="1" applyAlignment="1">
      <alignment vertical="center"/>
    </xf>
    <xf numFmtId="0" fontId="255" fillId="0" borderId="43" xfId="0" applyFont="1" applyBorder="1"/>
    <xf numFmtId="0" fontId="13" fillId="89" borderId="187" xfId="0" applyFont="1" applyFill="1" applyBorder="1" applyAlignment="1">
      <alignment horizontal="center"/>
    </xf>
    <xf numFmtId="0" fontId="257" fillId="16" borderId="0" xfId="0" applyFont="1" applyFill="1" applyAlignment="1">
      <alignment wrapText="1"/>
    </xf>
    <xf numFmtId="0" fontId="258" fillId="16" borderId="0" xfId="0" applyFont="1" applyFill="1" applyAlignment="1">
      <alignment horizontal="center"/>
    </xf>
    <xf numFmtId="0" fontId="259" fillId="89" borderId="0" xfId="0" applyFont="1" applyFill="1" applyAlignment="1">
      <alignment horizontal="center"/>
    </xf>
    <xf numFmtId="0" fontId="6" fillId="16" borderId="73" xfId="0" applyFont="1" applyFill="1" applyBorder="1"/>
    <xf numFmtId="10" fontId="6" fillId="16" borderId="74" xfId="0" applyNumberFormat="1" applyFont="1" applyFill="1" applyBorder="1"/>
    <xf numFmtId="0" fontId="8" fillId="17" borderId="73" xfId="0" applyFont="1" applyFill="1" applyBorder="1"/>
    <xf numFmtId="10" fontId="8" fillId="17" borderId="74" xfId="0" applyNumberFormat="1" applyFont="1" applyFill="1" applyBorder="1"/>
    <xf numFmtId="0" fontId="260" fillId="16" borderId="0" xfId="0" applyFont="1" applyFill="1"/>
    <xf numFmtId="0" fontId="162" fillId="16" borderId="0" xfId="0" applyFont="1" applyFill="1" applyAlignment="1">
      <alignment horizontal="left" vertical="center" wrapText="1"/>
    </xf>
    <xf numFmtId="0" fontId="261" fillId="16" borderId="0" xfId="0" applyFont="1" applyFill="1" applyAlignment="1">
      <alignment horizontal="left" vertical="center" wrapText="1"/>
    </xf>
    <xf numFmtId="0" fontId="220" fillId="16" borderId="0" xfId="0" applyFont="1" applyFill="1"/>
    <xf numFmtId="0" fontId="262" fillId="16" borderId="0" xfId="0" applyFont="1" applyFill="1"/>
    <xf numFmtId="0" fontId="14" fillId="16" borderId="0" xfId="0" applyFont="1" applyFill="1"/>
    <xf numFmtId="0" fontId="0" fillId="0" borderId="0" xfId="0" applyAlignment="1">
      <alignment horizontal="left"/>
    </xf>
    <xf numFmtId="0" fontId="254" fillId="114" borderId="143" xfId="0" applyFont="1" applyFill="1" applyBorder="1"/>
    <xf numFmtId="0" fontId="166" fillId="0" borderId="317" xfId="0" applyFont="1" applyBorder="1"/>
    <xf numFmtId="2" fontId="166" fillId="0" borderId="472" xfId="0" applyNumberFormat="1" applyFont="1" applyBorder="1" applyAlignment="1">
      <alignment horizontal="center"/>
    </xf>
    <xf numFmtId="3" fontId="166" fillId="0" borderId="472" xfId="1" applyNumberFormat="1" applyFont="1" applyBorder="1" applyAlignment="1">
      <alignment horizontal="center"/>
    </xf>
    <xf numFmtId="1" fontId="166" fillId="0" borderId="473" xfId="0" applyNumberFormat="1" applyFont="1" applyBorder="1" applyAlignment="1">
      <alignment horizontal="center"/>
    </xf>
    <xf numFmtId="0" fontId="13" fillId="89" borderId="411" xfId="0" applyFont="1" applyFill="1" applyBorder="1" applyAlignment="1">
      <alignment horizontal="center"/>
    </xf>
    <xf numFmtId="0" fontId="13" fillId="89" borderId="440" xfId="0" applyFont="1" applyFill="1" applyBorder="1" applyAlignment="1">
      <alignment horizontal="center"/>
    </xf>
    <xf numFmtId="0" fontId="166" fillId="17" borderId="315" xfId="0" applyFont="1" applyFill="1" applyBorder="1"/>
    <xf numFmtId="2" fontId="166" fillId="17" borderId="316" xfId="0" applyNumberFormat="1" applyFont="1" applyFill="1" applyBorder="1" applyAlignment="1">
      <alignment horizontal="center"/>
    </xf>
    <xf numFmtId="3" fontId="166" fillId="17" borderId="316" xfId="0" applyNumberFormat="1" applyFont="1" applyFill="1" applyBorder="1" applyAlignment="1">
      <alignment horizontal="center"/>
    </xf>
    <xf numFmtId="1" fontId="166" fillId="17" borderId="206" xfId="0" applyNumberFormat="1" applyFont="1" applyFill="1" applyBorder="1" applyAlignment="1">
      <alignment horizontal="center"/>
    </xf>
    <xf numFmtId="164" fontId="162" fillId="16" borderId="264" xfId="0" applyNumberFormat="1" applyFont="1" applyFill="1" applyBorder="1" applyAlignment="1">
      <alignment horizontal="center" vertical="center"/>
    </xf>
    <xf numFmtId="164" fontId="162" fillId="16" borderId="222" xfId="0" applyNumberFormat="1" applyFont="1" applyFill="1" applyBorder="1" applyAlignment="1">
      <alignment horizontal="center" vertical="center"/>
    </xf>
    <xf numFmtId="164" fontId="162" fillId="16" borderId="221" xfId="0" applyNumberFormat="1" applyFont="1" applyFill="1" applyBorder="1" applyAlignment="1">
      <alignment horizontal="center" vertical="center"/>
    </xf>
    <xf numFmtId="164" fontId="162" fillId="16" borderId="223" xfId="0" applyNumberFormat="1" applyFont="1" applyFill="1" applyBorder="1" applyAlignment="1">
      <alignment horizontal="center" vertical="center"/>
    </xf>
    <xf numFmtId="164" fontId="162" fillId="17" borderId="267" xfId="0" applyNumberFormat="1" applyFont="1" applyFill="1" applyBorder="1" applyAlignment="1">
      <alignment vertical="center"/>
    </xf>
    <xf numFmtId="164" fontId="162" fillId="16" borderId="466" xfId="0" applyNumberFormat="1" applyFont="1" applyFill="1" applyBorder="1" applyAlignment="1">
      <alignment horizontal="center" vertical="center"/>
    </xf>
    <xf numFmtId="164" fontId="79" fillId="93" borderId="440" xfId="0" applyNumberFormat="1" applyFont="1" applyFill="1" applyBorder="1" applyAlignment="1">
      <alignment horizontal="left" vertical="center"/>
    </xf>
    <xf numFmtId="164" fontId="162" fillId="16" borderId="444" xfId="0" applyNumberFormat="1" applyFont="1" applyFill="1" applyBorder="1" applyAlignment="1">
      <alignment horizontal="center" vertical="center"/>
    </xf>
    <xf numFmtId="164" fontId="162" fillId="16" borderId="64" xfId="0" applyNumberFormat="1" applyFont="1" applyFill="1" applyBorder="1" applyAlignment="1">
      <alignment horizontal="center" vertical="center"/>
    </xf>
    <xf numFmtId="164" fontId="162" fillId="16" borderId="391" xfId="0" applyNumberFormat="1" applyFont="1" applyFill="1" applyBorder="1" applyAlignment="1">
      <alignment horizontal="center" vertical="center"/>
    </xf>
    <xf numFmtId="164" fontId="162" fillId="17" borderId="240" xfId="0" applyNumberFormat="1" applyFont="1" applyFill="1" applyBorder="1" applyAlignment="1">
      <alignment vertical="center"/>
    </xf>
    <xf numFmtId="164" fontId="162" fillId="16" borderId="315" xfId="0" applyNumberFormat="1" applyFont="1" applyFill="1" applyBorder="1" applyAlignment="1">
      <alignment horizontal="center" vertical="center"/>
    </xf>
    <xf numFmtId="0" fontId="0" fillId="19" borderId="0" xfId="0" applyFill="1"/>
    <xf numFmtId="0" fontId="0" fillId="153" borderId="0" xfId="0" applyFill="1"/>
    <xf numFmtId="9" fontId="0" fillId="0" borderId="0" xfId="2" applyFont="1"/>
    <xf numFmtId="9" fontId="0" fillId="0" borderId="0" xfId="2" applyFont="1" applyAlignment="1">
      <alignment wrapText="1"/>
    </xf>
    <xf numFmtId="0" fontId="264" fillId="0" borderId="0" xfId="0" applyFont="1" applyAlignment="1">
      <alignment vertical="center"/>
    </xf>
    <xf numFmtId="168" fontId="0" fillId="0" borderId="0" xfId="1" applyNumberFormat="1" applyFont="1"/>
    <xf numFmtId="0" fontId="162" fillId="16" borderId="257" xfId="0" applyFont="1" applyFill="1" applyBorder="1" applyAlignment="1">
      <alignment vertical="center" wrapText="1"/>
    </xf>
    <xf numFmtId="0" fontId="162" fillId="16" borderId="193" xfId="0" applyFont="1" applyFill="1" applyBorder="1" applyAlignment="1">
      <alignment vertical="center" wrapText="1"/>
    </xf>
    <xf numFmtId="164" fontId="162" fillId="16" borderId="292" xfId="0" applyNumberFormat="1" applyFont="1" applyFill="1" applyBorder="1"/>
    <xf numFmtId="165" fontId="162" fillId="16" borderId="292" xfId="1" applyNumberFormat="1" applyFont="1" applyFill="1" applyBorder="1" applyAlignment="1">
      <alignment horizontal="right"/>
    </xf>
    <xf numFmtId="0" fontId="162" fillId="16" borderId="242" xfId="0" applyFont="1" applyFill="1" applyBorder="1" applyAlignment="1">
      <alignment wrapText="1"/>
    </xf>
    <xf numFmtId="0" fontId="162" fillId="16" borderId="273" xfId="0" applyFont="1" applyFill="1" applyBorder="1" applyAlignment="1">
      <alignment wrapText="1"/>
    </xf>
    <xf numFmtId="164" fontId="162" fillId="16" borderId="285" xfId="0" applyNumberFormat="1" applyFont="1" applyFill="1" applyBorder="1"/>
    <xf numFmtId="0" fontId="162" fillId="16" borderId="251" xfId="0" applyFont="1" applyFill="1" applyBorder="1" applyAlignment="1">
      <alignment wrapText="1"/>
    </xf>
    <xf numFmtId="166" fontId="162" fillId="16" borderId="297" xfId="0" applyNumberFormat="1" applyFont="1" applyFill="1" applyBorder="1"/>
    <xf numFmtId="0" fontId="162" fillId="17" borderId="476" xfId="0" applyFont="1" applyFill="1" applyBorder="1" applyAlignment="1">
      <alignment wrapText="1"/>
    </xf>
    <xf numFmtId="0" fontId="162" fillId="17" borderId="477" xfId="0" applyFont="1" applyFill="1" applyBorder="1" applyAlignment="1">
      <alignment wrapText="1"/>
    </xf>
    <xf numFmtId="166" fontId="162" fillId="17" borderId="477" xfId="0" applyNumberFormat="1" applyFont="1" applyFill="1" applyBorder="1"/>
    <xf numFmtId="164" fontId="162" fillId="17" borderId="478" xfId="4" applyNumberFormat="1" applyFont="1" applyFill="1" applyBorder="1" applyAlignment="1">
      <alignment horizontal="right"/>
    </xf>
    <xf numFmtId="0" fontId="162" fillId="17" borderId="245" xfId="0" applyFont="1" applyFill="1" applyBorder="1" applyAlignment="1">
      <alignment wrapText="1"/>
    </xf>
    <xf numFmtId="0" fontId="162" fillId="17" borderId="249" xfId="0" applyFont="1" applyFill="1" applyBorder="1" applyAlignment="1">
      <alignment wrapText="1"/>
    </xf>
    <xf numFmtId="164" fontId="162" fillId="17" borderId="288" xfId="4" applyNumberFormat="1" applyFont="1" applyFill="1" applyBorder="1" applyAlignment="1">
      <alignment horizontal="right"/>
    </xf>
    <xf numFmtId="9" fontId="162" fillId="16" borderId="289" xfId="2" applyFont="1" applyFill="1" applyBorder="1" applyAlignment="1">
      <alignment horizontal="right"/>
    </xf>
    <xf numFmtId="9" fontId="162" fillId="16" borderId="246" xfId="2" applyFont="1" applyFill="1" applyBorder="1" applyAlignment="1">
      <alignment horizontal="right"/>
    </xf>
    <xf numFmtId="9" fontId="162" fillId="16" borderId="276" xfId="2" applyFont="1" applyFill="1" applyBorder="1" applyAlignment="1">
      <alignment horizontal="right"/>
    </xf>
    <xf numFmtId="9" fontId="162" fillId="17" borderId="306" xfId="2" applyFont="1" applyFill="1" applyBorder="1" applyAlignment="1">
      <alignment horizontal="right"/>
    </xf>
    <xf numFmtId="9" fontId="162" fillId="17" borderId="246" xfId="2" applyFont="1" applyFill="1" applyBorder="1" applyAlignment="1">
      <alignment horizontal="right"/>
    </xf>
    <xf numFmtId="9" fontId="162" fillId="17" borderId="298" xfId="2" applyFont="1" applyFill="1" applyBorder="1" applyAlignment="1">
      <alignment horizontal="right"/>
    </xf>
    <xf numFmtId="9" fontId="162" fillId="16" borderId="291" xfId="2" applyFont="1" applyFill="1" applyBorder="1" applyAlignment="1">
      <alignment horizontal="right"/>
    </xf>
    <xf numFmtId="9" fontId="162" fillId="16" borderId="298" xfId="2" applyFont="1" applyFill="1" applyBorder="1" applyAlignment="1">
      <alignment horizontal="right"/>
    </xf>
    <xf numFmtId="43" fontId="162" fillId="17" borderId="479" xfId="1" applyFont="1" applyFill="1" applyBorder="1"/>
    <xf numFmtId="43" fontId="162" fillId="17" borderId="480" xfId="1" applyFont="1" applyFill="1" applyBorder="1"/>
    <xf numFmtId="43" fontId="162" fillId="17" borderId="364" xfId="1" applyFont="1" applyFill="1" applyBorder="1"/>
    <xf numFmtId="43" fontId="162" fillId="17" borderId="380" xfId="1" applyFont="1" applyFill="1" applyBorder="1"/>
    <xf numFmtId="43" fontId="162" fillId="16" borderId="364" xfId="1" applyFont="1" applyFill="1" applyBorder="1"/>
    <xf numFmtId="43" fontId="162" fillId="16" borderId="380" xfId="1" applyFont="1" applyFill="1" applyBorder="1"/>
    <xf numFmtId="164" fontId="162" fillId="23" borderId="293" xfId="1" applyNumberFormat="1" applyFont="1" applyFill="1" applyBorder="1" applyAlignment="1">
      <alignment horizontal="right"/>
    </xf>
    <xf numFmtId="164" fontId="162" fillId="23" borderId="286" xfId="1" applyNumberFormat="1" applyFont="1" applyFill="1" applyBorder="1" applyAlignment="1">
      <alignment horizontal="right"/>
    </xf>
    <xf numFmtId="9" fontId="163" fillId="16" borderId="0" xfId="2" applyFont="1" applyFill="1" applyAlignment="1">
      <alignment vertical="center" wrapText="1"/>
    </xf>
    <xf numFmtId="0" fontId="265" fillId="0" borderId="0" xfId="0" applyFont="1"/>
    <xf numFmtId="9" fontId="265" fillId="0" borderId="0" xfId="2" applyFont="1"/>
    <xf numFmtId="164" fontId="162" fillId="23" borderId="288" xfId="1" applyNumberFormat="1" applyFont="1" applyFill="1" applyBorder="1" applyAlignment="1">
      <alignment horizontal="right"/>
    </xf>
    <xf numFmtId="0" fontId="263" fillId="91" borderId="411" xfId="0" applyFont="1" applyFill="1" applyBorder="1" applyAlignment="1">
      <alignment vertical="center"/>
    </xf>
    <xf numFmtId="0" fontId="264" fillId="0" borderId="482" xfId="0" applyFont="1" applyBorder="1" applyAlignment="1">
      <alignment vertical="center"/>
    </xf>
    <xf numFmtId="0" fontId="264" fillId="0" borderId="64" xfId="0" applyFont="1" applyBorder="1" applyAlignment="1">
      <alignment vertical="center"/>
    </xf>
    <xf numFmtId="0" fontId="263" fillId="91" borderId="187" xfId="0" applyFont="1" applyFill="1" applyBorder="1" applyAlignment="1">
      <alignment vertical="center"/>
    </xf>
    <xf numFmtId="2" fontId="264" fillId="0" borderId="483" xfId="0" applyNumberFormat="1" applyFont="1" applyBorder="1" applyAlignment="1">
      <alignment horizontal="right" vertical="center"/>
    </xf>
    <xf numFmtId="2" fontId="264" fillId="0" borderId="468" xfId="0" applyNumberFormat="1" applyFont="1" applyBorder="1" applyAlignment="1">
      <alignment horizontal="right" vertical="center"/>
    </xf>
    <xf numFmtId="0" fontId="263" fillId="91" borderId="440" xfId="0" applyFont="1" applyFill="1" applyBorder="1" applyAlignment="1">
      <alignment vertical="center"/>
    </xf>
    <xf numFmtId="2" fontId="264" fillId="0" borderId="485" xfId="0" applyNumberFormat="1" applyFont="1" applyBorder="1" applyAlignment="1">
      <alignment horizontal="right" vertical="center"/>
    </xf>
    <xf numFmtId="2" fontId="264" fillId="0" borderId="486" xfId="0" applyNumberFormat="1" applyFont="1" applyBorder="1" applyAlignment="1">
      <alignment horizontal="right" vertical="center"/>
    </xf>
    <xf numFmtId="0" fontId="266" fillId="153" borderId="449" xfId="0" applyFont="1" applyFill="1" applyBorder="1" applyAlignment="1">
      <alignment vertical="center"/>
    </xf>
    <xf numFmtId="2" fontId="266" fillId="153" borderId="487" xfId="0" applyNumberFormat="1" applyFont="1" applyFill="1" applyBorder="1" applyAlignment="1">
      <alignment horizontal="right" vertical="center"/>
    </xf>
    <xf numFmtId="2" fontId="266" fillId="153" borderId="484" xfId="0" applyNumberFormat="1" applyFont="1" applyFill="1" applyBorder="1" applyAlignment="1">
      <alignment horizontal="right" vertical="center"/>
    </xf>
    <xf numFmtId="0" fontId="166" fillId="16" borderId="222" xfId="9100" applyFont="1" applyFill="1" applyBorder="1" applyAlignment="1">
      <alignment horizontal="left" vertical="center"/>
    </xf>
    <xf numFmtId="0" fontId="166" fillId="16" borderId="64" xfId="9100" applyFont="1" applyFill="1" applyBorder="1" applyAlignment="1">
      <alignment horizontal="left" vertical="center"/>
    </xf>
    <xf numFmtId="0" fontId="172" fillId="16" borderId="490" xfId="0" applyFont="1" applyFill="1" applyBorder="1" applyAlignment="1">
      <alignment horizontal="left" vertical="center"/>
    </xf>
    <xf numFmtId="0" fontId="172" fillId="16" borderId="492" xfId="0" applyFont="1" applyFill="1" applyBorder="1" applyAlignment="1">
      <alignment horizontal="left" vertical="center"/>
    </xf>
    <xf numFmtId="0" fontId="267" fillId="91" borderId="488" xfId="0" applyFont="1" applyFill="1" applyBorder="1"/>
    <xf numFmtId="0" fontId="267" fillId="91" borderId="489" xfId="0" applyFont="1" applyFill="1" applyBorder="1"/>
    <xf numFmtId="0" fontId="162" fillId="16" borderId="491" xfId="0" applyFont="1" applyFill="1" applyBorder="1" applyAlignment="1">
      <alignment horizontal="left" vertical="center" wrapText="1"/>
    </xf>
    <xf numFmtId="0" fontId="162" fillId="16" borderId="493" xfId="0" applyFont="1" applyFill="1" applyBorder="1" applyAlignment="1">
      <alignment horizontal="left" vertical="center" wrapText="1"/>
    </xf>
    <xf numFmtId="0" fontId="162" fillId="16" borderId="493" xfId="0" applyFont="1" applyFill="1" applyBorder="1" applyAlignment="1">
      <alignment horizontal="left" vertical="center"/>
    </xf>
    <xf numFmtId="0" fontId="162" fillId="16" borderId="493" xfId="0" applyFont="1" applyFill="1" applyBorder="1" applyAlignment="1">
      <alignment horizontal="left" vertical="center" wrapText="1" indent="1"/>
    </xf>
    <xf numFmtId="0" fontId="0" fillId="0" borderId="240" xfId="0" applyBorder="1"/>
    <xf numFmtId="0" fontId="161" fillId="0" borderId="23" xfId="0" applyFont="1" applyBorder="1" applyAlignment="1">
      <alignment vertical="center"/>
    </xf>
    <xf numFmtId="0" fontId="164" fillId="0" borderId="0" xfId="0" applyFont="1" applyAlignment="1">
      <alignment vertical="center"/>
    </xf>
    <xf numFmtId="0" fontId="173" fillId="16" borderId="440" xfId="0" applyFont="1" applyFill="1" applyBorder="1" applyAlignment="1">
      <alignment horizontal="center" wrapText="1"/>
    </xf>
    <xf numFmtId="9" fontId="117" fillId="95" borderId="271" xfId="2" applyFont="1" applyFill="1" applyBorder="1" applyAlignment="1">
      <alignment horizontal="center" vertical="center"/>
    </xf>
    <xf numFmtId="9" fontId="79" fillId="93" borderId="271" xfId="2" applyFont="1" applyFill="1" applyBorder="1" applyAlignment="1">
      <alignment horizontal="center" vertical="center"/>
    </xf>
    <xf numFmtId="0" fontId="6" fillId="93" borderId="24" xfId="0" applyFont="1" applyFill="1" applyBorder="1"/>
    <xf numFmtId="0" fontId="162" fillId="17" borderId="467" xfId="0" applyFont="1" applyFill="1" applyBorder="1" applyAlignment="1">
      <alignment vertical="center"/>
    </xf>
    <xf numFmtId="0" fontId="64" fillId="17" borderId="24" xfId="0" applyFont="1" applyFill="1" applyBorder="1" applyAlignment="1">
      <alignment vertical="center"/>
    </xf>
    <xf numFmtId="0" fontId="64" fillId="16" borderId="471" xfId="0" applyFont="1" applyFill="1" applyBorder="1" applyAlignment="1">
      <alignment vertical="center"/>
    </xf>
    <xf numFmtId="0" fontId="161" fillId="0" borderId="0" xfId="0" applyFont="1" applyAlignment="1">
      <alignment vertical="center"/>
    </xf>
    <xf numFmtId="10" fontId="162" fillId="16" borderId="75" xfId="0" applyNumberFormat="1" applyFont="1" applyFill="1" applyBorder="1"/>
    <xf numFmtId="0" fontId="162" fillId="16" borderId="164" xfId="0" applyFont="1" applyFill="1" applyBorder="1" applyAlignment="1">
      <alignment vertical="center" wrapText="1"/>
    </xf>
    <xf numFmtId="166" fontId="162" fillId="16" borderId="193" xfId="0" applyNumberFormat="1" applyFont="1" applyFill="1" applyBorder="1"/>
    <xf numFmtId="166" fontId="162" fillId="16" borderId="500" xfId="0" applyNumberFormat="1" applyFont="1" applyFill="1" applyBorder="1"/>
    <xf numFmtId="0" fontId="162" fillId="16" borderId="501" xfId="0" applyFont="1" applyFill="1" applyBorder="1" applyAlignment="1">
      <alignment vertical="center" wrapText="1"/>
    </xf>
    <xf numFmtId="164" fontId="162" fillId="16" borderId="502" xfId="0" applyNumberFormat="1" applyFont="1" applyFill="1" applyBorder="1"/>
    <xf numFmtId="0" fontId="162" fillId="16" borderId="504" xfId="0" applyFont="1" applyFill="1" applyBorder="1" applyAlignment="1">
      <alignment vertical="center" wrapText="1"/>
    </xf>
    <xf numFmtId="0" fontId="162" fillId="16" borderId="505" xfId="0" applyFont="1" applyFill="1" applyBorder="1" applyAlignment="1">
      <alignment vertical="center" wrapText="1"/>
    </xf>
    <xf numFmtId="166" fontId="162" fillId="16" borderId="506" xfId="0" applyNumberFormat="1" applyFont="1" applyFill="1" applyBorder="1"/>
    <xf numFmtId="164" fontId="162" fillId="16" borderId="507" xfId="0" applyNumberFormat="1" applyFont="1" applyFill="1" applyBorder="1"/>
    <xf numFmtId="10" fontId="162" fillId="16" borderId="291" xfId="0" applyNumberFormat="1" applyFont="1" applyFill="1" applyBorder="1"/>
    <xf numFmtId="10" fontId="162" fillId="16" borderId="392" xfId="0" applyNumberFormat="1" applyFont="1" applyFill="1" applyBorder="1"/>
    <xf numFmtId="0" fontId="162" fillId="16" borderId="508" xfId="0" applyFont="1" applyFill="1" applyBorder="1" applyAlignment="1">
      <alignment vertical="center" wrapText="1"/>
    </xf>
    <xf numFmtId="166" fontId="162" fillId="16" borderId="501" xfId="0" applyNumberFormat="1" applyFont="1" applyFill="1" applyBorder="1"/>
    <xf numFmtId="164" fontId="162" fillId="16" borderId="509" xfId="0" applyNumberFormat="1" applyFont="1" applyFill="1" applyBorder="1"/>
    <xf numFmtId="0" fontId="162" fillId="16" borderId="510" xfId="0" applyFont="1" applyFill="1" applyBorder="1" applyAlignment="1">
      <alignment vertical="center" wrapText="1"/>
    </xf>
    <xf numFmtId="0" fontId="162" fillId="16" borderId="511" xfId="0" applyFont="1" applyFill="1" applyBorder="1" applyAlignment="1">
      <alignment vertical="center" wrapText="1"/>
    </xf>
    <xf numFmtId="166" fontId="162" fillId="16" borderId="512" xfId="0" applyNumberFormat="1" applyFont="1" applyFill="1" applyBorder="1"/>
    <xf numFmtId="164" fontId="162" fillId="16" borderId="513" xfId="0" applyNumberFormat="1" applyFont="1" applyFill="1" applyBorder="1"/>
    <xf numFmtId="0" fontId="162" fillId="16" borderId="244" xfId="0" applyFont="1" applyFill="1" applyBorder="1" applyAlignment="1">
      <alignment vertical="center" wrapText="1"/>
    </xf>
    <xf numFmtId="0" fontId="162" fillId="16" borderId="514" xfId="0" applyFont="1" applyFill="1" applyBorder="1" applyAlignment="1">
      <alignment vertical="center" wrapText="1"/>
    </xf>
    <xf numFmtId="166" fontId="162" fillId="16" borderId="291" xfId="0" applyNumberFormat="1" applyFont="1" applyFill="1" applyBorder="1"/>
    <xf numFmtId="0" fontId="162" fillId="16" borderId="251" xfId="0" applyFont="1" applyFill="1" applyBorder="1" applyAlignment="1">
      <alignment vertical="center" wrapText="1"/>
    </xf>
    <xf numFmtId="0" fontId="162" fillId="16" borderId="515" xfId="0" applyFont="1" applyFill="1" applyBorder="1" applyAlignment="1">
      <alignment vertical="center" wrapText="1"/>
    </xf>
    <xf numFmtId="166" fontId="162" fillId="16" borderId="298" xfId="0" applyNumberFormat="1" applyFont="1" applyFill="1" applyBorder="1"/>
    <xf numFmtId="164" fontId="162" fillId="16" borderId="293" xfId="0" applyNumberFormat="1" applyFont="1" applyFill="1" applyBorder="1"/>
    <xf numFmtId="10" fontId="162" fillId="17" borderId="291" xfId="0" applyNumberFormat="1" applyFont="1" applyFill="1" applyBorder="1"/>
    <xf numFmtId="10" fontId="162" fillId="17" borderId="392" xfId="0" applyNumberFormat="1" applyFont="1" applyFill="1" applyBorder="1"/>
    <xf numFmtId="0" fontId="162" fillId="17" borderId="244" xfId="0" applyFont="1" applyFill="1" applyBorder="1" applyAlignment="1">
      <alignment wrapText="1"/>
    </xf>
    <xf numFmtId="0" fontId="162" fillId="17" borderId="281" xfId="0" applyFont="1" applyFill="1" applyBorder="1" applyAlignment="1">
      <alignment wrapText="1"/>
    </xf>
    <xf numFmtId="166" fontId="162" fillId="17" borderId="291" xfId="0" applyNumberFormat="1" applyFont="1" applyFill="1" applyBorder="1"/>
    <xf numFmtId="166" fontId="162" fillId="17" borderId="246" xfId="0" applyNumberFormat="1" applyFont="1" applyFill="1" applyBorder="1"/>
    <xf numFmtId="166" fontId="162" fillId="17" borderId="248" xfId="0" applyNumberFormat="1" applyFont="1" applyFill="1" applyBorder="1"/>
    <xf numFmtId="164" fontId="162" fillId="17" borderId="287" xfId="0" applyNumberFormat="1" applyFont="1" applyFill="1" applyBorder="1"/>
    <xf numFmtId="164" fontId="162" fillId="23" borderId="285" xfId="0" applyNumberFormat="1" applyFont="1" applyFill="1" applyBorder="1"/>
    <xf numFmtId="0" fontId="162" fillId="17" borderId="273" xfId="0" applyFont="1" applyFill="1" applyBorder="1"/>
    <xf numFmtId="164" fontId="162" fillId="17" borderId="296" xfId="4" applyNumberFormat="1" applyFont="1" applyFill="1" applyBorder="1" applyAlignment="1">
      <alignment horizontal="right"/>
    </xf>
    <xf numFmtId="164" fontId="162" fillId="17" borderId="292" xfId="4" applyNumberFormat="1" applyFont="1" applyFill="1" applyBorder="1" applyAlignment="1">
      <alignment horizontal="right"/>
    </xf>
    <xf numFmtId="164" fontId="162" fillId="17" borderId="293" xfId="4" applyNumberFormat="1" applyFont="1" applyFill="1" applyBorder="1" applyAlignment="1">
      <alignment horizontal="right"/>
    </xf>
    <xf numFmtId="0" fontId="162" fillId="17" borderId="247" xfId="0" applyFont="1" applyFill="1" applyBorder="1" applyAlignment="1">
      <alignment wrapText="1"/>
    </xf>
    <xf numFmtId="164" fontId="162" fillId="17" borderId="294" xfId="4" applyNumberFormat="1" applyFont="1" applyFill="1" applyBorder="1" applyAlignment="1">
      <alignment horizontal="right"/>
    </xf>
    <xf numFmtId="164" fontId="162" fillId="17" borderId="285" xfId="4" applyNumberFormat="1" applyFont="1" applyFill="1" applyBorder="1" applyAlignment="1">
      <alignment horizontal="right"/>
    </xf>
    <xf numFmtId="0" fontId="162" fillId="17" borderId="297" xfId="0" applyFont="1" applyFill="1" applyBorder="1" applyAlignment="1">
      <alignment wrapText="1"/>
    </xf>
    <xf numFmtId="166" fontId="162" fillId="17" borderId="298" xfId="0" applyNumberFormat="1" applyFont="1" applyFill="1" applyBorder="1"/>
    <xf numFmtId="43" fontId="162" fillId="17" borderId="373" xfId="1" applyFont="1" applyFill="1" applyBorder="1"/>
    <xf numFmtId="43" fontId="162" fillId="17" borderId="379" xfId="1" applyFont="1" applyFill="1" applyBorder="1"/>
    <xf numFmtId="43" fontId="162" fillId="17" borderId="519" xfId="1" applyFont="1" applyFill="1" applyBorder="1"/>
    <xf numFmtId="43" fontId="162" fillId="17" borderId="520" xfId="1" applyFont="1" applyFill="1" applyBorder="1"/>
    <xf numFmtId="43" fontId="162" fillId="17" borderId="517" xfId="1" applyFont="1" applyFill="1" applyBorder="1"/>
    <xf numFmtId="43" fontId="162" fillId="17" borderId="518" xfId="1" applyFont="1" applyFill="1" applyBorder="1"/>
    <xf numFmtId="0" fontId="162" fillId="16" borderId="295" xfId="0" applyFont="1" applyFill="1" applyBorder="1" applyAlignment="1">
      <alignment wrapText="1"/>
    </xf>
    <xf numFmtId="0" fontId="162" fillId="16" borderId="193" xfId="0" applyFont="1" applyFill="1" applyBorder="1" applyAlignment="1">
      <alignment wrapText="1"/>
    </xf>
    <xf numFmtId="0" fontId="162" fillId="16" borderId="244" xfId="0" applyFont="1" applyFill="1" applyBorder="1" applyAlignment="1">
      <alignment wrapText="1"/>
    </xf>
    <xf numFmtId="0" fontId="162" fillId="16" borderId="281" xfId="0" applyFont="1" applyFill="1" applyBorder="1" applyAlignment="1">
      <alignment wrapText="1"/>
    </xf>
    <xf numFmtId="166" fontId="162" fillId="16" borderId="246" xfId="0" applyNumberFormat="1" applyFont="1" applyFill="1" applyBorder="1"/>
    <xf numFmtId="0" fontId="162" fillId="16" borderId="241" xfId="0" applyFont="1" applyFill="1" applyBorder="1" applyAlignment="1">
      <alignment wrapText="1"/>
    </xf>
    <xf numFmtId="166" fontId="162" fillId="16" borderId="276" xfId="0" applyNumberFormat="1" applyFont="1" applyFill="1" applyBorder="1"/>
    <xf numFmtId="0" fontId="162" fillId="16" borderId="511" xfId="0" applyFont="1" applyFill="1" applyBorder="1" applyAlignment="1">
      <alignment wrapText="1"/>
    </xf>
    <xf numFmtId="0" fontId="162" fillId="16" borderId="515" xfId="0" applyFont="1" applyFill="1" applyBorder="1" applyAlignment="1">
      <alignment wrapText="1"/>
    </xf>
    <xf numFmtId="43" fontId="162" fillId="16" borderId="373" xfId="1" applyFont="1" applyFill="1" applyBorder="1"/>
    <xf numFmtId="43" fontId="162" fillId="16" borderId="379" xfId="1" applyFont="1" applyFill="1" applyBorder="1"/>
    <xf numFmtId="43" fontId="162" fillId="16" borderId="519" xfId="1" applyFont="1" applyFill="1" applyBorder="1"/>
    <xf numFmtId="43" fontId="162" fillId="16" borderId="520" xfId="1" applyFont="1" applyFill="1" applyBorder="1"/>
    <xf numFmtId="43" fontId="162" fillId="16" borderId="517" xfId="1" applyFont="1" applyFill="1" applyBorder="1"/>
    <xf numFmtId="43" fontId="162" fillId="16" borderId="518" xfId="1" applyFont="1" applyFill="1" applyBorder="1"/>
    <xf numFmtId="164" fontId="162" fillId="16" borderId="285" xfId="1" applyNumberFormat="1" applyFont="1" applyFill="1" applyBorder="1" applyAlignment="1">
      <alignment horizontal="right"/>
    </xf>
    <xf numFmtId="164" fontId="162" fillId="16" borderId="292" xfId="1" applyNumberFormat="1" applyFont="1" applyFill="1" applyBorder="1" applyAlignment="1">
      <alignment horizontal="right"/>
    </xf>
    <xf numFmtId="164" fontId="162" fillId="16" borderId="287" xfId="1" applyNumberFormat="1" applyFont="1" applyFill="1" applyBorder="1" applyAlignment="1">
      <alignment horizontal="right"/>
    </xf>
    <xf numFmtId="164" fontId="162" fillId="16" borderId="286" xfId="1" applyNumberFormat="1" applyFont="1" applyFill="1" applyBorder="1" applyAlignment="1">
      <alignment horizontal="right"/>
    </xf>
    <xf numFmtId="164" fontId="162" fillId="16" borderId="516" xfId="1" applyNumberFormat="1" applyFont="1" applyFill="1" applyBorder="1" applyAlignment="1">
      <alignment horizontal="right"/>
    </xf>
    <xf numFmtId="164" fontId="162" fillId="23" borderId="293" xfId="0" applyNumberFormat="1" applyFont="1" applyFill="1" applyBorder="1"/>
    <xf numFmtId="164" fontId="162" fillId="23" borderId="286" xfId="0" applyNumberFormat="1" applyFont="1" applyFill="1" applyBorder="1"/>
    <xf numFmtId="164" fontId="162" fillId="23" borderId="294" xfId="0" applyNumberFormat="1" applyFont="1" applyFill="1" applyBorder="1"/>
    <xf numFmtId="164" fontId="162" fillId="23" borderId="478" xfId="0" applyNumberFormat="1" applyFont="1" applyFill="1" applyBorder="1"/>
    <xf numFmtId="0" fontId="162" fillId="17" borderId="524" xfId="0" applyFont="1" applyFill="1" applyBorder="1" applyAlignment="1">
      <alignment vertical="center" wrapText="1"/>
    </xf>
    <xf numFmtId="0" fontId="78" fillId="17" borderId="274" xfId="0" applyFont="1" applyFill="1" applyBorder="1" applyAlignment="1">
      <alignment horizontal="left" vertical="center" wrapText="1"/>
    </xf>
    <xf numFmtId="0" fontId="78" fillId="17" borderId="246" xfId="0" applyFont="1" applyFill="1" applyBorder="1" applyAlignment="1">
      <alignment horizontal="left" vertical="center" wrapText="1"/>
    </xf>
    <xf numFmtId="0" fontId="78" fillId="17" borderId="360" xfId="0" applyFont="1" applyFill="1" applyBorder="1" applyAlignment="1">
      <alignment horizontal="left" vertical="center" wrapText="1"/>
    </xf>
    <xf numFmtId="0" fontId="78" fillId="17" borderId="362" xfId="0" applyFont="1" applyFill="1" applyBorder="1" applyAlignment="1">
      <alignment horizontal="left" vertical="center" wrapText="1"/>
    </xf>
    <xf numFmtId="164" fontId="78" fillId="17" borderId="242" xfId="4" applyNumberFormat="1" applyFont="1" applyFill="1" applyBorder="1" applyAlignment="1">
      <alignment horizontal="left" vertical="center" wrapText="1"/>
    </xf>
    <xf numFmtId="164" fontId="78" fillId="17" borderId="241" xfId="4" applyNumberFormat="1" applyFont="1" applyFill="1" applyBorder="1" applyAlignment="1">
      <alignment horizontal="left" vertical="center" wrapText="1"/>
    </xf>
    <xf numFmtId="164" fontId="78" fillId="17" borderId="299" xfId="4" applyNumberFormat="1" applyFont="1" applyFill="1" applyBorder="1" applyAlignment="1">
      <alignment horizontal="left" vertical="center" wrapText="1"/>
    </xf>
    <xf numFmtId="164" fontId="78" fillId="17" borderId="361" xfId="4" applyNumberFormat="1" applyFont="1" applyFill="1" applyBorder="1" applyAlignment="1">
      <alignment horizontal="left" vertical="center" wrapText="1"/>
    </xf>
    <xf numFmtId="164" fontId="162" fillId="22" borderId="66" xfId="4" applyNumberFormat="1" applyFont="1" applyFill="1" applyBorder="1" applyAlignment="1">
      <alignment wrapText="1"/>
    </xf>
    <xf numFmtId="164" fontId="162" fillId="22" borderId="69" xfId="4" applyNumberFormat="1" applyFont="1" applyFill="1" applyBorder="1" applyAlignment="1">
      <alignment wrapText="1"/>
    </xf>
    <xf numFmtId="164" fontId="162" fillId="22" borderId="209" xfId="4" applyNumberFormat="1" applyFont="1" applyFill="1" applyBorder="1" applyAlignment="1">
      <alignment wrapText="1"/>
    </xf>
    <xf numFmtId="0" fontId="162" fillId="22" borderId="67" xfId="0" applyFont="1" applyFill="1" applyBorder="1" applyAlignment="1">
      <alignment wrapText="1"/>
    </xf>
    <xf numFmtId="0" fontId="162" fillId="22" borderId="70" xfId="0" applyFont="1" applyFill="1" applyBorder="1" applyAlignment="1">
      <alignment wrapText="1"/>
    </xf>
    <xf numFmtId="0" fontId="162" fillId="22" borderId="212" xfId="0" applyFont="1" applyFill="1" applyBorder="1" applyAlignment="1">
      <alignment wrapText="1"/>
    </xf>
    <xf numFmtId="164" fontId="162" fillId="22" borderId="8" xfId="4" applyNumberFormat="1" applyFont="1" applyFill="1" applyBorder="1" applyAlignment="1">
      <alignment wrapText="1"/>
    </xf>
    <xf numFmtId="164" fontId="162" fillId="22" borderId="123" xfId="4" applyNumberFormat="1" applyFont="1" applyFill="1" applyBorder="1" applyAlignment="1">
      <alignment wrapText="1"/>
    </xf>
    <xf numFmtId="164" fontId="162" fillId="22" borderId="199" xfId="4" applyNumberFormat="1" applyFont="1" applyFill="1" applyBorder="1" applyAlignment="1">
      <alignment wrapText="1"/>
    </xf>
    <xf numFmtId="0" fontId="162" fillId="17" borderId="237" xfId="0" applyFont="1" applyFill="1" applyBorder="1" applyAlignment="1">
      <alignment vertical="center" wrapText="1"/>
    </xf>
    <xf numFmtId="166" fontId="162" fillId="17" borderId="115" xfId="0" applyNumberFormat="1" applyFont="1" applyFill="1" applyBorder="1" applyAlignment="1">
      <alignment vertical="center"/>
    </xf>
    <xf numFmtId="164" fontId="162" fillId="17" borderId="264" xfId="0" applyNumberFormat="1" applyFont="1" applyFill="1" applyBorder="1" applyAlignment="1">
      <alignment vertical="center"/>
    </xf>
    <xf numFmtId="164" fontId="162" fillId="17" borderId="168" xfId="0" applyNumberFormat="1" applyFont="1" applyFill="1" applyBorder="1" applyAlignment="1">
      <alignment vertical="center"/>
    </xf>
    <xf numFmtId="167" fontId="162" fillId="17" borderId="115" xfId="0" applyNumberFormat="1" applyFont="1" applyFill="1" applyBorder="1" applyAlignment="1">
      <alignment vertical="center"/>
    </xf>
    <xf numFmtId="164" fontId="162" fillId="17" borderId="262" xfId="0" applyNumberFormat="1" applyFont="1" applyFill="1" applyBorder="1" applyAlignment="1">
      <alignment vertical="center"/>
    </xf>
    <xf numFmtId="43" fontId="162" fillId="17" borderId="238" xfId="1" applyFont="1" applyFill="1" applyBorder="1" applyAlignment="1">
      <alignment vertical="center"/>
    </xf>
    <xf numFmtId="43" fontId="162" fillId="17" borderId="237" xfId="1" applyFont="1" applyFill="1" applyBorder="1" applyAlignment="1">
      <alignment vertical="center"/>
    </xf>
    <xf numFmtId="43" fontId="162" fillId="17" borderId="263" xfId="1" applyFont="1" applyFill="1" applyBorder="1" applyAlignment="1">
      <alignment vertical="center"/>
    </xf>
    <xf numFmtId="0" fontId="162" fillId="17" borderId="72" xfId="0" applyFont="1" applyFill="1" applyBorder="1" applyAlignment="1">
      <alignment vertical="center" wrapText="1"/>
    </xf>
    <xf numFmtId="166" fontId="162" fillId="17" borderId="70" xfId="0" applyNumberFormat="1" applyFont="1" applyFill="1" applyBorder="1" applyAlignment="1">
      <alignment vertical="center"/>
    </xf>
    <xf numFmtId="164" fontId="162" fillId="17" borderId="222" xfId="0" applyNumberFormat="1" applyFont="1" applyFill="1" applyBorder="1" applyAlignment="1">
      <alignment vertical="center"/>
    </xf>
    <xf numFmtId="164" fontId="162" fillId="17" borderId="142" xfId="0" applyNumberFormat="1" applyFont="1" applyFill="1" applyBorder="1" applyAlignment="1">
      <alignment vertical="center"/>
    </xf>
    <xf numFmtId="167" fontId="162" fillId="17" borderId="70" xfId="0" applyNumberFormat="1" applyFont="1" applyFill="1" applyBorder="1" applyAlignment="1">
      <alignment vertical="center"/>
    </xf>
    <xf numFmtId="164" fontId="162" fillId="17" borderId="230" xfId="0" applyNumberFormat="1" applyFont="1" applyFill="1" applyBorder="1" applyAlignment="1">
      <alignment vertical="center"/>
    </xf>
    <xf numFmtId="43" fontId="162" fillId="17" borderId="68" xfId="1" applyFont="1" applyFill="1" applyBorder="1" applyAlignment="1">
      <alignment vertical="center"/>
    </xf>
    <xf numFmtId="43" fontId="162" fillId="17" borderId="72" xfId="1" applyFont="1" applyFill="1" applyBorder="1" applyAlignment="1">
      <alignment vertical="center"/>
    </xf>
    <xf numFmtId="43" fontId="162" fillId="17" borderId="170" xfId="1" applyFont="1" applyFill="1" applyBorder="1" applyAlignment="1">
      <alignment vertical="center"/>
    </xf>
    <xf numFmtId="0" fontId="162" fillId="17" borderId="194" xfId="0" applyFont="1" applyFill="1" applyBorder="1" applyAlignment="1">
      <alignment vertical="center" wrapText="1"/>
    </xf>
    <xf numFmtId="166" fontId="162" fillId="17" borderId="195" xfId="0" applyNumberFormat="1" applyFont="1" applyFill="1" applyBorder="1" applyAlignment="1">
      <alignment vertical="center"/>
    </xf>
    <xf numFmtId="164" fontId="162" fillId="17" borderId="300" xfId="0" applyNumberFormat="1" applyFont="1" applyFill="1" applyBorder="1" applyAlignment="1">
      <alignment vertical="center"/>
    </xf>
    <xf numFmtId="164" fontId="162" fillId="17" borderId="327" xfId="0" applyNumberFormat="1" applyFont="1" applyFill="1" applyBorder="1" applyAlignment="1">
      <alignment vertical="center"/>
    </xf>
    <xf numFmtId="167" fontId="162" fillId="17" borderId="195" xfId="0" applyNumberFormat="1" applyFont="1" applyFill="1" applyBorder="1" applyAlignment="1">
      <alignment vertical="center"/>
    </xf>
    <xf numFmtId="164" fontId="162" fillId="17" borderId="352" xfId="0" applyNumberFormat="1" applyFont="1" applyFill="1" applyBorder="1" applyAlignment="1">
      <alignment vertical="center"/>
    </xf>
    <xf numFmtId="43" fontId="162" fillId="17" borderId="191" xfId="1" applyFont="1" applyFill="1" applyBorder="1" applyAlignment="1">
      <alignment vertical="center"/>
    </xf>
    <xf numFmtId="43" fontId="162" fillId="17" borderId="194" xfId="1" applyFont="1" applyFill="1" applyBorder="1" applyAlignment="1">
      <alignment vertical="center"/>
    </xf>
    <xf numFmtId="43" fontId="162" fillId="17" borderId="302" xfId="1" applyFont="1" applyFill="1" applyBorder="1" applyAlignment="1">
      <alignment vertical="center"/>
    </xf>
    <xf numFmtId="0" fontId="162" fillId="17" borderId="321" xfId="0" applyFont="1" applyFill="1" applyBorder="1" applyAlignment="1">
      <alignment vertical="center" wrapText="1"/>
    </xf>
    <xf numFmtId="166" fontId="162" fillId="17" borderId="322" xfId="0" applyNumberFormat="1" applyFont="1" applyFill="1" applyBorder="1" applyAlignment="1">
      <alignment vertical="center"/>
    </xf>
    <xf numFmtId="164" fontId="162" fillId="17" borderId="326" xfId="0" applyNumberFormat="1" applyFont="1" applyFill="1" applyBorder="1" applyAlignment="1">
      <alignment vertical="center"/>
    </xf>
    <xf numFmtId="164" fontId="162" fillId="17" borderId="325" xfId="0" applyNumberFormat="1" applyFont="1" applyFill="1" applyBorder="1" applyAlignment="1">
      <alignment vertical="center"/>
    </xf>
    <xf numFmtId="167" fontId="162" fillId="17" borderId="322" xfId="0" applyNumberFormat="1" applyFont="1" applyFill="1" applyBorder="1" applyAlignment="1">
      <alignment vertical="center"/>
    </xf>
    <xf numFmtId="164" fontId="162" fillId="17" borderId="319" xfId="0" applyNumberFormat="1" applyFont="1" applyFill="1" applyBorder="1" applyAlignment="1">
      <alignment vertical="center"/>
    </xf>
    <xf numFmtId="43" fontId="162" fillId="17" borderId="319" xfId="1" applyFont="1" applyFill="1" applyBorder="1" applyAlignment="1">
      <alignment vertical="center"/>
    </xf>
    <xf numFmtId="43" fontId="162" fillId="17" borderId="321" xfId="1" applyFont="1" applyFill="1" applyBorder="1" applyAlignment="1">
      <alignment vertical="center"/>
    </xf>
    <xf numFmtId="43" fontId="162" fillId="17" borderId="324" xfId="1" applyFont="1" applyFill="1" applyBorder="1" applyAlignment="1">
      <alignment vertical="center"/>
    </xf>
    <xf numFmtId="166" fontId="162" fillId="17" borderId="212" xfId="0" applyNumberFormat="1" applyFont="1" applyFill="1" applyBorder="1" applyAlignment="1">
      <alignment vertical="center"/>
    </xf>
    <xf numFmtId="164" fontId="162" fillId="17" borderId="223" xfId="0" applyNumberFormat="1" applyFont="1" applyFill="1" applyBorder="1" applyAlignment="1">
      <alignment vertical="center"/>
    </xf>
    <xf numFmtId="164" fontId="162" fillId="17" borderId="224" xfId="0" applyNumberFormat="1" applyFont="1" applyFill="1" applyBorder="1" applyAlignment="1">
      <alignment vertical="center"/>
    </xf>
    <xf numFmtId="167" fontId="162" fillId="17" borderId="212" xfId="0" applyNumberFormat="1" applyFont="1" applyFill="1" applyBorder="1" applyAlignment="1">
      <alignment vertical="center"/>
    </xf>
    <xf numFmtId="164" fontId="162" fillId="17" borderId="231" xfId="0" applyNumberFormat="1" applyFont="1" applyFill="1" applyBorder="1" applyAlignment="1">
      <alignment vertical="center"/>
    </xf>
    <xf numFmtId="43" fontId="162" fillId="17" borderId="211" xfId="1" applyFont="1" applyFill="1" applyBorder="1" applyAlignment="1">
      <alignment vertical="center"/>
    </xf>
    <xf numFmtId="43" fontId="162" fillId="17" borderId="210" xfId="1" applyFont="1" applyFill="1" applyBorder="1" applyAlignment="1">
      <alignment vertical="center"/>
    </xf>
    <xf numFmtId="43" fontId="162" fillId="17" borderId="227" xfId="1" applyFont="1" applyFill="1" applyBorder="1" applyAlignment="1">
      <alignment vertical="center"/>
    </xf>
    <xf numFmtId="0" fontId="162" fillId="22" borderId="115" xfId="0" applyFont="1" applyFill="1" applyBorder="1" applyAlignment="1">
      <alignment wrapText="1"/>
    </xf>
    <xf numFmtId="10" fontId="162" fillId="17" borderId="527" xfId="0" applyNumberFormat="1" applyFont="1" applyFill="1" applyBorder="1"/>
    <xf numFmtId="0" fontId="126" fillId="0" borderId="265" xfId="0" applyFont="1" applyBorder="1" applyAlignment="1">
      <alignment horizontal="left" vertical="center" wrapText="1"/>
    </xf>
    <xf numFmtId="0" fontId="126" fillId="0" borderId="0" xfId="0" applyFont="1" applyAlignment="1">
      <alignment horizontal="left" vertical="center" wrapText="1"/>
    </xf>
    <xf numFmtId="0" fontId="159" fillId="0" borderId="265" xfId="0" applyFont="1" applyBorder="1" applyAlignment="1">
      <alignment horizontal="left" vertical="center" wrapText="1"/>
    </xf>
    <xf numFmtId="0" fontId="159" fillId="0" borderId="0" xfId="0" applyFont="1" applyAlignment="1">
      <alignment horizontal="left" vertical="center" wrapText="1"/>
    </xf>
    <xf numFmtId="0" fontId="160" fillId="0" borderId="0" xfId="0" applyFont="1" applyAlignment="1">
      <alignment horizontal="left" vertical="center" wrapText="1"/>
    </xf>
    <xf numFmtId="0" fontId="5" fillId="91" borderId="0" xfId="0" applyFont="1" applyFill="1" applyAlignment="1">
      <alignment vertical="center" wrapText="1"/>
    </xf>
    <xf numFmtId="0" fontId="172" fillId="16" borderId="494" xfId="0" applyFont="1" applyFill="1" applyBorder="1" applyAlignment="1">
      <alignment horizontal="left" vertical="center"/>
    </xf>
    <xf numFmtId="49" fontId="162" fillId="0" borderId="0" xfId="0" applyNumberFormat="1" applyFont="1" applyAlignment="1">
      <alignment horizontal="left" vertical="center" wrapText="1"/>
    </xf>
    <xf numFmtId="0" fontId="166" fillId="17" borderId="267" xfId="0" applyFont="1" applyFill="1" applyBorder="1" applyAlignment="1">
      <alignment horizontal="left" vertical="center"/>
    </xf>
    <xf numFmtId="0" fontId="166" fillId="17" borderId="204" xfId="0" applyFont="1" applyFill="1" applyBorder="1" applyAlignment="1">
      <alignment horizontal="left" vertical="center"/>
    </xf>
    <xf numFmtId="0" fontId="117" fillId="89" borderId="186" xfId="0" applyFont="1" applyFill="1" applyBorder="1" applyAlignment="1">
      <alignment vertical="center"/>
    </xf>
    <xf numFmtId="0" fontId="117" fillId="89" borderId="239" xfId="0" applyFont="1" applyFill="1" applyBorder="1" applyAlignment="1">
      <alignment vertical="center"/>
    </xf>
    <xf numFmtId="49" fontId="95" fillId="0" borderId="0" xfId="0" applyNumberFormat="1" applyFont="1" applyAlignment="1">
      <alignment horizontal="left" vertical="center" wrapText="1"/>
    </xf>
    <xf numFmtId="49" fontId="116" fillId="0" borderId="0" xfId="0" applyNumberFormat="1" applyFont="1" applyAlignment="1">
      <alignment horizontal="left" vertical="center" wrapText="1"/>
    </xf>
    <xf numFmtId="0" fontId="79" fillId="93" borderId="411" xfId="0" applyFont="1" applyFill="1" applyBorder="1" applyAlignment="1">
      <alignment horizontal="left" vertical="center"/>
    </xf>
    <xf numFmtId="0" fontId="79" fillId="93" borderId="440" xfId="0" applyFont="1" applyFill="1" applyBorder="1" applyAlignment="1">
      <alignment horizontal="left" vertical="center"/>
    </xf>
    <xf numFmtId="43" fontId="162" fillId="0" borderId="217" xfId="0" applyNumberFormat="1" applyFont="1" applyBorder="1" applyAlignment="1">
      <alignment horizontal="center" vertical="center"/>
    </xf>
    <xf numFmtId="43" fontId="162" fillId="0" borderId="62" xfId="0" applyNumberFormat="1" applyFont="1" applyBorder="1" applyAlignment="1">
      <alignment horizontal="center" vertical="center"/>
    </xf>
    <xf numFmtId="43" fontId="162" fillId="0" borderId="43" xfId="0" applyNumberFormat="1" applyFont="1" applyBorder="1" applyAlignment="1">
      <alignment horizontal="center" vertical="center"/>
    </xf>
    <xf numFmtId="43" fontId="162" fillId="0" borderId="171" xfId="0" applyNumberFormat="1" applyFont="1" applyBorder="1" applyAlignment="1">
      <alignment horizontal="center" vertical="center"/>
    </xf>
    <xf numFmtId="43" fontId="162" fillId="0" borderId="64" xfId="0" applyNumberFormat="1" applyFont="1" applyBorder="1" applyAlignment="1">
      <alignment horizontal="center" vertical="center"/>
    </xf>
    <xf numFmtId="43" fontId="162" fillId="0" borderId="391" xfId="0" applyNumberFormat="1" applyFont="1" applyBorder="1" applyAlignment="1">
      <alignment horizontal="center" vertical="center"/>
    </xf>
    <xf numFmtId="49" fontId="84" fillId="0" borderId="0" xfId="0" applyNumberFormat="1" applyFont="1" applyAlignment="1">
      <alignment horizontal="left" vertical="center" wrapText="1"/>
    </xf>
    <xf numFmtId="43" fontId="162" fillId="0" borderId="184" xfId="0" applyNumberFormat="1" applyFont="1" applyBorder="1" applyAlignment="1">
      <alignment horizontal="center" vertical="center"/>
    </xf>
    <xf numFmtId="0" fontId="172" fillId="24" borderId="440" xfId="0" applyFont="1" applyFill="1" applyBorder="1" applyAlignment="1">
      <alignment horizontal="center" wrapText="1"/>
    </xf>
    <xf numFmtId="49" fontId="77" fillId="16" borderId="180" xfId="0" applyNumberFormat="1" applyFont="1" applyFill="1" applyBorder="1" applyAlignment="1">
      <alignment horizontal="left" vertical="top" wrapText="1"/>
    </xf>
    <xf numFmtId="0" fontId="13" fillId="89" borderId="411" xfId="0" applyFont="1" applyFill="1" applyBorder="1" applyAlignment="1">
      <alignment horizontal="center" vertical="center" wrapText="1"/>
    </xf>
    <xf numFmtId="0" fontId="13" fillId="89" borderId="440" xfId="0" applyFont="1" applyFill="1" applyBorder="1" applyAlignment="1">
      <alignment horizontal="center" vertical="center" wrapText="1"/>
    </xf>
    <xf numFmtId="0" fontId="267" fillId="91" borderId="411" xfId="0" applyFont="1" applyFill="1" applyBorder="1" applyAlignment="1">
      <alignment horizontal="center" vertical="center" wrapText="1"/>
    </xf>
    <xf numFmtId="0" fontId="267" fillId="91" borderId="440" xfId="0" applyFont="1" applyFill="1" applyBorder="1" applyAlignment="1">
      <alignment horizontal="center" vertical="center" wrapText="1"/>
    </xf>
    <xf numFmtId="0" fontId="144" fillId="16" borderId="0" xfId="0" applyFont="1" applyFill="1" applyAlignment="1">
      <alignment horizontal="left" vertical="center" wrapText="1"/>
    </xf>
    <xf numFmtId="0" fontId="144" fillId="16" borderId="26" xfId="0" applyFont="1" applyFill="1" applyBorder="1" applyAlignment="1">
      <alignment horizontal="left" vertical="center" wrapText="1"/>
    </xf>
    <xf numFmtId="49" fontId="163" fillId="16" borderId="180" xfId="0" applyNumberFormat="1" applyFont="1" applyFill="1" applyBorder="1" applyAlignment="1">
      <alignment horizontal="left" vertical="top" wrapText="1"/>
    </xf>
    <xf numFmtId="0" fontId="267" fillId="91" borderId="495" xfId="0" applyFont="1" applyFill="1" applyBorder="1" applyAlignment="1">
      <alignment horizontal="center" vertical="center" wrapText="1"/>
    </xf>
    <xf numFmtId="0" fontId="267" fillId="91" borderId="496" xfId="0" applyFont="1" applyFill="1" applyBorder="1" applyAlignment="1">
      <alignment horizontal="center" vertical="center" wrapText="1"/>
    </xf>
    <xf numFmtId="0" fontId="8" fillId="0" borderId="94" xfId="0" applyFont="1" applyBorder="1" applyAlignment="1">
      <alignment horizontal="left" vertical="top" wrapText="1"/>
    </xf>
    <xf numFmtId="0" fontId="8" fillId="0" borderId="0" xfId="0" applyFont="1" applyAlignment="1">
      <alignment horizontal="left" vertical="top" wrapText="1"/>
    </xf>
    <xf numFmtId="0" fontId="253" fillId="0" borderId="0" xfId="0" applyFont="1" applyAlignment="1">
      <alignment horizontal="right"/>
    </xf>
    <xf numFmtId="0" fontId="253" fillId="0" borderId="443" xfId="0" applyFont="1" applyBorder="1" applyAlignment="1">
      <alignment horizontal="right"/>
    </xf>
    <xf numFmtId="0" fontId="162" fillId="16" borderId="0" xfId="0" quotePrefix="1" applyFont="1" applyFill="1" applyAlignment="1">
      <alignment horizontal="left" vertical="top" wrapText="1" indent="1"/>
    </xf>
    <xf numFmtId="0" fontId="162" fillId="16" borderId="0" xfId="0" applyFont="1" applyFill="1" applyAlignment="1">
      <alignment horizontal="left" vertical="top" wrapText="1" indent="1"/>
    </xf>
    <xf numFmtId="0" fontId="84" fillId="16" borderId="0" xfId="0" quotePrefix="1" applyFont="1" applyFill="1" applyAlignment="1">
      <alignment horizontal="left" vertical="top" wrapText="1" indent="1"/>
    </xf>
    <xf numFmtId="0" fontId="84" fillId="16" borderId="0" xfId="0" applyFont="1" applyFill="1" applyAlignment="1">
      <alignment horizontal="left" vertical="top" wrapText="1" indent="1"/>
    </xf>
    <xf numFmtId="0" fontId="162" fillId="16" borderId="0" xfId="0" applyFont="1" applyFill="1" applyAlignment="1">
      <alignment horizontal="left" vertical="top" wrapText="1"/>
    </xf>
    <xf numFmtId="0" fontId="162" fillId="17" borderId="0" xfId="0" applyFont="1" applyFill="1" applyAlignment="1">
      <alignment horizontal="left" vertical="center" wrapText="1"/>
    </xf>
    <xf numFmtId="0" fontId="166" fillId="0" borderId="467" xfId="0" applyFont="1" applyBorder="1" applyAlignment="1">
      <alignment horizontal="left" wrapText="1"/>
    </xf>
    <xf numFmtId="0" fontId="166" fillId="0" borderId="0" xfId="0" applyFont="1" applyAlignment="1">
      <alignment horizontal="left" wrapText="1"/>
    </xf>
    <xf numFmtId="0" fontId="81" fillId="89" borderId="175" xfId="0" applyFont="1" applyFill="1" applyBorder="1" applyAlignment="1">
      <alignment horizontal="center" vertical="center"/>
    </xf>
    <xf numFmtId="0" fontId="81" fillId="89" borderId="440" xfId="0" applyFont="1" applyFill="1" applyBorder="1" applyAlignment="1">
      <alignment horizontal="center" vertical="center"/>
    </xf>
    <xf numFmtId="0" fontId="81" fillId="89" borderId="187" xfId="0" applyFont="1" applyFill="1" applyBorder="1" applyAlignment="1">
      <alignment horizontal="center" vertical="center"/>
    </xf>
    <xf numFmtId="0" fontId="19" fillId="16" borderId="521" xfId="9100" applyFill="1" applyBorder="1" applyAlignment="1">
      <alignment horizontal="left" vertical="center" wrapText="1"/>
    </xf>
    <xf numFmtId="0" fontId="19" fillId="16" borderId="207" xfId="9100" applyFill="1" applyBorder="1" applyAlignment="1">
      <alignment horizontal="left" vertical="center" wrapText="1"/>
    </xf>
    <xf numFmtId="0" fontId="162" fillId="16" borderId="523" xfId="0" quotePrefix="1" applyFont="1" applyFill="1" applyBorder="1" applyAlignment="1">
      <alignment horizontal="left" vertical="center" wrapText="1"/>
    </xf>
    <xf numFmtId="0" fontId="162" fillId="16" borderId="472" xfId="0" quotePrefix="1" applyFont="1" applyFill="1" applyBorder="1" applyAlignment="1">
      <alignment horizontal="left" vertical="center" wrapText="1"/>
    </xf>
    <xf numFmtId="0" fontId="162" fillId="16" borderId="473" xfId="0" quotePrefix="1" applyFont="1" applyFill="1" applyBorder="1" applyAlignment="1">
      <alignment horizontal="left" vertical="center" wrapText="1"/>
    </xf>
    <xf numFmtId="0" fontId="162" fillId="16" borderId="470" xfId="0" quotePrefix="1" applyFont="1" applyFill="1" applyBorder="1" applyAlignment="1">
      <alignment horizontal="left" vertical="center" wrapText="1"/>
    </xf>
    <xf numFmtId="0" fontId="162" fillId="16" borderId="316" xfId="0" quotePrefix="1" applyFont="1" applyFill="1" applyBorder="1" applyAlignment="1">
      <alignment horizontal="left" vertical="center" wrapText="1"/>
    </xf>
    <xf numFmtId="0" fontId="162" fillId="16" borderId="471" xfId="0" quotePrefix="1" applyFont="1" applyFill="1" applyBorder="1" applyAlignment="1">
      <alignment horizontal="left" vertical="center" wrapText="1"/>
    </xf>
    <xf numFmtId="0" fontId="162" fillId="0" borderId="522" xfId="0" applyFont="1" applyBorder="1" applyAlignment="1">
      <alignment horizontal="left" vertical="center" wrapText="1"/>
    </xf>
    <xf numFmtId="0" fontId="162" fillId="0" borderId="197" xfId="0" applyFont="1" applyBorder="1" applyAlignment="1">
      <alignment horizontal="left" vertical="center" wrapText="1"/>
    </xf>
    <xf numFmtId="0" fontId="162" fillId="17" borderId="525" xfId="0" applyFont="1" applyFill="1" applyBorder="1" applyAlignment="1">
      <alignment horizontal="left" vertical="center" wrapText="1"/>
    </xf>
    <xf numFmtId="0" fontId="162" fillId="17" borderId="467" xfId="0" applyFont="1" applyFill="1" applyBorder="1" applyAlignment="1">
      <alignment horizontal="left" vertical="center" wrapText="1"/>
    </xf>
    <xf numFmtId="0" fontId="162" fillId="17" borderId="313" xfId="0" applyFont="1" applyFill="1" applyBorder="1" applyAlignment="1">
      <alignment horizontal="left" vertical="center" wrapText="1"/>
    </xf>
    <xf numFmtId="0" fontId="162" fillId="17" borderId="526" xfId="0" applyFont="1" applyFill="1" applyBorder="1" applyAlignment="1">
      <alignment horizontal="left" vertical="center" wrapText="1"/>
    </xf>
    <xf numFmtId="0" fontId="162" fillId="17" borderId="24" xfId="0" applyFont="1" applyFill="1" applyBorder="1" applyAlignment="1">
      <alignment horizontal="left" vertical="center" wrapText="1"/>
    </xf>
    <xf numFmtId="0" fontId="19" fillId="17" borderId="460" xfId="9100" applyFill="1" applyBorder="1" applyAlignment="1">
      <alignment horizontal="left" vertical="center" wrapText="1"/>
    </xf>
    <xf numFmtId="0" fontId="19" fillId="17" borderId="521" xfId="9100" applyFill="1" applyBorder="1" applyAlignment="1">
      <alignment horizontal="left" vertical="center" wrapText="1"/>
    </xf>
    <xf numFmtId="0" fontId="79" fillId="91" borderId="0" xfId="0" applyFont="1" applyFill="1" applyAlignment="1">
      <alignment horizontal="left" vertical="center" wrapText="1"/>
    </xf>
    <xf numFmtId="0" fontId="112" fillId="16" borderId="0" xfId="0" applyFont="1" applyFill="1" applyAlignment="1">
      <alignment horizontal="left" vertical="center" wrapText="1" indent="1"/>
    </xf>
    <xf numFmtId="0" fontId="79" fillId="74" borderId="0" xfId="0" applyFont="1" applyFill="1" applyAlignment="1">
      <alignment horizontal="left" vertical="center" wrapText="1"/>
    </xf>
    <xf numFmtId="0" fontId="0" fillId="20" borderId="5" xfId="0" applyFill="1" applyBorder="1" applyAlignment="1">
      <alignment horizontal="center" vertical="center"/>
    </xf>
    <xf numFmtId="0" fontId="0" fillId="20" borderId="76" xfId="0" applyFill="1" applyBorder="1" applyAlignment="1">
      <alignment horizontal="center" vertical="center"/>
    </xf>
    <xf numFmtId="0" fontId="0" fillId="20" borderId="6" xfId="0" applyFill="1" applyBorder="1" applyAlignment="1">
      <alignment horizontal="center" vertical="center"/>
    </xf>
    <xf numFmtId="2" fontId="6" fillId="31" borderId="116" xfId="2" applyNumberFormat="1" applyFont="1" applyFill="1" applyBorder="1" applyAlignment="1">
      <alignment horizontal="left"/>
    </xf>
    <xf numFmtId="2" fontId="6" fillId="31" borderId="117" xfId="2" applyNumberFormat="1" applyFont="1" applyFill="1" applyBorder="1" applyAlignment="1">
      <alignment horizontal="left"/>
    </xf>
    <xf numFmtId="2" fontId="6" fillId="31" borderId="118" xfId="2" applyNumberFormat="1" applyFont="1" applyFill="1" applyBorder="1" applyAlignment="1">
      <alignment horizontal="left"/>
    </xf>
    <xf numFmtId="0" fontId="84" fillId="16" borderId="0" xfId="9" applyFont="1" applyFill="1" applyAlignment="1">
      <alignment horizontal="left" wrapText="1"/>
    </xf>
    <xf numFmtId="0" fontId="85" fillId="98" borderId="432" xfId="9" applyFont="1" applyFill="1" applyBorder="1" applyAlignment="1">
      <alignment horizontal="center"/>
    </xf>
    <xf numFmtId="0" fontId="66" fillId="98" borderId="432" xfId="0" applyFont="1" applyFill="1" applyBorder="1" applyAlignment="1">
      <alignment horizontal="center"/>
    </xf>
    <xf numFmtId="0" fontId="66" fillId="98" borderId="88" xfId="0" applyFont="1" applyFill="1" applyBorder="1" applyAlignment="1">
      <alignment horizontal="center"/>
    </xf>
    <xf numFmtId="0" fontId="179" fillId="26" borderId="0" xfId="0" applyFont="1" applyFill="1" applyAlignment="1">
      <alignment horizontal="left" vertical="center" wrapText="1"/>
    </xf>
    <xf numFmtId="0" fontId="87" fillId="24" borderId="13" xfId="0" applyFont="1" applyFill="1" applyBorder="1" applyAlignment="1">
      <alignment horizontal="center"/>
    </xf>
    <xf numFmtId="0" fontId="87" fillId="24" borderId="14" xfId="0" applyFont="1" applyFill="1" applyBorder="1" applyAlignment="1">
      <alignment horizontal="center"/>
    </xf>
    <xf numFmtId="0" fontId="13" fillId="93" borderId="56" xfId="0" applyFont="1" applyFill="1" applyBorder="1" applyAlignment="1">
      <alignment horizontal="center"/>
    </xf>
    <xf numFmtId="0" fontId="13" fillId="93" borderId="57" xfId="0" applyFont="1" applyFill="1" applyBorder="1" applyAlignment="1">
      <alignment horizontal="center"/>
    </xf>
    <xf numFmtId="0" fontId="90" fillId="17" borderId="56" xfId="0" applyFont="1" applyFill="1" applyBorder="1" applyAlignment="1">
      <alignment horizontal="left" vertical="center" wrapText="1"/>
    </xf>
    <xf numFmtId="0" fontId="90" fillId="17" borderId="37" xfId="0" applyFont="1" applyFill="1" applyBorder="1" applyAlignment="1">
      <alignment horizontal="left" vertical="center" wrapText="1"/>
    </xf>
    <xf numFmtId="0" fontId="90" fillId="17" borderId="239" xfId="0" applyFont="1" applyFill="1" applyBorder="1" applyAlignment="1">
      <alignment horizontal="left" vertical="center" wrapText="1"/>
    </xf>
    <xf numFmtId="0" fontId="90" fillId="17" borderId="57" xfId="0" applyFont="1" applyFill="1" applyBorder="1" applyAlignment="1">
      <alignment horizontal="left" vertical="center" wrapText="1"/>
    </xf>
    <xf numFmtId="0" fontId="6" fillId="20" borderId="186" xfId="0" applyFont="1" applyFill="1" applyBorder="1" applyAlignment="1">
      <alignment horizontal="left" vertical="center" wrapText="1"/>
    </xf>
    <xf numFmtId="0" fontId="6" fillId="20" borderId="239" xfId="0" applyFont="1" applyFill="1" applyBorder="1" applyAlignment="1">
      <alignment horizontal="left" vertical="center" wrapText="1"/>
    </xf>
    <xf numFmtId="0" fontId="6" fillId="20" borderId="187" xfId="0" applyFont="1" applyFill="1" applyBorder="1" applyAlignment="1">
      <alignment horizontal="left" vertical="center" wrapText="1"/>
    </xf>
    <xf numFmtId="0" fontId="13" fillId="90" borderId="56" xfId="0" applyFont="1" applyFill="1" applyBorder="1" applyAlignment="1">
      <alignment horizontal="center"/>
    </xf>
    <xf numFmtId="0" fontId="13" fillId="90" borderId="150" xfId="0" applyFont="1" applyFill="1" applyBorder="1" applyAlignment="1">
      <alignment horizontal="center"/>
    </xf>
    <xf numFmtId="0" fontId="13" fillId="90" borderId="57" xfId="0" applyFont="1" applyFill="1" applyBorder="1" applyAlignment="1">
      <alignment horizontal="center"/>
    </xf>
    <xf numFmtId="0" fontId="90" fillId="17" borderId="186" xfId="0" applyFont="1" applyFill="1" applyBorder="1" applyAlignment="1">
      <alignment horizontal="left" vertical="center" wrapText="1"/>
    </xf>
    <xf numFmtId="0" fontId="90" fillId="17" borderId="187" xfId="0" applyFont="1" applyFill="1" applyBorder="1" applyAlignment="1">
      <alignment horizontal="left" vertical="center" wrapText="1"/>
    </xf>
    <xf numFmtId="0" fontId="13" fillId="30" borderId="186" xfId="0" applyFont="1" applyFill="1" applyBorder="1" applyAlignment="1">
      <alignment horizontal="center"/>
    </xf>
    <xf numFmtId="0" fontId="13" fillId="30" borderId="239" xfId="0" applyFont="1" applyFill="1" applyBorder="1" applyAlignment="1">
      <alignment horizontal="center"/>
    </xf>
    <xf numFmtId="0" fontId="13" fillId="30" borderId="187" xfId="0" applyFont="1" applyFill="1" applyBorder="1" applyAlignment="1">
      <alignment horizontal="center"/>
    </xf>
    <xf numFmtId="0" fontId="13" fillId="89" borderId="186" xfId="0" applyFont="1" applyFill="1" applyBorder="1" applyAlignment="1">
      <alignment horizontal="center"/>
    </xf>
    <xf numFmtId="0" fontId="13" fillId="89" borderId="150" xfId="0" applyFont="1" applyFill="1" applyBorder="1" applyAlignment="1">
      <alignment horizontal="center"/>
    </xf>
    <xf numFmtId="0" fontId="13" fillId="89" borderId="239" xfId="0" applyFont="1" applyFill="1" applyBorder="1" applyAlignment="1">
      <alignment horizontal="center"/>
    </xf>
    <xf numFmtId="0" fontId="137" fillId="16" borderId="0" xfId="0" applyFont="1" applyFill="1" applyAlignment="1">
      <alignment horizontal="left" vertical="center" wrapText="1"/>
    </xf>
    <xf numFmtId="49" fontId="162" fillId="22" borderId="262" xfId="4" applyNumberFormat="1" applyFont="1" applyFill="1" applyBorder="1" applyAlignment="1">
      <alignment horizontal="center" vertical="center" wrapText="1"/>
    </xf>
    <xf numFmtId="49" fontId="162" fillId="22" borderId="230" xfId="4" applyNumberFormat="1" applyFont="1" applyFill="1" applyBorder="1" applyAlignment="1">
      <alignment horizontal="center" vertical="center" wrapText="1"/>
    </xf>
    <xf numFmtId="49" fontId="162" fillId="22" borderId="231" xfId="4" applyNumberFormat="1" applyFont="1" applyFill="1" applyBorder="1" applyAlignment="1">
      <alignment horizontal="center" vertical="center" wrapText="1"/>
    </xf>
    <xf numFmtId="0" fontId="165" fillId="22" borderId="115" xfId="0" applyFont="1" applyFill="1" applyBorder="1" applyAlignment="1">
      <alignment horizontal="left" vertical="center" wrapText="1"/>
    </xf>
    <xf numFmtId="0" fontId="165" fillId="22" borderId="70" xfId="0" applyFont="1" applyFill="1" applyBorder="1" applyAlignment="1">
      <alignment horizontal="left" vertical="center" wrapText="1"/>
    </xf>
    <xf numFmtId="0" fontId="165" fillId="22" borderId="212" xfId="0" applyFont="1" applyFill="1" applyBorder="1" applyAlignment="1">
      <alignment horizontal="left" vertical="center" wrapText="1"/>
    </xf>
    <xf numFmtId="0" fontId="85" fillId="98" borderId="88" xfId="9" applyFont="1" applyFill="1" applyBorder="1" applyAlignment="1">
      <alignment horizontal="center"/>
    </xf>
    <xf numFmtId="0" fontId="84" fillId="20" borderId="56" xfId="0" applyFont="1" applyFill="1" applyBorder="1" applyAlignment="1">
      <alignment horizontal="left" vertical="top" wrapText="1"/>
    </xf>
    <xf numFmtId="0" fontId="84" fillId="20" borderId="37" xfId="0" applyFont="1" applyFill="1" applyBorder="1" applyAlignment="1">
      <alignment horizontal="left" vertical="top" wrapText="1"/>
    </xf>
    <xf numFmtId="0" fontId="84" fillId="20" borderId="150" xfId="0" applyFont="1" applyFill="1" applyBorder="1" applyAlignment="1">
      <alignment horizontal="left" vertical="top" wrapText="1"/>
    </xf>
    <xf numFmtId="0" fontId="84" fillId="20" borderId="57" xfId="0" applyFont="1" applyFill="1" applyBorder="1" applyAlignment="1">
      <alignment horizontal="left" vertical="top" wrapText="1"/>
    </xf>
    <xf numFmtId="0" fontId="5" fillId="93" borderId="56" xfId="0" applyFont="1" applyFill="1" applyBorder="1" applyAlignment="1">
      <alignment horizontal="center"/>
    </xf>
    <xf numFmtId="0" fontId="5" fillId="93" borderId="57" xfId="0" applyFont="1" applyFill="1" applyBorder="1" applyAlignment="1">
      <alignment horizontal="center"/>
    </xf>
    <xf numFmtId="0" fontId="5" fillId="90" borderId="56" xfId="0" applyFont="1" applyFill="1" applyBorder="1" applyAlignment="1">
      <alignment horizontal="center"/>
    </xf>
    <xf numFmtId="0" fontId="5" fillId="90" borderId="150" xfId="0" applyFont="1" applyFill="1" applyBorder="1" applyAlignment="1">
      <alignment horizontal="center"/>
    </xf>
    <xf numFmtId="0" fontId="5" fillId="90" borderId="57" xfId="0" applyFont="1" applyFill="1" applyBorder="1" applyAlignment="1">
      <alignment horizontal="center"/>
    </xf>
    <xf numFmtId="0" fontId="6" fillId="20" borderId="56" xfId="0" applyFont="1" applyFill="1" applyBorder="1" applyAlignment="1">
      <alignment horizontal="left" vertical="top" wrapText="1"/>
    </xf>
    <xf numFmtId="0" fontId="6" fillId="20" borderId="37" xfId="0" applyFont="1" applyFill="1" applyBorder="1" applyAlignment="1">
      <alignment horizontal="left" vertical="top" wrapText="1"/>
    </xf>
    <xf numFmtId="0" fontId="6" fillId="20" borderId="150" xfId="0" applyFont="1" applyFill="1" applyBorder="1" applyAlignment="1">
      <alignment horizontal="left" vertical="top" wrapText="1"/>
    </xf>
    <xf numFmtId="0" fontId="6" fillId="20" borderId="57" xfId="0" applyFont="1" applyFill="1" applyBorder="1" applyAlignment="1">
      <alignment horizontal="left" vertical="top" wrapText="1"/>
    </xf>
    <xf numFmtId="0" fontId="0" fillId="16" borderId="26" xfId="0" applyFill="1" applyBorder="1" applyAlignment="1">
      <alignment horizontal="left" vertical="top" wrapText="1"/>
    </xf>
    <xf numFmtId="0" fontId="166" fillId="26" borderId="0" xfId="0" applyFont="1" applyFill="1" applyAlignment="1">
      <alignment horizontal="left" vertical="center" wrapText="1"/>
    </xf>
    <xf numFmtId="0" fontId="177" fillId="17" borderId="0" xfId="9226"/>
    <xf numFmtId="0" fontId="13" fillId="89" borderId="56" xfId="0" applyFont="1" applyFill="1" applyBorder="1" applyAlignment="1">
      <alignment horizontal="center"/>
    </xf>
    <xf numFmtId="0" fontId="5" fillId="30" borderId="56" xfId="0" applyFont="1" applyFill="1" applyBorder="1" applyAlignment="1">
      <alignment horizontal="center"/>
    </xf>
    <xf numFmtId="0" fontId="5" fillId="30" borderId="150" xfId="0" applyFont="1" applyFill="1" applyBorder="1" applyAlignment="1">
      <alignment horizontal="center"/>
    </xf>
    <xf numFmtId="0" fontId="5" fillId="30" borderId="57" xfId="0" applyFont="1" applyFill="1" applyBorder="1" applyAlignment="1">
      <alignment horizontal="center"/>
    </xf>
    <xf numFmtId="0" fontId="6" fillId="16" borderId="4" xfId="0" applyFont="1" applyFill="1" applyBorder="1" applyAlignment="1">
      <alignment horizontal="center"/>
    </xf>
    <xf numFmtId="0" fontId="6" fillId="16" borderId="92" xfId="0" applyFont="1" applyFill="1" applyBorder="1" applyAlignment="1">
      <alignment horizontal="center"/>
    </xf>
    <xf numFmtId="0" fontId="6" fillId="16" borderId="91" xfId="0" applyFont="1" applyFill="1" applyBorder="1" applyAlignment="1">
      <alignment horizontal="center"/>
    </xf>
    <xf numFmtId="0" fontId="6" fillId="16" borderId="0" xfId="0" applyFont="1" applyFill="1" applyAlignment="1">
      <alignment horizontal="center"/>
    </xf>
    <xf numFmtId="0" fontId="83" fillId="0" borderId="56" xfId="0" applyFont="1" applyBorder="1" applyAlignment="1">
      <alignment horizontal="center" wrapText="1"/>
    </xf>
    <xf numFmtId="0" fontId="83" fillId="0" borderId="37" xfId="0" applyFont="1" applyBorder="1" applyAlignment="1">
      <alignment horizontal="center" wrapText="1"/>
    </xf>
    <xf numFmtId="0" fontId="83" fillId="0" borderId="57" xfId="0" applyFont="1" applyBorder="1" applyAlignment="1">
      <alignment horizontal="center" wrapText="1"/>
    </xf>
    <xf numFmtId="0" fontId="6" fillId="0" borderId="56" xfId="0" applyFont="1" applyBorder="1" applyAlignment="1">
      <alignment horizontal="center"/>
    </xf>
    <xf numFmtId="0" fontId="6" fillId="0" borderId="37" xfId="0" applyFont="1" applyBorder="1" applyAlignment="1">
      <alignment horizontal="center"/>
    </xf>
    <xf numFmtId="0" fontId="6" fillId="0" borderId="57" xfId="0" applyFont="1" applyBorder="1" applyAlignment="1">
      <alignment horizontal="center"/>
    </xf>
    <xf numFmtId="0" fontId="162" fillId="22" borderId="340" xfId="0" applyFont="1" applyFill="1" applyBorder="1" applyAlignment="1">
      <alignment horizontal="left" vertical="center" wrapText="1"/>
    </xf>
    <xf numFmtId="0" fontId="162" fillId="17" borderId="219" xfId="0" applyFont="1" applyFill="1" applyBorder="1" applyAlignment="1">
      <alignment horizontal="center"/>
    </xf>
    <xf numFmtId="0" fontId="162" fillId="22" borderId="219" xfId="0" applyFont="1" applyFill="1" applyBorder="1" applyAlignment="1">
      <alignment horizontal="left" vertical="center" wrapText="1"/>
    </xf>
    <xf numFmtId="0" fontId="66" fillId="90" borderId="186" xfId="0" applyFont="1" applyFill="1" applyBorder="1" applyAlignment="1">
      <alignment horizontal="center" vertical="center" wrapText="1"/>
    </xf>
    <xf numFmtId="0" fontId="66" fillId="90" borderId="150" xfId="0" applyFont="1" applyFill="1" applyBorder="1" applyAlignment="1">
      <alignment horizontal="center" vertical="center" wrapText="1"/>
    </xf>
    <xf numFmtId="0" fontId="66" fillId="90" borderId="187" xfId="0" applyFont="1" applyFill="1" applyBorder="1" applyAlignment="1">
      <alignment horizontal="center" vertical="center" wrapText="1"/>
    </xf>
    <xf numFmtId="10" fontId="162" fillId="22" borderId="66" xfId="2" applyNumberFormat="1" applyFont="1" applyFill="1" applyBorder="1" applyAlignment="1">
      <alignment horizontal="left" vertical="center" wrapText="1"/>
    </xf>
    <xf numFmtId="10" fontId="162" fillId="18" borderId="69" xfId="2" applyNumberFormat="1" applyFont="1" applyFill="1" applyBorder="1" applyAlignment="1">
      <alignment horizontal="center"/>
    </xf>
    <xf numFmtId="10" fontId="162" fillId="22" borderId="69" xfId="2" applyNumberFormat="1" applyFont="1" applyFill="1" applyBorder="1" applyAlignment="1">
      <alignment horizontal="left" vertical="center" wrapText="1"/>
    </xf>
    <xf numFmtId="0" fontId="66" fillId="16" borderId="5" xfId="0" applyFont="1" applyFill="1" applyBorder="1" applyAlignment="1">
      <alignment horizontal="center" wrapText="1"/>
    </xf>
    <xf numFmtId="0" fontId="66" fillId="16" borderId="76" xfId="0" applyFont="1" applyFill="1" applyBorder="1" applyAlignment="1">
      <alignment horizontal="center" wrapText="1"/>
    </xf>
    <xf numFmtId="0" fontId="66" fillId="16" borderId="6" xfId="0" applyFont="1" applyFill="1" applyBorder="1" applyAlignment="1">
      <alignment horizontal="center" wrapText="1"/>
    </xf>
    <xf numFmtId="0" fontId="8" fillId="22" borderId="176" xfId="0" applyFont="1" applyFill="1" applyBorder="1" applyAlignment="1">
      <alignment horizontal="center" wrapText="1"/>
    </xf>
    <xf numFmtId="0" fontId="8" fillId="22" borderId="177" xfId="0" applyFont="1" applyFill="1" applyBorder="1" applyAlignment="1">
      <alignment horizontal="center" wrapText="1"/>
    </xf>
    <xf numFmtId="0" fontId="66" fillId="16" borderId="0" xfId="0" applyFont="1" applyFill="1" applyAlignment="1">
      <alignment horizontal="left" vertical="center" wrapText="1"/>
    </xf>
    <xf numFmtId="0" fontId="6" fillId="16" borderId="0" xfId="0" applyFont="1" applyFill="1" applyAlignment="1">
      <alignment horizontal="left" vertical="top" wrapText="1"/>
    </xf>
    <xf numFmtId="0" fontId="6" fillId="23" borderId="51" xfId="0" applyFont="1" applyFill="1" applyBorder="1" applyAlignment="1">
      <alignment horizontal="center" vertical="center"/>
    </xf>
    <xf numFmtId="164" fontId="6" fillId="23" borderId="51" xfId="0" applyNumberFormat="1" applyFont="1" applyFill="1" applyBorder="1" applyAlignment="1">
      <alignment horizontal="center" vertical="center" wrapText="1"/>
    </xf>
    <xf numFmtId="0" fontId="6" fillId="23" borderId="51" xfId="0" applyFont="1" applyFill="1" applyBorder="1" applyAlignment="1">
      <alignment horizontal="center" vertical="center" wrapText="1"/>
    </xf>
    <xf numFmtId="164" fontId="6" fillId="0" borderId="5" xfId="132" applyNumberFormat="1" applyFont="1" applyBorder="1" applyAlignment="1">
      <alignment horizontal="center" vertical="center" wrapText="1"/>
    </xf>
    <xf numFmtId="164" fontId="6" fillId="0" borderId="6" xfId="132" applyNumberFormat="1" applyFont="1" applyBorder="1" applyAlignment="1">
      <alignment horizontal="center" vertical="center" wrapText="1"/>
    </xf>
    <xf numFmtId="164" fontId="6" fillId="0" borderId="77" xfId="132" applyNumberFormat="1" applyFont="1" applyBorder="1" applyAlignment="1">
      <alignment horizontal="center" vertical="center" wrapText="1"/>
    </xf>
    <xf numFmtId="164" fontId="6" fillId="0" borderId="78" xfId="132" applyNumberFormat="1" applyFont="1" applyBorder="1" applyAlignment="1">
      <alignment horizontal="center" vertical="center" wrapText="1"/>
    </xf>
    <xf numFmtId="0" fontId="66" fillId="90" borderId="51" xfId="0" applyFont="1" applyFill="1" applyBorder="1" applyAlignment="1">
      <alignment horizontal="center" wrapText="1"/>
    </xf>
    <xf numFmtId="0" fontId="86" fillId="16" borderId="0" xfId="0" applyFont="1" applyFill="1" applyAlignment="1">
      <alignment horizontal="left" vertical="center" wrapText="1"/>
    </xf>
    <xf numFmtId="0" fontId="0" fillId="26" borderId="0" xfId="0" applyFill="1" applyAlignment="1">
      <alignment horizontal="left" vertical="center" wrapText="1"/>
    </xf>
    <xf numFmtId="0" fontId="19" fillId="22" borderId="95" xfId="9100" applyFill="1" applyBorder="1" applyAlignment="1">
      <alignment horizontal="left" vertical="center"/>
    </xf>
    <xf numFmtId="0" fontId="19" fillId="22" borderId="62" xfId="9100" applyFill="1" applyBorder="1" applyAlignment="1">
      <alignment horizontal="left" vertical="center"/>
    </xf>
    <xf numFmtId="0" fontId="19" fillId="22" borderId="43" xfId="9100" applyFill="1" applyBorder="1" applyAlignment="1">
      <alignment horizontal="left" vertical="center"/>
    </xf>
    <xf numFmtId="0" fontId="19" fillId="23" borderId="149" xfId="9100" applyFill="1" applyBorder="1" applyAlignment="1">
      <alignment horizontal="left" vertical="center"/>
    </xf>
    <xf numFmtId="0" fontId="19" fillId="23" borderId="62" xfId="9100" applyFill="1" applyBorder="1" applyAlignment="1">
      <alignment horizontal="left" vertical="center"/>
    </xf>
    <xf numFmtId="0" fontId="19" fillId="23" borderId="43" xfId="9100" applyFill="1" applyBorder="1" applyAlignment="1">
      <alignment horizontal="left" vertical="center"/>
    </xf>
    <xf numFmtId="0" fontId="66" fillId="90" borderId="186" xfId="0" applyFont="1" applyFill="1" applyBorder="1" applyAlignment="1">
      <alignment horizontal="center" wrapText="1"/>
    </xf>
    <xf numFmtId="0" fontId="66" fillId="90" borderId="150" xfId="0" applyFont="1" applyFill="1" applyBorder="1" applyAlignment="1">
      <alignment horizontal="center" wrapText="1"/>
    </xf>
    <xf numFmtId="0" fontId="66" fillId="90" borderId="187" xfId="0" applyFont="1" applyFill="1" applyBorder="1" applyAlignment="1">
      <alignment horizontal="center" wrapText="1"/>
    </xf>
    <xf numFmtId="0" fontId="6" fillId="20" borderId="150" xfId="0" applyFont="1" applyFill="1" applyBorder="1" applyAlignment="1">
      <alignment horizontal="left" vertical="center" wrapText="1"/>
    </xf>
    <xf numFmtId="0" fontId="13" fillId="28" borderId="186" xfId="0" applyFont="1" applyFill="1" applyBorder="1" applyAlignment="1">
      <alignment horizontal="center"/>
    </xf>
    <xf numFmtId="0" fontId="13" fillId="28" borderId="239" xfId="0" applyFont="1" applyFill="1" applyBorder="1" applyAlignment="1">
      <alignment horizontal="center"/>
    </xf>
    <xf numFmtId="0" fontId="13" fillId="28" borderId="187" xfId="0" applyFont="1" applyFill="1" applyBorder="1" applyAlignment="1">
      <alignment horizontal="center"/>
    </xf>
    <xf numFmtId="0" fontId="79" fillId="89" borderId="0" xfId="0" applyFont="1" applyFill="1" applyAlignment="1">
      <alignment horizontal="center" vertical="center"/>
    </xf>
    <xf numFmtId="0" fontId="79" fillId="89" borderId="26" xfId="0" applyFont="1" applyFill="1" applyBorder="1" applyAlignment="1">
      <alignment horizontal="center" vertical="center"/>
    </xf>
    <xf numFmtId="0" fontId="13" fillId="93" borderId="186" xfId="0" applyFont="1" applyFill="1" applyBorder="1" applyAlignment="1">
      <alignment horizontal="center"/>
    </xf>
    <xf numFmtId="0" fontId="13" fillId="93" borderId="187" xfId="0" applyFont="1" applyFill="1" applyBorder="1" applyAlignment="1">
      <alignment horizontal="center"/>
    </xf>
    <xf numFmtId="0" fontId="13" fillId="90" borderId="23" xfId="0" applyFont="1" applyFill="1" applyBorder="1" applyAlignment="1">
      <alignment horizontal="center"/>
    </xf>
    <xf numFmtId="0" fontId="13" fillId="90" borderId="0" xfId="0" applyFont="1" applyFill="1" applyAlignment="1">
      <alignment horizontal="center"/>
    </xf>
    <xf numFmtId="0" fontId="84" fillId="16" borderId="26" xfId="0" applyFont="1" applyFill="1" applyBorder="1" applyAlignment="1">
      <alignment horizontal="left" vertical="center" wrapText="1"/>
    </xf>
    <xf numFmtId="43" fontId="13" fillId="90" borderId="23" xfId="1" applyFont="1" applyFill="1" applyBorder="1" applyAlignment="1">
      <alignment horizontal="center"/>
    </xf>
    <xf numFmtId="43" fontId="13" fillId="90" borderId="0" xfId="1" applyFont="1" applyFill="1" applyBorder="1" applyAlignment="1">
      <alignment horizontal="center"/>
    </xf>
    <xf numFmtId="0" fontId="11" fillId="24" borderId="13" xfId="0" applyFont="1" applyFill="1" applyBorder="1" applyAlignment="1">
      <alignment horizontal="center"/>
    </xf>
    <xf numFmtId="0" fontId="11" fillId="24" borderId="14" xfId="0" applyFont="1" applyFill="1" applyBorder="1" applyAlignment="1">
      <alignment horizontal="center"/>
    </xf>
    <xf numFmtId="0" fontId="6" fillId="16" borderId="26" xfId="0" applyFont="1" applyFill="1" applyBorder="1" applyAlignment="1">
      <alignment horizontal="left" vertical="center" wrapText="1"/>
    </xf>
    <xf numFmtId="0" fontId="181" fillId="74" borderId="0" xfId="0" applyFont="1" applyFill="1" applyAlignment="1">
      <alignment horizontal="left" vertical="center" wrapText="1"/>
    </xf>
    <xf numFmtId="0" fontId="84" fillId="26" borderId="56" xfId="0" quotePrefix="1" applyFont="1" applyFill="1" applyBorder="1" applyAlignment="1">
      <alignment horizontal="left" vertical="center" wrapText="1"/>
    </xf>
    <xf numFmtId="0" fontId="84" fillId="26" borderId="150" xfId="0" applyFont="1" applyFill="1" applyBorder="1" applyAlignment="1">
      <alignment horizontal="left" vertical="center" wrapText="1"/>
    </xf>
    <xf numFmtId="0" fontId="84" fillId="26" borderId="57" xfId="0" applyFont="1" applyFill="1" applyBorder="1" applyAlignment="1">
      <alignment horizontal="left" vertical="center" wrapText="1"/>
    </xf>
    <xf numFmtId="0" fontId="13" fillId="89" borderId="187" xfId="0" applyFont="1" applyFill="1" applyBorder="1" applyAlignment="1">
      <alignment horizontal="center"/>
    </xf>
    <xf numFmtId="0" fontId="179" fillId="26" borderId="184" xfId="0" applyFont="1" applyFill="1" applyBorder="1" applyAlignment="1">
      <alignment horizontal="left" vertical="center" wrapText="1"/>
    </xf>
    <xf numFmtId="0" fontId="6" fillId="20" borderId="61" xfId="0" applyFont="1" applyFill="1" applyBorder="1" applyAlignment="1">
      <alignment horizontal="left" vertical="center" wrapText="1"/>
    </xf>
    <xf numFmtId="0" fontId="6" fillId="20" borderId="180" xfId="0" applyFont="1" applyFill="1" applyBorder="1" applyAlignment="1">
      <alignment horizontal="left" vertical="center" wrapText="1"/>
    </xf>
    <xf numFmtId="0" fontId="6" fillId="20" borderId="179" xfId="0" applyFont="1" applyFill="1" applyBorder="1" applyAlignment="1">
      <alignment horizontal="left" vertical="center" wrapText="1"/>
    </xf>
    <xf numFmtId="0" fontId="6" fillId="20" borderId="23" xfId="0" applyFont="1" applyFill="1" applyBorder="1" applyAlignment="1">
      <alignment horizontal="left" vertical="center" wrapText="1"/>
    </xf>
    <xf numFmtId="0" fontId="6" fillId="20" borderId="0" xfId="0" applyFont="1" applyFill="1" applyAlignment="1">
      <alignment horizontal="left" vertical="center" wrapText="1"/>
    </xf>
    <xf numFmtId="0" fontId="6" fillId="20" borderId="24" xfId="0" applyFont="1" applyFill="1" applyBorder="1" applyAlignment="1">
      <alignment horizontal="left" vertical="center" wrapText="1"/>
    </xf>
    <xf numFmtId="0" fontId="6" fillId="20" borderId="25" xfId="0" applyFont="1" applyFill="1" applyBorder="1" applyAlignment="1">
      <alignment horizontal="left" vertical="center" wrapText="1"/>
    </xf>
    <xf numFmtId="0" fontId="6" fillId="20" borderId="26" xfId="0" applyFont="1" applyFill="1" applyBorder="1" applyAlignment="1">
      <alignment horizontal="left" vertical="center" wrapText="1"/>
    </xf>
    <xf numFmtId="0" fontId="6" fillId="20" borderId="27" xfId="0" applyFont="1" applyFill="1" applyBorder="1" applyAlignment="1">
      <alignment horizontal="left" vertical="center" wrapText="1"/>
    </xf>
    <xf numFmtId="0" fontId="6" fillId="20" borderId="56" xfId="0" applyFont="1" applyFill="1" applyBorder="1" applyAlignment="1">
      <alignment horizontal="left" vertical="center" wrapText="1"/>
    </xf>
    <xf numFmtId="0" fontId="6" fillId="20" borderId="37" xfId="0" applyFont="1" applyFill="1" applyBorder="1" applyAlignment="1">
      <alignment horizontal="left" vertical="center" wrapText="1"/>
    </xf>
    <xf numFmtId="0" fontId="6" fillId="20" borderId="57" xfId="0" applyFont="1" applyFill="1" applyBorder="1" applyAlignment="1">
      <alignment horizontal="left" vertical="center" wrapText="1"/>
    </xf>
    <xf numFmtId="49" fontId="162" fillId="22" borderId="30" xfId="4" applyNumberFormat="1" applyFont="1" applyFill="1" applyBorder="1" applyAlignment="1">
      <alignment horizontal="center" vertical="center" wrapText="1"/>
    </xf>
    <xf numFmtId="49" fontId="162" fillId="22" borderId="75" xfId="4" applyNumberFormat="1" applyFont="1" applyFill="1" applyBorder="1" applyAlignment="1">
      <alignment horizontal="center" vertical="center" wrapText="1"/>
    </xf>
    <xf numFmtId="49" fontId="162" fillId="22" borderId="216" xfId="4" applyNumberFormat="1" applyFont="1" applyFill="1" applyBorder="1" applyAlignment="1">
      <alignment horizontal="center" vertical="center" wrapText="1"/>
    </xf>
    <xf numFmtId="0" fontId="0" fillId="0" borderId="26" xfId="0" applyBorder="1" applyAlignment="1">
      <alignment horizontal="left" vertical="top" wrapText="1"/>
    </xf>
    <xf numFmtId="0" fontId="6" fillId="26" borderId="186" xfId="0" applyFont="1" applyFill="1" applyBorder="1" applyAlignment="1">
      <alignment horizontal="left" vertical="center" wrapText="1"/>
    </xf>
    <xf numFmtId="0" fontId="6" fillId="26" borderId="239" xfId="0" applyFont="1" applyFill="1" applyBorder="1" applyAlignment="1">
      <alignment horizontal="left" vertical="center" wrapText="1"/>
    </xf>
    <xf numFmtId="0" fontId="6" fillId="26" borderId="187" xfId="0" applyFont="1" applyFill="1" applyBorder="1" applyAlignment="1">
      <alignment horizontal="left" vertical="center" wrapText="1"/>
    </xf>
    <xf numFmtId="0" fontId="93" fillId="20" borderId="61" xfId="0" applyFont="1" applyFill="1" applyBorder="1" applyAlignment="1">
      <alignment vertical="center" wrapText="1"/>
    </xf>
    <xf numFmtId="0" fontId="6" fillId="20" borderId="94" xfId="0" applyFont="1" applyFill="1" applyBorder="1" applyAlignment="1">
      <alignment vertical="center" wrapText="1"/>
    </xf>
    <xf numFmtId="0" fontId="6" fillId="20" borderId="58" xfId="0" applyFont="1" applyFill="1" applyBorder="1" applyAlignment="1">
      <alignment vertical="center" wrapText="1"/>
    </xf>
    <xf numFmtId="0" fontId="6" fillId="20" borderId="23" xfId="0" applyFont="1" applyFill="1" applyBorder="1" applyAlignment="1">
      <alignment vertical="center" wrapText="1"/>
    </xf>
    <xf numFmtId="0" fontId="6" fillId="20" borderId="0" xfId="0" applyFont="1" applyFill="1" applyAlignment="1">
      <alignment vertical="center" wrapText="1"/>
    </xf>
    <xf numFmtId="0" fontId="6" fillId="20" borderId="24" xfId="0" applyFont="1" applyFill="1" applyBorder="1" applyAlignment="1">
      <alignment vertical="center" wrapText="1"/>
    </xf>
    <xf numFmtId="0" fontId="6" fillId="20" borderId="25" xfId="0" applyFont="1" applyFill="1" applyBorder="1" applyAlignment="1">
      <alignment vertical="center" wrapText="1"/>
    </xf>
    <xf numFmtId="0" fontId="6" fillId="20" borderId="26" xfId="0" applyFont="1" applyFill="1" applyBorder="1" applyAlignment="1">
      <alignment vertical="center" wrapText="1"/>
    </xf>
    <xf numFmtId="0" fontId="6" fillId="20" borderId="27" xfId="0" applyFont="1" applyFill="1" applyBorder="1" applyAlignment="1">
      <alignment vertical="center" wrapText="1"/>
    </xf>
    <xf numFmtId="164" fontId="162" fillId="22" borderId="196" xfId="4" applyNumberFormat="1" applyFont="1" applyFill="1" applyBorder="1" applyAlignment="1">
      <alignment horizontal="center" vertical="center" wrapText="1"/>
    </xf>
    <xf numFmtId="164" fontId="162" fillId="22" borderId="164" xfId="4" applyNumberFormat="1" applyFont="1" applyFill="1" applyBorder="1" applyAlignment="1">
      <alignment horizontal="center" vertical="center" wrapText="1"/>
    </xf>
    <xf numFmtId="164" fontId="162" fillId="22" borderId="199" xfId="4" applyNumberFormat="1" applyFont="1" applyFill="1" applyBorder="1" applyAlignment="1">
      <alignment horizontal="center" vertical="center" wrapText="1"/>
    </xf>
    <xf numFmtId="0" fontId="162" fillId="22" borderId="396" xfId="0" applyFont="1" applyFill="1" applyBorder="1" applyAlignment="1">
      <alignment horizontal="center" vertical="center" wrapText="1"/>
    </xf>
    <xf numFmtId="0" fontId="162" fillId="22" borderId="75" xfId="0" applyFont="1" applyFill="1" applyBorder="1" applyAlignment="1">
      <alignment horizontal="center" vertical="center" wrapText="1"/>
    </xf>
    <xf numFmtId="0" fontId="162" fillId="22" borderId="216" xfId="0" applyFont="1" applyFill="1" applyBorder="1" applyAlignment="1">
      <alignment horizontal="center" vertical="center" wrapText="1"/>
    </xf>
    <xf numFmtId="0" fontId="146" fillId="112" borderId="46" xfId="0" applyFont="1" applyFill="1" applyBorder="1" applyAlignment="1">
      <alignment horizontal="center" vertical="center"/>
    </xf>
    <xf numFmtId="0" fontId="146" fillId="112" borderId="97" xfId="0" applyFont="1" applyFill="1" applyBorder="1" applyAlignment="1">
      <alignment horizontal="center" vertical="center"/>
    </xf>
    <xf numFmtId="164" fontId="162" fillId="22" borderId="30" xfId="4" applyNumberFormat="1" applyFont="1" applyFill="1" applyBorder="1" applyAlignment="1">
      <alignment horizontal="center" vertical="center" wrapText="1"/>
    </xf>
    <xf numFmtId="164" fontId="162" fillId="22" borderId="75" xfId="4" applyNumberFormat="1" applyFont="1" applyFill="1" applyBorder="1" applyAlignment="1">
      <alignment horizontal="center" vertical="center" wrapText="1"/>
    </xf>
    <xf numFmtId="164" fontId="162" fillId="22" borderId="216" xfId="4" applyNumberFormat="1" applyFont="1" applyFill="1" applyBorder="1" applyAlignment="1">
      <alignment horizontal="center" vertical="center" wrapText="1"/>
    </xf>
    <xf numFmtId="0" fontId="179" fillId="26" borderId="186" xfId="0" applyFont="1" applyFill="1" applyBorder="1" applyAlignment="1">
      <alignment horizontal="left" vertical="center" wrapText="1"/>
    </xf>
    <xf numFmtId="0" fontId="179" fillId="26" borderId="239" xfId="0" applyFont="1" applyFill="1" applyBorder="1" applyAlignment="1">
      <alignment horizontal="left" vertical="center" wrapText="1"/>
    </xf>
    <xf numFmtId="0" fontId="179" fillId="26" borderId="187" xfId="0" applyFont="1" applyFill="1" applyBorder="1" applyAlignment="1">
      <alignment horizontal="left" vertical="center" wrapText="1"/>
    </xf>
    <xf numFmtId="0" fontId="6" fillId="84" borderId="217" xfId="205" applyFont="1" applyFill="1" applyBorder="1" applyAlignment="1">
      <alignment horizontal="center" wrapText="1"/>
    </xf>
    <xf numFmtId="0" fontId="6" fillId="84" borderId="43" xfId="205" applyFont="1" applyFill="1" applyBorder="1" applyAlignment="1">
      <alignment horizontal="center" wrapText="1"/>
    </xf>
    <xf numFmtId="0" fontId="13" fillId="90" borderId="186" xfId="0" applyFont="1" applyFill="1" applyBorder="1" applyAlignment="1">
      <alignment horizontal="center"/>
    </xf>
    <xf numFmtId="0" fontId="13" fillId="90" borderId="239" xfId="0" applyFont="1" applyFill="1" applyBorder="1" applyAlignment="1">
      <alignment horizontal="center"/>
    </xf>
    <xf numFmtId="0" fontId="13" fillId="90" borderId="187" xfId="0" applyFont="1" applyFill="1" applyBorder="1" applyAlignment="1">
      <alignment horizontal="center"/>
    </xf>
    <xf numFmtId="0" fontId="6" fillId="16" borderId="56" xfId="0" applyFont="1" applyFill="1" applyBorder="1" applyAlignment="1">
      <alignment horizontal="center"/>
    </xf>
    <xf numFmtId="0" fontId="6" fillId="16" borderId="150" xfId="0" applyFont="1" applyFill="1" applyBorder="1" applyAlignment="1">
      <alignment horizontal="center"/>
    </xf>
    <xf numFmtId="0" fontId="6" fillId="16" borderId="57" xfId="0" applyFont="1" applyFill="1" applyBorder="1" applyAlignment="1">
      <alignment horizontal="center"/>
    </xf>
    <xf numFmtId="0" fontId="6" fillId="16" borderId="0" xfId="0" applyFont="1" applyFill="1" applyAlignment="1">
      <alignment horizontal="left" vertical="center" wrapText="1"/>
    </xf>
    <xf numFmtId="0" fontId="66" fillId="16" borderId="26" xfId="0" applyFont="1" applyFill="1" applyBorder="1" applyAlignment="1">
      <alignment horizontal="center"/>
    </xf>
    <xf numFmtId="0" fontId="146" fillId="110" borderId="46" xfId="0" applyFont="1" applyFill="1" applyBorder="1" applyAlignment="1">
      <alignment horizontal="center" vertical="center"/>
    </xf>
    <xf numFmtId="0" fontId="146" fillId="110" borderId="96" xfId="0" applyFont="1" applyFill="1" applyBorder="1" applyAlignment="1">
      <alignment horizontal="center" vertical="center"/>
    </xf>
    <xf numFmtId="0" fontId="146" fillId="110" borderId="97" xfId="0" applyFont="1" applyFill="1" applyBorder="1" applyAlignment="1">
      <alignment horizontal="center" vertical="center"/>
    </xf>
    <xf numFmtId="0" fontId="146" fillId="111" borderId="46" xfId="0" applyFont="1" applyFill="1" applyBorder="1" applyAlignment="1">
      <alignment horizontal="center" vertical="center"/>
    </xf>
    <xf numFmtId="0" fontId="146" fillId="111" borderId="96" xfId="0" applyFont="1" applyFill="1" applyBorder="1" applyAlignment="1">
      <alignment horizontal="center" vertical="center"/>
    </xf>
    <xf numFmtId="0" fontId="146" fillId="111" borderId="97" xfId="0" applyFont="1" applyFill="1" applyBorder="1" applyAlignment="1">
      <alignment horizontal="center" vertical="center"/>
    </xf>
    <xf numFmtId="0" fontId="13" fillId="90" borderId="25" xfId="0" applyFont="1" applyFill="1" applyBorder="1" applyAlignment="1">
      <alignment horizontal="center"/>
    </xf>
    <xf numFmtId="0" fontId="13" fillId="90" borderId="26" xfId="0" applyFont="1" applyFill="1" applyBorder="1" applyAlignment="1">
      <alignment horizontal="center"/>
    </xf>
    <xf numFmtId="0" fontId="11" fillId="24" borderId="240" xfId="0" applyFont="1" applyFill="1" applyBorder="1" applyAlignment="1">
      <alignment horizontal="center"/>
    </xf>
    <xf numFmtId="0" fontId="11" fillId="24" borderId="180" xfId="0" applyFont="1" applyFill="1" applyBorder="1" applyAlignment="1">
      <alignment horizontal="center"/>
    </xf>
    <xf numFmtId="0" fontId="6" fillId="16" borderId="0" xfId="0" applyFont="1" applyFill="1" applyAlignment="1">
      <alignment horizontal="left" wrapText="1"/>
    </xf>
    <xf numFmtId="0" fontId="6" fillId="20" borderId="0" xfId="0" applyFont="1" applyFill="1" applyAlignment="1">
      <alignment horizontal="center"/>
    </xf>
    <xf numFmtId="0" fontId="13" fillId="90" borderId="240" xfId="0" applyFont="1" applyFill="1" applyBorder="1" applyAlignment="1">
      <alignment horizontal="center"/>
    </xf>
    <xf numFmtId="0" fontId="13" fillId="90" borderId="94" xfId="0" applyFont="1" applyFill="1" applyBorder="1" applyAlignment="1">
      <alignment horizontal="center"/>
    </xf>
    <xf numFmtId="0" fontId="13" fillId="90" borderId="313" xfId="0" applyFont="1" applyFill="1" applyBorder="1" applyAlignment="1">
      <alignment horizontal="center"/>
    </xf>
    <xf numFmtId="0" fontId="154" fillId="17" borderId="240" xfId="0" applyFont="1" applyFill="1" applyBorder="1" applyAlignment="1">
      <alignment horizontal="left" vertical="center" wrapText="1"/>
    </xf>
    <xf numFmtId="0" fontId="154" fillId="17" borderId="180" xfId="0" applyFont="1" applyFill="1" applyBorder="1" applyAlignment="1">
      <alignment horizontal="left" vertical="center" wrapText="1"/>
    </xf>
    <xf numFmtId="0" fontId="154" fillId="17" borderId="179" xfId="0" applyFont="1" applyFill="1" applyBorder="1" applyAlignment="1">
      <alignment horizontal="left" vertical="center" wrapText="1"/>
    </xf>
    <xf numFmtId="0" fontId="154" fillId="17" borderId="23" xfId="0" applyFont="1" applyFill="1" applyBorder="1" applyAlignment="1">
      <alignment horizontal="left" vertical="center" wrapText="1"/>
    </xf>
    <xf numFmtId="0" fontId="154" fillId="17" borderId="0" xfId="0" applyFont="1" applyFill="1" applyAlignment="1">
      <alignment horizontal="left" vertical="center" wrapText="1"/>
    </xf>
    <xf numFmtId="0" fontId="154" fillId="17" borderId="24" xfId="0" applyFont="1" applyFill="1" applyBorder="1" applyAlignment="1">
      <alignment horizontal="left" vertical="center" wrapText="1"/>
    </xf>
    <xf numFmtId="0" fontId="154" fillId="17" borderId="25" xfId="0" applyFont="1" applyFill="1" applyBorder="1" applyAlignment="1">
      <alignment horizontal="left" vertical="center" wrapText="1"/>
    </xf>
    <xf numFmtId="0" fontId="154" fillId="17" borderId="26" xfId="0" applyFont="1" applyFill="1" applyBorder="1" applyAlignment="1">
      <alignment horizontal="left" vertical="center" wrapText="1"/>
    </xf>
    <xf numFmtId="0" fontId="154" fillId="17" borderId="27" xfId="0" applyFont="1" applyFill="1" applyBorder="1" applyAlignment="1">
      <alignment horizontal="left" vertical="center" wrapText="1"/>
    </xf>
    <xf numFmtId="0" fontId="154" fillId="17" borderId="240" xfId="0" applyFont="1" applyFill="1" applyBorder="1" applyAlignment="1">
      <alignment horizontal="left" vertical="top" wrapText="1"/>
    </xf>
    <xf numFmtId="0" fontId="154" fillId="17" borderId="180" xfId="0" applyFont="1" applyFill="1" applyBorder="1" applyAlignment="1">
      <alignment horizontal="left" vertical="top" wrapText="1"/>
    </xf>
    <xf numFmtId="0" fontId="154" fillId="17" borderId="179" xfId="0" applyFont="1" applyFill="1" applyBorder="1" applyAlignment="1">
      <alignment horizontal="left" vertical="top" wrapText="1"/>
    </xf>
    <xf numFmtId="0" fontId="154" fillId="17" borderId="23" xfId="0" applyFont="1" applyFill="1" applyBorder="1" applyAlignment="1">
      <alignment horizontal="left" vertical="top" wrapText="1"/>
    </xf>
    <xf numFmtId="0" fontId="154" fillId="17" borderId="0" xfId="0" applyFont="1" applyFill="1" applyAlignment="1">
      <alignment horizontal="left" vertical="top" wrapText="1"/>
    </xf>
    <xf numFmtId="0" fontId="154" fillId="17" borderId="24" xfId="0" applyFont="1" applyFill="1" applyBorder="1" applyAlignment="1">
      <alignment horizontal="left" vertical="top" wrapText="1"/>
    </xf>
    <xf numFmtId="0" fontId="154" fillId="17" borderId="25" xfId="0" applyFont="1" applyFill="1" applyBorder="1" applyAlignment="1">
      <alignment horizontal="left" vertical="top" wrapText="1"/>
    </xf>
    <xf numFmtId="0" fontId="154" fillId="17" borderId="26" xfId="0" applyFont="1" applyFill="1" applyBorder="1" applyAlignment="1">
      <alignment horizontal="left" vertical="top" wrapText="1"/>
    </xf>
    <xf numFmtId="0" fontId="154" fillId="17" borderId="27" xfId="0" applyFont="1" applyFill="1" applyBorder="1" applyAlignment="1">
      <alignment horizontal="left" vertical="top" wrapText="1"/>
    </xf>
    <xf numFmtId="49" fontId="162" fillId="22" borderId="354" xfId="4" applyNumberFormat="1" applyFont="1" applyFill="1" applyBorder="1" applyAlignment="1">
      <alignment horizontal="center" vertical="center" wrapText="1"/>
    </xf>
    <xf numFmtId="49" fontId="162" fillId="22" borderId="474" xfId="4" applyNumberFormat="1" applyFont="1" applyFill="1" applyBorder="1" applyAlignment="1">
      <alignment horizontal="center" vertical="center" wrapText="1"/>
    </xf>
    <xf numFmtId="49" fontId="162" fillId="22" borderId="355" xfId="4" applyNumberFormat="1" applyFont="1" applyFill="1" applyBorder="1" applyAlignment="1">
      <alignment horizontal="center" vertical="center" wrapText="1"/>
    </xf>
    <xf numFmtId="49" fontId="162" fillId="22" borderId="356" xfId="4" applyNumberFormat="1" applyFont="1" applyFill="1" applyBorder="1" applyAlignment="1">
      <alignment horizontal="center" vertical="center" wrapText="1"/>
    </xf>
    <xf numFmtId="49" fontId="162" fillId="22" borderId="66" xfId="4" applyNumberFormat="1" applyFont="1" applyFill="1" applyBorder="1" applyAlignment="1">
      <alignment horizontal="center" vertical="center" wrapText="1"/>
    </xf>
    <xf numFmtId="49" fontId="162" fillId="22" borderId="236" xfId="4" applyNumberFormat="1" applyFont="1" applyFill="1" applyBorder="1" applyAlignment="1">
      <alignment horizontal="center" vertical="center" wrapText="1"/>
    </xf>
    <xf numFmtId="49" fontId="162" fillId="22" borderId="69" xfId="4" applyNumberFormat="1" applyFont="1" applyFill="1" applyBorder="1" applyAlignment="1">
      <alignment horizontal="center" vertical="center" wrapText="1"/>
    </xf>
    <xf numFmtId="49" fontId="162" fillId="22" borderId="209" xfId="4" applyNumberFormat="1" applyFont="1" applyFill="1" applyBorder="1" applyAlignment="1">
      <alignment horizontal="center" vertical="center" wrapText="1"/>
    </xf>
    <xf numFmtId="0" fontId="162" fillId="22" borderId="67" xfId="0" applyFont="1" applyFill="1" applyBorder="1" applyAlignment="1">
      <alignment horizontal="center" vertical="center" wrapText="1"/>
    </xf>
    <xf numFmtId="0" fontId="162" fillId="22" borderId="115" xfId="0" applyFont="1" applyFill="1" applyBorder="1" applyAlignment="1">
      <alignment horizontal="center" vertical="center" wrapText="1"/>
    </xf>
    <xf numFmtId="0" fontId="162" fillId="22" borderId="70" xfId="0" applyFont="1" applyFill="1" applyBorder="1" applyAlignment="1">
      <alignment horizontal="center" vertical="center" wrapText="1"/>
    </xf>
    <xf numFmtId="0" fontId="162" fillId="22" borderId="212" xfId="0" applyFont="1" applyFill="1" applyBorder="1" applyAlignment="1">
      <alignment horizontal="center" vertical="center" wrapText="1"/>
    </xf>
    <xf numFmtId="0" fontId="0" fillId="26" borderId="184" xfId="0" applyFill="1" applyBorder="1" applyAlignment="1">
      <alignment horizontal="left" vertical="center" wrapText="1"/>
    </xf>
    <xf numFmtId="0" fontId="5" fillId="30" borderId="186" xfId="0" applyFont="1" applyFill="1" applyBorder="1" applyAlignment="1">
      <alignment horizontal="center"/>
    </xf>
    <xf numFmtId="0" fontId="5" fillId="30" borderId="239" xfId="0" applyFont="1" applyFill="1" applyBorder="1" applyAlignment="1">
      <alignment horizontal="center"/>
    </xf>
    <xf numFmtId="0" fontId="5" fillId="30" borderId="187" xfId="0" applyFont="1" applyFill="1" applyBorder="1" applyAlignment="1">
      <alignment horizontal="center"/>
    </xf>
    <xf numFmtId="0" fontId="6" fillId="20" borderId="61" xfId="0" quotePrefix="1" applyFont="1" applyFill="1" applyBorder="1" applyAlignment="1">
      <alignment horizontal="left" vertical="top" wrapText="1"/>
    </xf>
    <xf numFmtId="0" fontId="6" fillId="20" borderId="94" xfId="0" quotePrefix="1" applyFont="1" applyFill="1" applyBorder="1" applyAlignment="1">
      <alignment horizontal="left" vertical="top" wrapText="1"/>
    </xf>
    <xf numFmtId="0" fontId="6" fillId="20" borderId="58" xfId="0" quotePrefix="1" applyFont="1" applyFill="1" applyBorder="1" applyAlignment="1">
      <alignment horizontal="left" vertical="top" wrapText="1"/>
    </xf>
    <xf numFmtId="0" fontId="6" fillId="20" borderId="23" xfId="0" quotePrefix="1" applyFont="1" applyFill="1" applyBorder="1" applyAlignment="1">
      <alignment horizontal="left" vertical="top" wrapText="1"/>
    </xf>
    <xf numFmtId="0" fontId="6" fillId="20" borderId="0" xfId="0" quotePrefix="1" applyFont="1" applyFill="1" applyAlignment="1">
      <alignment horizontal="left" vertical="top" wrapText="1"/>
    </xf>
    <xf numFmtId="0" fontId="6" fillId="20" borderId="24" xfId="0" quotePrefix="1" applyFont="1" applyFill="1" applyBorder="1" applyAlignment="1">
      <alignment horizontal="left" vertical="top" wrapText="1"/>
    </xf>
    <xf numFmtId="0" fontId="6" fillId="20" borderId="25" xfId="0" quotePrefix="1" applyFont="1" applyFill="1" applyBorder="1" applyAlignment="1">
      <alignment horizontal="left" vertical="top" wrapText="1"/>
    </xf>
    <xf numFmtId="0" fontId="6" fillId="20" borderId="26" xfId="0" quotePrefix="1" applyFont="1" applyFill="1" applyBorder="1" applyAlignment="1">
      <alignment horizontal="left" vertical="top" wrapText="1"/>
    </xf>
    <xf numFmtId="0" fontId="6" fillId="20" borderId="27" xfId="0" quotePrefix="1" applyFont="1" applyFill="1" applyBorder="1" applyAlignment="1">
      <alignment horizontal="left" vertical="top" wrapText="1"/>
    </xf>
    <xf numFmtId="0" fontId="5" fillId="90" borderId="23" xfId="0" applyFont="1" applyFill="1" applyBorder="1" applyAlignment="1">
      <alignment horizontal="center"/>
    </xf>
    <xf numFmtId="0" fontId="5" fillId="90" borderId="0" xfId="0" applyFont="1" applyFill="1" applyAlignment="1">
      <alignment horizontal="center"/>
    </xf>
    <xf numFmtId="0" fontId="5" fillId="93" borderId="186" xfId="0" applyFont="1" applyFill="1" applyBorder="1" applyAlignment="1">
      <alignment horizontal="center"/>
    </xf>
    <xf numFmtId="0" fontId="5" fillId="93" borderId="187" xfId="0" applyFont="1" applyFill="1" applyBorder="1" applyAlignment="1">
      <alignment horizontal="center"/>
    </xf>
    <xf numFmtId="0" fontId="4" fillId="0" borderId="184" xfId="0" applyFont="1" applyBorder="1" applyAlignment="1">
      <alignment horizontal="center"/>
    </xf>
    <xf numFmtId="0" fontId="162" fillId="20" borderId="240" xfId="0" applyFont="1" applyFill="1" applyBorder="1" applyAlignment="1">
      <alignment horizontal="left" vertical="top" wrapText="1"/>
    </xf>
    <xf numFmtId="0" fontId="162" fillId="20" borderId="180" xfId="0" applyFont="1" applyFill="1" applyBorder="1" applyAlignment="1">
      <alignment horizontal="left" vertical="top" wrapText="1"/>
    </xf>
    <xf numFmtId="0" fontId="162" fillId="20" borderId="179" xfId="0" applyFont="1" applyFill="1" applyBorder="1" applyAlignment="1">
      <alignment horizontal="left" vertical="top" wrapText="1"/>
    </xf>
    <xf numFmtId="0" fontId="162" fillId="20" borderId="23" xfId="0" applyFont="1" applyFill="1" applyBorder="1" applyAlignment="1">
      <alignment horizontal="left" vertical="top" wrapText="1"/>
    </xf>
    <xf numFmtId="0" fontId="162" fillId="20" borderId="0" xfId="0" applyFont="1" applyFill="1" applyAlignment="1">
      <alignment horizontal="left" vertical="top" wrapText="1"/>
    </xf>
    <xf numFmtId="0" fontId="162" fillId="20" borderId="24" xfId="0" applyFont="1" applyFill="1" applyBorder="1" applyAlignment="1">
      <alignment horizontal="left" vertical="top" wrapText="1"/>
    </xf>
    <xf numFmtId="0" fontId="162" fillId="20" borderId="25" xfId="0" applyFont="1" applyFill="1" applyBorder="1" applyAlignment="1">
      <alignment horizontal="left" vertical="top" wrapText="1"/>
    </xf>
    <xf numFmtId="0" fontId="162" fillId="20" borderId="26" xfId="0" applyFont="1" applyFill="1" applyBorder="1" applyAlignment="1">
      <alignment horizontal="left" vertical="top" wrapText="1"/>
    </xf>
    <xf numFmtId="0" fontId="162" fillId="20" borderId="27" xfId="0" applyFont="1" applyFill="1" applyBorder="1" applyAlignment="1">
      <alignment horizontal="left" vertical="top" wrapText="1"/>
    </xf>
    <xf numFmtId="0" fontId="6" fillId="16" borderId="0" xfId="0" applyFont="1" applyFill="1" applyAlignment="1">
      <alignment wrapText="1"/>
    </xf>
    <xf numFmtId="0" fontId="162" fillId="22" borderId="387" xfId="0" applyFont="1" applyFill="1" applyBorder="1" applyAlignment="1">
      <alignment horizontal="left" vertical="center"/>
    </xf>
    <xf numFmtId="0" fontId="162" fillId="22" borderId="216" xfId="0" applyFont="1" applyFill="1" applyBorder="1" applyAlignment="1">
      <alignment horizontal="left" vertical="center"/>
    </xf>
    <xf numFmtId="0" fontId="162" fillId="22" borderId="387" xfId="0" applyFont="1" applyFill="1" applyBorder="1" applyAlignment="1">
      <alignment horizontal="left" vertical="center" wrapText="1"/>
    </xf>
    <xf numFmtId="0" fontId="162" fillId="22" borderId="216" xfId="0" applyFont="1" applyFill="1" applyBorder="1" applyAlignment="1">
      <alignment horizontal="left" vertical="center" wrapText="1"/>
    </xf>
    <xf numFmtId="0" fontId="162" fillId="20" borderId="61" xfId="0" quotePrefix="1" applyFont="1" applyFill="1" applyBorder="1" applyAlignment="1">
      <alignment horizontal="left" vertical="center" wrapText="1"/>
    </xf>
    <xf numFmtId="0" fontId="162" fillId="20" borderId="180" xfId="0" applyFont="1" applyFill="1" applyBorder="1" applyAlignment="1">
      <alignment horizontal="left" vertical="center" wrapText="1"/>
    </xf>
    <xf numFmtId="0" fontId="162" fillId="20" borderId="179" xfId="0" applyFont="1" applyFill="1" applyBorder="1" applyAlignment="1">
      <alignment horizontal="left" vertical="center" wrapText="1"/>
    </xf>
    <xf numFmtId="0" fontId="162" fillId="20" borderId="23" xfId="0" applyFont="1" applyFill="1" applyBorder="1" applyAlignment="1">
      <alignment horizontal="left" vertical="center" wrapText="1"/>
    </xf>
    <xf numFmtId="0" fontId="162" fillId="20" borderId="0" xfId="0" applyFont="1" applyFill="1" applyAlignment="1">
      <alignment horizontal="left" vertical="center" wrapText="1"/>
    </xf>
    <xf numFmtId="0" fontId="162" fillId="20" borderId="24" xfId="0" applyFont="1" applyFill="1" applyBorder="1" applyAlignment="1">
      <alignment horizontal="left" vertical="center" wrapText="1"/>
    </xf>
    <xf numFmtId="0" fontId="162" fillId="20" borderId="25" xfId="0" applyFont="1" applyFill="1" applyBorder="1" applyAlignment="1">
      <alignment horizontal="left" vertical="center" wrapText="1"/>
    </xf>
    <xf numFmtId="0" fontId="162" fillId="20" borderId="26" xfId="0" applyFont="1" applyFill="1" applyBorder="1" applyAlignment="1">
      <alignment horizontal="left" vertical="center" wrapText="1"/>
    </xf>
    <xf numFmtId="0" fontId="162" fillId="20" borderId="27" xfId="0" applyFont="1" applyFill="1" applyBorder="1" applyAlignment="1">
      <alignment horizontal="left" vertical="center" wrapText="1"/>
    </xf>
    <xf numFmtId="0" fontId="162" fillId="20" borderId="186" xfId="0" quotePrefix="1" applyFont="1" applyFill="1" applyBorder="1" applyAlignment="1">
      <alignment horizontal="left" vertical="top" wrapText="1"/>
    </xf>
    <xf numFmtId="0" fontId="162" fillId="20" borderId="150" xfId="0" applyFont="1" applyFill="1" applyBorder="1" applyAlignment="1">
      <alignment horizontal="left" vertical="top" wrapText="1"/>
    </xf>
    <xf numFmtId="0" fontId="162" fillId="20" borderId="239" xfId="0" applyFont="1" applyFill="1" applyBorder="1" applyAlignment="1">
      <alignment horizontal="left" vertical="top" wrapText="1"/>
    </xf>
    <xf numFmtId="0" fontId="162" fillId="20" borderId="187" xfId="0" applyFont="1" applyFill="1" applyBorder="1" applyAlignment="1">
      <alignment horizontal="left" vertical="top" wrapText="1"/>
    </xf>
    <xf numFmtId="0" fontId="162" fillId="16" borderId="61" xfId="0" applyFont="1" applyFill="1" applyBorder="1" applyAlignment="1">
      <alignment horizontal="left" wrapText="1"/>
    </xf>
    <xf numFmtId="0" fontId="162" fillId="16" borderId="180" xfId="0" applyFont="1" applyFill="1" applyBorder="1" applyAlignment="1">
      <alignment horizontal="left" wrapText="1"/>
    </xf>
    <xf numFmtId="0" fontId="162" fillId="16" borderId="179" xfId="0" applyFont="1" applyFill="1" applyBorder="1" applyAlignment="1">
      <alignment horizontal="left" wrapText="1"/>
    </xf>
    <xf numFmtId="0" fontId="162" fillId="20" borderId="61" xfId="0" applyFont="1" applyFill="1" applyBorder="1" applyAlignment="1">
      <alignment horizontal="left" vertical="top" wrapText="1"/>
    </xf>
    <xf numFmtId="0" fontId="19" fillId="20" borderId="25" xfId="9100" applyFill="1" applyBorder="1" applyAlignment="1">
      <alignment horizontal="left" vertical="top" wrapText="1"/>
    </xf>
    <xf numFmtId="0" fontId="19" fillId="20" borderId="26" xfId="9100" applyFill="1" applyBorder="1" applyAlignment="1">
      <alignment horizontal="left" vertical="top" wrapText="1"/>
    </xf>
    <xf numFmtId="0" fontId="19" fillId="20" borderId="27" xfId="9100" applyFill="1" applyBorder="1" applyAlignment="1">
      <alignment horizontal="left" vertical="top" wrapText="1"/>
    </xf>
    <xf numFmtId="0" fontId="162" fillId="17" borderId="242" xfId="0" applyFont="1" applyFill="1" applyBorder="1" applyAlignment="1">
      <alignment horizontal="center" vertical="center" wrapText="1"/>
    </xf>
    <xf numFmtId="0" fontId="162" fillId="17" borderId="164" xfId="0" applyFont="1" applyFill="1" applyBorder="1" applyAlignment="1">
      <alignment horizontal="center" vertical="center" wrapText="1"/>
    </xf>
    <xf numFmtId="0" fontId="162" fillId="16" borderId="164" xfId="0" applyFont="1" applyFill="1" applyBorder="1" applyAlignment="1">
      <alignment horizontal="center" vertical="center" wrapText="1"/>
    </xf>
    <xf numFmtId="0" fontId="162" fillId="16" borderId="199" xfId="0" applyFont="1" applyFill="1" applyBorder="1" applyAlignment="1">
      <alignment horizontal="center" vertical="center" wrapText="1"/>
    </xf>
    <xf numFmtId="0" fontId="162" fillId="16" borderId="256" xfId="0" applyFont="1" applyFill="1" applyBorder="1" applyAlignment="1">
      <alignment horizontal="center" vertical="center" wrapText="1"/>
    </xf>
    <xf numFmtId="164" fontId="162" fillId="22" borderId="295" xfId="0" applyNumberFormat="1" applyFont="1" applyFill="1" applyBorder="1" applyAlignment="1">
      <alignment horizontal="center" vertical="center" wrapText="1"/>
    </xf>
    <xf numFmtId="164" fontId="162" fillId="22" borderId="241" xfId="0" applyNumberFormat="1" applyFont="1" applyFill="1" applyBorder="1" applyAlignment="1">
      <alignment horizontal="center" vertical="center" wrapText="1"/>
    </xf>
    <xf numFmtId="164" fontId="162" fillId="22" borderId="251" xfId="0" applyNumberFormat="1" applyFont="1" applyFill="1" applyBorder="1" applyAlignment="1">
      <alignment horizontal="center" vertical="center" wrapText="1"/>
    </xf>
    <xf numFmtId="0" fontId="162" fillId="22" borderId="274" xfId="0" quotePrefix="1" applyFont="1" applyFill="1" applyBorder="1" applyAlignment="1">
      <alignment horizontal="left" wrapText="1"/>
    </xf>
    <xf numFmtId="0" fontId="162" fillId="22" borderId="246" xfId="0" quotePrefix="1" applyFont="1" applyFill="1" applyBorder="1" applyAlignment="1">
      <alignment horizontal="left" wrapText="1"/>
    </xf>
    <xf numFmtId="0" fontId="162" fillId="16" borderId="244" xfId="0" applyFont="1" applyFill="1" applyBorder="1" applyAlignment="1">
      <alignment horizontal="center" vertical="center" wrapText="1"/>
    </xf>
    <xf numFmtId="0" fontId="162" fillId="16" borderId="242" xfId="0" applyFont="1" applyFill="1" applyBorder="1" applyAlignment="1">
      <alignment horizontal="center" vertical="center" wrapText="1"/>
    </xf>
    <xf numFmtId="0" fontId="162" fillId="16" borderId="241" xfId="0" applyFont="1" applyFill="1" applyBorder="1" applyAlignment="1">
      <alignment horizontal="center" vertical="center" wrapText="1"/>
    </xf>
    <xf numFmtId="0" fontId="162" fillId="16" borderId="257" xfId="0" applyFont="1" applyFill="1" applyBorder="1" applyAlignment="1">
      <alignment horizontal="center" vertical="center" wrapText="1"/>
    </xf>
    <xf numFmtId="0" fontId="162" fillId="16" borderId="243" xfId="0" applyFont="1" applyFill="1" applyBorder="1" applyAlignment="1">
      <alignment horizontal="center" vertical="center" wrapText="1"/>
    </xf>
    <xf numFmtId="0" fontId="162" fillId="22" borderId="291" xfId="0" quotePrefix="1" applyFont="1" applyFill="1" applyBorder="1" applyAlignment="1">
      <alignment horizontal="left" wrapText="1"/>
    </xf>
    <xf numFmtId="0" fontId="162" fillId="22" borderId="387" xfId="0" applyFont="1" applyFill="1" applyBorder="1" applyAlignment="1">
      <alignment vertical="center"/>
    </xf>
    <xf numFmtId="0" fontId="162" fillId="22" borderId="75" xfId="0" applyFont="1" applyFill="1" applyBorder="1" applyAlignment="1">
      <alignment vertical="center"/>
    </xf>
    <xf numFmtId="0" fontId="162" fillId="22" borderId="276" xfId="0" applyFont="1" applyFill="1" applyBorder="1" applyAlignment="1">
      <alignment horizontal="left" vertical="center"/>
    </xf>
    <xf numFmtId="0" fontId="162" fillId="22" borderId="392" xfId="0" applyFont="1" applyFill="1" applyBorder="1" applyAlignment="1">
      <alignment horizontal="left" vertical="center"/>
    </xf>
    <xf numFmtId="0" fontId="162" fillId="22" borderId="276" xfId="0" applyFont="1" applyFill="1" applyBorder="1" applyAlignment="1">
      <alignment horizontal="left" vertical="center" wrapText="1"/>
    </xf>
    <xf numFmtId="0" fontId="162" fillId="22" borderId="392" xfId="0" applyFont="1" applyFill="1" applyBorder="1" applyAlignment="1">
      <alignment horizontal="left" vertical="center" wrapText="1"/>
    </xf>
    <xf numFmtId="0" fontId="162" fillId="17" borderId="253" xfId="0" applyFont="1" applyFill="1" applyBorder="1" applyAlignment="1">
      <alignment horizontal="center" vertical="center" wrapText="1"/>
    </xf>
    <xf numFmtId="0" fontId="162" fillId="17" borderId="254" xfId="0" applyFont="1" applyFill="1" applyBorder="1" applyAlignment="1">
      <alignment horizontal="center" vertical="center" wrapText="1"/>
    </xf>
    <xf numFmtId="0" fontId="162" fillId="17" borderId="497" xfId="0" applyFont="1" applyFill="1" applyBorder="1" applyAlignment="1">
      <alignment horizontal="center" vertical="center" wrapText="1"/>
    </xf>
    <xf numFmtId="0" fontId="162" fillId="17" borderId="236" xfId="0" applyFont="1" applyFill="1" applyBorder="1" applyAlignment="1">
      <alignment horizontal="center" vertical="center" wrapText="1"/>
    </xf>
    <xf numFmtId="0" fontId="162" fillId="22" borderId="278" xfId="0" quotePrefix="1" applyFont="1" applyFill="1" applyBorder="1" applyAlignment="1">
      <alignment horizontal="left" vertical="center" wrapText="1"/>
    </xf>
    <xf numFmtId="0" fontId="162" fillId="22" borderId="276" xfId="0" quotePrefix="1" applyFont="1" applyFill="1" applyBorder="1" applyAlignment="1">
      <alignment horizontal="left" vertical="center" wrapText="1"/>
    </xf>
    <xf numFmtId="0" fontId="162" fillId="17" borderId="244" xfId="0" applyFont="1" applyFill="1" applyBorder="1" applyAlignment="1">
      <alignment horizontal="center" vertical="center" wrapText="1"/>
    </xf>
    <xf numFmtId="0" fontId="162" fillId="17" borderId="241" xfId="0" applyFont="1" applyFill="1" applyBorder="1" applyAlignment="1">
      <alignment horizontal="center" vertical="center" wrapText="1"/>
    </xf>
    <xf numFmtId="0" fontId="162" fillId="17" borderId="243" xfId="0" applyFont="1" applyFill="1" applyBorder="1" applyAlignment="1">
      <alignment horizontal="center" vertical="center" wrapText="1"/>
    </xf>
    <xf numFmtId="0" fontId="162" fillId="22" borderId="75" xfId="0" applyFont="1" applyFill="1" applyBorder="1" applyAlignment="1">
      <alignment horizontal="left" vertical="center"/>
    </xf>
    <xf numFmtId="0" fontId="162" fillId="22" borderId="276" xfId="0" quotePrefix="1" applyFont="1" applyFill="1" applyBorder="1" applyAlignment="1">
      <alignment horizontal="left"/>
    </xf>
    <xf numFmtId="0" fontId="162" fillId="22" borderId="392" xfId="0" quotePrefix="1" applyFont="1" applyFill="1" applyBorder="1" applyAlignment="1">
      <alignment horizontal="left"/>
    </xf>
    <xf numFmtId="0" fontId="162" fillId="16" borderId="193" xfId="0" applyFont="1" applyFill="1" applyBorder="1" applyAlignment="1">
      <alignment horizontal="center" vertical="center" wrapText="1"/>
    </xf>
    <xf numFmtId="0" fontId="162" fillId="16" borderId="250" xfId="0" applyFont="1" applyFill="1" applyBorder="1" applyAlignment="1">
      <alignment horizontal="center" vertical="center" wrapText="1"/>
    </xf>
    <xf numFmtId="0" fontId="162" fillId="16" borderId="498" xfId="0" applyFont="1" applyFill="1" applyBorder="1" applyAlignment="1">
      <alignment horizontal="center" vertical="center" wrapText="1"/>
    </xf>
    <xf numFmtId="164" fontId="162" fillId="22" borderId="196" xfId="0" applyNumberFormat="1" applyFont="1" applyFill="1" applyBorder="1" applyAlignment="1">
      <alignment horizontal="center" vertical="center" wrapText="1"/>
    </xf>
    <xf numFmtId="164" fontId="162" fillId="22" borderId="164" xfId="0" applyNumberFormat="1" applyFont="1" applyFill="1" applyBorder="1" applyAlignment="1">
      <alignment horizontal="center" vertical="center" wrapText="1"/>
    </xf>
    <xf numFmtId="164" fontId="162" fillId="22" borderId="279" xfId="0" applyNumberFormat="1" applyFont="1" applyFill="1" applyBorder="1" applyAlignment="1">
      <alignment horizontal="center" vertical="center" wrapText="1"/>
    </xf>
    <xf numFmtId="0" fontId="162" fillId="22" borderId="289" xfId="0" applyFont="1" applyFill="1" applyBorder="1" applyAlignment="1">
      <alignment horizontal="left" vertical="center" wrapText="1"/>
    </xf>
    <xf numFmtId="0" fontId="162" fillId="22" borderId="246" xfId="0" applyFont="1" applyFill="1" applyBorder="1" applyAlignment="1">
      <alignment horizontal="left" vertical="center" wrapText="1"/>
    </xf>
    <xf numFmtId="0" fontId="162" fillId="16" borderId="499" xfId="0" applyFont="1" applyFill="1" applyBorder="1" applyAlignment="1">
      <alignment horizontal="center" vertical="center" wrapText="1"/>
    </xf>
    <xf numFmtId="0" fontId="162" fillId="16" borderId="282" xfId="0" applyFont="1" applyFill="1" applyBorder="1" applyAlignment="1">
      <alignment horizontal="center" vertical="center" wrapText="1"/>
    </xf>
    <xf numFmtId="0" fontId="162" fillId="16" borderId="284" xfId="0" applyFont="1" applyFill="1" applyBorder="1" applyAlignment="1">
      <alignment horizontal="center" vertical="center" wrapText="1"/>
    </xf>
    <xf numFmtId="0" fontId="162" fillId="16" borderId="503" xfId="0" applyFont="1" applyFill="1" applyBorder="1" applyAlignment="1">
      <alignment horizontal="center" vertical="center" wrapText="1"/>
    </xf>
    <xf numFmtId="0" fontId="162" fillId="22" borderId="291" xfId="0" applyFont="1" applyFill="1" applyBorder="1" applyAlignment="1">
      <alignment horizontal="left" wrapText="1"/>
    </xf>
    <xf numFmtId="0" fontId="162" fillId="22" borderId="246" xfId="0" applyFont="1" applyFill="1" applyBorder="1" applyAlignment="1">
      <alignment horizontal="left" wrapText="1"/>
    </xf>
    <xf numFmtId="0" fontId="162" fillId="22" borderId="276" xfId="0" applyFont="1" applyFill="1" applyBorder="1" applyAlignment="1">
      <alignment vertical="center"/>
    </xf>
    <xf numFmtId="0" fontId="162" fillId="16" borderId="508" xfId="0" applyFont="1" applyFill="1" applyBorder="1" applyAlignment="1">
      <alignment horizontal="center" vertical="center" wrapText="1"/>
    </xf>
    <xf numFmtId="0" fontId="162" fillId="16" borderId="236" xfId="0" applyFont="1" applyFill="1" applyBorder="1" applyAlignment="1">
      <alignment horizontal="center" vertical="center" wrapText="1"/>
    </xf>
    <xf numFmtId="0" fontId="162" fillId="16" borderId="69" xfId="0" applyFont="1" applyFill="1" applyBorder="1" applyAlignment="1">
      <alignment horizontal="center" vertical="center" wrapText="1"/>
    </xf>
    <xf numFmtId="0" fontId="162" fillId="16" borderId="510" xfId="0" applyFont="1" applyFill="1" applyBorder="1" applyAlignment="1">
      <alignment horizontal="center" vertical="center" wrapText="1"/>
    </xf>
    <xf numFmtId="0" fontId="162" fillId="22" borderId="291" xfId="0" applyFont="1" applyFill="1" applyBorder="1" applyAlignment="1">
      <alignment horizontal="left" vertical="center" wrapText="1"/>
    </xf>
    <xf numFmtId="0" fontId="6" fillId="20" borderId="180" xfId="0" applyFont="1" applyFill="1" applyBorder="1" applyAlignment="1">
      <alignment horizontal="left" vertical="top" wrapText="1"/>
    </xf>
    <xf numFmtId="0" fontId="6" fillId="20" borderId="179" xfId="0" applyFont="1" applyFill="1" applyBorder="1" applyAlignment="1">
      <alignment horizontal="left" vertical="top" wrapText="1"/>
    </xf>
    <xf numFmtId="0" fontId="6" fillId="20" borderId="23" xfId="0" applyFont="1" applyFill="1" applyBorder="1" applyAlignment="1">
      <alignment horizontal="left" vertical="top" wrapText="1"/>
    </xf>
    <xf numFmtId="0" fontId="6" fillId="20" borderId="0" xfId="0" applyFont="1" applyFill="1" applyAlignment="1">
      <alignment horizontal="left" vertical="top" wrapText="1"/>
    </xf>
    <xf numFmtId="0" fontId="6" fillId="20" borderId="24" xfId="0" applyFont="1" applyFill="1" applyBorder="1" applyAlignment="1">
      <alignment horizontal="left" vertical="top" wrapText="1"/>
    </xf>
    <xf numFmtId="0" fontId="6" fillId="20" borderId="25" xfId="0" applyFont="1" applyFill="1" applyBorder="1" applyAlignment="1">
      <alignment horizontal="left" vertical="top" wrapText="1"/>
    </xf>
    <xf numFmtId="0" fontId="6" fillId="20" borderId="26" xfId="0" applyFont="1" applyFill="1" applyBorder="1" applyAlignment="1">
      <alignment horizontal="left" vertical="top" wrapText="1"/>
    </xf>
    <xf numFmtId="0" fontId="6" fillId="20" borderId="27" xfId="0" applyFont="1" applyFill="1" applyBorder="1" applyAlignment="1">
      <alignment horizontal="left" vertical="top" wrapText="1"/>
    </xf>
    <xf numFmtId="0" fontId="6" fillId="20" borderId="61" xfId="0" applyFont="1" applyFill="1" applyBorder="1" applyAlignment="1">
      <alignment horizontal="left" vertical="top" wrapText="1"/>
    </xf>
    <xf numFmtId="0" fontId="6" fillId="20" borderId="186" xfId="0" quotePrefix="1" applyFont="1" applyFill="1" applyBorder="1" applyAlignment="1">
      <alignment horizontal="left" vertical="top" wrapText="1"/>
    </xf>
    <xf numFmtId="0" fontId="6" fillId="20" borderId="239" xfId="0" applyFont="1" applyFill="1" applyBorder="1" applyAlignment="1">
      <alignment horizontal="left" vertical="top" wrapText="1"/>
    </xf>
    <xf numFmtId="0" fontId="6" fillId="20" borderId="187" xfId="0" applyFont="1" applyFill="1" applyBorder="1" applyAlignment="1">
      <alignment horizontal="left" vertical="top" wrapText="1"/>
    </xf>
    <xf numFmtId="0" fontId="6" fillId="16" borderId="61" xfId="0" applyFont="1" applyFill="1" applyBorder="1" applyAlignment="1">
      <alignment horizontal="left" wrapText="1"/>
    </xf>
    <xf numFmtId="0" fontId="6" fillId="16" borderId="180" xfId="0" applyFont="1" applyFill="1" applyBorder="1" applyAlignment="1">
      <alignment horizontal="left" wrapText="1"/>
    </xf>
    <xf numFmtId="0" fontId="6" fillId="16" borderId="179" xfId="0" applyFont="1" applyFill="1" applyBorder="1" applyAlignment="1">
      <alignment horizontal="left" wrapText="1"/>
    </xf>
    <xf numFmtId="164" fontId="162" fillId="22" borderId="193" xfId="0" applyNumberFormat="1" applyFont="1" applyFill="1" applyBorder="1" applyAlignment="1">
      <alignment horizontal="center" vertical="center" wrapText="1"/>
    </xf>
    <xf numFmtId="164" fontId="162" fillId="22" borderId="477" xfId="0" applyNumberFormat="1" applyFont="1" applyFill="1" applyBorder="1" applyAlignment="1">
      <alignment horizontal="center" vertical="center" wrapText="1"/>
    </xf>
    <xf numFmtId="164" fontId="162" fillId="22" borderId="245" xfId="0" applyNumberFormat="1" applyFont="1" applyFill="1" applyBorder="1" applyAlignment="1">
      <alignment horizontal="center" vertical="center" wrapText="1"/>
    </xf>
    <xf numFmtId="164" fontId="162" fillId="22" borderId="481" xfId="0" applyNumberFormat="1" applyFont="1" applyFill="1" applyBorder="1" applyAlignment="1">
      <alignment horizontal="center" vertical="center" wrapText="1"/>
    </xf>
    <xf numFmtId="164" fontId="162" fillId="22" borderId="297" xfId="0" applyNumberFormat="1" applyFont="1" applyFill="1" applyBorder="1" applyAlignment="1">
      <alignment horizontal="center" vertical="center" wrapText="1"/>
    </xf>
    <xf numFmtId="0" fontId="162" fillId="16" borderId="251" xfId="0" applyFont="1" applyFill="1" applyBorder="1" applyAlignment="1">
      <alignment horizontal="center" vertical="center" wrapText="1"/>
    </xf>
    <xf numFmtId="0" fontId="162" fillId="22" borderId="75" xfId="0" applyFont="1" applyFill="1" applyBorder="1" applyAlignment="1">
      <alignment horizontal="left" vertical="center" wrapText="1"/>
    </xf>
    <xf numFmtId="0" fontId="162" fillId="17" borderId="475" xfId="0" applyFont="1" applyFill="1" applyBorder="1" applyAlignment="1">
      <alignment horizontal="center" vertical="center" wrapText="1"/>
    </xf>
    <xf numFmtId="0" fontId="162" fillId="17" borderId="255" xfId="0" applyFont="1" applyFill="1" applyBorder="1" applyAlignment="1">
      <alignment horizontal="center" vertical="center" wrapText="1"/>
    </xf>
    <xf numFmtId="0" fontId="162" fillId="22" borderId="396" xfId="0" applyFont="1" applyFill="1" applyBorder="1" applyAlignment="1">
      <alignment horizontal="left" vertical="center" wrapText="1"/>
    </xf>
    <xf numFmtId="0" fontId="6" fillId="20" borderId="240" xfId="0" applyFont="1" applyFill="1" applyBorder="1" applyAlignment="1">
      <alignment horizontal="left" vertical="top" wrapText="1"/>
    </xf>
    <xf numFmtId="0" fontId="162" fillId="17" borderId="476" xfId="0" applyFont="1" applyFill="1" applyBorder="1" applyAlignment="1">
      <alignment horizontal="center" vertical="center" wrapText="1"/>
    </xf>
    <xf numFmtId="0" fontId="162" fillId="17" borderId="249" xfId="0" applyFont="1" applyFill="1" applyBorder="1" applyAlignment="1">
      <alignment horizontal="center" vertical="center" wrapText="1"/>
    </xf>
    <xf numFmtId="0" fontId="6" fillId="16" borderId="0" xfId="0" applyFont="1" applyFill="1" applyAlignment="1">
      <alignment horizontal="left"/>
    </xf>
    <xf numFmtId="0" fontId="118" fillId="97" borderId="0" xfId="0" applyFont="1" applyFill="1" applyAlignment="1">
      <alignment vertical="center"/>
    </xf>
    <xf numFmtId="0" fontId="5" fillId="90" borderId="186" xfId="0" applyFont="1" applyFill="1" applyBorder="1" applyAlignment="1">
      <alignment horizontal="center"/>
    </xf>
    <xf numFmtId="0" fontId="5" fillId="90" borderId="239" xfId="0" applyFont="1" applyFill="1" applyBorder="1" applyAlignment="1">
      <alignment horizontal="center"/>
    </xf>
    <xf numFmtId="176" fontId="5" fillId="90" borderId="187" xfId="0" applyNumberFormat="1" applyFont="1" applyFill="1" applyBorder="1" applyAlignment="1">
      <alignment horizontal="center"/>
    </xf>
    <xf numFmtId="0" fontId="87" fillId="24" borderId="61" xfId="0" applyFont="1" applyFill="1" applyBorder="1" applyAlignment="1">
      <alignment horizontal="center"/>
    </xf>
    <xf numFmtId="0" fontId="87" fillId="24" borderId="94" xfId="0" applyFont="1" applyFill="1" applyBorder="1" applyAlignment="1">
      <alignment horizontal="center"/>
    </xf>
    <xf numFmtId="164" fontId="162" fillId="17" borderId="30" xfId="4" applyNumberFormat="1" applyFont="1" applyFill="1" applyBorder="1" applyAlignment="1">
      <alignment horizontal="center" vertical="center" wrapText="1"/>
    </xf>
    <xf numFmtId="164" fontId="162" fillId="17" borderId="75" xfId="4" applyNumberFormat="1" applyFont="1" applyFill="1" applyBorder="1" applyAlignment="1">
      <alignment horizontal="center" vertical="center" wrapText="1"/>
    </xf>
    <xf numFmtId="164" fontId="162" fillId="17" borderId="216" xfId="4" applyNumberFormat="1" applyFont="1" applyFill="1" applyBorder="1" applyAlignment="1">
      <alignment horizontal="center" vertical="center" wrapText="1"/>
    </xf>
    <xf numFmtId="0" fontId="0" fillId="97" borderId="0" xfId="0" applyFill="1" applyAlignment="1">
      <alignment vertical="top" wrapText="1"/>
    </xf>
    <xf numFmtId="0" fontId="149" fillId="97" borderId="0" xfId="0" applyFont="1" applyFill="1" applyAlignment="1">
      <alignment vertical="center" wrapText="1"/>
    </xf>
    <xf numFmtId="0" fontId="0" fillId="97" borderId="0" xfId="0" applyFill="1" applyAlignment="1">
      <alignment vertical="center" wrapText="1"/>
    </xf>
    <xf numFmtId="0" fontId="150" fillId="97" borderId="0" xfId="0" applyFont="1" applyFill="1" applyAlignment="1">
      <alignment vertical="center" wrapText="1"/>
    </xf>
    <xf numFmtId="0" fontId="125" fillId="97" borderId="0" xfId="0" applyFont="1" applyFill="1" applyAlignment="1">
      <alignment horizontal="left" vertical="center" wrapText="1"/>
    </xf>
    <xf numFmtId="0" fontId="125" fillId="97" borderId="0" xfId="0" applyFont="1" applyFill="1" applyAlignment="1">
      <alignment vertical="center" wrapText="1"/>
    </xf>
    <xf numFmtId="164" fontId="162" fillId="17" borderId="196" xfId="4" applyNumberFormat="1" applyFont="1" applyFill="1" applyBorder="1" applyAlignment="1">
      <alignment horizontal="center" vertical="center" wrapText="1"/>
    </xf>
    <xf numFmtId="164" fontId="162" fillId="17" borderId="164" xfId="4" applyNumberFormat="1" applyFont="1" applyFill="1" applyBorder="1" applyAlignment="1">
      <alignment horizontal="center" vertical="center" wrapText="1"/>
    </xf>
    <xf numFmtId="164" fontId="162" fillId="17" borderId="199" xfId="4" applyNumberFormat="1" applyFont="1" applyFill="1" applyBorder="1" applyAlignment="1">
      <alignment horizontal="center" vertical="center" wrapText="1"/>
    </xf>
    <xf numFmtId="0" fontId="6" fillId="20" borderId="61" xfId="0" applyFont="1" applyFill="1" applyBorder="1" applyAlignment="1">
      <alignment horizontal="left" indent="1"/>
    </xf>
    <xf numFmtId="0" fontId="6" fillId="20" borderId="180" xfId="0" applyFont="1" applyFill="1" applyBorder="1" applyAlignment="1">
      <alignment horizontal="left" indent="1"/>
    </xf>
    <xf numFmtId="0" fontId="6" fillId="20" borderId="179" xfId="0" applyFont="1" applyFill="1" applyBorder="1" applyAlignment="1">
      <alignment horizontal="left" indent="1"/>
    </xf>
    <xf numFmtId="0" fontId="104" fillId="20" borderId="23" xfId="9100" applyFont="1" applyFill="1" applyBorder="1" applyAlignment="1">
      <alignment horizontal="left" indent="1"/>
    </xf>
    <xf numFmtId="0" fontId="104" fillId="20" borderId="0" xfId="9100" applyFont="1" applyFill="1" applyBorder="1" applyAlignment="1">
      <alignment horizontal="left" indent="1"/>
    </xf>
    <xf numFmtId="0" fontId="104" fillId="20" borderId="24" xfId="9100" applyFont="1" applyFill="1" applyBorder="1" applyAlignment="1">
      <alignment horizontal="left" indent="1"/>
    </xf>
    <xf numFmtId="0" fontId="6" fillId="20" borderId="23" xfId="0" applyFont="1" applyFill="1" applyBorder="1" applyAlignment="1">
      <alignment horizontal="left" vertical="top" wrapText="1" indent="1"/>
    </xf>
    <xf numFmtId="0" fontId="6" fillId="20" borderId="0" xfId="0" applyFont="1" applyFill="1" applyAlignment="1">
      <alignment horizontal="left" vertical="top" wrapText="1" indent="1"/>
    </xf>
    <xf numFmtId="0" fontId="6" fillId="20" borderId="24" xfId="0" applyFont="1" applyFill="1" applyBorder="1" applyAlignment="1">
      <alignment horizontal="left" vertical="top" wrapText="1" indent="1"/>
    </xf>
    <xf numFmtId="0" fontId="6" fillId="20" borderId="25" xfId="0" applyFont="1" applyFill="1" applyBorder="1" applyAlignment="1">
      <alignment horizontal="left" vertical="top" wrapText="1" indent="1"/>
    </xf>
    <xf numFmtId="0" fontId="6" fillId="20" borderId="26" xfId="0" applyFont="1" applyFill="1" applyBorder="1" applyAlignment="1">
      <alignment horizontal="left" vertical="top" wrapText="1" indent="1"/>
    </xf>
    <xf numFmtId="0" fontId="6" fillId="20" borderId="27" xfId="0" applyFont="1" applyFill="1" applyBorder="1" applyAlignment="1">
      <alignment horizontal="left" vertical="top" wrapText="1" indent="1"/>
    </xf>
    <xf numFmtId="0" fontId="6" fillId="26" borderId="0" xfId="0" applyFont="1" applyFill="1" applyAlignment="1">
      <alignment horizontal="left" vertical="center" wrapText="1"/>
    </xf>
    <xf numFmtId="0" fontId="114" fillId="26" borderId="184" xfId="0" applyFont="1" applyFill="1" applyBorder="1" applyAlignment="1">
      <alignment horizontal="left" vertical="center" wrapText="1"/>
    </xf>
  </cellXfs>
  <cellStyles count="12353">
    <cellStyle name=" 1" xfId="9337" xr:uid="{B6E37B65-3B6A-4D43-92FE-1FC08A68AEB2}"/>
    <cellStyle name="_x000a_386grabber=M" xfId="9457" xr:uid="{A3D48B2D-E60B-43C0-AD72-1D7D317F6D61}"/>
    <cellStyle name="20% - Accent1 2" xfId="23" xr:uid="{00000000-0005-0000-0000-000000000000}"/>
    <cellStyle name="20% - Accent1 2 2" xfId="242" xr:uid="{00000000-0005-0000-0000-000001000000}"/>
    <cellStyle name="20% - Accent1 2 2 2" xfId="8215" xr:uid="{00000000-0005-0000-0000-000002000000}"/>
    <cellStyle name="20% - Accent1 2 2 2 2" xfId="8216" xr:uid="{00000000-0005-0000-0000-000003000000}"/>
    <cellStyle name="20% - Accent1 2 2 2 2 2" xfId="10635" xr:uid="{B6A80429-9BE0-4A78-947D-077384E27048}"/>
    <cellStyle name="20% - Accent1 2 2 2 3" xfId="10634" xr:uid="{BC990AFB-1538-4E5E-BC28-265902C9AF90}"/>
    <cellStyle name="20% - Accent1 2 2 3" xfId="8217" xr:uid="{00000000-0005-0000-0000-000004000000}"/>
    <cellStyle name="20% - Accent1 2 2 3 2" xfId="8218" xr:uid="{00000000-0005-0000-0000-000005000000}"/>
    <cellStyle name="20% - Accent1 2 2 3 2 2" xfId="10637" xr:uid="{E22D5A15-3F22-4105-8AFF-3092B2914162}"/>
    <cellStyle name="20% - Accent1 2 2 3 3" xfId="10636" xr:uid="{DE64D8B4-D307-43BF-901F-2E51042AD1F9}"/>
    <cellStyle name="20% - Accent1 2 2 4" xfId="8219" xr:uid="{00000000-0005-0000-0000-000006000000}"/>
    <cellStyle name="20% - Accent1 2 2 5" xfId="8220" xr:uid="{00000000-0005-0000-0000-000007000000}"/>
    <cellStyle name="20% - Accent1 2 2 5 2" xfId="10638" xr:uid="{780E5348-7740-4F45-96C1-604B8411B00A}"/>
    <cellStyle name="20% - Accent1 2 2 6" xfId="8173" xr:uid="{00000000-0005-0000-0000-000008000000}"/>
    <cellStyle name="20% - Accent1 2 2 6 2" xfId="10639" xr:uid="{8135634B-C313-42B3-8493-3350D71AECC2}"/>
    <cellStyle name="20% - Accent1 2 3" xfId="8221" xr:uid="{00000000-0005-0000-0000-000009000000}"/>
    <cellStyle name="20% - Accent1 2 3 2" xfId="8222" xr:uid="{00000000-0005-0000-0000-00000A000000}"/>
    <cellStyle name="20% - Accent1 2 3 2 2" xfId="10641" xr:uid="{86C46FC9-DC7D-4FD0-9100-2AACD354AFC8}"/>
    <cellStyle name="20% - Accent1 2 3 3" xfId="10640" xr:uid="{CF4C3EDD-2F8F-4667-B7A1-C4580AF0AA8F}"/>
    <cellStyle name="20% - Accent1 2 4" xfId="8223" xr:uid="{00000000-0005-0000-0000-00000B000000}"/>
    <cellStyle name="20% - Accent1 2 4 2" xfId="8224" xr:uid="{00000000-0005-0000-0000-00000C000000}"/>
    <cellStyle name="20% - Accent1 2 4 2 2" xfId="10643" xr:uid="{588A8A24-2C9A-4D36-948A-C5F0C2D4422A}"/>
    <cellStyle name="20% - Accent1 2 4 3" xfId="10642" xr:uid="{41576B31-CAE0-4D1B-82B9-3889FE725A49}"/>
    <cellStyle name="20% - Accent1 2 5" xfId="8225" xr:uid="{00000000-0005-0000-0000-00000D000000}"/>
    <cellStyle name="20% - Accent1 2 5 2" xfId="8226" xr:uid="{00000000-0005-0000-0000-00000E000000}"/>
    <cellStyle name="20% - Accent1 2 5 2 2" xfId="10645" xr:uid="{41EF4A0E-799E-43C6-BB00-86081F27349C}"/>
    <cellStyle name="20% - Accent1 2 5 3" xfId="10644" xr:uid="{518D71CE-191F-46E6-8B48-542F2D56FCB3}"/>
    <cellStyle name="20% - Accent1 2 6" xfId="8172" xr:uid="{00000000-0005-0000-0000-00000F000000}"/>
    <cellStyle name="20% - Accent1 2 6 2" xfId="10646" xr:uid="{C3B6B4C6-1AE1-4221-8D1C-22410C5BBD0B}"/>
    <cellStyle name="20% - Accent1 3" xfId="243" xr:uid="{00000000-0005-0000-0000-000010000000}"/>
    <cellStyle name="20% - Accent1 3 2" xfId="365" xr:uid="{00000000-0005-0000-0000-000011000000}"/>
    <cellStyle name="20% - Accent1 3 2 2" xfId="8227" xr:uid="{00000000-0005-0000-0000-000012000000}"/>
    <cellStyle name="20% - Accent1 3 2 2 2" xfId="8228" xr:uid="{00000000-0005-0000-0000-000013000000}"/>
    <cellStyle name="20% - Accent1 3 2 2 2 2" xfId="10649" xr:uid="{38335D89-93BF-4E96-8A0C-AB16CAF2D3C2}"/>
    <cellStyle name="20% - Accent1 3 2 2 3" xfId="10648" xr:uid="{8838A144-F468-43DF-9BE5-4329B1A1B2D7}"/>
    <cellStyle name="20% - Accent1 3 2 3" xfId="8229" xr:uid="{00000000-0005-0000-0000-000014000000}"/>
    <cellStyle name="20% - Accent1 3 2 3 2" xfId="8230" xr:uid="{00000000-0005-0000-0000-000015000000}"/>
    <cellStyle name="20% - Accent1 3 2 3 2 2" xfId="10651" xr:uid="{99D16A5E-5E9B-49AC-A07B-0210B25BB24C}"/>
    <cellStyle name="20% - Accent1 3 2 3 3" xfId="10650" xr:uid="{311BF3D3-5D4F-48BB-A1CA-F71367A6147F}"/>
    <cellStyle name="20% - Accent1 3 2 4" xfId="8231" xr:uid="{00000000-0005-0000-0000-000016000000}"/>
    <cellStyle name="20% - Accent1 3 2 4 2" xfId="10652" xr:uid="{DB1938B0-8AEE-4570-A39D-9BF2E561BE8A}"/>
    <cellStyle name="20% - Accent1 3 2 5" xfId="10647" xr:uid="{410B8C8F-D8F4-4D26-82D1-1B5E2977F7E9}"/>
    <cellStyle name="20% - Accent1 3 2 6" xfId="11996" xr:uid="{3954DBF2-9203-4BF9-82C8-43E874DB69B3}"/>
    <cellStyle name="20% - Accent1 3 3" xfId="8232" xr:uid="{00000000-0005-0000-0000-000017000000}"/>
    <cellStyle name="20% - Accent1 3 3 2" xfId="8233" xr:uid="{00000000-0005-0000-0000-000018000000}"/>
    <cellStyle name="20% - Accent1 3 3 2 2" xfId="10654" xr:uid="{CC035EB2-358C-4648-962E-55C1ADD6EBBE}"/>
    <cellStyle name="20% - Accent1 3 3 3" xfId="10653" xr:uid="{46B38119-D829-4122-BABE-C7A59D4BE5D0}"/>
    <cellStyle name="20% - Accent1 3 3 4" xfId="11907" xr:uid="{13EA75BD-40B4-43DD-A12F-93100AB15127}"/>
    <cellStyle name="20% - Accent1 3 4" xfId="8234" xr:uid="{00000000-0005-0000-0000-000019000000}"/>
    <cellStyle name="20% - Accent1 3 4 2" xfId="8235" xr:uid="{00000000-0005-0000-0000-00001A000000}"/>
    <cellStyle name="20% - Accent1 3 4 2 2" xfId="10656" xr:uid="{7C558901-6365-465F-A7F8-41665EC24C4F}"/>
    <cellStyle name="20% - Accent1 3 4 3" xfId="10655" xr:uid="{55992C21-AD42-4CCF-A8FC-4DC8A6E1697E}"/>
    <cellStyle name="20% - Accent1 3 5" xfId="8236" xr:uid="{00000000-0005-0000-0000-00001B000000}"/>
    <cellStyle name="20% - Accent1 3 5 2" xfId="10657" xr:uid="{D6B90261-3E57-454C-9286-59DC569B1240}"/>
    <cellStyle name="20% - Accent1 3 6" xfId="10403" xr:uid="{E349B565-BF0C-4848-B579-D5284DE923D4}"/>
    <cellStyle name="20% - Accent1 4" xfId="366" xr:uid="{00000000-0005-0000-0000-00001C000000}"/>
    <cellStyle name="20% - Accent1 4 2" xfId="367" xr:uid="{00000000-0005-0000-0000-00001D000000}"/>
    <cellStyle name="20% - Accent1 4 2 2" xfId="8237" xr:uid="{00000000-0005-0000-0000-00001E000000}"/>
    <cellStyle name="20% - Accent1 4 2 2 2" xfId="8238" xr:uid="{00000000-0005-0000-0000-00001F000000}"/>
    <cellStyle name="20% - Accent1 4 2 2 2 2" xfId="10661" xr:uid="{6F18B76F-8DB9-4EB0-BA06-BB1344826E98}"/>
    <cellStyle name="20% - Accent1 4 2 2 3" xfId="10660" xr:uid="{2CEE8ACF-E9DC-4FEF-AA50-F7F0920B7A03}"/>
    <cellStyle name="20% - Accent1 4 2 3" xfId="8239" xr:uid="{00000000-0005-0000-0000-000020000000}"/>
    <cellStyle name="20% - Accent1 4 2 3 2" xfId="8240" xr:uid="{00000000-0005-0000-0000-000021000000}"/>
    <cellStyle name="20% - Accent1 4 2 3 2 2" xfId="10663" xr:uid="{FE949FB6-AD3E-43AB-90A9-9287A8133FBF}"/>
    <cellStyle name="20% - Accent1 4 2 3 3" xfId="10662" xr:uid="{678F059C-56A2-4E51-8C1D-0256F6997E95}"/>
    <cellStyle name="20% - Accent1 4 2 4" xfId="8241" xr:uid="{00000000-0005-0000-0000-000022000000}"/>
    <cellStyle name="20% - Accent1 4 2 4 2" xfId="10664" xr:uid="{E2DF07A0-D678-4DE1-BDA7-58B01F7AAC09}"/>
    <cellStyle name="20% - Accent1 4 2 5" xfId="10659" xr:uid="{102339E5-8C62-4175-AC52-2856105ECFCC}"/>
    <cellStyle name="20% - Accent1 4 2 6" xfId="11998" xr:uid="{1DC896D4-6336-44DA-9E7B-DF68DCBB52E1}"/>
    <cellStyle name="20% - Accent1 4 3" xfId="8242" xr:uid="{00000000-0005-0000-0000-000023000000}"/>
    <cellStyle name="20% - Accent1 4 3 2" xfId="8243" xr:uid="{00000000-0005-0000-0000-000024000000}"/>
    <cellStyle name="20% - Accent1 4 3 2 2" xfId="10666" xr:uid="{DB06D13F-A77A-4451-9508-5D45EF4D77C6}"/>
    <cellStyle name="20% - Accent1 4 3 3" xfId="10665" xr:uid="{A9DFA1C3-DF16-4A58-8F47-6714A7B1CB41}"/>
    <cellStyle name="20% - Accent1 4 4" xfId="8244" xr:uid="{00000000-0005-0000-0000-000025000000}"/>
    <cellStyle name="20% - Accent1 4 4 2" xfId="8245" xr:uid="{00000000-0005-0000-0000-000026000000}"/>
    <cellStyle name="20% - Accent1 4 4 2 2" xfId="10668" xr:uid="{7E8464E7-0C7B-422B-B446-D80ACAFBA6FE}"/>
    <cellStyle name="20% - Accent1 4 4 3" xfId="10667" xr:uid="{4EACB2E8-27A2-43CF-AF49-2FFFC5692E21}"/>
    <cellStyle name="20% - Accent1 4 5" xfId="8246" xr:uid="{00000000-0005-0000-0000-000027000000}"/>
    <cellStyle name="20% - Accent1 4 5 2" xfId="10669" xr:uid="{68B9B102-C2CC-4B97-A61C-E76F5C51A99D}"/>
    <cellStyle name="20% - Accent1 4 6" xfId="10658" xr:uid="{F229216F-985C-491A-BAB2-1F5ACA752F61}"/>
    <cellStyle name="20% - Accent1 4 7" xfId="11997" xr:uid="{62D94F6E-79D9-4186-83D3-A9351078362B}"/>
    <cellStyle name="20% - Accent1 5" xfId="368" xr:uid="{00000000-0005-0000-0000-000028000000}"/>
    <cellStyle name="20% - Accent1 5 2" xfId="8247" xr:uid="{00000000-0005-0000-0000-000029000000}"/>
    <cellStyle name="20% - Accent1 5 2 2" xfId="8248" xr:uid="{00000000-0005-0000-0000-00002A000000}"/>
    <cellStyle name="20% - Accent1 5 2 2 2" xfId="10672" xr:uid="{CFE9B624-CE10-4923-96CD-38ADF70E7D70}"/>
    <cellStyle name="20% - Accent1 5 2 3" xfId="10671" xr:uid="{F54F762A-2318-422E-BA33-7A1D9F5FF457}"/>
    <cellStyle name="20% - Accent1 5 3" xfId="8249" xr:uid="{00000000-0005-0000-0000-00002B000000}"/>
    <cellStyle name="20% - Accent1 5 3 2" xfId="8250" xr:uid="{00000000-0005-0000-0000-00002C000000}"/>
    <cellStyle name="20% - Accent1 5 3 2 2" xfId="10674" xr:uid="{1DFF5C12-9593-4A37-BC47-A6F4C3B83D64}"/>
    <cellStyle name="20% - Accent1 5 3 3" xfId="10673" xr:uid="{AEE3A206-B94D-49FD-B05D-157A08DE1F46}"/>
    <cellStyle name="20% - Accent1 5 4" xfId="8251" xr:uid="{00000000-0005-0000-0000-00002D000000}"/>
    <cellStyle name="20% - Accent1 5 4 2" xfId="10675" xr:uid="{59B9C6B1-1B13-47BB-8853-29D478C86000}"/>
    <cellStyle name="20% - Accent1 5 5" xfId="10670" xr:uid="{279CB9DE-57AF-4644-A5C5-259082BF7425}"/>
    <cellStyle name="20% - Accent1 5 6" xfId="11999" xr:uid="{D2B94F76-58D6-42EB-B3F4-C7CD1D78BFD5}"/>
    <cellStyle name="20% - Accent2 2" xfId="24" xr:uid="{00000000-0005-0000-0000-00002E000000}"/>
    <cellStyle name="20% - Accent2 2 2" xfId="369" xr:uid="{00000000-0005-0000-0000-00002F000000}"/>
    <cellStyle name="20% - Accent2 2 2 2" xfId="8252" xr:uid="{00000000-0005-0000-0000-000030000000}"/>
    <cellStyle name="20% - Accent2 2 2 2 2" xfId="8253" xr:uid="{00000000-0005-0000-0000-000031000000}"/>
    <cellStyle name="20% - Accent2 2 2 2 2 2" xfId="10678" xr:uid="{2926545B-C1D0-44CD-A210-08411F1BC0E5}"/>
    <cellStyle name="20% - Accent2 2 2 2 3" xfId="10677" xr:uid="{A35115F7-49EB-424B-9987-FFD31D0D89DF}"/>
    <cellStyle name="20% - Accent2 2 2 3" xfId="8254" xr:uid="{00000000-0005-0000-0000-000032000000}"/>
    <cellStyle name="20% - Accent2 2 2 3 2" xfId="8255" xr:uid="{00000000-0005-0000-0000-000033000000}"/>
    <cellStyle name="20% - Accent2 2 2 3 2 2" xfId="10680" xr:uid="{604D5445-F106-400F-87C5-17D86E63F13C}"/>
    <cellStyle name="20% - Accent2 2 2 3 3" xfId="10679" xr:uid="{869FC8E0-1A27-44AE-98B8-972134E03CD4}"/>
    <cellStyle name="20% - Accent2 2 2 4" xfId="8256" xr:uid="{00000000-0005-0000-0000-000034000000}"/>
    <cellStyle name="20% - Accent2 2 2 4 2" xfId="10681" xr:uid="{7E11F8F4-137B-4CC2-9CBF-FB9586546737}"/>
    <cellStyle name="20% - Accent2 2 2 5" xfId="10676" xr:uid="{EE05BDD3-FF4B-4812-B2AD-3C5BEA5C965D}"/>
    <cellStyle name="20% - Accent2 2 2 6" xfId="12000" xr:uid="{26BE6AA7-01FF-4700-8D9F-D3E634B889B9}"/>
    <cellStyle name="20% - Accent2 2 3" xfId="8257" xr:uid="{00000000-0005-0000-0000-000035000000}"/>
    <cellStyle name="20% - Accent2 2 3 2" xfId="8258" xr:uid="{00000000-0005-0000-0000-000036000000}"/>
    <cellStyle name="20% - Accent2 2 3 2 2" xfId="10682" xr:uid="{5B9D5CFC-4C5C-453B-A801-7A3385D3D974}"/>
    <cellStyle name="20% - Accent2 2 3 3" xfId="9459" xr:uid="{7932C765-67A6-4586-87A8-DEA6EFF24995}"/>
    <cellStyle name="20% - Accent2 2 3 3 2" xfId="10683" xr:uid="{3591EEF0-096D-4E7B-A4B7-6380D6896F39}"/>
    <cellStyle name="20% - Accent2 2 3 4" xfId="9458" xr:uid="{01DD0DE6-3335-4CCC-8E89-79A7CEA30C7E}"/>
    <cellStyle name="20% - Accent2 2 4" xfId="8259" xr:uid="{00000000-0005-0000-0000-000037000000}"/>
    <cellStyle name="20% - Accent2 2 4 2" xfId="8260" xr:uid="{00000000-0005-0000-0000-000038000000}"/>
    <cellStyle name="20% - Accent2 2 4 2 2" xfId="10685" xr:uid="{12ECD1D3-35FE-4CD4-AC25-2F4E42F7FCE0}"/>
    <cellStyle name="20% - Accent2 2 4 3" xfId="10684" xr:uid="{B76CB164-0E69-4C0D-866F-AB9565A5C038}"/>
    <cellStyle name="20% - Accent2 2 5" xfId="8261" xr:uid="{00000000-0005-0000-0000-000039000000}"/>
    <cellStyle name="20% - Accent2 2 5 2" xfId="8262" xr:uid="{00000000-0005-0000-0000-00003A000000}"/>
    <cellStyle name="20% - Accent2 2 5 2 2" xfId="10687" xr:uid="{D9BB313C-10CB-4689-833B-DADB1056BD4C}"/>
    <cellStyle name="20% - Accent2 2 5 3" xfId="10686" xr:uid="{FCBD61C0-4A41-4C01-9478-EA79F64380E3}"/>
    <cellStyle name="20% - Accent2 3" xfId="244" xr:uid="{00000000-0005-0000-0000-00003B000000}"/>
    <cellStyle name="20% - Accent2 3 2" xfId="370" xr:uid="{00000000-0005-0000-0000-00003C000000}"/>
    <cellStyle name="20% - Accent2 3 2 2" xfId="8263" xr:uid="{00000000-0005-0000-0000-00003D000000}"/>
    <cellStyle name="20% - Accent2 3 2 2 2" xfId="8264" xr:uid="{00000000-0005-0000-0000-00003E000000}"/>
    <cellStyle name="20% - Accent2 3 2 2 2 2" xfId="10690" xr:uid="{2D8F5DC0-9DCB-41D5-B617-0C39A13D6979}"/>
    <cellStyle name="20% - Accent2 3 2 2 3" xfId="10689" xr:uid="{C8ACE125-DE14-43D5-8F91-737329A81560}"/>
    <cellStyle name="20% - Accent2 3 2 3" xfId="8265" xr:uid="{00000000-0005-0000-0000-00003F000000}"/>
    <cellStyle name="20% - Accent2 3 2 3 2" xfId="8266" xr:uid="{00000000-0005-0000-0000-000040000000}"/>
    <cellStyle name="20% - Accent2 3 2 3 2 2" xfId="10692" xr:uid="{3D86A6FF-7087-4159-B2D8-59552B374AD8}"/>
    <cellStyle name="20% - Accent2 3 2 3 3" xfId="10691" xr:uid="{074CE495-8110-4BFA-A8F8-BFA3EDC2A57A}"/>
    <cellStyle name="20% - Accent2 3 2 4" xfId="8267" xr:uid="{00000000-0005-0000-0000-000041000000}"/>
    <cellStyle name="20% - Accent2 3 2 4 2" xfId="10693" xr:uid="{011A62FC-070F-4C9A-8D0C-3A2C5E8327EA}"/>
    <cellStyle name="20% - Accent2 3 2 5" xfId="10688" xr:uid="{0A4B406A-12A9-4FC7-97CF-3B880AF5340E}"/>
    <cellStyle name="20% - Accent2 3 2 6" xfId="12001" xr:uid="{E832AA51-6381-4195-85EE-6F4CC27B21D9}"/>
    <cellStyle name="20% - Accent2 3 3" xfId="8268" xr:uid="{00000000-0005-0000-0000-000042000000}"/>
    <cellStyle name="20% - Accent2 3 3 2" xfId="8269" xr:uid="{00000000-0005-0000-0000-000043000000}"/>
    <cellStyle name="20% - Accent2 3 3 2 2" xfId="10695" xr:uid="{DF08530F-AE87-4B63-9A62-FBC9DB37EC79}"/>
    <cellStyle name="20% - Accent2 3 3 3" xfId="10694" xr:uid="{20C46CB4-760D-44B4-B9C5-A752EEDDEE1B}"/>
    <cellStyle name="20% - Accent2 3 3 4" xfId="11908" xr:uid="{C6E7ECF2-0422-4C8A-ACA2-D5DB0B144C6E}"/>
    <cellStyle name="20% - Accent2 3 4" xfId="8270" xr:uid="{00000000-0005-0000-0000-000044000000}"/>
    <cellStyle name="20% - Accent2 3 4 2" xfId="8271" xr:uid="{00000000-0005-0000-0000-000045000000}"/>
    <cellStyle name="20% - Accent2 3 4 2 2" xfId="10697" xr:uid="{F8AD9D41-54EF-47B4-BC46-C1838B22A873}"/>
    <cellStyle name="20% - Accent2 3 4 3" xfId="10696" xr:uid="{A761204D-00ED-4D28-A97D-B89B257A6C5D}"/>
    <cellStyle name="20% - Accent2 3 5" xfId="8272" xr:uid="{00000000-0005-0000-0000-000046000000}"/>
    <cellStyle name="20% - Accent2 3 5 2" xfId="10698" xr:uid="{361A57B0-A329-4B8B-9012-F2C1F48B8A03}"/>
    <cellStyle name="20% - Accent2 3 6" xfId="10404" xr:uid="{B20D9F70-9EAD-4C9F-8ECB-C24373C0E7E0}"/>
    <cellStyle name="20% - Accent2 4" xfId="371" xr:uid="{00000000-0005-0000-0000-000047000000}"/>
    <cellStyle name="20% - Accent2 4 2" xfId="372" xr:uid="{00000000-0005-0000-0000-000048000000}"/>
    <cellStyle name="20% - Accent2 4 2 2" xfId="8273" xr:uid="{00000000-0005-0000-0000-000049000000}"/>
    <cellStyle name="20% - Accent2 4 2 2 2" xfId="8274" xr:uid="{00000000-0005-0000-0000-00004A000000}"/>
    <cellStyle name="20% - Accent2 4 2 2 2 2" xfId="10702" xr:uid="{CD1759B8-1115-4276-8C23-CEA2374727E6}"/>
    <cellStyle name="20% - Accent2 4 2 2 3" xfId="10701" xr:uid="{2CD7838F-0CBE-4A6E-9E3B-F2713196A04F}"/>
    <cellStyle name="20% - Accent2 4 2 3" xfId="8275" xr:uid="{00000000-0005-0000-0000-00004B000000}"/>
    <cellStyle name="20% - Accent2 4 2 3 2" xfId="8276" xr:uid="{00000000-0005-0000-0000-00004C000000}"/>
    <cellStyle name="20% - Accent2 4 2 3 2 2" xfId="10704" xr:uid="{37CAE9E0-11C5-4777-9BDC-4FDCC38A471E}"/>
    <cellStyle name="20% - Accent2 4 2 3 3" xfId="10703" xr:uid="{BDE94B7D-7660-40FF-A692-BB2F19B66C74}"/>
    <cellStyle name="20% - Accent2 4 2 4" xfId="8277" xr:uid="{00000000-0005-0000-0000-00004D000000}"/>
    <cellStyle name="20% - Accent2 4 2 4 2" xfId="10705" xr:uid="{36058571-CCD6-4EDC-B501-E1DE07F60467}"/>
    <cellStyle name="20% - Accent2 4 2 5" xfId="10700" xr:uid="{DE513A30-9432-48FA-B55E-6918597D2A8F}"/>
    <cellStyle name="20% - Accent2 4 2 6" xfId="12003" xr:uid="{AB961F27-E9CF-4848-98BA-2CAAAC34C422}"/>
    <cellStyle name="20% - Accent2 4 3" xfId="8278" xr:uid="{00000000-0005-0000-0000-00004E000000}"/>
    <cellStyle name="20% - Accent2 4 3 2" xfId="8279" xr:uid="{00000000-0005-0000-0000-00004F000000}"/>
    <cellStyle name="20% - Accent2 4 3 2 2" xfId="10707" xr:uid="{8A8D1D05-2D7C-477F-B19D-31A8AF8827BF}"/>
    <cellStyle name="20% - Accent2 4 3 3" xfId="10706" xr:uid="{8AB048CA-12D4-4AC7-949D-7AC66C99122A}"/>
    <cellStyle name="20% - Accent2 4 4" xfId="8280" xr:uid="{00000000-0005-0000-0000-000050000000}"/>
    <cellStyle name="20% - Accent2 4 4 2" xfId="8281" xr:uid="{00000000-0005-0000-0000-000051000000}"/>
    <cellStyle name="20% - Accent2 4 4 2 2" xfId="10709" xr:uid="{C51F52B5-DB00-4128-AE00-F4A4C3C9E580}"/>
    <cellStyle name="20% - Accent2 4 4 3" xfId="10708" xr:uid="{A3384616-BB4D-423B-B4FB-309D9843DF6D}"/>
    <cellStyle name="20% - Accent2 4 5" xfId="8282" xr:uid="{00000000-0005-0000-0000-000052000000}"/>
    <cellStyle name="20% - Accent2 4 5 2" xfId="10710" xr:uid="{76205DD5-CD3F-4327-95B9-EDAC207194AC}"/>
    <cellStyle name="20% - Accent2 4 6" xfId="10699" xr:uid="{4DC0F793-CA9C-4803-B40E-1BD0CE3A1AF0}"/>
    <cellStyle name="20% - Accent2 4 7" xfId="12002" xr:uid="{336C83BA-A0F7-4E81-A33A-06B91715AE8B}"/>
    <cellStyle name="20% - Accent2 5" xfId="373" xr:uid="{00000000-0005-0000-0000-000053000000}"/>
    <cellStyle name="20% - Accent2 5 2" xfId="8283" xr:uid="{00000000-0005-0000-0000-000054000000}"/>
    <cellStyle name="20% - Accent2 5 2 2" xfId="8284" xr:uid="{00000000-0005-0000-0000-000055000000}"/>
    <cellStyle name="20% - Accent2 5 2 2 2" xfId="10713" xr:uid="{4CAA28DF-5905-4FE9-8B58-F5934B8E7E71}"/>
    <cellStyle name="20% - Accent2 5 2 3" xfId="10712" xr:uid="{EEB5615A-8E4F-4CA9-959C-4025E2853222}"/>
    <cellStyle name="20% - Accent2 5 3" xfId="8285" xr:uid="{00000000-0005-0000-0000-000056000000}"/>
    <cellStyle name="20% - Accent2 5 3 2" xfId="8286" xr:uid="{00000000-0005-0000-0000-000057000000}"/>
    <cellStyle name="20% - Accent2 5 3 2 2" xfId="10715" xr:uid="{976DE241-811C-4941-8E6E-1E057E61AF34}"/>
    <cellStyle name="20% - Accent2 5 3 3" xfId="10714" xr:uid="{F395FCD9-CC31-4D10-AF06-C5DE8A1469EF}"/>
    <cellStyle name="20% - Accent2 5 4" xfId="8287" xr:uid="{00000000-0005-0000-0000-000058000000}"/>
    <cellStyle name="20% - Accent2 5 4 2" xfId="10716" xr:uid="{89D15749-2CA0-42A8-B116-A4DEE274F963}"/>
    <cellStyle name="20% - Accent2 5 5" xfId="10711" xr:uid="{66BBFDD7-443A-4E69-B96F-8A6C83FFD01D}"/>
    <cellStyle name="20% - Accent2 5 6" xfId="12004" xr:uid="{E6A4610D-9283-48E6-94A2-FBAE7C98D2DE}"/>
    <cellStyle name="20% - Accent3 2" xfId="25" xr:uid="{00000000-0005-0000-0000-000059000000}"/>
    <cellStyle name="20% - Accent3 2 2" xfId="245" xr:uid="{00000000-0005-0000-0000-00005A000000}"/>
    <cellStyle name="20% - Accent3 2 2 2" xfId="8288" xr:uid="{00000000-0005-0000-0000-00005B000000}"/>
    <cellStyle name="20% - Accent3 2 2 2 2" xfId="8289" xr:uid="{00000000-0005-0000-0000-00005C000000}"/>
    <cellStyle name="20% - Accent3 2 2 2 2 2" xfId="10718" xr:uid="{E9FBEE1F-6FFB-4347-A418-ADAF066DED0B}"/>
    <cellStyle name="20% - Accent3 2 2 2 3" xfId="10717" xr:uid="{D81B3A0D-F623-4C1E-B1C9-D05AB395BA43}"/>
    <cellStyle name="20% - Accent3 2 2 3" xfId="8290" xr:uid="{00000000-0005-0000-0000-00005D000000}"/>
    <cellStyle name="20% - Accent3 2 2 3 2" xfId="8291" xr:uid="{00000000-0005-0000-0000-00005E000000}"/>
    <cellStyle name="20% - Accent3 2 2 3 2 2" xfId="10720" xr:uid="{8BBDC690-AC08-41FC-A135-3521BFE60407}"/>
    <cellStyle name="20% - Accent3 2 2 3 3" xfId="10719" xr:uid="{FC891AE3-B199-46C5-93BB-29EED2EFAE13}"/>
    <cellStyle name="20% - Accent3 2 2 4" xfId="8292" xr:uid="{00000000-0005-0000-0000-00005F000000}"/>
    <cellStyle name="20% - Accent3 2 2 5" xfId="8293" xr:uid="{00000000-0005-0000-0000-000060000000}"/>
    <cellStyle name="20% - Accent3 2 2 5 2" xfId="10721" xr:uid="{AEB5A355-F4E3-4365-926B-1BA0B33FB4B9}"/>
    <cellStyle name="20% - Accent3 2 2 6" xfId="8175" xr:uid="{00000000-0005-0000-0000-000061000000}"/>
    <cellStyle name="20% - Accent3 2 2 6 2" xfId="10722" xr:uid="{2F2E0E55-6B1E-46FB-8A06-9C279F22D410}"/>
    <cellStyle name="20% - Accent3 2 3" xfId="8294" xr:uid="{00000000-0005-0000-0000-000062000000}"/>
    <cellStyle name="20% - Accent3 2 3 2" xfId="8295" xr:uid="{00000000-0005-0000-0000-000063000000}"/>
    <cellStyle name="20% - Accent3 2 3 2 2" xfId="10724" xr:uid="{3969DFE8-FC31-431B-BD42-EB2CE81F9C1A}"/>
    <cellStyle name="20% - Accent3 2 3 3" xfId="10723" xr:uid="{CD58E59C-83C5-4509-8B09-D4A9CFFB3B92}"/>
    <cellStyle name="20% - Accent3 2 4" xfId="8296" xr:uid="{00000000-0005-0000-0000-000064000000}"/>
    <cellStyle name="20% - Accent3 2 4 2" xfId="8297" xr:uid="{00000000-0005-0000-0000-000065000000}"/>
    <cellStyle name="20% - Accent3 2 4 2 2" xfId="10725" xr:uid="{A73E3555-C0EC-4233-96D4-82DBB3223705}"/>
    <cellStyle name="20% - Accent3 2 4 3" xfId="9461" xr:uid="{828667D0-87A8-42F3-A85B-D9A32A93EA58}"/>
    <cellStyle name="20% - Accent3 2 4 3 2" xfId="10726" xr:uid="{0779A935-0CAD-4B1F-B6E5-5A57911D22F9}"/>
    <cellStyle name="20% - Accent3 2 4 4" xfId="9460" xr:uid="{CABF0214-7D7F-4E6E-B342-DED3F3562A96}"/>
    <cellStyle name="20% - Accent3 2 5" xfId="8298" xr:uid="{00000000-0005-0000-0000-000066000000}"/>
    <cellStyle name="20% - Accent3 2 5 2" xfId="8299" xr:uid="{00000000-0005-0000-0000-000067000000}"/>
    <cellStyle name="20% - Accent3 2 5 2 2" xfId="10728" xr:uid="{89CCDEE1-0247-4927-A455-350CA4079AAB}"/>
    <cellStyle name="20% - Accent3 2 5 3" xfId="10727" xr:uid="{4AC16394-FAF0-42A1-BCAC-8DC00BC0690C}"/>
    <cellStyle name="20% - Accent3 2 6" xfId="8174" xr:uid="{00000000-0005-0000-0000-000068000000}"/>
    <cellStyle name="20% - Accent3 2 6 2" xfId="10729" xr:uid="{CF8F7675-00B4-46F8-8A49-CF88EF9CCB65}"/>
    <cellStyle name="20% - Accent3 3" xfId="246" xr:uid="{00000000-0005-0000-0000-000069000000}"/>
    <cellStyle name="20% - Accent3 3 2" xfId="374" xr:uid="{00000000-0005-0000-0000-00006A000000}"/>
    <cellStyle name="20% - Accent3 3 2 2" xfId="8300" xr:uid="{00000000-0005-0000-0000-00006B000000}"/>
    <cellStyle name="20% - Accent3 3 2 2 2" xfId="8301" xr:uid="{00000000-0005-0000-0000-00006C000000}"/>
    <cellStyle name="20% - Accent3 3 2 2 2 2" xfId="10733" xr:uid="{209D2EDA-66A8-4236-8168-4C56FD4308EF}"/>
    <cellStyle name="20% - Accent3 3 2 2 3" xfId="10732" xr:uid="{44F00536-F48B-4F4C-AC14-86BF88E6353A}"/>
    <cellStyle name="20% - Accent3 3 2 3" xfId="8302" xr:uid="{00000000-0005-0000-0000-00006D000000}"/>
    <cellStyle name="20% - Accent3 3 2 3 2" xfId="8303" xr:uid="{00000000-0005-0000-0000-00006E000000}"/>
    <cellStyle name="20% - Accent3 3 2 3 2 2" xfId="10735" xr:uid="{E30027AD-85F4-4CB8-9BE2-445BF08B3589}"/>
    <cellStyle name="20% - Accent3 3 2 3 3" xfId="10734" xr:uid="{473A4472-115F-419F-A5DE-C61C269B669F}"/>
    <cellStyle name="20% - Accent3 3 2 4" xfId="8304" xr:uid="{00000000-0005-0000-0000-00006F000000}"/>
    <cellStyle name="20% - Accent3 3 2 4 2" xfId="10736" xr:uid="{96951F7E-BA2A-4931-A173-EE5D97359495}"/>
    <cellStyle name="20% - Accent3 3 2 5" xfId="10731" xr:uid="{1FD8C18D-4FE9-425D-AB1B-AF323F922183}"/>
    <cellStyle name="20% - Accent3 3 2 6" xfId="12005" xr:uid="{1ABA7F10-2C7D-4B70-BDE1-71119C090B37}"/>
    <cellStyle name="20% - Accent3 3 3" xfId="8305" xr:uid="{00000000-0005-0000-0000-000070000000}"/>
    <cellStyle name="20% - Accent3 3 3 2" xfId="8306" xr:uid="{00000000-0005-0000-0000-000071000000}"/>
    <cellStyle name="20% - Accent3 3 3 2 2" xfId="10738" xr:uid="{0A244C2B-9B39-40F7-9D2C-FDC80D77AABB}"/>
    <cellStyle name="20% - Accent3 3 3 3" xfId="10737" xr:uid="{9227DE6E-5944-495B-9AF2-50C3C92A6A55}"/>
    <cellStyle name="20% - Accent3 3 3 4" xfId="11909" xr:uid="{AB618564-A856-4864-84A2-537C48D1D490}"/>
    <cellStyle name="20% - Accent3 3 4" xfId="8307" xr:uid="{00000000-0005-0000-0000-000072000000}"/>
    <cellStyle name="20% - Accent3 3 4 2" xfId="8308" xr:uid="{00000000-0005-0000-0000-000073000000}"/>
    <cellStyle name="20% - Accent3 3 4 2 2" xfId="10740" xr:uid="{0534F174-99FD-4FB1-BB69-DF31D8CF68BA}"/>
    <cellStyle name="20% - Accent3 3 4 3" xfId="10739" xr:uid="{6A8F3B42-F446-4E64-804C-AD79DE53D752}"/>
    <cellStyle name="20% - Accent3 3 5" xfId="8309" xr:uid="{00000000-0005-0000-0000-000074000000}"/>
    <cellStyle name="20% - Accent3 3 5 2" xfId="10741" xr:uid="{06866C23-5F44-4435-A6CE-2CC98E9429A5}"/>
    <cellStyle name="20% - Accent3 3 6" xfId="10405" xr:uid="{3DBF03C7-5566-4ADF-B1F7-311C449F5798}"/>
    <cellStyle name="20% - Accent3 3 7" xfId="10730" xr:uid="{C862669D-E133-4421-9104-840A7FEB578A}"/>
    <cellStyle name="20% - Accent3 4" xfId="375" xr:uid="{00000000-0005-0000-0000-000075000000}"/>
    <cellStyle name="20% - Accent3 4 2" xfId="376" xr:uid="{00000000-0005-0000-0000-000076000000}"/>
    <cellStyle name="20% - Accent3 4 2 2" xfId="8310" xr:uid="{00000000-0005-0000-0000-000077000000}"/>
    <cellStyle name="20% - Accent3 4 2 2 2" xfId="8311" xr:uid="{00000000-0005-0000-0000-000078000000}"/>
    <cellStyle name="20% - Accent3 4 2 2 2 2" xfId="10745" xr:uid="{9CB1C92A-E663-4514-BBD8-C855C2EEC371}"/>
    <cellStyle name="20% - Accent3 4 2 2 3" xfId="10744" xr:uid="{E10EACF2-8177-4ABE-A3DF-E1447C990E39}"/>
    <cellStyle name="20% - Accent3 4 2 3" xfId="8312" xr:uid="{00000000-0005-0000-0000-000079000000}"/>
    <cellStyle name="20% - Accent3 4 2 3 2" xfId="8313" xr:uid="{00000000-0005-0000-0000-00007A000000}"/>
    <cellStyle name="20% - Accent3 4 2 3 2 2" xfId="10747" xr:uid="{3E1B8AA6-B3E7-4174-9FCE-F5CB28F19FC6}"/>
    <cellStyle name="20% - Accent3 4 2 3 3" xfId="10746" xr:uid="{90B03ECC-6126-47F2-9C6D-01E8685CF5A6}"/>
    <cellStyle name="20% - Accent3 4 2 4" xfId="8314" xr:uid="{00000000-0005-0000-0000-00007B000000}"/>
    <cellStyle name="20% - Accent3 4 2 4 2" xfId="10748" xr:uid="{0B890BE1-B758-4CEB-A193-14BA3A6B844C}"/>
    <cellStyle name="20% - Accent3 4 2 5" xfId="10743" xr:uid="{FD4861DA-CDB4-4309-A7C6-B9D6A60D8DAA}"/>
    <cellStyle name="20% - Accent3 4 2 6" xfId="12007" xr:uid="{DD4B4C88-79D2-4085-AAC0-F3DC4435D12A}"/>
    <cellStyle name="20% - Accent3 4 3" xfId="8315" xr:uid="{00000000-0005-0000-0000-00007C000000}"/>
    <cellStyle name="20% - Accent3 4 3 2" xfId="8316" xr:uid="{00000000-0005-0000-0000-00007D000000}"/>
    <cellStyle name="20% - Accent3 4 3 2 2" xfId="10750" xr:uid="{FAC23A3E-A2A0-41C1-A586-5634F845B71B}"/>
    <cellStyle name="20% - Accent3 4 3 3" xfId="10749" xr:uid="{586F9926-D6B2-42B9-8FCE-97A9066314B7}"/>
    <cellStyle name="20% - Accent3 4 4" xfId="8317" xr:uid="{00000000-0005-0000-0000-00007E000000}"/>
    <cellStyle name="20% - Accent3 4 4 2" xfId="8318" xr:uid="{00000000-0005-0000-0000-00007F000000}"/>
    <cellStyle name="20% - Accent3 4 4 2 2" xfId="10752" xr:uid="{9F7EF97F-39F1-468D-AF0F-32D25FE8F8EA}"/>
    <cellStyle name="20% - Accent3 4 4 3" xfId="10751" xr:uid="{72359BF9-DD4F-4A49-A6D5-EA92FF150CB4}"/>
    <cellStyle name="20% - Accent3 4 5" xfId="8319" xr:uid="{00000000-0005-0000-0000-000080000000}"/>
    <cellStyle name="20% - Accent3 4 5 2" xfId="10753" xr:uid="{79F2D0FC-3920-4961-9888-B54E0EC1288F}"/>
    <cellStyle name="20% - Accent3 4 6" xfId="10742" xr:uid="{66525502-6640-4F97-B9E3-32325E56BD89}"/>
    <cellStyle name="20% - Accent3 4 7" xfId="12006" xr:uid="{419E6F6F-05C3-4AAA-88B0-8A0460A8B9F3}"/>
    <cellStyle name="20% - Accent3 5" xfId="377" xr:uid="{00000000-0005-0000-0000-000081000000}"/>
    <cellStyle name="20% - Accent3 5 2" xfId="8320" xr:uid="{00000000-0005-0000-0000-000082000000}"/>
    <cellStyle name="20% - Accent3 5 2 2" xfId="8321" xr:uid="{00000000-0005-0000-0000-000083000000}"/>
    <cellStyle name="20% - Accent3 5 2 2 2" xfId="10756" xr:uid="{ECFF6A4D-A2A7-4E83-A7F0-E01057DECE38}"/>
    <cellStyle name="20% - Accent3 5 2 3" xfId="10755" xr:uid="{9D8EB450-D2DF-4967-BF1F-FB38CAED021D}"/>
    <cellStyle name="20% - Accent3 5 3" xfId="8322" xr:uid="{00000000-0005-0000-0000-000084000000}"/>
    <cellStyle name="20% - Accent3 5 3 2" xfId="8323" xr:uid="{00000000-0005-0000-0000-000085000000}"/>
    <cellStyle name="20% - Accent3 5 3 2 2" xfId="10758" xr:uid="{6022CC20-0ECF-4E1C-91F3-C55F1B009ACB}"/>
    <cellStyle name="20% - Accent3 5 3 3" xfId="10757" xr:uid="{557CD8F3-F3A1-4DDB-BF42-6A62480EC25D}"/>
    <cellStyle name="20% - Accent3 5 4" xfId="8324" xr:uid="{00000000-0005-0000-0000-000086000000}"/>
    <cellStyle name="20% - Accent3 5 4 2" xfId="10759" xr:uid="{5BBD76D6-4220-4F3A-9891-96412A783BB5}"/>
    <cellStyle name="20% - Accent3 5 5" xfId="10754" xr:uid="{18EB5535-8A67-4AA1-B835-7A07A3D8268E}"/>
    <cellStyle name="20% - Accent3 5 6" xfId="12008" xr:uid="{F2D3C7A4-9BB3-4C64-929A-2A48009C1D96}"/>
    <cellStyle name="20% - Accent4 2" xfId="26" xr:uid="{00000000-0005-0000-0000-000087000000}"/>
    <cellStyle name="20% - Accent4 2 2" xfId="247" xr:uid="{00000000-0005-0000-0000-000088000000}"/>
    <cellStyle name="20% - Accent4 2 2 2" xfId="8325" xr:uid="{00000000-0005-0000-0000-000089000000}"/>
    <cellStyle name="20% - Accent4 2 2 2 2" xfId="8326" xr:uid="{00000000-0005-0000-0000-00008A000000}"/>
    <cellStyle name="20% - Accent4 2 2 2 2 2" xfId="10761" xr:uid="{0071AA3B-F9BD-4453-B719-DD365554F028}"/>
    <cellStyle name="20% - Accent4 2 2 2 3" xfId="10760" xr:uid="{8BB9DD69-F2E6-4F79-B070-03371814B583}"/>
    <cellStyle name="20% - Accent4 2 2 3" xfId="8327" xr:uid="{00000000-0005-0000-0000-00008B000000}"/>
    <cellStyle name="20% - Accent4 2 2 3 2" xfId="8328" xr:uid="{00000000-0005-0000-0000-00008C000000}"/>
    <cellStyle name="20% - Accent4 2 2 3 2 2" xfId="10763" xr:uid="{4B71B9FC-461E-4831-A564-2F870A7AD2F3}"/>
    <cellStyle name="20% - Accent4 2 2 3 3" xfId="10762" xr:uid="{07969047-283F-47A2-858D-0489049AB543}"/>
    <cellStyle name="20% - Accent4 2 2 4" xfId="8329" xr:uid="{00000000-0005-0000-0000-00008D000000}"/>
    <cellStyle name="20% - Accent4 2 2 5" xfId="8330" xr:uid="{00000000-0005-0000-0000-00008E000000}"/>
    <cellStyle name="20% - Accent4 2 2 5 2" xfId="10764" xr:uid="{977CD7AC-F306-400C-B249-FA7850E0731D}"/>
    <cellStyle name="20% - Accent4 2 2 6" xfId="8177" xr:uid="{00000000-0005-0000-0000-00008F000000}"/>
    <cellStyle name="20% - Accent4 2 2 6 2" xfId="10765" xr:uid="{0A1411B5-CC7A-4054-8680-A125AB87E078}"/>
    <cellStyle name="20% - Accent4 2 3" xfId="8331" xr:uid="{00000000-0005-0000-0000-000090000000}"/>
    <cellStyle name="20% - Accent4 2 3 2" xfId="8332" xr:uid="{00000000-0005-0000-0000-000091000000}"/>
    <cellStyle name="20% - Accent4 2 3 2 2" xfId="10767" xr:uid="{AA41F6B7-8633-49B4-A68A-921EC3A51A36}"/>
    <cellStyle name="20% - Accent4 2 3 3" xfId="10766" xr:uid="{2FA178D1-EECF-4031-8FE1-7CF9137A52C9}"/>
    <cellStyle name="20% - Accent4 2 4" xfId="8333" xr:uid="{00000000-0005-0000-0000-000092000000}"/>
    <cellStyle name="20% - Accent4 2 4 2" xfId="8334" xr:uid="{00000000-0005-0000-0000-000093000000}"/>
    <cellStyle name="20% - Accent4 2 4 2 2" xfId="10769" xr:uid="{EFAF737C-359D-4E02-BFE2-2160D43C562B}"/>
    <cellStyle name="20% - Accent4 2 4 3" xfId="10768" xr:uid="{72B4B3C9-44C0-4193-86F1-A5A89B9AB9B4}"/>
    <cellStyle name="20% - Accent4 2 5" xfId="8335" xr:uid="{00000000-0005-0000-0000-000094000000}"/>
    <cellStyle name="20% - Accent4 2 5 2" xfId="8336" xr:uid="{00000000-0005-0000-0000-000095000000}"/>
    <cellStyle name="20% - Accent4 2 5 2 2" xfId="10771" xr:uid="{A3DC3BC7-1523-45E7-98FD-7E5FDF217EFA}"/>
    <cellStyle name="20% - Accent4 2 5 3" xfId="10770" xr:uid="{7572CBE4-5227-457E-9D08-F9C7674A3F4F}"/>
    <cellStyle name="20% - Accent4 2 6" xfId="8176" xr:uid="{00000000-0005-0000-0000-000096000000}"/>
    <cellStyle name="20% - Accent4 2 6 2" xfId="10772" xr:uid="{D8E37113-4565-4B99-B856-7CB4D3FE7947}"/>
    <cellStyle name="20% - Accent4 3" xfId="248" xr:uid="{00000000-0005-0000-0000-000097000000}"/>
    <cellStyle name="20% - Accent4 3 2" xfId="378" xr:uid="{00000000-0005-0000-0000-000098000000}"/>
    <cellStyle name="20% - Accent4 3 2 2" xfId="8337" xr:uid="{00000000-0005-0000-0000-000099000000}"/>
    <cellStyle name="20% - Accent4 3 2 2 2" xfId="8338" xr:uid="{00000000-0005-0000-0000-00009A000000}"/>
    <cellStyle name="20% - Accent4 3 2 2 2 2" xfId="10775" xr:uid="{7B3C4FA0-790E-4896-9FCF-22FA11D67B48}"/>
    <cellStyle name="20% - Accent4 3 2 2 3" xfId="10774" xr:uid="{7E0F9795-3EC0-484F-823A-14874F2E1A92}"/>
    <cellStyle name="20% - Accent4 3 2 3" xfId="8339" xr:uid="{00000000-0005-0000-0000-00009B000000}"/>
    <cellStyle name="20% - Accent4 3 2 3 2" xfId="8340" xr:uid="{00000000-0005-0000-0000-00009C000000}"/>
    <cellStyle name="20% - Accent4 3 2 3 2 2" xfId="10777" xr:uid="{F3D80137-B801-4803-A076-AE38B05066E3}"/>
    <cellStyle name="20% - Accent4 3 2 3 3" xfId="10776" xr:uid="{4077EFA1-CF24-4C00-8FB2-EAD48B1D90A8}"/>
    <cellStyle name="20% - Accent4 3 2 4" xfId="8341" xr:uid="{00000000-0005-0000-0000-00009D000000}"/>
    <cellStyle name="20% - Accent4 3 2 4 2" xfId="10778" xr:uid="{19A08BB7-338E-4EF8-B153-2C2A79B51372}"/>
    <cellStyle name="20% - Accent4 3 2 5" xfId="10773" xr:uid="{F622042A-C2AA-43A1-ABF1-1FE99DEA0338}"/>
    <cellStyle name="20% - Accent4 3 2 6" xfId="12009" xr:uid="{02EAD08B-3285-43C0-BAC4-29C00ED0C497}"/>
    <cellStyle name="20% - Accent4 3 3" xfId="8342" xr:uid="{00000000-0005-0000-0000-00009E000000}"/>
    <cellStyle name="20% - Accent4 3 3 2" xfId="8343" xr:uid="{00000000-0005-0000-0000-00009F000000}"/>
    <cellStyle name="20% - Accent4 3 3 2 2" xfId="10780" xr:uid="{3F1CFDBD-F9CC-4AED-8B26-0409D01C07A6}"/>
    <cellStyle name="20% - Accent4 3 3 3" xfId="10779" xr:uid="{C9144ED4-375D-405A-8DE8-AC280CD997E0}"/>
    <cellStyle name="20% - Accent4 3 3 4" xfId="11910" xr:uid="{38BF5D58-A712-4094-974A-34EEEEFA96AA}"/>
    <cellStyle name="20% - Accent4 3 4" xfId="8344" xr:uid="{00000000-0005-0000-0000-0000A0000000}"/>
    <cellStyle name="20% - Accent4 3 4 2" xfId="8345" xr:uid="{00000000-0005-0000-0000-0000A1000000}"/>
    <cellStyle name="20% - Accent4 3 4 2 2" xfId="10782" xr:uid="{BF3CB210-4795-453E-9E3A-1EBE57FBA270}"/>
    <cellStyle name="20% - Accent4 3 4 3" xfId="10781" xr:uid="{19560714-5C10-417A-A925-EB8FD21279AC}"/>
    <cellStyle name="20% - Accent4 3 5" xfId="8346" xr:uid="{00000000-0005-0000-0000-0000A2000000}"/>
    <cellStyle name="20% - Accent4 3 5 2" xfId="10783" xr:uid="{5D092DFE-9807-4881-8999-4C858B5FAAC9}"/>
    <cellStyle name="20% - Accent4 3 6" xfId="10406" xr:uid="{4E6FCB9F-2665-4B5E-8649-F8B6C80ADE21}"/>
    <cellStyle name="20% - Accent4 4" xfId="379" xr:uid="{00000000-0005-0000-0000-0000A3000000}"/>
    <cellStyle name="20% - Accent4 4 2" xfId="380" xr:uid="{00000000-0005-0000-0000-0000A4000000}"/>
    <cellStyle name="20% - Accent4 4 2 2" xfId="8347" xr:uid="{00000000-0005-0000-0000-0000A5000000}"/>
    <cellStyle name="20% - Accent4 4 2 2 2" xfId="8348" xr:uid="{00000000-0005-0000-0000-0000A6000000}"/>
    <cellStyle name="20% - Accent4 4 2 2 2 2" xfId="10787" xr:uid="{185E8ABF-B693-440E-935D-0F2D658A0B75}"/>
    <cellStyle name="20% - Accent4 4 2 2 3" xfId="10786" xr:uid="{A81D9AC2-A38B-472D-91DA-DF986BABAA38}"/>
    <cellStyle name="20% - Accent4 4 2 3" xfId="8349" xr:uid="{00000000-0005-0000-0000-0000A7000000}"/>
    <cellStyle name="20% - Accent4 4 2 3 2" xfId="8350" xr:uid="{00000000-0005-0000-0000-0000A8000000}"/>
    <cellStyle name="20% - Accent4 4 2 3 2 2" xfId="10789" xr:uid="{BDBA4344-A1E9-412C-94F4-EABAEA1F158B}"/>
    <cellStyle name="20% - Accent4 4 2 3 3" xfId="10788" xr:uid="{161F00E8-D267-4F5D-9508-A521F85E31B3}"/>
    <cellStyle name="20% - Accent4 4 2 4" xfId="8351" xr:uid="{00000000-0005-0000-0000-0000A9000000}"/>
    <cellStyle name="20% - Accent4 4 2 4 2" xfId="10790" xr:uid="{94E6D488-6AA3-4A81-A95A-0BD8BB63C912}"/>
    <cellStyle name="20% - Accent4 4 2 5" xfId="10785" xr:uid="{D1C464A4-4B1C-4BCB-83F0-838FD9CC69AE}"/>
    <cellStyle name="20% - Accent4 4 2 6" xfId="12011" xr:uid="{5B803FEE-CD44-447C-AE48-7B6EF3864CC3}"/>
    <cellStyle name="20% - Accent4 4 3" xfId="8352" xr:uid="{00000000-0005-0000-0000-0000AA000000}"/>
    <cellStyle name="20% - Accent4 4 3 2" xfId="8353" xr:uid="{00000000-0005-0000-0000-0000AB000000}"/>
    <cellStyle name="20% - Accent4 4 3 2 2" xfId="10792" xr:uid="{BD13DB40-3787-4B3D-96BB-DE3EEBD27D91}"/>
    <cellStyle name="20% - Accent4 4 3 3" xfId="10791" xr:uid="{FF6644E5-178C-4DB6-9537-E5E4B815010D}"/>
    <cellStyle name="20% - Accent4 4 4" xfId="8354" xr:uid="{00000000-0005-0000-0000-0000AC000000}"/>
    <cellStyle name="20% - Accent4 4 4 2" xfId="8355" xr:uid="{00000000-0005-0000-0000-0000AD000000}"/>
    <cellStyle name="20% - Accent4 4 4 2 2" xfId="10794" xr:uid="{104FC4DF-9BDA-4065-BB76-9D7CC437E424}"/>
    <cellStyle name="20% - Accent4 4 4 3" xfId="10793" xr:uid="{CA039E07-7E52-4E61-BEE1-A2163B428839}"/>
    <cellStyle name="20% - Accent4 4 5" xfId="8356" xr:uid="{00000000-0005-0000-0000-0000AE000000}"/>
    <cellStyle name="20% - Accent4 4 5 2" xfId="10795" xr:uid="{7D9850E9-558F-4793-881D-93D2E3FE1058}"/>
    <cellStyle name="20% - Accent4 4 6" xfId="10784" xr:uid="{77BE2C9B-EAF6-4BDA-B570-6A2F4EE077CC}"/>
    <cellStyle name="20% - Accent4 4 7" xfId="12010" xr:uid="{79BCDE85-62F7-41DA-B2E4-53CDE92B18D5}"/>
    <cellStyle name="20% - Accent4 5" xfId="381" xr:uid="{00000000-0005-0000-0000-0000AF000000}"/>
    <cellStyle name="20% - Accent4 5 2" xfId="8357" xr:uid="{00000000-0005-0000-0000-0000B0000000}"/>
    <cellStyle name="20% - Accent4 5 2 2" xfId="8358" xr:uid="{00000000-0005-0000-0000-0000B1000000}"/>
    <cellStyle name="20% - Accent4 5 2 2 2" xfId="10798" xr:uid="{2E4D6C12-49C0-4B15-8345-5A9F811E31C6}"/>
    <cellStyle name="20% - Accent4 5 2 3" xfId="10797" xr:uid="{1BD2A1E1-DD29-4F38-9175-6C55226D1450}"/>
    <cellStyle name="20% - Accent4 5 3" xfId="8359" xr:uid="{00000000-0005-0000-0000-0000B2000000}"/>
    <cellStyle name="20% - Accent4 5 3 2" xfId="8360" xr:uid="{00000000-0005-0000-0000-0000B3000000}"/>
    <cellStyle name="20% - Accent4 5 3 2 2" xfId="10800" xr:uid="{5FBE1308-9ED1-4F9E-B0BA-5EFED25C9BB5}"/>
    <cellStyle name="20% - Accent4 5 3 3" xfId="10799" xr:uid="{DDFFA293-37AC-4124-8B87-ED69D10200DF}"/>
    <cellStyle name="20% - Accent4 5 4" xfId="8361" xr:uid="{00000000-0005-0000-0000-0000B4000000}"/>
    <cellStyle name="20% - Accent4 5 4 2" xfId="10801" xr:uid="{99CA8A06-2E63-4ADC-907F-BBB1C6A63C1E}"/>
    <cellStyle name="20% - Accent4 5 5" xfId="10796" xr:uid="{F355A1C2-3D29-458A-A616-FD0D9A98BD55}"/>
    <cellStyle name="20% - Accent4 5 6" xfId="12012" xr:uid="{DD61211A-7682-40D3-B217-0A5A49A9293F}"/>
    <cellStyle name="20% - Accent5 2" xfId="27" xr:uid="{00000000-0005-0000-0000-0000B5000000}"/>
    <cellStyle name="20% - Accent5 2 2" xfId="382" xr:uid="{00000000-0005-0000-0000-0000B6000000}"/>
    <cellStyle name="20% - Accent5 2 2 2" xfId="8362" xr:uid="{00000000-0005-0000-0000-0000B7000000}"/>
    <cellStyle name="20% - Accent5 2 2 2 2" xfId="8363" xr:uid="{00000000-0005-0000-0000-0000B8000000}"/>
    <cellStyle name="20% - Accent5 2 2 2 2 2" xfId="10804" xr:uid="{4A9F4732-B975-4050-8348-0F59933BE879}"/>
    <cellStyle name="20% - Accent5 2 2 2 3" xfId="10803" xr:uid="{1F94E848-AA99-4BBF-9031-55FDFDCEAC3E}"/>
    <cellStyle name="20% - Accent5 2 2 3" xfId="8364" xr:uid="{00000000-0005-0000-0000-0000B9000000}"/>
    <cellStyle name="20% - Accent5 2 2 3 2" xfId="8365" xr:uid="{00000000-0005-0000-0000-0000BA000000}"/>
    <cellStyle name="20% - Accent5 2 2 3 2 2" xfId="10806" xr:uid="{84A6F0BF-69C6-4180-ACF9-E622D345B089}"/>
    <cellStyle name="20% - Accent5 2 2 3 3" xfId="10805" xr:uid="{572ACED8-73C5-4A22-91CE-7924D6C3096D}"/>
    <cellStyle name="20% - Accent5 2 2 4" xfId="8366" xr:uid="{00000000-0005-0000-0000-0000BB000000}"/>
    <cellStyle name="20% - Accent5 2 2 4 2" xfId="10807" xr:uid="{79B48238-D543-468E-AC37-BF87383345F1}"/>
    <cellStyle name="20% - Accent5 2 2 5" xfId="10802" xr:uid="{EE19EED1-D97C-4962-BE78-5A3A1BB1B6B7}"/>
    <cellStyle name="20% - Accent5 2 2 6" xfId="12013" xr:uid="{BE5E44FC-D38F-4642-B136-FA3DEBF72F4E}"/>
    <cellStyle name="20% - Accent5 2 3" xfId="8367" xr:uid="{00000000-0005-0000-0000-0000BC000000}"/>
    <cellStyle name="20% - Accent5 2 3 2" xfId="8368" xr:uid="{00000000-0005-0000-0000-0000BD000000}"/>
    <cellStyle name="20% - Accent5 2 3 2 2" xfId="10808" xr:uid="{25DA4450-122A-44DA-8DFF-CF1AB8F7A1AF}"/>
    <cellStyle name="20% - Accent5 2 3 3" xfId="9463" xr:uid="{8E946301-6E3F-4E48-89BC-6AC399772037}"/>
    <cellStyle name="20% - Accent5 2 3 3 2" xfId="10809" xr:uid="{2170132D-63ED-40B2-95AF-92596FE78BE4}"/>
    <cellStyle name="20% - Accent5 2 3 4" xfId="9462" xr:uid="{32F95FB0-64DA-4947-82CA-53639B05ECC0}"/>
    <cellStyle name="20% - Accent5 2 4" xfId="8369" xr:uid="{00000000-0005-0000-0000-0000BE000000}"/>
    <cellStyle name="20% - Accent5 2 4 2" xfId="8370" xr:uid="{00000000-0005-0000-0000-0000BF000000}"/>
    <cellStyle name="20% - Accent5 2 4 2 2" xfId="10811" xr:uid="{6F5E5D6F-94E7-42A2-A399-40793EEFC91E}"/>
    <cellStyle name="20% - Accent5 2 4 3" xfId="10810" xr:uid="{B7F2061D-7976-47BB-A1FD-F95C1A7D1EE5}"/>
    <cellStyle name="20% - Accent5 2 5" xfId="8371" xr:uid="{00000000-0005-0000-0000-0000C0000000}"/>
    <cellStyle name="20% - Accent5 2 5 2" xfId="8372" xr:uid="{00000000-0005-0000-0000-0000C1000000}"/>
    <cellStyle name="20% - Accent5 2 5 2 2" xfId="10813" xr:uid="{36C00F13-EC7F-4CFA-A4C7-5F3B7071729A}"/>
    <cellStyle name="20% - Accent5 2 5 3" xfId="10812" xr:uid="{6BE0B87F-1307-408B-AB6A-98D30AEEF2C3}"/>
    <cellStyle name="20% - Accent5 2 6" xfId="9175" xr:uid="{027CF760-D60E-44BA-A608-1836D1649F1F}"/>
    <cellStyle name="20% - Accent5 3" xfId="249" xr:uid="{00000000-0005-0000-0000-0000C2000000}"/>
    <cellStyle name="20% - Accent5 3 2" xfId="383" xr:uid="{00000000-0005-0000-0000-0000C3000000}"/>
    <cellStyle name="20% - Accent5 3 2 2" xfId="8373" xr:uid="{00000000-0005-0000-0000-0000C4000000}"/>
    <cellStyle name="20% - Accent5 3 2 2 2" xfId="8374" xr:uid="{00000000-0005-0000-0000-0000C5000000}"/>
    <cellStyle name="20% - Accent5 3 2 2 2 2" xfId="10816" xr:uid="{3A630F8A-431B-42CA-96AE-5516DCEC2620}"/>
    <cellStyle name="20% - Accent5 3 2 2 3" xfId="10815" xr:uid="{DBF01C6B-BDA8-43FE-AC47-969FCBD01956}"/>
    <cellStyle name="20% - Accent5 3 2 3" xfId="8375" xr:uid="{00000000-0005-0000-0000-0000C6000000}"/>
    <cellStyle name="20% - Accent5 3 2 3 2" xfId="8376" xr:uid="{00000000-0005-0000-0000-0000C7000000}"/>
    <cellStyle name="20% - Accent5 3 2 3 2 2" xfId="10818" xr:uid="{03B9F7F6-0B58-462B-93D3-86EDCC28847E}"/>
    <cellStyle name="20% - Accent5 3 2 3 3" xfId="10817" xr:uid="{D10583A9-26EA-49BC-98BA-8BD207119CBE}"/>
    <cellStyle name="20% - Accent5 3 2 4" xfId="8377" xr:uid="{00000000-0005-0000-0000-0000C8000000}"/>
    <cellStyle name="20% - Accent5 3 2 4 2" xfId="10819" xr:uid="{BA0E194F-B0A9-4A5E-BB0A-0063CCA0B75B}"/>
    <cellStyle name="20% - Accent5 3 2 5" xfId="10814" xr:uid="{549C44EB-1FDA-4C77-AFDE-C9AF7E7F61E0}"/>
    <cellStyle name="20% - Accent5 3 2 6" xfId="12014" xr:uid="{F25749E7-0CDA-42A0-87CB-0F39C027275C}"/>
    <cellStyle name="20% - Accent5 3 3" xfId="8378" xr:uid="{00000000-0005-0000-0000-0000C9000000}"/>
    <cellStyle name="20% - Accent5 3 3 2" xfId="8379" xr:uid="{00000000-0005-0000-0000-0000CA000000}"/>
    <cellStyle name="20% - Accent5 3 3 2 2" xfId="10821" xr:uid="{B055C85F-3DCD-400B-90B2-9CEA19DDE26D}"/>
    <cellStyle name="20% - Accent5 3 3 3" xfId="10820" xr:uid="{62006CE0-BA0B-405E-9C7B-52D991C0CEFF}"/>
    <cellStyle name="20% - Accent5 3 3 4" xfId="11911" xr:uid="{00B9A3DA-3679-4811-A642-19333174AA5E}"/>
    <cellStyle name="20% - Accent5 3 4" xfId="8380" xr:uid="{00000000-0005-0000-0000-0000CB000000}"/>
    <cellStyle name="20% - Accent5 3 4 2" xfId="8381" xr:uid="{00000000-0005-0000-0000-0000CC000000}"/>
    <cellStyle name="20% - Accent5 3 4 2 2" xfId="10823" xr:uid="{4F56A952-D488-42E8-8205-EFC5AC6DAC55}"/>
    <cellStyle name="20% - Accent5 3 4 3" xfId="10822" xr:uid="{38687FC1-79F7-4AE9-AE50-57ACC5F843C8}"/>
    <cellStyle name="20% - Accent5 3 5" xfId="8382" xr:uid="{00000000-0005-0000-0000-0000CD000000}"/>
    <cellStyle name="20% - Accent5 3 5 2" xfId="10824" xr:uid="{DEE2483A-6AD0-49B8-BD00-C7397F78E33B}"/>
    <cellStyle name="20% - Accent5 3 6" xfId="10407" xr:uid="{A7832CDC-7757-4AA8-9810-712000EE654C}"/>
    <cellStyle name="20% - Accent5 4" xfId="384" xr:uid="{00000000-0005-0000-0000-0000CE000000}"/>
    <cellStyle name="20% - Accent5 4 2" xfId="385" xr:uid="{00000000-0005-0000-0000-0000CF000000}"/>
    <cellStyle name="20% - Accent5 4 2 2" xfId="8383" xr:uid="{00000000-0005-0000-0000-0000D0000000}"/>
    <cellStyle name="20% - Accent5 4 2 2 2" xfId="8384" xr:uid="{00000000-0005-0000-0000-0000D1000000}"/>
    <cellStyle name="20% - Accent5 4 2 2 2 2" xfId="10828" xr:uid="{D7A784A4-6015-4AB1-900A-3FAFC571E945}"/>
    <cellStyle name="20% - Accent5 4 2 2 3" xfId="10827" xr:uid="{2F8C5FBA-4F76-427F-AD17-F5E1CDCAC693}"/>
    <cellStyle name="20% - Accent5 4 2 3" xfId="8385" xr:uid="{00000000-0005-0000-0000-0000D2000000}"/>
    <cellStyle name="20% - Accent5 4 2 3 2" xfId="8386" xr:uid="{00000000-0005-0000-0000-0000D3000000}"/>
    <cellStyle name="20% - Accent5 4 2 3 2 2" xfId="10830" xr:uid="{F5B2075F-B29C-4197-9001-69F088745C49}"/>
    <cellStyle name="20% - Accent5 4 2 3 3" xfId="10829" xr:uid="{AE92BC64-BF7A-4DB5-A64C-EAC4A8AD45DB}"/>
    <cellStyle name="20% - Accent5 4 2 4" xfId="8387" xr:uid="{00000000-0005-0000-0000-0000D4000000}"/>
    <cellStyle name="20% - Accent5 4 2 4 2" xfId="10831" xr:uid="{F25CA9F9-7E28-45F4-AC2F-1BAF0CE58106}"/>
    <cellStyle name="20% - Accent5 4 2 5" xfId="10826" xr:uid="{CFBF41C9-8980-4C40-A5C5-0F987B8CC128}"/>
    <cellStyle name="20% - Accent5 4 2 6" xfId="12016" xr:uid="{0CD514A2-346D-470D-8DCD-C2131C0B80C6}"/>
    <cellStyle name="20% - Accent5 4 3" xfId="8388" xr:uid="{00000000-0005-0000-0000-0000D5000000}"/>
    <cellStyle name="20% - Accent5 4 3 2" xfId="8389" xr:uid="{00000000-0005-0000-0000-0000D6000000}"/>
    <cellStyle name="20% - Accent5 4 3 2 2" xfId="10833" xr:uid="{BA0EC99E-C538-47BD-B583-ECB600832A92}"/>
    <cellStyle name="20% - Accent5 4 3 3" xfId="10832" xr:uid="{63F8CA93-BAE9-4516-801E-55B509468E11}"/>
    <cellStyle name="20% - Accent5 4 4" xfId="8390" xr:uid="{00000000-0005-0000-0000-0000D7000000}"/>
    <cellStyle name="20% - Accent5 4 4 2" xfId="8391" xr:uid="{00000000-0005-0000-0000-0000D8000000}"/>
    <cellStyle name="20% - Accent5 4 4 2 2" xfId="10835" xr:uid="{849AC1B4-2B90-4EA7-B973-881DDEE1290C}"/>
    <cellStyle name="20% - Accent5 4 4 3" xfId="10834" xr:uid="{7F870575-28EE-40A7-B358-35040C9B0DDE}"/>
    <cellStyle name="20% - Accent5 4 5" xfId="8392" xr:uid="{00000000-0005-0000-0000-0000D9000000}"/>
    <cellStyle name="20% - Accent5 4 5 2" xfId="10836" xr:uid="{874D1F40-6F01-413B-825C-AFED2B319431}"/>
    <cellStyle name="20% - Accent5 4 6" xfId="10825" xr:uid="{E9FED6FE-81AF-41EC-BB79-7B5562F0D4D6}"/>
    <cellStyle name="20% - Accent5 4 7" xfId="12015" xr:uid="{ED6C0AB5-7B75-4268-ABDD-65A840C578B8}"/>
    <cellStyle name="20% - Accent5 5" xfId="386" xr:uid="{00000000-0005-0000-0000-0000DA000000}"/>
    <cellStyle name="20% - Accent5 5 2" xfId="8393" xr:uid="{00000000-0005-0000-0000-0000DB000000}"/>
    <cellStyle name="20% - Accent5 5 2 2" xfId="8394" xr:uid="{00000000-0005-0000-0000-0000DC000000}"/>
    <cellStyle name="20% - Accent5 5 2 2 2" xfId="10839" xr:uid="{D582CDB2-49D6-4AAF-8D18-BB5E0610C411}"/>
    <cellStyle name="20% - Accent5 5 2 3" xfId="10838" xr:uid="{4D710DD5-CA11-431F-8D42-72FAFB202F2A}"/>
    <cellStyle name="20% - Accent5 5 3" xfId="8395" xr:uid="{00000000-0005-0000-0000-0000DD000000}"/>
    <cellStyle name="20% - Accent5 5 3 2" xfId="8396" xr:uid="{00000000-0005-0000-0000-0000DE000000}"/>
    <cellStyle name="20% - Accent5 5 3 2 2" xfId="10841" xr:uid="{A053DEC0-53BF-4142-B9CE-B202AA470257}"/>
    <cellStyle name="20% - Accent5 5 3 3" xfId="10840" xr:uid="{7A29BEF0-0358-4C82-9862-4A336632A2D9}"/>
    <cellStyle name="20% - Accent5 5 4" xfId="8397" xr:uid="{00000000-0005-0000-0000-0000DF000000}"/>
    <cellStyle name="20% - Accent5 5 4 2" xfId="10842" xr:uid="{45D0FFAF-9DD4-42C9-A403-25DF7BBE1ED6}"/>
    <cellStyle name="20% - Accent5 5 5" xfId="10837" xr:uid="{12FA17CB-2AC3-4497-A828-A13426F6B517}"/>
    <cellStyle name="20% - Accent5 5 6" xfId="12017" xr:uid="{2D1AC25A-7558-45BC-9CD6-86CD1F508B04}"/>
    <cellStyle name="20% - Accent6 2" xfId="28" xr:uid="{00000000-0005-0000-0000-0000E0000000}"/>
    <cellStyle name="20% - Accent6 2 2" xfId="387" xr:uid="{00000000-0005-0000-0000-0000E1000000}"/>
    <cellStyle name="20% - Accent6 2 2 2" xfId="8398" xr:uid="{00000000-0005-0000-0000-0000E2000000}"/>
    <cellStyle name="20% - Accent6 2 2 2 2" xfId="8399" xr:uid="{00000000-0005-0000-0000-0000E3000000}"/>
    <cellStyle name="20% - Accent6 2 2 2 2 2" xfId="10845" xr:uid="{EA94182D-2C34-47F7-A86F-5DB69A1E3D4F}"/>
    <cellStyle name="20% - Accent6 2 2 2 3" xfId="10844" xr:uid="{CF9081F8-521B-43FD-8165-99FB93241A1D}"/>
    <cellStyle name="20% - Accent6 2 2 3" xfId="8400" xr:uid="{00000000-0005-0000-0000-0000E4000000}"/>
    <cellStyle name="20% - Accent6 2 2 3 2" xfId="8401" xr:uid="{00000000-0005-0000-0000-0000E5000000}"/>
    <cellStyle name="20% - Accent6 2 2 3 2 2" xfId="10847" xr:uid="{677AE1B7-295A-40AF-973A-24C36833E6A3}"/>
    <cellStyle name="20% - Accent6 2 2 3 3" xfId="10846" xr:uid="{F6325C62-46FD-4751-B127-F7B97BF43844}"/>
    <cellStyle name="20% - Accent6 2 2 4" xfId="8402" xr:uid="{00000000-0005-0000-0000-0000E6000000}"/>
    <cellStyle name="20% - Accent6 2 2 4 2" xfId="10848" xr:uid="{5BB7F661-8B01-4B12-A523-55B9C5D0B190}"/>
    <cellStyle name="20% - Accent6 2 2 5" xfId="10843" xr:uid="{6FB24255-9AE7-4BFE-ABA2-2893272B4D94}"/>
    <cellStyle name="20% - Accent6 2 2 6" xfId="12018" xr:uid="{92196B72-1945-48FF-AE3B-0F2184AF32A3}"/>
    <cellStyle name="20% - Accent6 2 3" xfId="8403" xr:uid="{00000000-0005-0000-0000-0000E7000000}"/>
    <cellStyle name="20% - Accent6 2 3 2" xfId="8404" xr:uid="{00000000-0005-0000-0000-0000E8000000}"/>
    <cellStyle name="20% - Accent6 2 3 2 2" xfId="10850" xr:uid="{7391E50D-6F6D-4263-8F7B-FC502DAE6105}"/>
    <cellStyle name="20% - Accent6 2 3 3" xfId="10849" xr:uid="{A7511B82-5FAB-47F3-97D2-F3B2F0D243C7}"/>
    <cellStyle name="20% - Accent6 2 4" xfId="8405" xr:uid="{00000000-0005-0000-0000-0000E9000000}"/>
    <cellStyle name="20% - Accent6 2 4 2" xfId="8406" xr:uid="{00000000-0005-0000-0000-0000EA000000}"/>
    <cellStyle name="20% - Accent6 2 4 2 2" xfId="10852" xr:uid="{81CF707B-F272-430A-930F-4C5A3C6A6751}"/>
    <cellStyle name="20% - Accent6 2 4 3" xfId="10851" xr:uid="{8C8D3A2A-C986-4009-A63D-A985332B8120}"/>
    <cellStyle name="20% - Accent6 2 5" xfId="8407" xr:uid="{00000000-0005-0000-0000-0000EB000000}"/>
    <cellStyle name="20% - Accent6 2 5 2" xfId="8408" xr:uid="{00000000-0005-0000-0000-0000EC000000}"/>
    <cellStyle name="20% - Accent6 2 5 2 2" xfId="10854" xr:uid="{378D5EAD-C318-4C06-A23F-0087EAF18EE2}"/>
    <cellStyle name="20% - Accent6 2 5 3" xfId="10853" xr:uid="{4675DBFC-8AC9-412C-A05A-142682BFF8E2}"/>
    <cellStyle name="20% - Accent6 3" xfId="250" xr:uid="{00000000-0005-0000-0000-0000ED000000}"/>
    <cellStyle name="20% - Accent6 3 2" xfId="388" xr:uid="{00000000-0005-0000-0000-0000EE000000}"/>
    <cellStyle name="20% - Accent6 3 2 2" xfId="8409" xr:uid="{00000000-0005-0000-0000-0000EF000000}"/>
    <cellStyle name="20% - Accent6 3 2 2 2" xfId="8410" xr:uid="{00000000-0005-0000-0000-0000F0000000}"/>
    <cellStyle name="20% - Accent6 3 2 2 2 2" xfId="10857" xr:uid="{2ABE7AAD-3597-49DB-8DD6-D2FDB121C7BE}"/>
    <cellStyle name="20% - Accent6 3 2 2 3" xfId="10856" xr:uid="{676A07B5-1429-417E-9F35-11AE6E153030}"/>
    <cellStyle name="20% - Accent6 3 2 3" xfId="8411" xr:uid="{00000000-0005-0000-0000-0000F1000000}"/>
    <cellStyle name="20% - Accent6 3 2 3 2" xfId="8412" xr:uid="{00000000-0005-0000-0000-0000F2000000}"/>
    <cellStyle name="20% - Accent6 3 2 3 2 2" xfId="10859" xr:uid="{793BEFAD-9645-41AB-AE5E-CEFBB2E92D73}"/>
    <cellStyle name="20% - Accent6 3 2 3 3" xfId="10858" xr:uid="{732268B9-A4AB-43CA-A300-3DE5BD0DE3A2}"/>
    <cellStyle name="20% - Accent6 3 2 4" xfId="8413" xr:uid="{00000000-0005-0000-0000-0000F3000000}"/>
    <cellStyle name="20% - Accent6 3 2 4 2" xfId="10860" xr:uid="{A6E27DE2-B16B-439C-BE26-93D20B3E3D42}"/>
    <cellStyle name="20% - Accent6 3 2 5" xfId="10855" xr:uid="{AB8B6635-B404-4F48-8A33-8EF4D2F595DA}"/>
    <cellStyle name="20% - Accent6 3 2 6" xfId="12019" xr:uid="{A78B48AD-FD90-4CD3-9A11-82574F842DE5}"/>
    <cellStyle name="20% - Accent6 3 3" xfId="8414" xr:uid="{00000000-0005-0000-0000-0000F4000000}"/>
    <cellStyle name="20% - Accent6 3 3 2" xfId="8415" xr:uid="{00000000-0005-0000-0000-0000F5000000}"/>
    <cellStyle name="20% - Accent6 3 3 2 2" xfId="10862" xr:uid="{383678C0-891D-45A5-B261-37831F87B188}"/>
    <cellStyle name="20% - Accent6 3 3 3" xfId="10861" xr:uid="{8DAC82D2-7ED2-4C74-883C-32FDB4F359A4}"/>
    <cellStyle name="20% - Accent6 3 3 4" xfId="11912" xr:uid="{8EFD861C-25CB-4239-B75F-15B9A143FB05}"/>
    <cellStyle name="20% - Accent6 3 4" xfId="8416" xr:uid="{00000000-0005-0000-0000-0000F6000000}"/>
    <cellStyle name="20% - Accent6 3 4 2" xfId="8417" xr:uid="{00000000-0005-0000-0000-0000F7000000}"/>
    <cellStyle name="20% - Accent6 3 4 2 2" xfId="10864" xr:uid="{7F48475A-FF88-4285-844C-DD0B97D9D817}"/>
    <cellStyle name="20% - Accent6 3 4 3" xfId="10863" xr:uid="{F1928178-41B8-486E-A1ED-C243798569EB}"/>
    <cellStyle name="20% - Accent6 3 5" xfId="8418" xr:uid="{00000000-0005-0000-0000-0000F8000000}"/>
    <cellStyle name="20% - Accent6 3 5 2" xfId="10865" xr:uid="{D1962D32-DF91-4CF5-A9E5-0BDAB83CF492}"/>
    <cellStyle name="20% - Accent6 3 6" xfId="10408" xr:uid="{80A7784F-6891-437D-ACB5-3CEDB1B33A8A}"/>
    <cellStyle name="20% - Accent6 4" xfId="389" xr:uid="{00000000-0005-0000-0000-0000F9000000}"/>
    <cellStyle name="20% - Accent6 4 2" xfId="390" xr:uid="{00000000-0005-0000-0000-0000FA000000}"/>
    <cellStyle name="20% - Accent6 4 2 2" xfId="8419" xr:uid="{00000000-0005-0000-0000-0000FB000000}"/>
    <cellStyle name="20% - Accent6 4 2 2 2" xfId="8420" xr:uid="{00000000-0005-0000-0000-0000FC000000}"/>
    <cellStyle name="20% - Accent6 4 2 2 2 2" xfId="10869" xr:uid="{5D05325B-AC2C-452D-8FB5-9C521ACD2EA5}"/>
    <cellStyle name="20% - Accent6 4 2 2 3" xfId="10868" xr:uid="{FC3A2D97-1AE7-462B-BBE2-AFE9D737B377}"/>
    <cellStyle name="20% - Accent6 4 2 3" xfId="8421" xr:uid="{00000000-0005-0000-0000-0000FD000000}"/>
    <cellStyle name="20% - Accent6 4 2 3 2" xfId="8422" xr:uid="{00000000-0005-0000-0000-0000FE000000}"/>
    <cellStyle name="20% - Accent6 4 2 3 2 2" xfId="10871" xr:uid="{5C60D760-51C1-499A-B620-6C5038E1FC6F}"/>
    <cellStyle name="20% - Accent6 4 2 3 3" xfId="10870" xr:uid="{EB5735FE-0533-4798-86D6-41680196D43A}"/>
    <cellStyle name="20% - Accent6 4 2 4" xfId="8423" xr:uid="{00000000-0005-0000-0000-0000FF000000}"/>
    <cellStyle name="20% - Accent6 4 2 4 2" xfId="10872" xr:uid="{5A1E356E-A1DE-43DB-AD94-907DADA47227}"/>
    <cellStyle name="20% - Accent6 4 2 5" xfId="10867" xr:uid="{9946EC09-224F-46CA-B4A7-9B7F31ED19D5}"/>
    <cellStyle name="20% - Accent6 4 2 6" xfId="12021" xr:uid="{913EAD4E-5973-4C22-BA05-D791BD5E7BF1}"/>
    <cellStyle name="20% - Accent6 4 3" xfId="8424" xr:uid="{00000000-0005-0000-0000-000000010000}"/>
    <cellStyle name="20% - Accent6 4 3 2" xfId="8425" xr:uid="{00000000-0005-0000-0000-000001010000}"/>
    <cellStyle name="20% - Accent6 4 3 2 2" xfId="10874" xr:uid="{A4D54254-3798-4A79-A666-DE9514038C9E}"/>
    <cellStyle name="20% - Accent6 4 3 3" xfId="10873" xr:uid="{C3FB8AF6-740B-47A2-BCD1-E717EA740003}"/>
    <cellStyle name="20% - Accent6 4 4" xfId="8426" xr:uid="{00000000-0005-0000-0000-000002010000}"/>
    <cellStyle name="20% - Accent6 4 4 2" xfId="8427" xr:uid="{00000000-0005-0000-0000-000003010000}"/>
    <cellStyle name="20% - Accent6 4 4 2 2" xfId="10876" xr:uid="{3303F13F-090B-488B-A8B4-D6F2F6ACC4B4}"/>
    <cellStyle name="20% - Accent6 4 4 3" xfId="10875" xr:uid="{6F838CA8-1BD7-428C-B396-72561962B3F4}"/>
    <cellStyle name="20% - Accent6 4 5" xfId="8428" xr:uid="{00000000-0005-0000-0000-000004010000}"/>
    <cellStyle name="20% - Accent6 4 5 2" xfId="10877" xr:uid="{03806436-3A2C-4684-8D09-E9594A9EC670}"/>
    <cellStyle name="20% - Accent6 4 6" xfId="10866" xr:uid="{277748AB-FFC7-41F7-9E71-8D4B9A7AD5E4}"/>
    <cellStyle name="20% - Accent6 4 7" xfId="12020" xr:uid="{453D18D6-5691-4B95-8D90-A268847E8484}"/>
    <cellStyle name="20% - Accent6 5" xfId="391" xr:uid="{00000000-0005-0000-0000-000005010000}"/>
    <cellStyle name="20% - Accent6 5 2" xfId="8429" xr:uid="{00000000-0005-0000-0000-000006010000}"/>
    <cellStyle name="20% - Accent6 5 2 2" xfId="8430" xr:uid="{00000000-0005-0000-0000-000007010000}"/>
    <cellStyle name="20% - Accent6 5 2 2 2" xfId="10880" xr:uid="{855BEF29-C1A7-4890-ADFD-95800588D38A}"/>
    <cellStyle name="20% - Accent6 5 2 3" xfId="10879" xr:uid="{44DF3BE0-6277-4062-819E-455384C0B327}"/>
    <cellStyle name="20% - Accent6 5 3" xfId="8431" xr:uid="{00000000-0005-0000-0000-000008010000}"/>
    <cellStyle name="20% - Accent6 5 3 2" xfId="8432" xr:uid="{00000000-0005-0000-0000-000009010000}"/>
    <cellStyle name="20% - Accent6 5 3 2 2" xfId="10882" xr:uid="{004B2069-15CA-4A45-97D9-78B4F6A3E334}"/>
    <cellStyle name="20% - Accent6 5 3 3" xfId="10881" xr:uid="{0279EA7B-EF43-4446-A02F-3164E25BFA0F}"/>
    <cellStyle name="20% - Accent6 5 4" xfId="8433" xr:uid="{00000000-0005-0000-0000-00000A010000}"/>
    <cellStyle name="20% - Accent6 5 4 2" xfId="10883" xr:uid="{7984E380-0B05-4AA2-BE29-251777D19519}"/>
    <cellStyle name="20% - Accent6 5 5" xfId="10878" xr:uid="{16398AB9-7F7B-4894-9B92-F009785512B3}"/>
    <cellStyle name="20% - Accent6 5 6" xfId="12022" xr:uid="{F8C01A46-B0E9-484E-9085-03E2EF49C88F}"/>
    <cellStyle name="40% - Accent1 2" xfId="29" xr:uid="{00000000-0005-0000-0000-00000B010000}"/>
    <cellStyle name="40% - Accent1 2 2" xfId="251" xr:uid="{00000000-0005-0000-0000-00000C010000}"/>
    <cellStyle name="40% - Accent1 2 2 2" xfId="8434" xr:uid="{00000000-0005-0000-0000-00000D010000}"/>
    <cellStyle name="40% - Accent1 2 2 2 2" xfId="8435" xr:uid="{00000000-0005-0000-0000-00000E010000}"/>
    <cellStyle name="40% - Accent1 2 2 2 2 2" xfId="10885" xr:uid="{4AE24257-E8C0-4B7D-BD9F-395AA1E6B8BB}"/>
    <cellStyle name="40% - Accent1 2 2 2 3" xfId="10884" xr:uid="{CF2E824D-8378-4D76-8E6F-11F5239D2914}"/>
    <cellStyle name="40% - Accent1 2 2 3" xfId="8436" xr:uid="{00000000-0005-0000-0000-00000F010000}"/>
    <cellStyle name="40% - Accent1 2 2 3 2" xfId="8437" xr:uid="{00000000-0005-0000-0000-000010010000}"/>
    <cellStyle name="40% - Accent1 2 2 3 2 2" xfId="10887" xr:uid="{92CA3B33-DD31-4AC7-9FAC-5E87E00DD59B}"/>
    <cellStyle name="40% - Accent1 2 2 3 3" xfId="10886" xr:uid="{88501CCD-552B-4EE0-B540-701CDE156537}"/>
    <cellStyle name="40% - Accent1 2 2 4" xfId="8438" xr:uid="{00000000-0005-0000-0000-000011010000}"/>
    <cellStyle name="40% - Accent1 2 2 5" xfId="8439" xr:uid="{00000000-0005-0000-0000-000012010000}"/>
    <cellStyle name="40% - Accent1 2 2 5 2" xfId="10888" xr:uid="{816F54C0-93E7-484D-99AB-AB52F23C06B9}"/>
    <cellStyle name="40% - Accent1 2 2 6" xfId="8179" xr:uid="{00000000-0005-0000-0000-000013010000}"/>
    <cellStyle name="40% - Accent1 2 2 6 2" xfId="10889" xr:uid="{5C21ED1E-564C-4148-A6C6-8BEFD76A1787}"/>
    <cellStyle name="40% - Accent1 2 3" xfId="8440" xr:uid="{00000000-0005-0000-0000-000014010000}"/>
    <cellStyle name="40% - Accent1 2 3 2" xfId="8441" xr:uid="{00000000-0005-0000-0000-000015010000}"/>
    <cellStyle name="40% - Accent1 2 3 2 2" xfId="10891" xr:uid="{FA6943D7-CF6B-4CF4-8CF2-0DECC98EDC2C}"/>
    <cellStyle name="40% - Accent1 2 3 3" xfId="10890" xr:uid="{D530A268-76ED-4EAC-99EC-4620131BB4B7}"/>
    <cellStyle name="40% - Accent1 2 4" xfId="8442" xr:uid="{00000000-0005-0000-0000-000016010000}"/>
    <cellStyle name="40% - Accent1 2 4 2" xfId="8443" xr:uid="{00000000-0005-0000-0000-000017010000}"/>
    <cellStyle name="40% - Accent1 2 4 2 2" xfId="10893" xr:uid="{232EABFB-84BB-43B3-B5EF-91B1AEEE18D2}"/>
    <cellStyle name="40% - Accent1 2 4 3" xfId="10892" xr:uid="{F5B369D7-371A-4D04-94CD-1D19D0F5DE02}"/>
    <cellStyle name="40% - Accent1 2 5" xfId="8444" xr:uid="{00000000-0005-0000-0000-000018010000}"/>
    <cellStyle name="40% - Accent1 2 5 2" xfId="8445" xr:uid="{00000000-0005-0000-0000-000019010000}"/>
    <cellStyle name="40% - Accent1 2 5 2 2" xfId="10895" xr:uid="{5AE0307D-AA60-423F-BAA6-5C90DB3A0DBA}"/>
    <cellStyle name="40% - Accent1 2 5 3" xfId="10894" xr:uid="{D76FBB6A-D272-4704-AC31-2D56775673B1}"/>
    <cellStyle name="40% - Accent1 2 6" xfId="8178" xr:uid="{00000000-0005-0000-0000-00001A010000}"/>
    <cellStyle name="40% - Accent1 2 6 2" xfId="10896" xr:uid="{A89A8A5A-C9CC-46D0-B9E4-C4DCE1437809}"/>
    <cellStyle name="40% - Accent1 3" xfId="252" xr:uid="{00000000-0005-0000-0000-00001B010000}"/>
    <cellStyle name="40% - Accent1 3 2" xfId="392" xr:uid="{00000000-0005-0000-0000-00001C010000}"/>
    <cellStyle name="40% - Accent1 3 2 2" xfId="8446" xr:uid="{00000000-0005-0000-0000-00001D010000}"/>
    <cellStyle name="40% - Accent1 3 2 2 2" xfId="8447" xr:uid="{00000000-0005-0000-0000-00001E010000}"/>
    <cellStyle name="40% - Accent1 3 2 2 2 2" xfId="10899" xr:uid="{372ADBDE-9DA1-46B1-A647-7B25FC95CBCE}"/>
    <cellStyle name="40% - Accent1 3 2 2 3" xfId="10898" xr:uid="{BCC72073-53A4-4476-B4E0-7C14C499DEB6}"/>
    <cellStyle name="40% - Accent1 3 2 3" xfId="8448" xr:uid="{00000000-0005-0000-0000-00001F010000}"/>
    <cellStyle name="40% - Accent1 3 2 3 2" xfId="8449" xr:uid="{00000000-0005-0000-0000-000020010000}"/>
    <cellStyle name="40% - Accent1 3 2 3 2 2" xfId="10901" xr:uid="{841B3978-A8E8-4AED-80B0-1F63CF92B1EC}"/>
    <cellStyle name="40% - Accent1 3 2 3 3" xfId="10900" xr:uid="{70713CF5-3034-44A4-B867-097FE1B969C1}"/>
    <cellStyle name="40% - Accent1 3 2 4" xfId="8450" xr:uid="{00000000-0005-0000-0000-000021010000}"/>
    <cellStyle name="40% - Accent1 3 2 4 2" xfId="10902" xr:uid="{3145C14A-63BF-4568-996D-981311FB9151}"/>
    <cellStyle name="40% - Accent1 3 2 5" xfId="10897" xr:uid="{320F5BCD-A61D-48DE-9288-74DC0781FEBE}"/>
    <cellStyle name="40% - Accent1 3 2 6" xfId="12023" xr:uid="{6F77C364-8466-49A2-B7BC-70F5E04C1ACF}"/>
    <cellStyle name="40% - Accent1 3 3" xfId="8451" xr:uid="{00000000-0005-0000-0000-000022010000}"/>
    <cellStyle name="40% - Accent1 3 3 2" xfId="8452" xr:uid="{00000000-0005-0000-0000-000023010000}"/>
    <cellStyle name="40% - Accent1 3 3 2 2" xfId="10904" xr:uid="{C4909D1B-52D3-4BA7-BC4B-CFB97265AB20}"/>
    <cellStyle name="40% - Accent1 3 3 3" xfId="10903" xr:uid="{1EBF9C78-1216-4D16-96AF-85AF47B926CB}"/>
    <cellStyle name="40% - Accent1 3 3 4" xfId="11913" xr:uid="{235E127F-1FB5-416C-BB27-A30EFA768E8A}"/>
    <cellStyle name="40% - Accent1 3 4" xfId="8453" xr:uid="{00000000-0005-0000-0000-000024010000}"/>
    <cellStyle name="40% - Accent1 3 4 2" xfId="8454" xr:uid="{00000000-0005-0000-0000-000025010000}"/>
    <cellStyle name="40% - Accent1 3 4 2 2" xfId="10906" xr:uid="{4506521C-7DCF-46A8-9E20-DA3544D0575E}"/>
    <cellStyle name="40% - Accent1 3 4 3" xfId="10905" xr:uid="{9D44EE40-CF28-4DAF-8EF5-AD63435B9756}"/>
    <cellStyle name="40% - Accent1 3 5" xfId="8455" xr:uid="{00000000-0005-0000-0000-000026010000}"/>
    <cellStyle name="40% - Accent1 3 5 2" xfId="10907" xr:uid="{36F9995A-1FEF-40C7-ABCB-7054447C0576}"/>
    <cellStyle name="40% - Accent1 3 6" xfId="10409" xr:uid="{73307702-DC29-465C-B965-94594F2659A3}"/>
    <cellStyle name="40% - Accent1 4" xfId="393" xr:uid="{00000000-0005-0000-0000-000027010000}"/>
    <cellStyle name="40% - Accent1 4 2" xfId="394" xr:uid="{00000000-0005-0000-0000-000028010000}"/>
    <cellStyle name="40% - Accent1 4 2 2" xfId="8456" xr:uid="{00000000-0005-0000-0000-000029010000}"/>
    <cellStyle name="40% - Accent1 4 2 2 2" xfId="8457" xr:uid="{00000000-0005-0000-0000-00002A010000}"/>
    <cellStyle name="40% - Accent1 4 2 2 2 2" xfId="10911" xr:uid="{F2067D6E-D622-459A-8177-1FAD5E00CDBD}"/>
    <cellStyle name="40% - Accent1 4 2 2 3" xfId="10910" xr:uid="{3C7130D0-D513-4DF0-B679-BF4B8785F66D}"/>
    <cellStyle name="40% - Accent1 4 2 3" xfId="8458" xr:uid="{00000000-0005-0000-0000-00002B010000}"/>
    <cellStyle name="40% - Accent1 4 2 3 2" xfId="8459" xr:uid="{00000000-0005-0000-0000-00002C010000}"/>
    <cellStyle name="40% - Accent1 4 2 3 2 2" xfId="10913" xr:uid="{AB155049-6F46-4A80-8F1D-816FD889C1C1}"/>
    <cellStyle name="40% - Accent1 4 2 3 3" xfId="10912" xr:uid="{4B43DF02-19C4-401D-A45A-05CF0D1606A2}"/>
    <cellStyle name="40% - Accent1 4 2 4" xfId="8460" xr:uid="{00000000-0005-0000-0000-00002D010000}"/>
    <cellStyle name="40% - Accent1 4 2 4 2" xfId="10914" xr:uid="{B85E5CB3-8132-4B47-8B78-08AD4B0EC617}"/>
    <cellStyle name="40% - Accent1 4 2 5" xfId="10909" xr:uid="{983801F4-2F64-459B-A764-02BB0923B7E1}"/>
    <cellStyle name="40% - Accent1 4 2 6" xfId="12025" xr:uid="{33176E45-5E12-47F4-AA6D-E6F018AE8EBF}"/>
    <cellStyle name="40% - Accent1 4 3" xfId="8461" xr:uid="{00000000-0005-0000-0000-00002E010000}"/>
    <cellStyle name="40% - Accent1 4 3 2" xfId="8462" xr:uid="{00000000-0005-0000-0000-00002F010000}"/>
    <cellStyle name="40% - Accent1 4 3 2 2" xfId="10916" xr:uid="{6070DA62-A514-4645-BA79-BC6C6140C60C}"/>
    <cellStyle name="40% - Accent1 4 3 3" xfId="10915" xr:uid="{93B98F41-27ED-4BB6-8FE4-1304F2D53C5D}"/>
    <cellStyle name="40% - Accent1 4 4" xfId="8463" xr:uid="{00000000-0005-0000-0000-000030010000}"/>
    <cellStyle name="40% - Accent1 4 4 2" xfId="8464" xr:uid="{00000000-0005-0000-0000-000031010000}"/>
    <cellStyle name="40% - Accent1 4 4 2 2" xfId="10918" xr:uid="{8D578C52-1FCB-4058-845E-1033DD16FF26}"/>
    <cellStyle name="40% - Accent1 4 4 3" xfId="10917" xr:uid="{F7257223-56CD-4B01-ABDA-7FA607CF2F06}"/>
    <cellStyle name="40% - Accent1 4 5" xfId="8465" xr:uid="{00000000-0005-0000-0000-000032010000}"/>
    <cellStyle name="40% - Accent1 4 5 2" xfId="10919" xr:uid="{B3316433-C0E9-4EA8-A9AE-17C34F45BEE9}"/>
    <cellStyle name="40% - Accent1 4 6" xfId="10908" xr:uid="{30D70C6C-37B1-4B35-84CB-5E1A88FEB0AC}"/>
    <cellStyle name="40% - Accent1 4 7" xfId="12024" xr:uid="{63861B57-C20B-42FA-A0FC-E84214C0007C}"/>
    <cellStyle name="40% - Accent1 5" xfId="395" xr:uid="{00000000-0005-0000-0000-000033010000}"/>
    <cellStyle name="40% - Accent1 5 2" xfId="8466" xr:uid="{00000000-0005-0000-0000-000034010000}"/>
    <cellStyle name="40% - Accent1 5 2 2" xfId="8467" xr:uid="{00000000-0005-0000-0000-000035010000}"/>
    <cellStyle name="40% - Accent1 5 2 2 2" xfId="10922" xr:uid="{C8A6E309-1B58-4AC4-A032-083EBBC85244}"/>
    <cellStyle name="40% - Accent1 5 2 3" xfId="10921" xr:uid="{F6602CDC-0C82-40DB-8EFD-07588245FE71}"/>
    <cellStyle name="40% - Accent1 5 3" xfId="8468" xr:uid="{00000000-0005-0000-0000-000036010000}"/>
    <cellStyle name="40% - Accent1 5 3 2" xfId="8469" xr:uid="{00000000-0005-0000-0000-000037010000}"/>
    <cellStyle name="40% - Accent1 5 3 2 2" xfId="10924" xr:uid="{6546FB83-9CE7-4A65-BDB8-938BC3DAEEFB}"/>
    <cellStyle name="40% - Accent1 5 3 3" xfId="10923" xr:uid="{4E48875F-196C-46CD-BAB8-17E0A5DA6DCA}"/>
    <cellStyle name="40% - Accent1 5 4" xfId="8470" xr:uid="{00000000-0005-0000-0000-000038010000}"/>
    <cellStyle name="40% - Accent1 5 4 2" xfId="10925" xr:uid="{D6E01398-811F-4C1B-868B-71BE6D1311A1}"/>
    <cellStyle name="40% - Accent1 5 5" xfId="10920" xr:uid="{1D497812-1291-48AC-BB88-98752826AECA}"/>
    <cellStyle name="40% - Accent1 5 6" xfId="12026" xr:uid="{ED973D81-6ADF-4C94-8EC4-29DDF2C2FDC8}"/>
    <cellStyle name="40% - Accent2 2" xfId="30" xr:uid="{00000000-0005-0000-0000-000039010000}"/>
    <cellStyle name="40% - Accent2 2 2" xfId="253" xr:uid="{00000000-0005-0000-0000-00003A010000}"/>
    <cellStyle name="40% - Accent2 2 2 2" xfId="8471" xr:uid="{00000000-0005-0000-0000-00003B010000}"/>
    <cellStyle name="40% - Accent2 2 2 2 2" xfId="8472" xr:uid="{00000000-0005-0000-0000-00003C010000}"/>
    <cellStyle name="40% - Accent2 2 2 2 2 2" xfId="10927" xr:uid="{C16EB16C-F970-4885-BD2C-921905B5CB0E}"/>
    <cellStyle name="40% - Accent2 2 2 2 3" xfId="10926" xr:uid="{D734CC25-6557-4B5C-B6E5-618C5F87FC5C}"/>
    <cellStyle name="40% - Accent2 2 2 3" xfId="8473" xr:uid="{00000000-0005-0000-0000-00003D010000}"/>
    <cellStyle name="40% - Accent2 2 2 3 2" xfId="8474" xr:uid="{00000000-0005-0000-0000-00003E010000}"/>
    <cellStyle name="40% - Accent2 2 2 3 2 2" xfId="10929" xr:uid="{E6745707-E3E1-484C-B9F0-FBE2AFDB4573}"/>
    <cellStyle name="40% - Accent2 2 2 3 3" xfId="10928" xr:uid="{7E1725A7-9A1F-4D4E-9234-19852721A993}"/>
    <cellStyle name="40% - Accent2 2 2 4" xfId="8475" xr:uid="{00000000-0005-0000-0000-00003F010000}"/>
    <cellStyle name="40% - Accent2 2 2 5" xfId="8476" xr:uid="{00000000-0005-0000-0000-000040010000}"/>
    <cellStyle name="40% - Accent2 2 2 5 2" xfId="10930" xr:uid="{CC92F324-73F5-472A-BA44-50C8574F75E2}"/>
    <cellStyle name="40% - Accent2 2 2 6" xfId="8181" xr:uid="{00000000-0005-0000-0000-000041010000}"/>
    <cellStyle name="40% - Accent2 2 2 6 2" xfId="10931" xr:uid="{E9AC4D5B-292E-4F04-8CFC-E19507187200}"/>
    <cellStyle name="40% - Accent2 2 3" xfId="8477" xr:uid="{00000000-0005-0000-0000-000042010000}"/>
    <cellStyle name="40% - Accent2 2 3 2" xfId="8478" xr:uid="{00000000-0005-0000-0000-000043010000}"/>
    <cellStyle name="40% - Accent2 2 3 2 2" xfId="10932" xr:uid="{A23B3533-64CD-4995-829E-284B8F2E3F27}"/>
    <cellStyle name="40% - Accent2 2 3 3" xfId="9465" xr:uid="{DC1821B7-1F79-4480-928C-71443D934A3B}"/>
    <cellStyle name="40% - Accent2 2 3 3 2" xfId="10933" xr:uid="{DBD60D74-58FC-493C-9D71-0B8EC6F7D721}"/>
    <cellStyle name="40% - Accent2 2 3 4" xfId="9464" xr:uid="{1CBF21EB-3899-4FFF-989B-1D2B5155B033}"/>
    <cellStyle name="40% - Accent2 2 4" xfId="8479" xr:uid="{00000000-0005-0000-0000-000044010000}"/>
    <cellStyle name="40% - Accent2 2 4 2" xfId="8480" xr:uid="{00000000-0005-0000-0000-000045010000}"/>
    <cellStyle name="40% - Accent2 2 4 2 2" xfId="10934" xr:uid="{50CF11E3-0A08-4D31-8C02-AF99C97A9976}"/>
    <cellStyle name="40% - Accent2 2 4 3" xfId="9467" xr:uid="{3BF783C8-6B17-4037-8F6B-C83A9F51D0B2}"/>
    <cellStyle name="40% - Accent2 2 4 3 2" xfId="10935" xr:uid="{43CF6A80-2DBE-48D3-B96C-F4A178E946EB}"/>
    <cellStyle name="40% - Accent2 2 4 4" xfId="9466" xr:uid="{38EE3ABF-2B93-4685-BE75-F867F84FA3CD}"/>
    <cellStyle name="40% - Accent2 2 5" xfId="8481" xr:uid="{00000000-0005-0000-0000-000046010000}"/>
    <cellStyle name="40% - Accent2 2 5 2" xfId="8482" xr:uid="{00000000-0005-0000-0000-000047010000}"/>
    <cellStyle name="40% - Accent2 2 5 2 2" xfId="10937" xr:uid="{AC2E79AE-4663-414F-B730-17EF5AF49557}"/>
    <cellStyle name="40% - Accent2 2 5 3" xfId="10936" xr:uid="{155261C8-9B59-4DB9-8715-60A37FC71518}"/>
    <cellStyle name="40% - Accent2 2 6" xfId="8180" xr:uid="{00000000-0005-0000-0000-000048010000}"/>
    <cellStyle name="40% - Accent2 2 6 2" xfId="10938" xr:uid="{2109F528-F5A8-42B5-A445-2F455A1001C4}"/>
    <cellStyle name="40% - Accent2 3" xfId="254" xr:uid="{00000000-0005-0000-0000-000049010000}"/>
    <cellStyle name="40% - Accent2 3 2" xfId="396" xr:uid="{00000000-0005-0000-0000-00004A010000}"/>
    <cellStyle name="40% - Accent2 3 2 2" xfId="8483" xr:uid="{00000000-0005-0000-0000-00004B010000}"/>
    <cellStyle name="40% - Accent2 3 2 2 2" xfId="8484" xr:uid="{00000000-0005-0000-0000-00004C010000}"/>
    <cellStyle name="40% - Accent2 3 2 2 2 2" xfId="10941" xr:uid="{D7FDD680-23B4-4A52-8B6B-5FD0CBC6A519}"/>
    <cellStyle name="40% - Accent2 3 2 2 3" xfId="10940" xr:uid="{69122B01-D45F-48B5-A777-44E499E0E10F}"/>
    <cellStyle name="40% - Accent2 3 2 3" xfId="8485" xr:uid="{00000000-0005-0000-0000-00004D010000}"/>
    <cellStyle name="40% - Accent2 3 2 3 2" xfId="8486" xr:uid="{00000000-0005-0000-0000-00004E010000}"/>
    <cellStyle name="40% - Accent2 3 2 3 2 2" xfId="10943" xr:uid="{64DF2AF3-0DC4-48B7-AE3B-51D02EF78CC6}"/>
    <cellStyle name="40% - Accent2 3 2 3 3" xfId="10942" xr:uid="{B226121D-920E-4AA3-9AAF-FE9111BAFF08}"/>
    <cellStyle name="40% - Accent2 3 2 4" xfId="8487" xr:uid="{00000000-0005-0000-0000-00004F010000}"/>
    <cellStyle name="40% - Accent2 3 2 4 2" xfId="10944" xr:uid="{89FE9231-3E63-457C-997B-3B0D21C0FFE4}"/>
    <cellStyle name="40% - Accent2 3 2 5" xfId="10939" xr:uid="{5B42BF41-0816-4A5E-A03F-622646A72ECF}"/>
    <cellStyle name="40% - Accent2 3 2 6" xfId="12027" xr:uid="{2E16990D-2B94-4DAF-A385-3983A490A8E0}"/>
    <cellStyle name="40% - Accent2 3 3" xfId="8488" xr:uid="{00000000-0005-0000-0000-000050010000}"/>
    <cellStyle name="40% - Accent2 3 3 2" xfId="8489" xr:uid="{00000000-0005-0000-0000-000051010000}"/>
    <cellStyle name="40% - Accent2 3 3 2 2" xfId="10946" xr:uid="{25C5A025-A032-467F-8BC8-2CDAEDA010F0}"/>
    <cellStyle name="40% - Accent2 3 3 3" xfId="10945" xr:uid="{0E3A641A-BDC1-4228-BDB0-619B6D51295C}"/>
    <cellStyle name="40% - Accent2 3 3 4" xfId="11914" xr:uid="{68FD5C91-85D9-4722-A067-4A13CD7D2827}"/>
    <cellStyle name="40% - Accent2 3 4" xfId="8490" xr:uid="{00000000-0005-0000-0000-000052010000}"/>
    <cellStyle name="40% - Accent2 3 4 2" xfId="8491" xr:uid="{00000000-0005-0000-0000-000053010000}"/>
    <cellStyle name="40% - Accent2 3 4 2 2" xfId="10948" xr:uid="{AA446BE8-9C63-452E-A66D-F318200052D8}"/>
    <cellStyle name="40% - Accent2 3 4 3" xfId="10947" xr:uid="{EA28438E-B261-4379-BB4B-F5EC3081F6DB}"/>
    <cellStyle name="40% - Accent2 3 5" xfId="8492" xr:uid="{00000000-0005-0000-0000-000054010000}"/>
    <cellStyle name="40% - Accent2 3 5 2" xfId="10949" xr:uid="{80240F3C-28E7-460C-A8FE-FA5A62BEFCEA}"/>
    <cellStyle name="40% - Accent2 3 6" xfId="10410" xr:uid="{0C025746-EDF9-4F88-AC92-51B60EF36299}"/>
    <cellStyle name="40% - Accent2 4" xfId="397" xr:uid="{00000000-0005-0000-0000-000055010000}"/>
    <cellStyle name="40% - Accent2 4 2" xfId="398" xr:uid="{00000000-0005-0000-0000-000056010000}"/>
    <cellStyle name="40% - Accent2 4 2 2" xfId="8493" xr:uid="{00000000-0005-0000-0000-000057010000}"/>
    <cellStyle name="40% - Accent2 4 2 2 2" xfId="8494" xr:uid="{00000000-0005-0000-0000-000058010000}"/>
    <cellStyle name="40% - Accent2 4 2 2 2 2" xfId="10953" xr:uid="{407F70F4-157F-4546-AFCD-4273EF384BCF}"/>
    <cellStyle name="40% - Accent2 4 2 2 3" xfId="10952" xr:uid="{4B7572B1-2DC2-40B8-9033-64BD55758120}"/>
    <cellStyle name="40% - Accent2 4 2 3" xfId="8495" xr:uid="{00000000-0005-0000-0000-000059010000}"/>
    <cellStyle name="40% - Accent2 4 2 3 2" xfId="8496" xr:uid="{00000000-0005-0000-0000-00005A010000}"/>
    <cellStyle name="40% - Accent2 4 2 3 2 2" xfId="10955" xr:uid="{2DBCC9C9-73E1-4452-B7E8-33D4C4C4B531}"/>
    <cellStyle name="40% - Accent2 4 2 3 3" xfId="10954" xr:uid="{CDC11B40-8686-4F14-964E-5A81E364E890}"/>
    <cellStyle name="40% - Accent2 4 2 4" xfId="8497" xr:uid="{00000000-0005-0000-0000-00005B010000}"/>
    <cellStyle name="40% - Accent2 4 2 4 2" xfId="10956" xr:uid="{74106E97-14E2-490A-B8C6-8A82227F556B}"/>
    <cellStyle name="40% - Accent2 4 2 5" xfId="10951" xr:uid="{F1411DAD-EB1E-4336-B64A-6B45F7421DCB}"/>
    <cellStyle name="40% - Accent2 4 2 6" xfId="12029" xr:uid="{209BCE60-2C25-4BD1-9F5A-53060A0C6C89}"/>
    <cellStyle name="40% - Accent2 4 3" xfId="8498" xr:uid="{00000000-0005-0000-0000-00005C010000}"/>
    <cellStyle name="40% - Accent2 4 3 2" xfId="8499" xr:uid="{00000000-0005-0000-0000-00005D010000}"/>
    <cellStyle name="40% - Accent2 4 3 2 2" xfId="10958" xr:uid="{A07EA560-CB19-4FBE-ADB3-4907D5E015A7}"/>
    <cellStyle name="40% - Accent2 4 3 3" xfId="10957" xr:uid="{3F57963E-266B-4974-9C5B-D8A88AAB156A}"/>
    <cellStyle name="40% - Accent2 4 4" xfId="8500" xr:uid="{00000000-0005-0000-0000-00005E010000}"/>
    <cellStyle name="40% - Accent2 4 4 2" xfId="8501" xr:uid="{00000000-0005-0000-0000-00005F010000}"/>
    <cellStyle name="40% - Accent2 4 4 2 2" xfId="10960" xr:uid="{FFA633E9-2FF8-4F50-A533-B8578CADAF08}"/>
    <cellStyle name="40% - Accent2 4 4 3" xfId="10959" xr:uid="{B4850838-21E0-4C65-A87C-DDE8A6EA6F5F}"/>
    <cellStyle name="40% - Accent2 4 5" xfId="8502" xr:uid="{00000000-0005-0000-0000-000060010000}"/>
    <cellStyle name="40% - Accent2 4 5 2" xfId="10961" xr:uid="{111EE27A-5538-48A4-9B7E-1418ED3C9653}"/>
    <cellStyle name="40% - Accent2 4 6" xfId="10950" xr:uid="{908A418C-78C3-400D-B37C-05FB715383D1}"/>
    <cellStyle name="40% - Accent2 4 7" xfId="12028" xr:uid="{3F148428-BC03-490B-B8F6-EDBFDA0666A5}"/>
    <cellStyle name="40% - Accent2 5" xfId="399" xr:uid="{00000000-0005-0000-0000-000061010000}"/>
    <cellStyle name="40% - Accent2 5 2" xfId="8503" xr:uid="{00000000-0005-0000-0000-000062010000}"/>
    <cellStyle name="40% - Accent2 5 2 2" xfId="8504" xr:uid="{00000000-0005-0000-0000-000063010000}"/>
    <cellStyle name="40% - Accent2 5 2 2 2" xfId="10964" xr:uid="{C7EABF6B-29FD-4EC0-876D-6103F0A652B5}"/>
    <cellStyle name="40% - Accent2 5 2 3" xfId="10963" xr:uid="{51FE8BFF-0636-440D-9E8B-5E3B5C2CBF39}"/>
    <cellStyle name="40% - Accent2 5 3" xfId="8505" xr:uid="{00000000-0005-0000-0000-000064010000}"/>
    <cellStyle name="40% - Accent2 5 3 2" xfId="8506" xr:uid="{00000000-0005-0000-0000-000065010000}"/>
    <cellStyle name="40% - Accent2 5 3 2 2" xfId="10966" xr:uid="{B9C9358F-1AA1-4A69-A935-38F496CE2ADA}"/>
    <cellStyle name="40% - Accent2 5 3 3" xfId="10965" xr:uid="{53FDADF2-E76D-43C5-B049-2227F9CAA1DF}"/>
    <cellStyle name="40% - Accent2 5 4" xfId="8507" xr:uid="{00000000-0005-0000-0000-000066010000}"/>
    <cellStyle name="40% - Accent2 5 4 2" xfId="10967" xr:uid="{2464F899-5621-43D9-B6F0-F53D6407BCDF}"/>
    <cellStyle name="40% - Accent2 5 5" xfId="10962" xr:uid="{EDF8E094-787E-4CB6-A52F-03327098E70B}"/>
    <cellStyle name="40% - Accent2 5 6" xfId="12030" xr:uid="{6568FDF1-927A-4A1D-9652-DFA85C5BF864}"/>
    <cellStyle name="40% - Accent3 2" xfId="31" xr:uid="{00000000-0005-0000-0000-000067010000}"/>
    <cellStyle name="40% - Accent3 2 2" xfId="255" xr:uid="{00000000-0005-0000-0000-000068010000}"/>
    <cellStyle name="40% - Accent3 2 2 2" xfId="8508" xr:uid="{00000000-0005-0000-0000-000069010000}"/>
    <cellStyle name="40% - Accent3 2 2 2 2" xfId="8509" xr:uid="{00000000-0005-0000-0000-00006A010000}"/>
    <cellStyle name="40% - Accent3 2 2 2 2 2" xfId="10969" xr:uid="{972ACFC5-F182-4A05-9C3C-EA9F04B7D7E1}"/>
    <cellStyle name="40% - Accent3 2 2 2 3" xfId="10968" xr:uid="{D5278B71-2337-4F9A-B7BC-8A577F361114}"/>
    <cellStyle name="40% - Accent3 2 2 2 4" xfId="11915" xr:uid="{3B91EA9C-D655-4425-8716-279239A6662E}"/>
    <cellStyle name="40% - Accent3 2 2 3" xfId="8510" xr:uid="{00000000-0005-0000-0000-00006B010000}"/>
    <cellStyle name="40% - Accent3 2 2 3 2" xfId="8511" xr:uid="{00000000-0005-0000-0000-00006C010000}"/>
    <cellStyle name="40% - Accent3 2 2 3 2 2" xfId="10971" xr:uid="{350DB70D-CE5C-45CB-85A1-058F68275934}"/>
    <cellStyle name="40% - Accent3 2 2 3 3" xfId="10970" xr:uid="{7604D2DF-015B-495F-8B9D-2EB25E44111E}"/>
    <cellStyle name="40% - Accent3 2 2 4" xfId="8512" xr:uid="{00000000-0005-0000-0000-00006D010000}"/>
    <cellStyle name="40% - Accent3 2 2 5" xfId="8513" xr:uid="{00000000-0005-0000-0000-00006E010000}"/>
    <cellStyle name="40% - Accent3 2 2 5 2" xfId="10972" xr:uid="{C19562D0-28F7-4E10-8A7B-0A7D4E1F8D06}"/>
    <cellStyle name="40% - Accent3 2 2 6" xfId="8183" xr:uid="{00000000-0005-0000-0000-00006F010000}"/>
    <cellStyle name="40% - Accent3 2 2 6 2" xfId="10973" xr:uid="{C791C17B-AAAE-408C-84F7-EA297F58B2C7}"/>
    <cellStyle name="40% - Accent3 2 2 7" xfId="10383" xr:uid="{3330E457-6571-4823-A157-14FEE01C6793}"/>
    <cellStyle name="40% - Accent3 2 3" xfId="8514" xr:uid="{00000000-0005-0000-0000-000070010000}"/>
    <cellStyle name="40% - Accent3 2 3 2" xfId="8515" xr:uid="{00000000-0005-0000-0000-000071010000}"/>
    <cellStyle name="40% - Accent3 2 3 2 2" xfId="10974" xr:uid="{81C9B9B9-97C1-4E04-A4F2-87CD2DF4E102}"/>
    <cellStyle name="40% - Accent3 2 3 3" xfId="9469" xr:uid="{790D5595-F46F-416C-AE03-E3362ED60F1C}"/>
    <cellStyle name="40% - Accent3 2 3 3 2" xfId="10975" xr:uid="{95EFE646-849A-4184-817B-AD97A380D0D8}"/>
    <cellStyle name="40% - Accent3 2 3 4" xfId="9468" xr:uid="{7F203335-0D8A-4793-AE5A-0979F1A0C87F}"/>
    <cellStyle name="40% - Accent3 2 4" xfId="8516" xr:uid="{00000000-0005-0000-0000-000072010000}"/>
    <cellStyle name="40% - Accent3 2 4 2" xfId="8517" xr:uid="{00000000-0005-0000-0000-000073010000}"/>
    <cellStyle name="40% - Accent3 2 4 2 2" xfId="10977" xr:uid="{0A371EC5-9C22-4392-A4EF-2680B025F969}"/>
    <cellStyle name="40% - Accent3 2 4 3" xfId="10976" xr:uid="{29B47C1A-B23F-4FCD-9735-55D9C204D7A6}"/>
    <cellStyle name="40% - Accent3 2 5" xfId="8518" xr:uid="{00000000-0005-0000-0000-000074010000}"/>
    <cellStyle name="40% - Accent3 2 5 2" xfId="8519" xr:uid="{00000000-0005-0000-0000-000075010000}"/>
    <cellStyle name="40% - Accent3 2 5 2 2" xfId="10979" xr:uid="{54854BCF-B332-45D0-93A3-149F1AC91EA7}"/>
    <cellStyle name="40% - Accent3 2 5 3" xfId="10978" xr:uid="{D7BFF493-CF8F-4C64-9E60-B90C0CC9CC6D}"/>
    <cellStyle name="40% - Accent3 2 6" xfId="8182" xr:uid="{00000000-0005-0000-0000-000076010000}"/>
    <cellStyle name="40% - Accent3 2 6 2" xfId="10980" xr:uid="{ECBB1103-A6A3-4715-9DFF-F7B0F5A490B2}"/>
    <cellStyle name="40% - Accent3 3" xfId="256" xr:uid="{00000000-0005-0000-0000-000077010000}"/>
    <cellStyle name="40% - Accent3 3 2" xfId="400" xr:uid="{00000000-0005-0000-0000-000078010000}"/>
    <cellStyle name="40% - Accent3 3 2 2" xfId="8520" xr:uid="{00000000-0005-0000-0000-000079010000}"/>
    <cellStyle name="40% - Accent3 3 2 2 2" xfId="8521" xr:uid="{00000000-0005-0000-0000-00007A010000}"/>
    <cellStyle name="40% - Accent3 3 2 2 2 2" xfId="10983" xr:uid="{A32CE9F3-056E-4BEB-BD34-051140040B8E}"/>
    <cellStyle name="40% - Accent3 3 2 2 3" xfId="10982" xr:uid="{C373461F-603D-41FC-A320-D79EB3ADB31B}"/>
    <cellStyle name="40% - Accent3 3 2 3" xfId="8522" xr:uid="{00000000-0005-0000-0000-00007B010000}"/>
    <cellStyle name="40% - Accent3 3 2 3 2" xfId="8523" xr:uid="{00000000-0005-0000-0000-00007C010000}"/>
    <cellStyle name="40% - Accent3 3 2 3 2 2" xfId="10985" xr:uid="{206C005D-75FF-4F0F-96DD-8C7A71D165F4}"/>
    <cellStyle name="40% - Accent3 3 2 3 3" xfId="10984" xr:uid="{08763E1D-8797-48E4-B652-26FB3C240878}"/>
    <cellStyle name="40% - Accent3 3 2 4" xfId="8524" xr:uid="{00000000-0005-0000-0000-00007D010000}"/>
    <cellStyle name="40% - Accent3 3 2 4 2" xfId="10986" xr:uid="{21DAFDF1-9BB5-4F1D-9C3C-6E034CE28C3B}"/>
    <cellStyle name="40% - Accent3 3 2 5" xfId="10981" xr:uid="{541BF165-8CE5-4761-BD97-29521CE34020}"/>
    <cellStyle name="40% - Accent3 3 2 6" xfId="12031" xr:uid="{4952A991-401A-4417-B8CF-738EAEAA5FE0}"/>
    <cellStyle name="40% - Accent3 3 3" xfId="8525" xr:uid="{00000000-0005-0000-0000-00007E010000}"/>
    <cellStyle name="40% - Accent3 3 3 2" xfId="8526" xr:uid="{00000000-0005-0000-0000-00007F010000}"/>
    <cellStyle name="40% - Accent3 3 3 2 2" xfId="10988" xr:uid="{29B402D6-07FD-4C77-A0B5-E99D04451597}"/>
    <cellStyle name="40% - Accent3 3 3 3" xfId="10987" xr:uid="{25F6D73B-1BC9-4163-AAEF-491A0FD983E2}"/>
    <cellStyle name="40% - Accent3 3 3 4" xfId="11916" xr:uid="{3BA745C6-84DB-4749-9B43-26918F65A313}"/>
    <cellStyle name="40% - Accent3 3 4" xfId="8527" xr:uid="{00000000-0005-0000-0000-000080010000}"/>
    <cellStyle name="40% - Accent3 3 4 2" xfId="8528" xr:uid="{00000000-0005-0000-0000-000081010000}"/>
    <cellStyle name="40% - Accent3 3 4 2 2" xfId="10990" xr:uid="{09BE14C1-3E9F-4141-BFF7-010E8379F156}"/>
    <cellStyle name="40% - Accent3 3 4 3" xfId="10989" xr:uid="{769B1580-B438-49C2-858A-C199C81E8215}"/>
    <cellStyle name="40% - Accent3 3 5" xfId="8529" xr:uid="{00000000-0005-0000-0000-000082010000}"/>
    <cellStyle name="40% - Accent3 3 5 2" xfId="10991" xr:uid="{3D7369D8-BAF0-4859-A89E-EFE7C8851190}"/>
    <cellStyle name="40% - Accent3 3 6" xfId="10411" xr:uid="{9B41208D-9974-4DEE-B8F4-CE49D9B569C1}"/>
    <cellStyle name="40% - Accent3 4" xfId="401" xr:uid="{00000000-0005-0000-0000-000083010000}"/>
    <cellStyle name="40% - Accent3 4 2" xfId="402" xr:uid="{00000000-0005-0000-0000-000084010000}"/>
    <cellStyle name="40% - Accent3 4 2 2" xfId="8530" xr:uid="{00000000-0005-0000-0000-000085010000}"/>
    <cellStyle name="40% - Accent3 4 2 2 2" xfId="8531" xr:uid="{00000000-0005-0000-0000-000086010000}"/>
    <cellStyle name="40% - Accent3 4 2 2 2 2" xfId="10995" xr:uid="{A7695696-AC46-4CA3-BC90-4885A47D84ED}"/>
    <cellStyle name="40% - Accent3 4 2 2 3" xfId="10994" xr:uid="{194068FE-400E-4F0A-9C7C-4A2C29BAFF01}"/>
    <cellStyle name="40% - Accent3 4 2 3" xfId="8532" xr:uid="{00000000-0005-0000-0000-000087010000}"/>
    <cellStyle name="40% - Accent3 4 2 3 2" xfId="8533" xr:uid="{00000000-0005-0000-0000-000088010000}"/>
    <cellStyle name="40% - Accent3 4 2 3 2 2" xfId="10997" xr:uid="{5EFCC7EC-FA5D-45C0-8FF9-818430D9BA21}"/>
    <cellStyle name="40% - Accent3 4 2 3 3" xfId="10996" xr:uid="{B13405B2-9964-4B49-B590-191472651BE2}"/>
    <cellStyle name="40% - Accent3 4 2 4" xfId="8534" xr:uid="{00000000-0005-0000-0000-000089010000}"/>
    <cellStyle name="40% - Accent3 4 2 4 2" xfId="10998" xr:uid="{ED90B0F3-0103-4EE2-99C5-763F077C862F}"/>
    <cellStyle name="40% - Accent3 4 2 5" xfId="10993" xr:uid="{1C918253-94F6-446B-9416-D7F59392A75E}"/>
    <cellStyle name="40% - Accent3 4 2 6" xfId="12033" xr:uid="{AE14400E-405F-4498-89B3-DDBC66853C32}"/>
    <cellStyle name="40% - Accent3 4 3" xfId="8535" xr:uid="{00000000-0005-0000-0000-00008A010000}"/>
    <cellStyle name="40% - Accent3 4 3 2" xfId="8536" xr:uid="{00000000-0005-0000-0000-00008B010000}"/>
    <cellStyle name="40% - Accent3 4 3 2 2" xfId="11000" xr:uid="{191F5E2D-2890-4AA4-B015-5DDA40C3C555}"/>
    <cellStyle name="40% - Accent3 4 3 3" xfId="10999" xr:uid="{F3A39B9A-5064-4340-AB9D-232D04754BEC}"/>
    <cellStyle name="40% - Accent3 4 4" xfId="8537" xr:uid="{00000000-0005-0000-0000-00008C010000}"/>
    <cellStyle name="40% - Accent3 4 4 2" xfId="8538" xr:uid="{00000000-0005-0000-0000-00008D010000}"/>
    <cellStyle name="40% - Accent3 4 4 2 2" xfId="11002" xr:uid="{90E70DC0-FBCF-458B-8E05-5C4238FFFB33}"/>
    <cellStyle name="40% - Accent3 4 4 3" xfId="11001" xr:uid="{523DC9A5-CB46-4495-826D-1C4A864D944A}"/>
    <cellStyle name="40% - Accent3 4 5" xfId="8539" xr:uid="{00000000-0005-0000-0000-00008E010000}"/>
    <cellStyle name="40% - Accent3 4 5 2" xfId="11003" xr:uid="{CBE87848-E09D-4134-B325-CB3CE185DE6A}"/>
    <cellStyle name="40% - Accent3 4 6" xfId="10992" xr:uid="{91532E2A-2FB3-4CBF-98D2-47929E3158D5}"/>
    <cellStyle name="40% - Accent3 4 7" xfId="12032" xr:uid="{86D84B8F-13FF-4042-AA13-42B31769148E}"/>
    <cellStyle name="40% - Accent3 5" xfId="403" xr:uid="{00000000-0005-0000-0000-00008F010000}"/>
    <cellStyle name="40% - Accent3 5 2" xfId="8540" xr:uid="{00000000-0005-0000-0000-000090010000}"/>
    <cellStyle name="40% - Accent3 5 2 2" xfId="8541" xr:uid="{00000000-0005-0000-0000-000091010000}"/>
    <cellStyle name="40% - Accent3 5 2 2 2" xfId="11006" xr:uid="{5C2AF594-3EAE-4202-BD22-A9E8EC5F114D}"/>
    <cellStyle name="40% - Accent3 5 2 3" xfId="11005" xr:uid="{5678AF3C-B45A-41E1-A713-EBD6BAC96F69}"/>
    <cellStyle name="40% - Accent3 5 3" xfId="8542" xr:uid="{00000000-0005-0000-0000-000092010000}"/>
    <cellStyle name="40% - Accent3 5 3 2" xfId="8543" xr:uid="{00000000-0005-0000-0000-000093010000}"/>
    <cellStyle name="40% - Accent3 5 3 2 2" xfId="11008" xr:uid="{EE3CA0AF-C6A5-4EE6-80CD-AEE5910F3AD0}"/>
    <cellStyle name="40% - Accent3 5 3 3" xfId="11007" xr:uid="{CB61FCB2-5888-4F15-9F9A-9366CCBCD637}"/>
    <cellStyle name="40% - Accent3 5 4" xfId="8544" xr:uid="{00000000-0005-0000-0000-000094010000}"/>
    <cellStyle name="40% - Accent3 5 4 2" xfId="11009" xr:uid="{6DA13880-5A5B-4177-B404-7A6435139C25}"/>
    <cellStyle name="40% - Accent3 5 5" xfId="11004" xr:uid="{EE6665D9-57C4-49D5-A8D2-E9249066ED5E}"/>
    <cellStyle name="40% - Accent3 5 6" xfId="12034" xr:uid="{FF12BB6F-634A-4CD4-94FF-D17A6685EDEF}"/>
    <cellStyle name="40% - Accent4 2" xfId="32" xr:uid="{00000000-0005-0000-0000-000095010000}"/>
    <cellStyle name="40% - Accent4 2 2" xfId="257" xr:uid="{00000000-0005-0000-0000-000096010000}"/>
    <cellStyle name="40% - Accent4 2 2 2" xfId="8545" xr:uid="{00000000-0005-0000-0000-000097010000}"/>
    <cellStyle name="40% - Accent4 2 2 2 2" xfId="8546" xr:uid="{00000000-0005-0000-0000-000098010000}"/>
    <cellStyle name="40% - Accent4 2 2 2 2 2" xfId="11011" xr:uid="{18BC22FF-265C-47B1-97DD-6677ECF9C7F4}"/>
    <cellStyle name="40% - Accent4 2 2 2 3" xfId="11010" xr:uid="{7F66498E-2068-4EF8-A5DB-42973932ED42}"/>
    <cellStyle name="40% - Accent4 2 2 3" xfId="8547" xr:uid="{00000000-0005-0000-0000-000099010000}"/>
    <cellStyle name="40% - Accent4 2 2 3 2" xfId="8548" xr:uid="{00000000-0005-0000-0000-00009A010000}"/>
    <cellStyle name="40% - Accent4 2 2 3 2 2" xfId="11013" xr:uid="{45B59D44-DAA6-4A64-988D-F1D2E6090A50}"/>
    <cellStyle name="40% - Accent4 2 2 3 3" xfId="11012" xr:uid="{DC6540EF-B045-49ED-98BA-CA3BBB43F518}"/>
    <cellStyle name="40% - Accent4 2 2 4" xfId="8549" xr:uid="{00000000-0005-0000-0000-00009B010000}"/>
    <cellStyle name="40% - Accent4 2 2 5" xfId="8550" xr:uid="{00000000-0005-0000-0000-00009C010000}"/>
    <cellStyle name="40% - Accent4 2 2 5 2" xfId="11014" xr:uid="{B28DDBA8-AF19-4563-A981-E531AF52AFE1}"/>
    <cellStyle name="40% - Accent4 2 2 6" xfId="8185" xr:uid="{00000000-0005-0000-0000-00009D010000}"/>
    <cellStyle name="40% - Accent4 2 2 6 2" xfId="11015" xr:uid="{036502AF-A502-4F57-B1E7-FF222F27BF51}"/>
    <cellStyle name="40% - Accent4 2 3" xfId="8551" xr:uid="{00000000-0005-0000-0000-00009E010000}"/>
    <cellStyle name="40% - Accent4 2 3 2" xfId="8552" xr:uid="{00000000-0005-0000-0000-00009F010000}"/>
    <cellStyle name="40% - Accent4 2 3 2 2" xfId="11017" xr:uid="{31BC4CB2-2189-4209-9A43-1936081EC1AC}"/>
    <cellStyle name="40% - Accent4 2 3 3" xfId="11016" xr:uid="{686859A1-1148-47E9-A7D5-29F3BD12C136}"/>
    <cellStyle name="40% - Accent4 2 4" xfId="8553" xr:uid="{00000000-0005-0000-0000-0000A0010000}"/>
    <cellStyle name="40% - Accent4 2 4 2" xfId="8554" xr:uid="{00000000-0005-0000-0000-0000A1010000}"/>
    <cellStyle name="40% - Accent4 2 4 2 2" xfId="11019" xr:uid="{A66109BE-5B05-4328-B6AB-B2E89FC6CA5D}"/>
    <cellStyle name="40% - Accent4 2 4 3" xfId="11018" xr:uid="{56FD9FCE-8B0A-4356-A264-B1F94E7884E4}"/>
    <cellStyle name="40% - Accent4 2 5" xfId="8555" xr:uid="{00000000-0005-0000-0000-0000A2010000}"/>
    <cellStyle name="40% - Accent4 2 5 2" xfId="8556" xr:uid="{00000000-0005-0000-0000-0000A3010000}"/>
    <cellStyle name="40% - Accent4 2 5 2 2" xfId="11021" xr:uid="{715ADBDE-3F6E-47C4-85A9-2777D2C38918}"/>
    <cellStyle name="40% - Accent4 2 5 3" xfId="11020" xr:uid="{0E976C55-D463-4079-A256-537AFC0B712F}"/>
    <cellStyle name="40% - Accent4 2 6" xfId="8184" xr:uid="{00000000-0005-0000-0000-0000A4010000}"/>
    <cellStyle name="40% - Accent4 2 6 2" xfId="11022" xr:uid="{9695E297-6608-47CB-96F7-39FAD45DBD77}"/>
    <cellStyle name="40% - Accent4 3" xfId="258" xr:uid="{00000000-0005-0000-0000-0000A5010000}"/>
    <cellStyle name="40% - Accent4 3 2" xfId="404" xr:uid="{00000000-0005-0000-0000-0000A6010000}"/>
    <cellStyle name="40% - Accent4 3 2 2" xfId="8557" xr:uid="{00000000-0005-0000-0000-0000A7010000}"/>
    <cellStyle name="40% - Accent4 3 2 2 2" xfId="8558" xr:uid="{00000000-0005-0000-0000-0000A8010000}"/>
    <cellStyle name="40% - Accent4 3 2 2 2 2" xfId="11025" xr:uid="{0F2C1F80-2C0A-4713-8FBF-314BCAC73C95}"/>
    <cellStyle name="40% - Accent4 3 2 2 3" xfId="11024" xr:uid="{CE08FE97-AD8E-4F18-B886-6626A9319F6E}"/>
    <cellStyle name="40% - Accent4 3 2 3" xfId="8559" xr:uid="{00000000-0005-0000-0000-0000A9010000}"/>
    <cellStyle name="40% - Accent4 3 2 3 2" xfId="8560" xr:uid="{00000000-0005-0000-0000-0000AA010000}"/>
    <cellStyle name="40% - Accent4 3 2 3 2 2" xfId="11027" xr:uid="{7C096F0D-B472-477A-9FF9-27383C68585A}"/>
    <cellStyle name="40% - Accent4 3 2 3 3" xfId="11026" xr:uid="{3FB25AB1-4BDA-4C91-83D7-BD1546C400BA}"/>
    <cellStyle name="40% - Accent4 3 2 4" xfId="8561" xr:uid="{00000000-0005-0000-0000-0000AB010000}"/>
    <cellStyle name="40% - Accent4 3 2 4 2" xfId="11028" xr:uid="{90464B99-22B0-429E-A24D-82009F312099}"/>
    <cellStyle name="40% - Accent4 3 2 5" xfId="11023" xr:uid="{6942A15A-E628-4A06-9ACF-90F9EF115F21}"/>
    <cellStyle name="40% - Accent4 3 2 6" xfId="12035" xr:uid="{5E457A2F-7B0A-4D09-8018-DCE15F8A86A1}"/>
    <cellStyle name="40% - Accent4 3 3" xfId="8562" xr:uid="{00000000-0005-0000-0000-0000AC010000}"/>
    <cellStyle name="40% - Accent4 3 3 2" xfId="8563" xr:uid="{00000000-0005-0000-0000-0000AD010000}"/>
    <cellStyle name="40% - Accent4 3 3 2 2" xfId="11030" xr:uid="{231226DF-B6B1-4822-B8E0-4FF3C8DEA03F}"/>
    <cellStyle name="40% - Accent4 3 3 3" xfId="11029" xr:uid="{33380823-0EBE-456E-B7E2-D4670E5600A6}"/>
    <cellStyle name="40% - Accent4 3 3 4" xfId="11917" xr:uid="{F1EE5278-73F3-4C2C-B4EE-D83776F5757F}"/>
    <cellStyle name="40% - Accent4 3 4" xfId="8564" xr:uid="{00000000-0005-0000-0000-0000AE010000}"/>
    <cellStyle name="40% - Accent4 3 4 2" xfId="8565" xr:uid="{00000000-0005-0000-0000-0000AF010000}"/>
    <cellStyle name="40% - Accent4 3 4 2 2" xfId="11032" xr:uid="{DA9DCFB8-99AD-4414-A9C9-2B5749CA3796}"/>
    <cellStyle name="40% - Accent4 3 4 3" xfId="11031" xr:uid="{01EB63C9-C61D-49B1-8AEE-34F63AA56EB8}"/>
    <cellStyle name="40% - Accent4 3 5" xfId="8566" xr:uid="{00000000-0005-0000-0000-0000B0010000}"/>
    <cellStyle name="40% - Accent4 3 5 2" xfId="11033" xr:uid="{A91BCFDE-C689-4E50-9871-081DEF38664F}"/>
    <cellStyle name="40% - Accent4 3 6" xfId="10412" xr:uid="{E0347ACF-A1AA-42A5-A5D1-DDD67255B205}"/>
    <cellStyle name="40% - Accent4 4" xfId="405" xr:uid="{00000000-0005-0000-0000-0000B1010000}"/>
    <cellStyle name="40% - Accent4 4 2" xfId="406" xr:uid="{00000000-0005-0000-0000-0000B2010000}"/>
    <cellStyle name="40% - Accent4 4 2 2" xfId="8567" xr:uid="{00000000-0005-0000-0000-0000B3010000}"/>
    <cellStyle name="40% - Accent4 4 2 2 2" xfId="8568" xr:uid="{00000000-0005-0000-0000-0000B4010000}"/>
    <cellStyle name="40% - Accent4 4 2 2 2 2" xfId="11037" xr:uid="{B0FE7272-38DC-444C-9F7E-06CA0FF73040}"/>
    <cellStyle name="40% - Accent4 4 2 2 3" xfId="11036" xr:uid="{A98C6B2D-9BC7-4FD3-8539-279F88A715D3}"/>
    <cellStyle name="40% - Accent4 4 2 3" xfId="8569" xr:uid="{00000000-0005-0000-0000-0000B5010000}"/>
    <cellStyle name="40% - Accent4 4 2 3 2" xfId="8570" xr:uid="{00000000-0005-0000-0000-0000B6010000}"/>
    <cellStyle name="40% - Accent4 4 2 3 2 2" xfId="11039" xr:uid="{74836693-37CB-41F1-93F9-67198268ED24}"/>
    <cellStyle name="40% - Accent4 4 2 3 3" xfId="11038" xr:uid="{87EACC98-4BE9-42C7-8BC6-9E96C06168C2}"/>
    <cellStyle name="40% - Accent4 4 2 4" xfId="8571" xr:uid="{00000000-0005-0000-0000-0000B7010000}"/>
    <cellStyle name="40% - Accent4 4 2 4 2" xfId="11040" xr:uid="{79E21BAD-5E76-402F-A1D2-F63D5E5E2DF3}"/>
    <cellStyle name="40% - Accent4 4 2 5" xfId="11035" xr:uid="{6DF8917B-18AF-4468-8709-B903F2EC49DE}"/>
    <cellStyle name="40% - Accent4 4 2 6" xfId="12037" xr:uid="{132C94D0-1446-4A48-9E2E-2922C877308B}"/>
    <cellStyle name="40% - Accent4 4 3" xfId="8572" xr:uid="{00000000-0005-0000-0000-0000B8010000}"/>
    <cellStyle name="40% - Accent4 4 3 2" xfId="8573" xr:uid="{00000000-0005-0000-0000-0000B9010000}"/>
    <cellStyle name="40% - Accent4 4 3 2 2" xfId="11042" xr:uid="{8EE9B726-C67A-4093-990E-2C2EDB50FAB5}"/>
    <cellStyle name="40% - Accent4 4 3 3" xfId="11041" xr:uid="{B855EEE0-FF04-46B2-A76C-4FFE8E734B50}"/>
    <cellStyle name="40% - Accent4 4 4" xfId="8574" xr:uid="{00000000-0005-0000-0000-0000BA010000}"/>
    <cellStyle name="40% - Accent4 4 4 2" xfId="8575" xr:uid="{00000000-0005-0000-0000-0000BB010000}"/>
    <cellStyle name="40% - Accent4 4 4 2 2" xfId="11044" xr:uid="{37012BAA-F159-4B43-9C85-ECDDB1997580}"/>
    <cellStyle name="40% - Accent4 4 4 3" xfId="11043" xr:uid="{A01DD2C3-7A77-4400-8EFF-777EC21B4AF9}"/>
    <cellStyle name="40% - Accent4 4 5" xfId="8576" xr:uid="{00000000-0005-0000-0000-0000BC010000}"/>
    <cellStyle name="40% - Accent4 4 5 2" xfId="11045" xr:uid="{0C1E79F4-3470-4A05-A45D-C096E8217828}"/>
    <cellStyle name="40% - Accent4 4 6" xfId="11034" xr:uid="{6099981F-DB03-4F80-ACEE-8C8AD02C5694}"/>
    <cellStyle name="40% - Accent4 4 7" xfId="12036" xr:uid="{B72CBE24-9307-4C5F-A0B7-3BC4B4FE2BC0}"/>
    <cellStyle name="40% - Accent4 5" xfId="407" xr:uid="{00000000-0005-0000-0000-0000BD010000}"/>
    <cellStyle name="40% - Accent4 5 2" xfId="8577" xr:uid="{00000000-0005-0000-0000-0000BE010000}"/>
    <cellStyle name="40% - Accent4 5 2 2" xfId="8578" xr:uid="{00000000-0005-0000-0000-0000BF010000}"/>
    <cellStyle name="40% - Accent4 5 2 2 2" xfId="11048" xr:uid="{3B37FDA2-D3E9-49FE-B390-8C716DE1C008}"/>
    <cellStyle name="40% - Accent4 5 2 3" xfId="11047" xr:uid="{9444062B-DCD0-45E8-9212-8CDCFC2BD686}"/>
    <cellStyle name="40% - Accent4 5 3" xfId="8579" xr:uid="{00000000-0005-0000-0000-0000C0010000}"/>
    <cellStyle name="40% - Accent4 5 3 2" xfId="8580" xr:uid="{00000000-0005-0000-0000-0000C1010000}"/>
    <cellStyle name="40% - Accent4 5 3 2 2" xfId="11050" xr:uid="{A0606D0B-0A55-4C65-BC47-CF3020BFA3A2}"/>
    <cellStyle name="40% - Accent4 5 3 3" xfId="11049" xr:uid="{50EB3FB3-0FBD-4010-9DAB-7F647AE75641}"/>
    <cellStyle name="40% - Accent4 5 4" xfId="8581" xr:uid="{00000000-0005-0000-0000-0000C2010000}"/>
    <cellStyle name="40% - Accent4 5 4 2" xfId="11051" xr:uid="{B62FFDBD-1BFE-436A-94DF-DF8A260494CD}"/>
    <cellStyle name="40% - Accent4 5 5" xfId="11046" xr:uid="{93C460A2-02A5-4811-9A48-59C43B458421}"/>
    <cellStyle name="40% - Accent4 5 6" xfId="12038" xr:uid="{ECAC8394-B867-4E5C-AF68-211DC50434CF}"/>
    <cellStyle name="40% - Accent5 2" xfId="33" xr:uid="{00000000-0005-0000-0000-0000C3010000}"/>
    <cellStyle name="40% - Accent5 2 2" xfId="408" xr:uid="{00000000-0005-0000-0000-0000C4010000}"/>
    <cellStyle name="40% - Accent5 2 2 2" xfId="8582" xr:uid="{00000000-0005-0000-0000-0000C5010000}"/>
    <cellStyle name="40% - Accent5 2 2 2 2" xfId="8583" xr:uid="{00000000-0005-0000-0000-0000C6010000}"/>
    <cellStyle name="40% - Accent5 2 2 2 2 2" xfId="11054" xr:uid="{9FA3D092-82A3-478D-B47F-D506704E7A45}"/>
    <cellStyle name="40% - Accent5 2 2 2 3" xfId="11053" xr:uid="{B6A6A333-434C-4653-9765-8AC86229F9F6}"/>
    <cellStyle name="40% - Accent5 2 2 3" xfId="8584" xr:uid="{00000000-0005-0000-0000-0000C7010000}"/>
    <cellStyle name="40% - Accent5 2 2 3 2" xfId="8585" xr:uid="{00000000-0005-0000-0000-0000C8010000}"/>
    <cellStyle name="40% - Accent5 2 2 3 2 2" xfId="11056" xr:uid="{34F033E5-8857-46C5-9B4F-94D1414BF2F4}"/>
    <cellStyle name="40% - Accent5 2 2 3 3" xfId="11055" xr:uid="{3CAF419B-74AB-48C4-ADF8-175E7AD32697}"/>
    <cellStyle name="40% - Accent5 2 2 4" xfId="8586" xr:uid="{00000000-0005-0000-0000-0000C9010000}"/>
    <cellStyle name="40% - Accent5 2 2 4 2" xfId="11057" xr:uid="{C6937006-691E-4672-A5C3-86A931D9C860}"/>
    <cellStyle name="40% - Accent5 2 2 5" xfId="11052" xr:uid="{5F2041CF-4706-4728-8BE4-9578E27A58DE}"/>
    <cellStyle name="40% - Accent5 2 2 6" xfId="12039" xr:uid="{22FF889A-ADD3-463A-91E3-40D8C7CC7485}"/>
    <cellStyle name="40% - Accent5 2 3" xfId="8587" xr:uid="{00000000-0005-0000-0000-0000CA010000}"/>
    <cellStyle name="40% - Accent5 2 3 2" xfId="8588" xr:uid="{00000000-0005-0000-0000-0000CB010000}"/>
    <cellStyle name="40% - Accent5 2 3 2 2" xfId="11059" xr:uid="{20492A01-6A48-4297-9A93-EFED3BE0C377}"/>
    <cellStyle name="40% - Accent5 2 3 3" xfId="11058" xr:uid="{A0A15B83-AB53-4AB4-8965-EC9083F6B68C}"/>
    <cellStyle name="40% - Accent5 2 4" xfId="8589" xr:uid="{00000000-0005-0000-0000-0000CC010000}"/>
    <cellStyle name="40% - Accent5 2 4 2" xfId="8590" xr:uid="{00000000-0005-0000-0000-0000CD010000}"/>
    <cellStyle name="40% - Accent5 2 4 2 2" xfId="11061" xr:uid="{20CCE194-13A6-45B8-830C-14E6B27A60A2}"/>
    <cellStyle name="40% - Accent5 2 4 3" xfId="11060" xr:uid="{DBFFC897-0480-4BA1-B418-8866013EDC52}"/>
    <cellStyle name="40% - Accent5 2 5" xfId="8591" xr:uid="{00000000-0005-0000-0000-0000CE010000}"/>
    <cellStyle name="40% - Accent5 2 5 2" xfId="8592" xr:uid="{00000000-0005-0000-0000-0000CF010000}"/>
    <cellStyle name="40% - Accent5 2 5 2 2" xfId="11063" xr:uid="{21607E8A-6D3F-4481-A197-04324D6F7E14}"/>
    <cellStyle name="40% - Accent5 2 5 3" xfId="11062" xr:uid="{008B2EBA-7E66-400F-B92B-FB94ED90060F}"/>
    <cellStyle name="40% - Accent5 3" xfId="259" xr:uid="{00000000-0005-0000-0000-0000D0010000}"/>
    <cellStyle name="40% - Accent5 3 2" xfId="409" xr:uid="{00000000-0005-0000-0000-0000D1010000}"/>
    <cellStyle name="40% - Accent5 3 2 2" xfId="8593" xr:uid="{00000000-0005-0000-0000-0000D2010000}"/>
    <cellStyle name="40% - Accent5 3 2 2 2" xfId="8594" xr:uid="{00000000-0005-0000-0000-0000D3010000}"/>
    <cellStyle name="40% - Accent5 3 2 2 2 2" xfId="11066" xr:uid="{98475A32-13FC-4F56-ACC3-740BEC6B927A}"/>
    <cellStyle name="40% - Accent5 3 2 2 3" xfId="11065" xr:uid="{F0AA3497-31AB-4EC5-AD0C-BF97AB5205C3}"/>
    <cellStyle name="40% - Accent5 3 2 3" xfId="8595" xr:uid="{00000000-0005-0000-0000-0000D4010000}"/>
    <cellStyle name="40% - Accent5 3 2 3 2" xfId="8596" xr:uid="{00000000-0005-0000-0000-0000D5010000}"/>
    <cellStyle name="40% - Accent5 3 2 3 2 2" xfId="11068" xr:uid="{643FDC5A-EB51-4CFF-B39D-81B091DD737A}"/>
    <cellStyle name="40% - Accent5 3 2 3 3" xfId="11067" xr:uid="{17557116-25F4-4FCB-9C34-D8AEDE5B8A5E}"/>
    <cellStyle name="40% - Accent5 3 2 4" xfId="8597" xr:uid="{00000000-0005-0000-0000-0000D6010000}"/>
    <cellStyle name="40% - Accent5 3 2 4 2" xfId="11069" xr:uid="{000C7CCA-43A2-4B6A-92D1-CAFBA8779D79}"/>
    <cellStyle name="40% - Accent5 3 2 5" xfId="11064" xr:uid="{8BC85C04-A51E-4904-8006-81FF0DA683F0}"/>
    <cellStyle name="40% - Accent5 3 2 6" xfId="12040" xr:uid="{7BC96DB4-101B-4538-A47A-EE3EE9D30CBB}"/>
    <cellStyle name="40% - Accent5 3 3" xfId="8598" xr:uid="{00000000-0005-0000-0000-0000D7010000}"/>
    <cellStyle name="40% - Accent5 3 3 2" xfId="8599" xr:uid="{00000000-0005-0000-0000-0000D8010000}"/>
    <cellStyle name="40% - Accent5 3 3 2 2" xfId="11071" xr:uid="{097B7E78-E06E-4231-9D2C-37D61F19A587}"/>
    <cellStyle name="40% - Accent5 3 3 3" xfId="11070" xr:uid="{F9E1D1EB-A43D-4471-B3DD-5207F0536FD3}"/>
    <cellStyle name="40% - Accent5 3 3 4" xfId="11918" xr:uid="{2EFC1B6C-87FA-4382-A3BD-C7A5E3CAEF69}"/>
    <cellStyle name="40% - Accent5 3 4" xfId="8600" xr:uid="{00000000-0005-0000-0000-0000D9010000}"/>
    <cellStyle name="40% - Accent5 3 4 2" xfId="8601" xr:uid="{00000000-0005-0000-0000-0000DA010000}"/>
    <cellStyle name="40% - Accent5 3 4 2 2" xfId="11073" xr:uid="{5949D949-ACF0-4E4B-9DB6-8FA54464DADD}"/>
    <cellStyle name="40% - Accent5 3 4 3" xfId="11072" xr:uid="{C113DC94-1B23-47C4-B062-F620D6B2ABCB}"/>
    <cellStyle name="40% - Accent5 3 5" xfId="8602" xr:uid="{00000000-0005-0000-0000-0000DB010000}"/>
    <cellStyle name="40% - Accent5 3 5 2" xfId="11074" xr:uid="{C904ABC0-C179-4AF6-9466-1320424590F6}"/>
    <cellStyle name="40% - Accent5 3 6" xfId="10413" xr:uid="{3F5DE764-015F-4F44-9B5E-40B0AB5C0B2F}"/>
    <cellStyle name="40% - Accent5 4" xfId="410" xr:uid="{00000000-0005-0000-0000-0000DC010000}"/>
    <cellStyle name="40% - Accent5 4 2" xfId="411" xr:uid="{00000000-0005-0000-0000-0000DD010000}"/>
    <cellStyle name="40% - Accent5 4 2 2" xfId="8603" xr:uid="{00000000-0005-0000-0000-0000DE010000}"/>
    <cellStyle name="40% - Accent5 4 2 2 2" xfId="8604" xr:uid="{00000000-0005-0000-0000-0000DF010000}"/>
    <cellStyle name="40% - Accent5 4 2 2 2 2" xfId="11078" xr:uid="{014660D2-5E97-48F6-9424-8860D7A8A6F4}"/>
    <cellStyle name="40% - Accent5 4 2 2 3" xfId="11077" xr:uid="{AC541036-2E64-4CDC-8D4A-06B4987D632C}"/>
    <cellStyle name="40% - Accent5 4 2 3" xfId="8605" xr:uid="{00000000-0005-0000-0000-0000E0010000}"/>
    <cellStyle name="40% - Accent5 4 2 3 2" xfId="8606" xr:uid="{00000000-0005-0000-0000-0000E1010000}"/>
    <cellStyle name="40% - Accent5 4 2 3 2 2" xfId="11080" xr:uid="{6E2DB57A-85DF-4C5E-8792-7D2345CD9551}"/>
    <cellStyle name="40% - Accent5 4 2 3 3" xfId="11079" xr:uid="{AC8E0849-40C3-4754-A557-BE86AA1DF5BB}"/>
    <cellStyle name="40% - Accent5 4 2 4" xfId="8607" xr:uid="{00000000-0005-0000-0000-0000E2010000}"/>
    <cellStyle name="40% - Accent5 4 2 4 2" xfId="11081" xr:uid="{1C146C71-66D4-4EC0-B56F-31FED2E281DA}"/>
    <cellStyle name="40% - Accent5 4 2 5" xfId="11076" xr:uid="{A3B50AA5-157E-4049-8853-DDACCCE952FD}"/>
    <cellStyle name="40% - Accent5 4 2 6" xfId="12042" xr:uid="{5B197BE8-C36D-4152-B7DB-75AE9FADA923}"/>
    <cellStyle name="40% - Accent5 4 3" xfId="8608" xr:uid="{00000000-0005-0000-0000-0000E3010000}"/>
    <cellStyle name="40% - Accent5 4 3 2" xfId="8609" xr:uid="{00000000-0005-0000-0000-0000E4010000}"/>
    <cellStyle name="40% - Accent5 4 3 2 2" xfId="11083" xr:uid="{593CCE00-C764-452E-AD4C-2B51FEF438EF}"/>
    <cellStyle name="40% - Accent5 4 3 3" xfId="11082" xr:uid="{233E116E-0BCB-4FC3-B7D3-E6E523894A34}"/>
    <cellStyle name="40% - Accent5 4 4" xfId="8610" xr:uid="{00000000-0005-0000-0000-0000E5010000}"/>
    <cellStyle name="40% - Accent5 4 4 2" xfId="8611" xr:uid="{00000000-0005-0000-0000-0000E6010000}"/>
    <cellStyle name="40% - Accent5 4 4 2 2" xfId="11085" xr:uid="{217C3CC1-05E3-4E4A-93A8-6EDE2E684E3B}"/>
    <cellStyle name="40% - Accent5 4 4 3" xfId="11084" xr:uid="{472FA826-A89C-408B-8BC1-EE9922B50BD0}"/>
    <cellStyle name="40% - Accent5 4 5" xfId="8612" xr:uid="{00000000-0005-0000-0000-0000E7010000}"/>
    <cellStyle name="40% - Accent5 4 5 2" xfId="11086" xr:uid="{30F6A58C-519E-4730-9291-A5CDDE84FAE2}"/>
    <cellStyle name="40% - Accent5 4 6" xfId="11075" xr:uid="{CFFE20BD-8608-43D2-8359-58816CC6624A}"/>
    <cellStyle name="40% - Accent5 4 7" xfId="12041" xr:uid="{E03F11F8-3357-47D0-841C-EF1033A695BD}"/>
    <cellStyle name="40% - Accent5 5" xfId="412" xr:uid="{00000000-0005-0000-0000-0000E8010000}"/>
    <cellStyle name="40% - Accent5 5 2" xfId="8613" xr:uid="{00000000-0005-0000-0000-0000E9010000}"/>
    <cellStyle name="40% - Accent5 5 2 2" xfId="8614" xr:uid="{00000000-0005-0000-0000-0000EA010000}"/>
    <cellStyle name="40% - Accent5 5 2 2 2" xfId="11089" xr:uid="{CC687BF7-4FAA-44AE-BF2D-443B6FA49DF6}"/>
    <cellStyle name="40% - Accent5 5 2 3" xfId="11088" xr:uid="{CCA96DBB-D97F-4BA4-8743-9FC036BE9104}"/>
    <cellStyle name="40% - Accent5 5 3" xfId="8615" xr:uid="{00000000-0005-0000-0000-0000EB010000}"/>
    <cellStyle name="40% - Accent5 5 3 2" xfId="8616" xr:uid="{00000000-0005-0000-0000-0000EC010000}"/>
    <cellStyle name="40% - Accent5 5 3 2 2" xfId="11091" xr:uid="{336F83F3-4E42-4702-9A07-C417FA9EA284}"/>
    <cellStyle name="40% - Accent5 5 3 3" xfId="11090" xr:uid="{1C0AA6FE-B636-4245-BFBC-0778580CFB86}"/>
    <cellStyle name="40% - Accent5 5 4" xfId="8617" xr:uid="{00000000-0005-0000-0000-0000ED010000}"/>
    <cellStyle name="40% - Accent5 5 4 2" xfId="11092" xr:uid="{7D916309-82DD-4517-8F00-25DB5F230683}"/>
    <cellStyle name="40% - Accent5 5 5" xfId="11087" xr:uid="{F9337B03-37C8-492A-958F-FCE6F24AE46E}"/>
    <cellStyle name="40% - Accent5 5 6" xfId="12043" xr:uid="{36872ACD-6B2B-43E0-97D2-CA680F9B16F1}"/>
    <cellStyle name="40% - Accent6 2" xfId="34" xr:uid="{00000000-0005-0000-0000-0000EE010000}"/>
    <cellStyle name="40% - Accent6 2 2" xfId="260" xr:uid="{00000000-0005-0000-0000-0000EF010000}"/>
    <cellStyle name="40% - Accent6 2 2 2" xfId="8618" xr:uid="{00000000-0005-0000-0000-0000F0010000}"/>
    <cellStyle name="40% - Accent6 2 2 2 2" xfId="8619" xr:uid="{00000000-0005-0000-0000-0000F1010000}"/>
    <cellStyle name="40% - Accent6 2 2 2 2 2" xfId="11094" xr:uid="{B551432D-DD0C-4A8E-BB75-8E60FF3F28E7}"/>
    <cellStyle name="40% - Accent6 2 2 2 3" xfId="11093" xr:uid="{C164C2ED-EB79-4E12-9E6B-78688C2AACDC}"/>
    <cellStyle name="40% - Accent6 2 2 3" xfId="8620" xr:uid="{00000000-0005-0000-0000-0000F2010000}"/>
    <cellStyle name="40% - Accent6 2 2 3 2" xfId="8621" xr:uid="{00000000-0005-0000-0000-0000F3010000}"/>
    <cellStyle name="40% - Accent6 2 2 3 2 2" xfId="11096" xr:uid="{C4797005-802A-4F02-A191-4FB24AEB794E}"/>
    <cellStyle name="40% - Accent6 2 2 3 3" xfId="11095" xr:uid="{9040A0A8-FCC4-4E2B-9BAC-9C86366B6FD7}"/>
    <cellStyle name="40% - Accent6 2 2 4" xfId="8622" xr:uid="{00000000-0005-0000-0000-0000F4010000}"/>
    <cellStyle name="40% - Accent6 2 2 5" xfId="8623" xr:uid="{00000000-0005-0000-0000-0000F5010000}"/>
    <cellStyle name="40% - Accent6 2 2 5 2" xfId="11097" xr:uid="{EC56E5D8-7443-4AE5-90A8-14E2C7CB050E}"/>
    <cellStyle name="40% - Accent6 2 2 6" xfId="8187" xr:uid="{00000000-0005-0000-0000-0000F6010000}"/>
    <cellStyle name="40% - Accent6 2 2 6 2" xfId="11098" xr:uid="{6C2CDE69-9F56-4501-8C6B-72AA6D8B609F}"/>
    <cellStyle name="40% - Accent6 2 3" xfId="8624" xr:uid="{00000000-0005-0000-0000-0000F7010000}"/>
    <cellStyle name="40% - Accent6 2 3 2" xfId="8625" xr:uid="{00000000-0005-0000-0000-0000F8010000}"/>
    <cellStyle name="40% - Accent6 2 3 2 2" xfId="11100" xr:uid="{F865BB83-642B-4498-A276-0469EC20D7F5}"/>
    <cellStyle name="40% - Accent6 2 3 3" xfId="11099" xr:uid="{08819C2D-920A-4067-91B4-1FEE675DC770}"/>
    <cellStyle name="40% - Accent6 2 4" xfId="8626" xr:uid="{00000000-0005-0000-0000-0000F9010000}"/>
    <cellStyle name="40% - Accent6 2 4 2" xfId="8627" xr:uid="{00000000-0005-0000-0000-0000FA010000}"/>
    <cellStyle name="40% - Accent6 2 4 2 2" xfId="11102" xr:uid="{D1329DD3-BB39-4F09-B0E2-4D8EBABBF863}"/>
    <cellStyle name="40% - Accent6 2 4 3" xfId="11101" xr:uid="{E3A0CE00-1777-4C57-8666-909FFBC14294}"/>
    <cellStyle name="40% - Accent6 2 5" xfId="8628" xr:uid="{00000000-0005-0000-0000-0000FB010000}"/>
    <cellStyle name="40% - Accent6 2 5 2" xfId="8629" xr:uid="{00000000-0005-0000-0000-0000FC010000}"/>
    <cellStyle name="40% - Accent6 2 5 2 2" xfId="11104" xr:uid="{D93A0025-2733-43CF-8343-DFC5D699C589}"/>
    <cellStyle name="40% - Accent6 2 5 3" xfId="11103" xr:uid="{3A42D991-D090-40B5-B171-098F77A7DF42}"/>
    <cellStyle name="40% - Accent6 2 6" xfId="8186" xr:uid="{00000000-0005-0000-0000-0000FD010000}"/>
    <cellStyle name="40% - Accent6 2 6 2" xfId="11105" xr:uid="{43AB94B0-7868-4FFA-9AE2-C92C2D3E9C57}"/>
    <cellStyle name="40% - Accent6 3" xfId="261" xr:uid="{00000000-0005-0000-0000-0000FE010000}"/>
    <cellStyle name="40% - Accent6 3 2" xfId="413" xr:uid="{00000000-0005-0000-0000-0000FF010000}"/>
    <cellStyle name="40% - Accent6 3 2 2" xfId="8630" xr:uid="{00000000-0005-0000-0000-000000020000}"/>
    <cellStyle name="40% - Accent6 3 2 2 2" xfId="8631" xr:uid="{00000000-0005-0000-0000-000001020000}"/>
    <cellStyle name="40% - Accent6 3 2 2 2 2" xfId="11108" xr:uid="{410F4A9D-A8A2-46AB-AEE2-559BB68FE184}"/>
    <cellStyle name="40% - Accent6 3 2 2 3" xfId="11107" xr:uid="{E40A76BE-2B4C-4E10-A65F-449CE7BDD50C}"/>
    <cellStyle name="40% - Accent6 3 2 3" xfId="8632" xr:uid="{00000000-0005-0000-0000-000002020000}"/>
    <cellStyle name="40% - Accent6 3 2 3 2" xfId="8633" xr:uid="{00000000-0005-0000-0000-000003020000}"/>
    <cellStyle name="40% - Accent6 3 2 3 2 2" xfId="11110" xr:uid="{31BD6241-5E46-499C-8030-B51736725410}"/>
    <cellStyle name="40% - Accent6 3 2 3 3" xfId="11109" xr:uid="{C1085CB5-34D9-4AD7-B301-44263C8532F0}"/>
    <cellStyle name="40% - Accent6 3 2 4" xfId="8634" xr:uid="{00000000-0005-0000-0000-000004020000}"/>
    <cellStyle name="40% - Accent6 3 2 4 2" xfId="11111" xr:uid="{3BDC4DB4-D315-44DC-8E93-46AE24E91B1C}"/>
    <cellStyle name="40% - Accent6 3 2 5" xfId="11106" xr:uid="{8206D654-668C-480B-86D7-1BDC8D2F5922}"/>
    <cellStyle name="40% - Accent6 3 2 6" xfId="12044" xr:uid="{35AA874F-2574-4ED5-8C42-322BA073C46B}"/>
    <cellStyle name="40% - Accent6 3 3" xfId="8635" xr:uid="{00000000-0005-0000-0000-000005020000}"/>
    <cellStyle name="40% - Accent6 3 3 2" xfId="8636" xr:uid="{00000000-0005-0000-0000-000006020000}"/>
    <cellStyle name="40% - Accent6 3 3 2 2" xfId="11113" xr:uid="{6D879EF1-40AC-405F-ADDF-41E71DA44018}"/>
    <cellStyle name="40% - Accent6 3 3 3" xfId="11112" xr:uid="{29293F9A-26B5-43A1-A9E0-B4D955A273BE}"/>
    <cellStyle name="40% - Accent6 3 3 4" xfId="11919" xr:uid="{8D29407E-D6A9-4250-A789-4931F2161965}"/>
    <cellStyle name="40% - Accent6 3 4" xfId="8637" xr:uid="{00000000-0005-0000-0000-000007020000}"/>
    <cellStyle name="40% - Accent6 3 4 2" xfId="8638" xr:uid="{00000000-0005-0000-0000-000008020000}"/>
    <cellStyle name="40% - Accent6 3 4 2 2" xfId="11115" xr:uid="{45CCA661-26F0-4BBF-BD59-9AFBBA9B4006}"/>
    <cellStyle name="40% - Accent6 3 4 3" xfId="11114" xr:uid="{85AB0109-5F61-4BA8-B4BD-095A01592D52}"/>
    <cellStyle name="40% - Accent6 3 5" xfId="8639" xr:uid="{00000000-0005-0000-0000-000009020000}"/>
    <cellStyle name="40% - Accent6 3 5 2" xfId="11116" xr:uid="{71F5B931-0C70-4368-BA67-3FED7145E8BC}"/>
    <cellStyle name="40% - Accent6 3 6" xfId="10414" xr:uid="{04BB065C-C6FC-490F-BE2C-9283E546B1ED}"/>
    <cellStyle name="40% - Accent6 4" xfId="414" xr:uid="{00000000-0005-0000-0000-00000A020000}"/>
    <cellStyle name="40% - Accent6 4 2" xfId="415" xr:uid="{00000000-0005-0000-0000-00000B020000}"/>
    <cellStyle name="40% - Accent6 4 2 2" xfId="8640" xr:uid="{00000000-0005-0000-0000-00000C020000}"/>
    <cellStyle name="40% - Accent6 4 2 2 2" xfId="8641" xr:uid="{00000000-0005-0000-0000-00000D020000}"/>
    <cellStyle name="40% - Accent6 4 2 2 2 2" xfId="11120" xr:uid="{039574FD-0A7B-412A-A791-E6C1AF712BD3}"/>
    <cellStyle name="40% - Accent6 4 2 2 3" xfId="11119" xr:uid="{E101ADCB-C6D2-4BC4-9704-F013B905BE83}"/>
    <cellStyle name="40% - Accent6 4 2 3" xfId="8642" xr:uid="{00000000-0005-0000-0000-00000E020000}"/>
    <cellStyle name="40% - Accent6 4 2 3 2" xfId="8643" xr:uid="{00000000-0005-0000-0000-00000F020000}"/>
    <cellStyle name="40% - Accent6 4 2 3 2 2" xfId="11122" xr:uid="{851F04C2-77F3-4951-9E32-B3E35EAF6A2C}"/>
    <cellStyle name="40% - Accent6 4 2 3 3" xfId="11121" xr:uid="{6D5E0DDE-BEA5-4FB4-BD28-D72C4C30F902}"/>
    <cellStyle name="40% - Accent6 4 2 4" xfId="8644" xr:uid="{00000000-0005-0000-0000-000010020000}"/>
    <cellStyle name="40% - Accent6 4 2 4 2" xfId="11123" xr:uid="{C0712FD9-F108-4D73-B45D-2BB6A3BF026E}"/>
    <cellStyle name="40% - Accent6 4 2 5" xfId="11118" xr:uid="{00886197-D9BD-442C-B9D5-7A43FE876021}"/>
    <cellStyle name="40% - Accent6 4 2 6" xfId="12046" xr:uid="{F3EBD2E0-74C7-4540-9797-E4F7C01CF97A}"/>
    <cellStyle name="40% - Accent6 4 3" xfId="8645" xr:uid="{00000000-0005-0000-0000-000011020000}"/>
    <cellStyle name="40% - Accent6 4 3 2" xfId="8646" xr:uid="{00000000-0005-0000-0000-000012020000}"/>
    <cellStyle name="40% - Accent6 4 3 2 2" xfId="11125" xr:uid="{89E2A164-8BCC-4CFE-82F5-59B990C5E223}"/>
    <cellStyle name="40% - Accent6 4 3 3" xfId="11124" xr:uid="{2E32B65B-5B02-47CB-8020-BB03494F0066}"/>
    <cellStyle name="40% - Accent6 4 4" xfId="8647" xr:uid="{00000000-0005-0000-0000-000013020000}"/>
    <cellStyle name="40% - Accent6 4 4 2" xfId="8648" xr:uid="{00000000-0005-0000-0000-000014020000}"/>
    <cellStyle name="40% - Accent6 4 4 2 2" xfId="11127" xr:uid="{7A16E5F7-7E49-4117-9564-DAEAD733519F}"/>
    <cellStyle name="40% - Accent6 4 4 3" xfId="11126" xr:uid="{77886502-915E-43ED-BCF3-5635923687E3}"/>
    <cellStyle name="40% - Accent6 4 5" xfId="8649" xr:uid="{00000000-0005-0000-0000-000015020000}"/>
    <cellStyle name="40% - Accent6 4 5 2" xfId="11128" xr:uid="{EA40241E-F7AE-4BD7-B1BA-E71A7CC86D73}"/>
    <cellStyle name="40% - Accent6 4 6" xfId="11117" xr:uid="{B64C3B56-6A7E-42E1-A0FD-01A0697DD778}"/>
    <cellStyle name="40% - Accent6 4 7" xfId="12045" xr:uid="{6147AE17-7C79-4CDD-BBDE-BE634E571B26}"/>
    <cellStyle name="40% - Accent6 5" xfId="416" xr:uid="{00000000-0005-0000-0000-000016020000}"/>
    <cellStyle name="40% - Accent6 5 2" xfId="8650" xr:uid="{00000000-0005-0000-0000-000017020000}"/>
    <cellStyle name="40% - Accent6 5 2 2" xfId="8651" xr:uid="{00000000-0005-0000-0000-000018020000}"/>
    <cellStyle name="40% - Accent6 5 2 2 2" xfId="11131" xr:uid="{D747CAD4-DADB-44A1-8071-B99084768A1A}"/>
    <cellStyle name="40% - Accent6 5 2 3" xfId="11130" xr:uid="{E93AFAF7-9C24-4DD1-80C4-059CB8D0FAE3}"/>
    <cellStyle name="40% - Accent6 5 3" xfId="8652" xr:uid="{00000000-0005-0000-0000-000019020000}"/>
    <cellStyle name="40% - Accent6 5 3 2" xfId="8653" xr:uid="{00000000-0005-0000-0000-00001A020000}"/>
    <cellStyle name="40% - Accent6 5 3 2 2" xfId="11133" xr:uid="{9F45BF6F-4650-4BE0-BD2C-225A517ADC71}"/>
    <cellStyle name="40% - Accent6 5 3 3" xfId="11132" xr:uid="{2FB750F6-7667-4AFE-9BBB-24C19D8EA7B7}"/>
    <cellStyle name="40% - Accent6 5 4" xfId="8654" xr:uid="{00000000-0005-0000-0000-00001B020000}"/>
    <cellStyle name="40% - Accent6 5 4 2" xfId="11134" xr:uid="{EAD19AC2-4843-4EF5-9474-3A28BCEC9EE1}"/>
    <cellStyle name="40% - Accent6 5 5" xfId="11129" xr:uid="{CE8EA008-7832-4858-BF20-E6249A4F06D6}"/>
    <cellStyle name="40% - Accent6 5 6" xfId="12047" xr:uid="{419A8C42-E348-4E46-A594-583CDD5B5ACF}"/>
    <cellStyle name="60% - Accent1 2" xfId="35" xr:uid="{00000000-0005-0000-0000-00001C020000}"/>
    <cellStyle name="60% - Accent1 2 2" xfId="262" xr:uid="{00000000-0005-0000-0000-00001D020000}"/>
    <cellStyle name="60% - Accent1 3" xfId="263" xr:uid="{00000000-0005-0000-0000-00001E020000}"/>
    <cellStyle name="60% - Accent1 3 2" xfId="9470" xr:uid="{E1F882A4-0A08-4369-9C86-ECC598F0C0CB}"/>
    <cellStyle name="60% - Accent2 2" xfId="36" xr:uid="{00000000-0005-0000-0000-00001F020000}"/>
    <cellStyle name="60% - Accent2 2 2" xfId="264" xr:uid="{00000000-0005-0000-0000-000020020000}"/>
    <cellStyle name="60% - Accent2 2 3" xfId="9471" xr:uid="{FDF511FC-8284-4A58-B995-A0BC2263FFCA}"/>
    <cellStyle name="60% - Accent2 3" xfId="265" xr:uid="{00000000-0005-0000-0000-000021020000}"/>
    <cellStyle name="60% - Accent3 2" xfId="37" xr:uid="{00000000-0005-0000-0000-000022020000}"/>
    <cellStyle name="60% - Accent3 2 2" xfId="266" xr:uid="{00000000-0005-0000-0000-000023020000}"/>
    <cellStyle name="60% - Accent3 2 3" xfId="9472" xr:uid="{0B5D7C9F-C6C1-486B-9883-AF3559AB13F5}"/>
    <cellStyle name="60% - Accent3 2 4" xfId="9473" xr:uid="{D815DA0A-C389-426B-9CBE-7942CE2A4A87}"/>
    <cellStyle name="60% - Accent3 3" xfId="267" xr:uid="{00000000-0005-0000-0000-000024020000}"/>
    <cellStyle name="60% - Accent3 3 2" xfId="9474" xr:uid="{00CAC609-B869-4E4E-948E-F77CB2927AC2}"/>
    <cellStyle name="60% - Accent3 3 2 2" xfId="11920" xr:uid="{BB260171-60E4-4CD0-9A6F-69EB108E896D}"/>
    <cellStyle name="60% - Accent3 3 3" xfId="10415" xr:uid="{F530AFF5-F54A-479E-90FA-7EDEB73458D7}"/>
    <cellStyle name="60% - Accent4 2" xfId="38" xr:uid="{00000000-0005-0000-0000-000025020000}"/>
    <cellStyle name="60% - Accent4 2 2" xfId="268" xr:uid="{00000000-0005-0000-0000-000026020000}"/>
    <cellStyle name="60% - Accent4 3" xfId="269" xr:uid="{00000000-0005-0000-0000-000027020000}"/>
    <cellStyle name="60% - Accent4 3 2" xfId="9475" xr:uid="{E77D32A8-A210-427D-AD89-FE532B91FB84}"/>
    <cellStyle name="60% - Accent5 2" xfId="39" xr:uid="{00000000-0005-0000-0000-000028020000}"/>
    <cellStyle name="60% - Accent5 3" xfId="270" xr:uid="{00000000-0005-0000-0000-000029020000}"/>
    <cellStyle name="60% - Accent6 2" xfId="40" xr:uid="{00000000-0005-0000-0000-00002A020000}"/>
    <cellStyle name="60% - Accent6 2 2" xfId="271" xr:uid="{00000000-0005-0000-0000-00002B020000}"/>
    <cellStyle name="60% - Accent6 3" xfId="272" xr:uid="{00000000-0005-0000-0000-00002C020000}"/>
    <cellStyle name="60% - Accent6 3 2" xfId="9476" xr:uid="{8FE48915-BCEE-44E2-A139-D01646113AB5}"/>
    <cellStyle name="6th PP Heading 1" xfId="9262" xr:uid="{41BEF124-D9A5-4896-903B-4F47C8696842}"/>
    <cellStyle name="Accent1 - 20%" xfId="41" xr:uid="{00000000-0005-0000-0000-00002D020000}"/>
    <cellStyle name="Accent1 - 40%" xfId="42" xr:uid="{00000000-0005-0000-0000-00002E020000}"/>
    <cellStyle name="Accent1 - 60%" xfId="43" xr:uid="{00000000-0005-0000-0000-00002F020000}"/>
    <cellStyle name="Accent1 2" xfId="44" xr:uid="{00000000-0005-0000-0000-000030020000}"/>
    <cellStyle name="Accent1 2 2" xfId="273" xr:uid="{00000000-0005-0000-0000-000031020000}"/>
    <cellStyle name="Accent1 3" xfId="274" xr:uid="{00000000-0005-0000-0000-000032020000}"/>
    <cellStyle name="Accent1 3 2" xfId="9477" xr:uid="{5A51476A-9230-48E0-AAFA-FBBCD0BA0F8B}"/>
    <cellStyle name="Accent2 - 20%" xfId="45" xr:uid="{00000000-0005-0000-0000-000033020000}"/>
    <cellStyle name="Accent2 - 40%" xfId="46" xr:uid="{00000000-0005-0000-0000-000034020000}"/>
    <cellStyle name="Accent2 - 60%" xfId="47" xr:uid="{00000000-0005-0000-0000-000035020000}"/>
    <cellStyle name="Accent2 2" xfId="48" xr:uid="{00000000-0005-0000-0000-000036020000}"/>
    <cellStyle name="Accent2 2 2" xfId="9478" xr:uid="{F8D5F248-B48F-4CC4-BFD8-E8E0A2EFAFE1}"/>
    <cellStyle name="Accent2 2 3" xfId="9479" xr:uid="{8971177D-C229-424F-86CE-35DA36439D63}"/>
    <cellStyle name="Accent2 3" xfId="275" xr:uid="{00000000-0005-0000-0000-000037020000}"/>
    <cellStyle name="Accent2 3 2" xfId="10416" xr:uid="{F56A0DDF-8381-47F1-977C-0375C83E8EB2}"/>
    <cellStyle name="Accent2 3 2 2" xfId="11921" xr:uid="{EC72E141-8BD3-4444-BCA8-5DE4537454AB}"/>
    <cellStyle name="Accent3 - 20%" xfId="49" xr:uid="{00000000-0005-0000-0000-000038020000}"/>
    <cellStyle name="Accent3 - 40%" xfId="50" xr:uid="{00000000-0005-0000-0000-000039020000}"/>
    <cellStyle name="Accent3 - 60%" xfId="51" xr:uid="{00000000-0005-0000-0000-00003A020000}"/>
    <cellStyle name="Accent3 2" xfId="52" xr:uid="{00000000-0005-0000-0000-00003B020000}"/>
    <cellStyle name="Accent3 2 2" xfId="276" xr:uid="{00000000-0005-0000-0000-00003C020000}"/>
    <cellStyle name="Accent3 2 3" xfId="9480" xr:uid="{9099F8CA-AB92-45D4-8980-0D4C20E75163}"/>
    <cellStyle name="Accent3 2 4" xfId="9481" xr:uid="{852E1E69-D9DB-44CC-B889-9FC0DD419029}"/>
    <cellStyle name="Accent3 3" xfId="277" xr:uid="{00000000-0005-0000-0000-00003D020000}"/>
    <cellStyle name="Accent3 3 2" xfId="10417" xr:uid="{02412E2B-60EF-4F35-A132-8868FEAD27FF}"/>
    <cellStyle name="Accent3 3 2 2" xfId="11922" xr:uid="{91CEFEBC-CDB1-4BC3-886E-1B36DF6787B7}"/>
    <cellStyle name="Accent4 - 20%" xfId="53" xr:uid="{00000000-0005-0000-0000-00003E020000}"/>
    <cellStyle name="Accent4 - 40%" xfId="54" xr:uid="{00000000-0005-0000-0000-00003F020000}"/>
    <cellStyle name="Accent4 - 60%" xfId="55" xr:uid="{00000000-0005-0000-0000-000040020000}"/>
    <cellStyle name="Accent4 2" xfId="56" xr:uid="{00000000-0005-0000-0000-000041020000}"/>
    <cellStyle name="Accent4 2 2" xfId="278" xr:uid="{00000000-0005-0000-0000-000042020000}"/>
    <cellStyle name="Accent4 2 3" xfId="9482" xr:uid="{D77356D3-342D-42A4-B9A4-C9918AB3A424}"/>
    <cellStyle name="Accent4 3" xfId="279" xr:uid="{00000000-0005-0000-0000-000043020000}"/>
    <cellStyle name="Accent4 3 2" xfId="9483" xr:uid="{4740237E-4AE4-4C81-9D9E-C85D72F1129E}"/>
    <cellStyle name="Accent5 - 20%" xfId="57" xr:uid="{00000000-0005-0000-0000-000044020000}"/>
    <cellStyle name="Accent5 - 40%" xfId="58" xr:uid="{00000000-0005-0000-0000-000045020000}"/>
    <cellStyle name="Accent5 - 60%" xfId="59" xr:uid="{00000000-0005-0000-0000-000046020000}"/>
    <cellStyle name="Accent5 2" xfId="60" xr:uid="{00000000-0005-0000-0000-000047020000}"/>
    <cellStyle name="Accent5 3" xfId="280" xr:uid="{00000000-0005-0000-0000-000048020000}"/>
    <cellStyle name="Accent6 - 20%" xfId="61" xr:uid="{00000000-0005-0000-0000-000049020000}"/>
    <cellStyle name="Accent6 - 40%" xfId="62" xr:uid="{00000000-0005-0000-0000-00004A020000}"/>
    <cellStyle name="Accent6 - 60%" xfId="63" xr:uid="{00000000-0005-0000-0000-00004B020000}"/>
    <cellStyle name="Accent6 2" xfId="64" xr:uid="{00000000-0005-0000-0000-00004C020000}"/>
    <cellStyle name="Accent6 2 2" xfId="9484" xr:uid="{ED6715C8-2B6D-4790-AD0F-65CCC2C5D158}"/>
    <cellStyle name="Accent6 2 3" xfId="9485" xr:uid="{34EE8BDB-FBD5-4CC3-9119-34E668B8AD52}"/>
    <cellStyle name="Accent6 3" xfId="281" xr:uid="{00000000-0005-0000-0000-00004D020000}"/>
    <cellStyle name="Accent6 3 2" xfId="10418" xr:uid="{FA0854A5-3AB6-43F7-B146-34925D848C9D}"/>
    <cellStyle name="Accent6 3 2 2" xfId="11923" xr:uid="{6E8BB20F-DC31-47C7-B072-C4DB4130197C}"/>
    <cellStyle name="aMW" xfId="9338" xr:uid="{A37EC7A3-DB3E-4AE8-961A-07A4F6E59EC1}"/>
    <cellStyle name="Assumption" xfId="9339" xr:uid="{B069E849-4A3F-40F6-8B93-3CC78D9E30E0}"/>
    <cellStyle name="Bad 2" xfId="65" xr:uid="{00000000-0005-0000-0000-00004F020000}"/>
    <cellStyle name="Bad 2 2" xfId="282" xr:uid="{00000000-0005-0000-0000-000050020000}"/>
    <cellStyle name="Bad 2 3" xfId="9486" xr:uid="{51A16E56-86E1-471F-A04F-A2254691B635}"/>
    <cellStyle name="Bad 3" xfId="283" xr:uid="{00000000-0005-0000-0000-000051020000}"/>
    <cellStyle name="Bad 3 2" xfId="10419" xr:uid="{BF6FFAF6-280C-4F1B-B1A6-6F58EA40086B}"/>
    <cellStyle name="Bad 3 2 2" xfId="11924" xr:uid="{13C776DE-540B-4A99-BEDB-3F81931B6BF2}"/>
    <cellStyle name="Baseline" xfId="9340" xr:uid="{105BB1BB-AEDD-4074-A1E4-31625ED95786}"/>
    <cellStyle name="BOC1" xfId="9341" xr:uid="{DD90037B-BA14-4792-BB72-2D8E8B7BA93A}"/>
    <cellStyle name="BOC2" xfId="9342" xr:uid="{0F477FE7-A161-4AE3-8C3E-E9B3AA3E662E}"/>
    <cellStyle name="Calculated but Overridable" xfId="9176" xr:uid="{67E7686F-C947-4636-8762-188D8CCBA66B}"/>
    <cellStyle name="Calculated Cell" xfId="9177" xr:uid="{B79D51CA-D129-4EC5-9583-D954A99E0058}"/>
    <cellStyle name="Calculation 2" xfId="66" xr:uid="{00000000-0005-0000-0000-000052020000}"/>
    <cellStyle name="Calculation 2 10" xfId="9487" xr:uid="{D8B7C9D8-E8BE-4F53-B8AC-43BF29EB2AD7}"/>
    <cellStyle name="Calculation 2 10 2" xfId="9924" xr:uid="{FDE95964-ABD8-4DFE-BB75-26517797EF73}"/>
    <cellStyle name="Calculation 2 11" xfId="9488" xr:uid="{1C6BA31E-0425-40EA-BF02-E452DD84CCF7}"/>
    <cellStyle name="Calculation 2 11 2" xfId="9923" xr:uid="{22B0D000-490F-488E-93E7-70A411F21F42}"/>
    <cellStyle name="Calculation 2 12" xfId="9489" xr:uid="{7E7784FF-CB0D-40D8-AE6C-79472A6BFDC6}"/>
    <cellStyle name="Calculation 2 12 2" xfId="9922" xr:uid="{1E9E9F66-3937-46DF-A796-847627172DF5}"/>
    <cellStyle name="Calculation 2 13" xfId="9490" xr:uid="{6F2A8779-DBD4-4146-AFE0-24847D38EFF3}"/>
    <cellStyle name="Calculation 2 13 2" xfId="9921" xr:uid="{34083C5A-9616-427E-AB10-CDC7A513BA65}"/>
    <cellStyle name="Calculation 2 14" xfId="9491" xr:uid="{3965FC18-856E-44BA-96CC-56253A1B3135}"/>
    <cellStyle name="Calculation 2 14 2" xfId="9920" xr:uid="{A7F293EF-64D1-41C9-8DEB-D7B36972C59B}"/>
    <cellStyle name="Calculation 2 15" xfId="9492" xr:uid="{C885E666-8586-4DA1-8089-17238435FDFA}"/>
    <cellStyle name="Calculation 2 15 2" xfId="9919" xr:uid="{5B15464C-BBE4-4028-8EB4-8DD5CA75C2A1}"/>
    <cellStyle name="Calculation 2 16" xfId="9493" xr:uid="{17384409-4C9C-47CD-86A0-3C4428A6B9B5}"/>
    <cellStyle name="Calculation 2 16 2" xfId="9918" xr:uid="{C10B0F72-FC20-46F0-8661-F618ADB8E4F9}"/>
    <cellStyle name="Calculation 2 17" xfId="9494" xr:uid="{A4775BCA-7584-42AD-ABF9-0C7981C44A2B}"/>
    <cellStyle name="Calculation 2 17 2" xfId="9917" xr:uid="{2CEF8246-6D25-488F-BE78-357281A7550A}"/>
    <cellStyle name="Calculation 2 18" xfId="9495" xr:uid="{572A9614-BC75-4447-A890-7397E6D4443B}"/>
    <cellStyle name="Calculation 2 19" xfId="9496" xr:uid="{FE0E2DC1-13B9-4DB0-8B6D-6E1BC7BE2706}"/>
    <cellStyle name="Calculation 2 19 2" xfId="9916" xr:uid="{AB7279F1-5B94-4FFF-8165-F88C92358F66}"/>
    <cellStyle name="Calculation 2 2" xfId="284" xr:uid="{00000000-0005-0000-0000-000053020000}"/>
    <cellStyle name="Calculation 2 2 10" xfId="9497" xr:uid="{F87256FA-5DFF-4E7C-8733-D56D2CADDD56}"/>
    <cellStyle name="Calculation 2 2 10 2" xfId="9915" xr:uid="{13839C18-E219-48C2-AA1C-18F7B40259CF}"/>
    <cellStyle name="Calculation 2 2 11" xfId="9498" xr:uid="{1CFEE3C9-CA9F-4119-B97F-50C9CA9CB935}"/>
    <cellStyle name="Calculation 2 2 11 2" xfId="9914" xr:uid="{6FC21DDE-6E1E-4AB7-8E0E-595A7735D095}"/>
    <cellStyle name="Calculation 2 2 12" xfId="9385" xr:uid="{8D86B3F6-F3F2-41CC-867E-E9CF6B94892B}"/>
    <cellStyle name="Calculation 2 2 13" xfId="9962" xr:uid="{9150C64A-0E5E-4B40-BFE5-0B5769DB5DD5}"/>
    <cellStyle name="Calculation 2 2 2" xfId="8211" xr:uid="{00000000-0005-0000-0000-000054020000}"/>
    <cellStyle name="Calculation 2 2 2 2" xfId="10261" xr:uid="{3726151F-B404-4E99-8A2F-7492B5C87AD0}"/>
    <cellStyle name="Calculation 2 2 2 2 2" xfId="12317" xr:uid="{17436E2F-6B53-4FF1-8EA7-B4EBBC2ED1B8}"/>
    <cellStyle name="Calculation 2 2 2 3" xfId="9499" xr:uid="{7744E8DA-3EA9-45FB-9B62-275AE5326199}"/>
    <cellStyle name="Calculation 2 2 2 4" xfId="9913" xr:uid="{1E1D5446-67A2-4638-9904-00543CC6D9E6}"/>
    <cellStyle name="Calculation 2 2 3" xfId="9159" xr:uid="{00000000-0005-0000-0000-000055020000}"/>
    <cellStyle name="Calculation 2 2 3 2" xfId="9500" xr:uid="{AEFEAED1-4123-4ECB-86EE-C932C9B5135B}"/>
    <cellStyle name="Calculation 2 2 3 3" xfId="9912" xr:uid="{A77B005B-44D3-4460-AA7B-C4F6970FBAF3}"/>
    <cellStyle name="Calculation 2 2 4" xfId="9501" xr:uid="{C39D962E-7375-40E8-8497-616A3D797A2A}"/>
    <cellStyle name="Calculation 2 2 4 2" xfId="9911" xr:uid="{561ED9BE-7DE3-414D-9808-B6433889E990}"/>
    <cellStyle name="Calculation 2 2 5" xfId="9502" xr:uid="{99E4DCAB-A628-4BCC-B457-706174F42820}"/>
    <cellStyle name="Calculation 2 2 5 2" xfId="9910" xr:uid="{DBC0D141-6E73-4465-BDDC-BB55FB0BFCC6}"/>
    <cellStyle name="Calculation 2 2 6" xfId="9503" xr:uid="{A953DFD0-EB4C-4A0E-9E34-5B06D20F455A}"/>
    <cellStyle name="Calculation 2 2 6 2" xfId="9909" xr:uid="{26AFCAEC-D5E2-450E-B6C3-A8E577156E1B}"/>
    <cellStyle name="Calculation 2 2 7" xfId="9504" xr:uid="{6F71D281-1C22-4AC5-9C2B-1AD666CC1B15}"/>
    <cellStyle name="Calculation 2 2 7 2" xfId="9908" xr:uid="{38F918B1-6D6B-472B-A964-0C6BA259CE31}"/>
    <cellStyle name="Calculation 2 2 8" xfId="9505" xr:uid="{19176F23-AD2A-47C4-8CE0-BCB34E6A6BC2}"/>
    <cellStyle name="Calculation 2 2 8 2" xfId="9907" xr:uid="{98F5696A-BC10-4F68-9D85-924C9A06A7DF}"/>
    <cellStyle name="Calculation 2 2 9" xfId="9506" xr:uid="{2BCD279C-6786-46FA-B4E3-5E023B00AD4A}"/>
    <cellStyle name="Calculation 2 2 9 2" xfId="9906" xr:uid="{E9EB01E5-9D13-49C5-ABE2-3F5A5A6200C5}"/>
    <cellStyle name="Calculation 2 20" xfId="10258" xr:uid="{907C4104-6DB2-4D70-A959-C2C02F25089A}"/>
    <cellStyle name="Calculation 2 21" xfId="11838" xr:uid="{FC4AEBC1-0DD4-45DA-BEDB-6247051B0634}"/>
    <cellStyle name="Calculation 2 22" xfId="9259" xr:uid="{3B3768B9-E76F-440F-8C87-3B5D333237A6}"/>
    <cellStyle name="Calculation 2 3" xfId="8208" xr:uid="{00000000-0005-0000-0000-000056020000}"/>
    <cellStyle name="Calculation 2 3 10" xfId="9508" xr:uid="{61E84D56-6BFE-4358-99E2-48EEFCD8540F}"/>
    <cellStyle name="Calculation 2 3 10 2" xfId="9905" xr:uid="{CC9661AD-4470-4ABC-A516-DDFC07D084BA}"/>
    <cellStyle name="Calculation 2 3 11" xfId="9509" xr:uid="{E7C0FABD-8BDB-4ED0-88D0-67491740876F}"/>
    <cellStyle name="Calculation 2 3 11 2" xfId="9904" xr:uid="{41617A44-842A-4CE0-8C86-E3F352C9CA21}"/>
    <cellStyle name="Calculation 2 3 12" xfId="10262" xr:uid="{EF26912E-BBAE-4646-B81E-2957B1A08580}"/>
    <cellStyle name="Calculation 2 3 13" xfId="11846" xr:uid="{A1246802-CEE5-40FA-AA89-D4CF57541395}"/>
    <cellStyle name="Calculation 2 3 13 2" xfId="12350" xr:uid="{0E740B6D-5C84-4C8B-BA94-B03543E6B247}"/>
    <cellStyle name="Calculation 2 3 14" xfId="9507" xr:uid="{73678883-F2D6-4BCF-B2E2-1F9471404BF1}"/>
    <cellStyle name="Calculation 2 3 2" xfId="9510" xr:uid="{6C43EFA1-AD82-4EEE-A41D-D4E4D9E80C2E}"/>
    <cellStyle name="Calculation 2 3 2 2" xfId="9903" xr:uid="{566042A9-91B4-41AF-88BF-46A3E780B255}"/>
    <cellStyle name="Calculation 2 3 3" xfId="9511" xr:uid="{8625E51E-C03B-4A50-BA6C-48154F0C8952}"/>
    <cellStyle name="Calculation 2 3 3 2" xfId="9902" xr:uid="{DD94607E-6F9A-473F-89E8-A3BA5FB36BF0}"/>
    <cellStyle name="Calculation 2 3 4" xfId="9512" xr:uid="{A078C35D-DAAB-4652-813C-7BBE5BC35C2E}"/>
    <cellStyle name="Calculation 2 3 4 2" xfId="9901" xr:uid="{E45E2821-BBF7-4CC3-86A3-07B3C663C3A0}"/>
    <cellStyle name="Calculation 2 3 5" xfId="9513" xr:uid="{459339FB-6579-4DC1-9052-E9AD65BEE5C8}"/>
    <cellStyle name="Calculation 2 3 5 2" xfId="9900" xr:uid="{F3508758-A7C2-4458-A08D-8DE8DFB8C79F}"/>
    <cellStyle name="Calculation 2 3 6" xfId="9514" xr:uid="{DE99F2EA-4301-4E04-BEE4-97F20EFFC0F9}"/>
    <cellStyle name="Calculation 2 3 6 2" xfId="9899" xr:uid="{90251BF4-201C-4029-B5A9-E611F92690BA}"/>
    <cellStyle name="Calculation 2 3 7" xfId="9515" xr:uid="{26099F31-EAAB-4DFB-ACDA-02A90D873344}"/>
    <cellStyle name="Calculation 2 3 7 2" xfId="9898" xr:uid="{E8E97626-7FBD-4DFB-BE98-10FE03624A70}"/>
    <cellStyle name="Calculation 2 3 8" xfId="9516" xr:uid="{C05462A3-731A-4A6F-8A4C-87FC7F48BA48}"/>
    <cellStyle name="Calculation 2 3 8 2" xfId="9897" xr:uid="{4EC66150-1283-461C-99DE-B84513776C3F}"/>
    <cellStyle name="Calculation 2 3 9" xfId="9517" xr:uid="{BF3FA0C8-F966-4877-BFEF-45E5463A8156}"/>
    <cellStyle name="Calculation 2 3 9 2" xfId="9896" xr:uid="{3AEB8AD2-4B51-4AA0-8A45-E4F6C8ACCC08}"/>
    <cellStyle name="Calculation 2 4" xfId="9105" xr:uid="{00000000-0005-0000-0000-000057020000}"/>
    <cellStyle name="Calculation 2 4 10" xfId="10263" xr:uid="{FBE68689-7A35-404F-9FE3-03953A509B2A}"/>
    <cellStyle name="Calculation 2 4 11" xfId="9518" xr:uid="{D92B5D82-F12A-41A8-BC00-35F70E2D06EA}"/>
    <cellStyle name="Calculation 2 4 12" xfId="9895" xr:uid="{8A3F03C1-1F80-40AF-84E1-8607BEF34081}"/>
    <cellStyle name="Calculation 2 4 2" xfId="9519" xr:uid="{5FDC378C-F42F-439A-B606-F51287B7E3A1}"/>
    <cellStyle name="Calculation 2 4 2 2" xfId="9894" xr:uid="{D4FD2A98-547E-48E2-8C98-915DCE7A09C1}"/>
    <cellStyle name="Calculation 2 4 3" xfId="9520" xr:uid="{724FE398-0003-4C72-8C4E-11893FC470C1}"/>
    <cellStyle name="Calculation 2 4 3 2" xfId="9893" xr:uid="{DD498E94-E194-48AA-AA1C-831E3F0A8804}"/>
    <cellStyle name="Calculation 2 4 4" xfId="9521" xr:uid="{6EC0979E-4446-4545-9FB3-659B4C7EE313}"/>
    <cellStyle name="Calculation 2 4 4 2" xfId="9892" xr:uid="{BB2B10C1-8E2D-4DA1-8885-24E3ED327B56}"/>
    <cellStyle name="Calculation 2 4 5" xfId="9522" xr:uid="{98600CF7-3D59-40B9-A0D8-EBCA123E8ECA}"/>
    <cellStyle name="Calculation 2 4 5 2" xfId="9891" xr:uid="{480DD9F4-839E-45C9-8EA7-20EB91471C17}"/>
    <cellStyle name="Calculation 2 4 6" xfId="9523" xr:uid="{C60BDED7-B1DD-4F47-AE46-1A304B62824A}"/>
    <cellStyle name="Calculation 2 4 6 2" xfId="9890" xr:uid="{C7B74C37-551B-455D-9406-B9E4E275B19B}"/>
    <cellStyle name="Calculation 2 4 7" xfId="9524" xr:uid="{AF954DDC-1370-41C2-88DE-C68C5C36DAEE}"/>
    <cellStyle name="Calculation 2 4 7 2" xfId="9889" xr:uid="{B841439D-D944-425C-8AA2-5691E6A81C04}"/>
    <cellStyle name="Calculation 2 4 8" xfId="9525" xr:uid="{92011A78-A2DC-47F8-9C75-8B52216EFEB1}"/>
    <cellStyle name="Calculation 2 4 8 2" xfId="9888" xr:uid="{88FB3417-0F7A-4A84-87C5-823796647FBD}"/>
    <cellStyle name="Calculation 2 4 9" xfId="9526" xr:uid="{14AA6F6F-6BA1-40C7-B7E7-6790125C2B5F}"/>
    <cellStyle name="Calculation 2 4 9 2" xfId="9887" xr:uid="{506ADD32-4D15-4990-9015-C10475F63BE8}"/>
    <cellStyle name="Calculation 2 5" xfId="9179" xr:uid="{F117BF46-C61A-4897-B4FA-A7B70473DBE5}"/>
    <cellStyle name="Calculation 2 5 10" xfId="10264" xr:uid="{064FB889-D8EF-441F-83E7-0670AE9B187E}"/>
    <cellStyle name="Calculation 2 5 11" xfId="9527" xr:uid="{AEBB0056-DBF2-4D6D-BDDD-51C51C44BDBD}"/>
    <cellStyle name="Calculation 2 5 12" xfId="9886" xr:uid="{D192A242-9BCF-4C53-96AC-BB2963E7045C}"/>
    <cellStyle name="Calculation 2 5 2" xfId="9528" xr:uid="{B3858DEB-869A-436F-BC1D-D1DB2665529C}"/>
    <cellStyle name="Calculation 2 5 2 2" xfId="9885" xr:uid="{7C49579B-4140-411F-95C4-604742E667F9}"/>
    <cellStyle name="Calculation 2 5 3" xfId="9529" xr:uid="{D08F0909-F78D-41F6-8B97-11A494472840}"/>
    <cellStyle name="Calculation 2 5 3 2" xfId="9884" xr:uid="{56636EAC-8762-41FC-8DB7-B4E8F2641B87}"/>
    <cellStyle name="Calculation 2 5 4" xfId="9530" xr:uid="{5FBE2D72-489A-444B-AD54-CAB0D4F13CB5}"/>
    <cellStyle name="Calculation 2 5 4 2" xfId="9883" xr:uid="{DF63C950-A5D3-4D75-A70E-F27431ACA375}"/>
    <cellStyle name="Calculation 2 5 5" xfId="9531" xr:uid="{8B94F37F-532D-43AB-A847-AD43B7C9C5CD}"/>
    <cellStyle name="Calculation 2 5 5 2" xfId="9882" xr:uid="{E0B62D0A-E385-42C4-A34D-9246279479EE}"/>
    <cellStyle name="Calculation 2 5 6" xfId="9532" xr:uid="{0608442A-D921-4CEF-9DF4-C7DAEAB5B1C1}"/>
    <cellStyle name="Calculation 2 5 6 2" xfId="9881" xr:uid="{BAD56498-9B86-45BA-895F-2FF1830109E6}"/>
    <cellStyle name="Calculation 2 5 7" xfId="9533" xr:uid="{95AC4692-7809-46EA-B420-786D62006C61}"/>
    <cellStyle name="Calculation 2 5 7 2" xfId="9880" xr:uid="{C8C540B0-0385-43C4-B48A-E89D3D36A5AD}"/>
    <cellStyle name="Calculation 2 5 8" xfId="9534" xr:uid="{0FFEA5EC-8937-4279-9D9E-99AD098B4346}"/>
    <cellStyle name="Calculation 2 5 8 2" xfId="9879" xr:uid="{615F095E-A304-4D29-90CF-5D82CCD9282A}"/>
    <cellStyle name="Calculation 2 5 9" xfId="9535" xr:uid="{9B37E5EB-6D71-4303-8870-ACA525440B98}"/>
    <cellStyle name="Calculation 2 5 9 2" xfId="9878" xr:uid="{080534A6-0586-4726-9C38-D196270B5BB7}"/>
    <cellStyle name="Calculation 2 6" xfId="9536" xr:uid="{BADCEBAB-18E4-4D6D-A50E-21776734F1C5}"/>
    <cellStyle name="Calculation 2 6 10" xfId="9877" xr:uid="{4246825B-EAF2-496D-A7B0-3D1D9F526052}"/>
    <cellStyle name="Calculation 2 6 2" xfId="9537" xr:uid="{57E5FE81-8268-4064-953B-A8C4B1A96A22}"/>
    <cellStyle name="Calculation 2 6 2 2" xfId="9876" xr:uid="{A7AF19CD-6A44-4883-A8F4-9E77A6F9BD27}"/>
    <cellStyle name="Calculation 2 6 3" xfId="9538" xr:uid="{3F13DF63-0F3B-4DBB-AE6D-1BE3AA632DFE}"/>
    <cellStyle name="Calculation 2 6 3 2" xfId="9875" xr:uid="{C4889BBF-F193-4D12-9A52-DD6FBF95DE0C}"/>
    <cellStyle name="Calculation 2 6 4" xfId="9539" xr:uid="{EDF89B46-41A6-4A86-BDAB-018991687F73}"/>
    <cellStyle name="Calculation 2 6 4 2" xfId="9874" xr:uid="{915D4E7F-DAE2-4B61-BDE2-CFEB8BAB430C}"/>
    <cellStyle name="Calculation 2 6 5" xfId="9540" xr:uid="{AB575EF3-C06A-40AD-966B-998CD5E87871}"/>
    <cellStyle name="Calculation 2 6 5 2" xfId="9873" xr:uid="{29C9B7D0-7840-46FB-839F-944F8FEC4CA1}"/>
    <cellStyle name="Calculation 2 6 6" xfId="9541" xr:uid="{860C1858-C22D-4C42-9611-66FC3ACBA2AA}"/>
    <cellStyle name="Calculation 2 6 6 2" xfId="9872" xr:uid="{A7FAE046-1C63-4B9F-A58B-A7481EBD59BF}"/>
    <cellStyle name="Calculation 2 6 7" xfId="9542" xr:uid="{F3B194B7-0A2E-4EB8-A283-E17D78D054ED}"/>
    <cellStyle name="Calculation 2 6 7 2" xfId="9871" xr:uid="{996D1976-5519-40CB-9546-1D7C1DB4B064}"/>
    <cellStyle name="Calculation 2 6 8" xfId="9543" xr:uid="{ECBC374A-8B82-4EEE-BF4F-85C9B8832BB3}"/>
    <cellStyle name="Calculation 2 6 8 2" xfId="9870" xr:uid="{BCE12CF3-921B-473C-AB8A-82EA98662E61}"/>
    <cellStyle name="Calculation 2 6 9" xfId="9544" xr:uid="{458600EF-FD43-4FA3-B573-56B28E0BAAE3}"/>
    <cellStyle name="Calculation 2 6 9 2" xfId="9869" xr:uid="{9FE3CC02-DE02-45D6-8E7E-C5CDBA99DB5A}"/>
    <cellStyle name="Calculation 2 7" xfId="9545" xr:uid="{0A21FF3F-0E26-421C-BEAD-870D5397E026}"/>
    <cellStyle name="Calculation 2 8" xfId="9546" xr:uid="{CC1336E4-4C77-43D2-AE11-89E461260027}"/>
    <cellStyle name="Calculation 2 8 2" xfId="9868" xr:uid="{7B46E899-16C4-4440-B3BE-BFE4ED27C723}"/>
    <cellStyle name="Calculation 2 9" xfId="9547" xr:uid="{F035F4B3-A39A-4706-A7F9-1D3C14065A47}"/>
    <cellStyle name="Calculation 2 9 2" xfId="9867" xr:uid="{07DFAE8C-D0C8-444F-AC02-464E8DCDF20F}"/>
    <cellStyle name="Calculation 3" xfId="285" xr:uid="{00000000-0005-0000-0000-000058020000}"/>
    <cellStyle name="Calculation 3 2" xfId="8212" xr:uid="{00000000-0005-0000-0000-000059020000}"/>
    <cellStyle name="Calculation 3 2 2" xfId="9548" xr:uid="{758ECFED-954F-43DD-BAAE-2C48078B0FE5}"/>
    <cellStyle name="Calculation 3 3" xfId="9160" xr:uid="{00000000-0005-0000-0000-00005A020000}"/>
    <cellStyle name="Calculation 3 3 2" xfId="9549" xr:uid="{48159A49-550E-4E43-836A-B62B320048E7}"/>
    <cellStyle name="Calculation 3 4" xfId="9178" xr:uid="{C65BDE18-B858-4136-B19B-7DA97BE2E5B7}"/>
    <cellStyle name="Calculation 3 4 2" xfId="9550" xr:uid="{DD586C06-24EC-448F-B05E-F511DFCCCE10}"/>
    <cellStyle name="Calculation 3 4 3" xfId="9866" xr:uid="{E5ECBC1D-2197-4160-89CF-26B9AC567C17}"/>
    <cellStyle name="Calculation 3 5" xfId="9386" xr:uid="{CF807D32-793A-4744-A7C4-09DF4C533EE9}"/>
    <cellStyle name="Calculation 4" xfId="417" xr:uid="{00000000-0005-0000-0000-00005B020000}"/>
    <cellStyle name="Calculation 4 2" xfId="9551" xr:uid="{A6DBCF73-25C6-453C-8FE3-E153FFC844AF}"/>
    <cellStyle name="Calculation 4 3" xfId="9387" xr:uid="{5A0EE05F-72F5-4EC2-8C33-AF1B075B9C70}"/>
    <cellStyle name="Calculation 5" xfId="9388" xr:uid="{3FA76EA7-BC3E-4D86-89F4-5CDEE14D942F}"/>
    <cellStyle name="Calculation 6" xfId="9389" xr:uid="{97FBB311-BD86-450B-A3D3-44D3E4D99D37}"/>
    <cellStyle name="Calculation 7" xfId="9454" xr:uid="{5BF234AF-BE4F-4E74-9502-B016F1B6B711}"/>
    <cellStyle name="Calculation, Extrapolation" xfId="9343" xr:uid="{17B51F32-0054-44E3-98A2-81D7AE7C6AA5}"/>
    <cellStyle name="Check Cell 2" xfId="67" xr:uid="{00000000-0005-0000-0000-00005C020000}"/>
    <cellStyle name="Check Cell 2 2" xfId="9552" xr:uid="{6798F18B-B61A-4271-93F7-9D6263944B6E}"/>
    <cellStyle name="Check Cell 2 2 2" xfId="11135" xr:uid="{59A9ECC4-9065-42E0-B88A-273C8E99C641}"/>
    <cellStyle name="Check Cell 2 3" xfId="10551" xr:uid="{C10F1590-804B-4FF6-A58C-02CF6C3EFEAE}"/>
    <cellStyle name="Check Cell 3" xfId="286" xr:uid="{00000000-0005-0000-0000-00005D020000}"/>
    <cellStyle name="Check Cell 3 2" xfId="11136" xr:uid="{E444717D-CC7B-47B3-9F65-B8D5EDC86D34}"/>
    <cellStyle name="code" xfId="9344" xr:uid="{EC8DF382-51EA-48F4-8B8E-027E804EFD82}"/>
    <cellStyle name="Comma" xfId="1" builtinId="3"/>
    <cellStyle name="Comma [0] 2" xfId="68" xr:uid="{00000000-0005-0000-0000-00005F020000}"/>
    <cellStyle name="Comma [0] 2 2" xfId="9306" xr:uid="{B7354D5B-AD9B-4BA3-AB9C-7DE81F4DC2E3}"/>
    <cellStyle name="Comma [0] 2 2 2" xfId="10564" xr:uid="{C708982D-3F3B-46ED-8B2B-E774F54B5F4B}"/>
    <cellStyle name="Comma [0] 2 3" xfId="10265" xr:uid="{F9BFCB2D-42F4-4AB7-B39F-0EF9119C2499}"/>
    <cellStyle name="Comma [0] 2 3 2" xfId="11713" xr:uid="{1071ADB4-40F5-4B68-A51F-95EFC166D7C9}"/>
    <cellStyle name="Comma [0] 2 4" xfId="10547" xr:uid="{114C2D41-6F23-46DA-BB12-D1233F7BF58F}"/>
    <cellStyle name="Comma [0] 2 5" xfId="11925" xr:uid="{2059CD8C-E771-4F99-A85B-0593D8418ECF}"/>
    <cellStyle name="Comma [0] 2 6" xfId="9260" xr:uid="{6FC3DA4B-315B-4847-83BE-C03B45C14938}"/>
    <cellStyle name="Comma [1]" xfId="9241" xr:uid="{8A934F70-D660-4CB9-8AF9-A3D459353BBE}"/>
    <cellStyle name="Comma [2]" xfId="9242" xr:uid="{25253764-FCF4-4C62-AE04-7313B302C2BC}"/>
    <cellStyle name="Comma 10" xfId="14" xr:uid="{00000000-0005-0000-0000-000060020000}"/>
    <cellStyle name="Comma 10 2" xfId="8655" xr:uid="{00000000-0005-0000-0000-000061020000}"/>
    <cellStyle name="Comma 10 2 2" xfId="11137" xr:uid="{1D1F48C6-FA2B-4026-815A-A1CC446384FD}"/>
    <cellStyle name="Comma 11" xfId="418" xr:uid="{00000000-0005-0000-0000-000062020000}"/>
    <cellStyle name="Comma 11 2" xfId="8656" xr:uid="{00000000-0005-0000-0000-000063020000}"/>
    <cellStyle name="Comma 11 2 2" xfId="11138" xr:uid="{66315D82-5435-45E0-94E7-1D9D4DCFF973}"/>
    <cellStyle name="Comma 12" xfId="6" xr:uid="{00000000-0005-0000-0000-000064020000}"/>
    <cellStyle name="Comma 12 2" xfId="8657" xr:uid="{00000000-0005-0000-0000-000065020000}"/>
    <cellStyle name="Comma 12 2 2" xfId="11139" xr:uid="{C8EDC946-DA22-43A8-B2D3-295D61FA6B54}"/>
    <cellStyle name="Comma 13" xfId="8149" xr:uid="{00000000-0005-0000-0000-000066020000}"/>
    <cellStyle name="Comma 13 2" xfId="9553" xr:uid="{7876A4A4-8923-4B15-A114-F4A925F125FE}"/>
    <cellStyle name="Comma 14" xfId="8151" xr:uid="{00000000-0005-0000-0000-000067020000}"/>
    <cellStyle name="Comma 15" xfId="8157" xr:uid="{00000000-0005-0000-0000-000068020000}"/>
    <cellStyle name="Comma 15 2" xfId="11707" xr:uid="{F13B654D-3565-48F7-942E-29481C1DC586}"/>
    <cellStyle name="Comma 15 3" xfId="10254" xr:uid="{4EAC5A93-18A9-4739-9ED2-B808B1FBE6DA}"/>
    <cellStyle name="Comma 16" xfId="8153" xr:uid="{00000000-0005-0000-0000-000069020000}"/>
    <cellStyle name="Comma 16 2" xfId="11709" xr:uid="{07CED4F9-47EF-43B4-8C73-BE25F27D66DC}"/>
    <cellStyle name="Comma 16 3" xfId="10256" xr:uid="{B90D1432-2AE6-4C87-BB62-81F677A54B01}"/>
    <cellStyle name="Comma 17" xfId="8214" xr:uid="{00000000-0005-0000-0000-00006A020000}"/>
    <cellStyle name="Comma 17 2" xfId="11772" xr:uid="{C8AC596B-EAB1-4569-B1A4-41C6F4D0E27E}"/>
    <cellStyle name="Comma 17 3" xfId="10374" xr:uid="{864DF24E-0464-4550-8F9C-6C4594DB0A82}"/>
    <cellStyle name="Comma 18" xfId="8210" xr:uid="{00000000-0005-0000-0000-00006B020000}"/>
    <cellStyle name="Comma 19" xfId="9096" xr:uid="{00000000-0005-0000-0000-00006C020000}"/>
    <cellStyle name="Comma 19 2" xfId="11835" xr:uid="{D4427CF6-8E69-4685-AACD-B76F6B7E05DF}"/>
    <cellStyle name="Comma 2" xfId="69" xr:uid="{00000000-0005-0000-0000-00006D020000}"/>
    <cellStyle name="Comma 2 2" xfId="70" xr:uid="{00000000-0005-0000-0000-00006E020000}"/>
    <cellStyle name="Comma 2 2 10" xfId="9182" xr:uid="{53EE840C-6AAA-4C82-A505-5882E449A3B2}"/>
    <cellStyle name="Comma 2 2 2" xfId="71" xr:uid="{00000000-0005-0000-0000-00006F020000}"/>
    <cellStyle name="Comma 2 2 2 2" xfId="8658" xr:uid="{00000000-0005-0000-0000-000070020000}"/>
    <cellStyle name="Comma 2 2 2 2 2" xfId="9555" xr:uid="{C7967806-E3D4-4F7E-BFB0-F7D811939399}"/>
    <cellStyle name="Comma 2 2 2 2 3" xfId="11140" xr:uid="{831F8578-8773-46F8-A4C4-07AF1761A446}"/>
    <cellStyle name="Comma 2 2 2 2 4" xfId="9554" xr:uid="{46CBCED3-B1C9-4B90-BFA6-6BCF9CEFC69E}"/>
    <cellStyle name="Comma 2 2 2 3" xfId="9556" xr:uid="{289E1ED5-36F8-4BB3-AF8F-F0260352E462}"/>
    <cellStyle name="Comma 2 2 3" xfId="287" xr:uid="{00000000-0005-0000-0000-000071020000}"/>
    <cellStyle name="Comma 2 2 3 2" xfId="419" xr:uid="{00000000-0005-0000-0000-000072020000}"/>
    <cellStyle name="Comma 2 2 3 2 2" xfId="8659" xr:uid="{00000000-0005-0000-0000-000073020000}"/>
    <cellStyle name="Comma 2 2 3 2 2 2" xfId="8660" xr:uid="{00000000-0005-0000-0000-000074020000}"/>
    <cellStyle name="Comma 2 2 3 2 2 2 2" xfId="11143" xr:uid="{5AAA7055-522D-4AD5-905E-C0CC86BC38B2}"/>
    <cellStyle name="Comma 2 2 3 2 2 3" xfId="11142" xr:uid="{A68973DE-2597-4502-AD10-6298587AA796}"/>
    <cellStyle name="Comma 2 2 3 2 3" xfId="8661" xr:uid="{00000000-0005-0000-0000-000075020000}"/>
    <cellStyle name="Comma 2 2 3 2 3 2" xfId="8662" xr:uid="{00000000-0005-0000-0000-000076020000}"/>
    <cellStyle name="Comma 2 2 3 2 3 2 2" xfId="11145" xr:uid="{58FD0F4B-0ADF-4502-BD52-3EB6DEA5D926}"/>
    <cellStyle name="Comma 2 2 3 2 3 3" xfId="11144" xr:uid="{411D2929-74A9-458A-ADB6-4EE3F06951D5}"/>
    <cellStyle name="Comma 2 2 3 2 4" xfId="8663" xr:uid="{00000000-0005-0000-0000-000077020000}"/>
    <cellStyle name="Comma 2 2 3 2 4 2" xfId="11146" xr:uid="{8B69A2AB-1D1C-4EE2-B06F-12109BF4506D}"/>
    <cellStyle name="Comma 2 2 3 2 5" xfId="11141" xr:uid="{3FA84D3D-459B-451D-929C-E49020EC5131}"/>
    <cellStyle name="Comma 2 2 3 2 6" xfId="12048" xr:uid="{AA305706-DFAB-4936-8ACE-FD75DC6919C2}"/>
    <cellStyle name="Comma 2 2 3 3" xfId="8664" xr:uid="{00000000-0005-0000-0000-000078020000}"/>
    <cellStyle name="Comma 2 2 3 3 2" xfId="8665" xr:uid="{00000000-0005-0000-0000-000079020000}"/>
    <cellStyle name="Comma 2 2 3 3 2 2" xfId="11148" xr:uid="{338A91B7-1CE4-4D2C-B968-D6DE7FC8FD08}"/>
    <cellStyle name="Comma 2 2 3 3 3" xfId="11147" xr:uid="{85E8080E-78B6-4B17-8672-587BC3E2CA6A}"/>
    <cellStyle name="Comma 2 2 3 4" xfId="8666" xr:uid="{00000000-0005-0000-0000-00007A020000}"/>
    <cellStyle name="Comma 2 2 3 4 2" xfId="8667" xr:uid="{00000000-0005-0000-0000-00007B020000}"/>
    <cellStyle name="Comma 2 2 3 4 2 2" xfId="11150" xr:uid="{5F33157A-87CF-4998-A57A-26B79D07BF0A}"/>
    <cellStyle name="Comma 2 2 3 4 3" xfId="11149" xr:uid="{C0A30CC4-05AD-48AF-B34D-E35E5C182860}"/>
    <cellStyle name="Comma 2 2 3 5" xfId="8668" xr:uid="{00000000-0005-0000-0000-00007C020000}"/>
    <cellStyle name="Comma 2 2 3 6" xfId="8669" xr:uid="{00000000-0005-0000-0000-00007D020000}"/>
    <cellStyle name="Comma 2 2 3 6 2" xfId="11151" xr:uid="{15EBA445-1482-47B5-BB5A-11B62EE3CCA6}"/>
    <cellStyle name="Comma 2 2 4" xfId="420" xr:uid="{00000000-0005-0000-0000-00007E020000}"/>
    <cellStyle name="Comma 2 2 4 2" xfId="421" xr:uid="{00000000-0005-0000-0000-00007F020000}"/>
    <cellStyle name="Comma 2 2 4 2 2" xfId="8670" xr:uid="{00000000-0005-0000-0000-000080020000}"/>
    <cellStyle name="Comma 2 2 4 2 2 2" xfId="8671" xr:uid="{00000000-0005-0000-0000-000081020000}"/>
    <cellStyle name="Comma 2 2 4 2 2 2 2" xfId="11155" xr:uid="{11385ACD-2942-4304-94B0-0FF1FB9AF5BC}"/>
    <cellStyle name="Comma 2 2 4 2 2 3" xfId="11154" xr:uid="{408D4572-4D7E-44BD-AB3D-BC18DDFAC620}"/>
    <cellStyle name="Comma 2 2 4 2 3" xfId="8672" xr:uid="{00000000-0005-0000-0000-000082020000}"/>
    <cellStyle name="Comma 2 2 4 2 3 2" xfId="8673" xr:uid="{00000000-0005-0000-0000-000083020000}"/>
    <cellStyle name="Comma 2 2 4 2 3 2 2" xfId="11157" xr:uid="{87713330-92D1-4DDB-86DD-878F3FED51EC}"/>
    <cellStyle name="Comma 2 2 4 2 3 3" xfId="11156" xr:uid="{1C80BC17-F8E3-4260-8D29-7A131081FACA}"/>
    <cellStyle name="Comma 2 2 4 2 4" xfId="8674" xr:uid="{00000000-0005-0000-0000-000084020000}"/>
    <cellStyle name="Comma 2 2 4 2 4 2" xfId="11158" xr:uid="{F4C1FCAE-5104-4953-B07E-4E220E4074E5}"/>
    <cellStyle name="Comma 2 2 4 2 5" xfId="11153" xr:uid="{2629A0F9-47CB-44A4-97EE-077F12BEB5D6}"/>
    <cellStyle name="Comma 2 2 4 2 6" xfId="12050" xr:uid="{334B79C4-7237-45B0-B809-FF9A9DDBCA0C}"/>
    <cellStyle name="Comma 2 2 4 3" xfId="8675" xr:uid="{00000000-0005-0000-0000-000085020000}"/>
    <cellStyle name="Comma 2 2 4 3 2" xfId="8676" xr:uid="{00000000-0005-0000-0000-000086020000}"/>
    <cellStyle name="Comma 2 2 4 3 2 2" xfId="11160" xr:uid="{85202C88-C681-4AAE-A115-3A284DB31625}"/>
    <cellStyle name="Comma 2 2 4 3 3" xfId="11159" xr:uid="{55C9AB27-F85C-470C-BE9E-6FADFDC060FF}"/>
    <cellStyle name="Comma 2 2 4 3 4" xfId="12049" xr:uid="{8CF3E65F-A795-46AC-8713-F113A5D301E2}"/>
    <cellStyle name="Comma 2 2 4 4" xfId="8677" xr:uid="{00000000-0005-0000-0000-000087020000}"/>
    <cellStyle name="Comma 2 2 4 4 2" xfId="8678" xr:uid="{00000000-0005-0000-0000-000088020000}"/>
    <cellStyle name="Comma 2 2 4 4 2 2" xfId="11162" xr:uid="{774EA7D6-AA06-4780-82E5-885751622D4B}"/>
    <cellStyle name="Comma 2 2 4 4 3" xfId="11161" xr:uid="{3B3F83B8-1227-47BE-B87E-C4FFD52CB960}"/>
    <cellStyle name="Comma 2 2 4 5" xfId="8679" xr:uid="{00000000-0005-0000-0000-000089020000}"/>
    <cellStyle name="Comma 2 2 4 5 2" xfId="11163" xr:uid="{80CD6D73-0210-4B62-A343-6426FB55892D}"/>
    <cellStyle name="Comma 2 2 4 6" xfId="10392" xr:uid="{96FDD43A-2293-43DD-A7D3-A6AA8B1C32D6}"/>
    <cellStyle name="Comma 2 2 4 7" xfId="11152" xr:uid="{A70D8199-8F79-407B-A332-0987CA379418}"/>
    <cellStyle name="Comma 2 2 5" xfId="422" xr:uid="{00000000-0005-0000-0000-00008A020000}"/>
    <cellStyle name="Comma 2 2 5 2" xfId="423" xr:uid="{00000000-0005-0000-0000-00008B020000}"/>
    <cellStyle name="Comma 2 2 5 2 2" xfId="8680" xr:uid="{00000000-0005-0000-0000-00008C020000}"/>
    <cellStyle name="Comma 2 2 5 2 2 2" xfId="8681" xr:uid="{00000000-0005-0000-0000-00008D020000}"/>
    <cellStyle name="Comma 2 2 5 2 2 2 2" xfId="11167" xr:uid="{19F748CD-C2A8-4EEB-989A-A02261186704}"/>
    <cellStyle name="Comma 2 2 5 2 2 3" xfId="11166" xr:uid="{BBDB36E6-A3D9-4387-9957-3D589726D95C}"/>
    <cellStyle name="Comma 2 2 5 2 3" xfId="8682" xr:uid="{00000000-0005-0000-0000-00008E020000}"/>
    <cellStyle name="Comma 2 2 5 2 3 2" xfId="8683" xr:uid="{00000000-0005-0000-0000-00008F020000}"/>
    <cellStyle name="Comma 2 2 5 2 3 2 2" xfId="11169" xr:uid="{E25A9A01-1E69-479F-A232-9B62C3552DBD}"/>
    <cellStyle name="Comma 2 2 5 2 3 3" xfId="11168" xr:uid="{FCA0DD29-DAC4-4174-AB1B-F1EADFE62609}"/>
    <cellStyle name="Comma 2 2 5 2 4" xfId="8684" xr:uid="{00000000-0005-0000-0000-000090020000}"/>
    <cellStyle name="Comma 2 2 5 2 4 2" xfId="11170" xr:uid="{901296F7-7D30-4E32-B06E-140AF04E55AE}"/>
    <cellStyle name="Comma 2 2 5 2 5" xfId="11165" xr:uid="{94FD63CB-3E9F-4D37-B2A9-635298B05B03}"/>
    <cellStyle name="Comma 2 2 5 2 6" xfId="12052" xr:uid="{137E7980-62F7-4D7D-8AFC-4E7B84253A2B}"/>
    <cellStyle name="Comma 2 2 5 3" xfId="8685" xr:uid="{00000000-0005-0000-0000-000091020000}"/>
    <cellStyle name="Comma 2 2 5 3 2" xfId="8686" xr:uid="{00000000-0005-0000-0000-000092020000}"/>
    <cellStyle name="Comma 2 2 5 3 2 2" xfId="11172" xr:uid="{F2CDCAEF-9803-495E-B05B-1FC471734B81}"/>
    <cellStyle name="Comma 2 2 5 3 3" xfId="11171" xr:uid="{2E729551-1BEE-4B6F-A6A4-7D4C494D80D0}"/>
    <cellStyle name="Comma 2 2 5 4" xfId="8687" xr:uid="{00000000-0005-0000-0000-000093020000}"/>
    <cellStyle name="Comma 2 2 5 4 2" xfId="8688" xr:uid="{00000000-0005-0000-0000-000094020000}"/>
    <cellStyle name="Comma 2 2 5 4 2 2" xfId="11174" xr:uid="{5BCB0487-A334-4B89-B7D9-6CEC1AB089E2}"/>
    <cellStyle name="Comma 2 2 5 4 3" xfId="11173" xr:uid="{74148492-9C5B-49BA-B978-43BBD6F269E2}"/>
    <cellStyle name="Comma 2 2 5 5" xfId="8689" xr:uid="{00000000-0005-0000-0000-000095020000}"/>
    <cellStyle name="Comma 2 2 5 5 2" xfId="11175" xr:uid="{3BF4E47D-B3D3-42F8-81ED-A79BAF56F233}"/>
    <cellStyle name="Comma 2 2 5 6" xfId="11164" xr:uid="{F4730766-A589-4573-8F7C-53C553D4F730}"/>
    <cellStyle name="Comma 2 2 5 7" xfId="12051" xr:uid="{1706F08B-C663-4EB5-B3DB-855FC7CE7531}"/>
    <cellStyle name="Comma 2 2 6" xfId="424" xr:uid="{00000000-0005-0000-0000-000096020000}"/>
    <cellStyle name="Comma 2 2 6 2" xfId="425" xr:uid="{00000000-0005-0000-0000-000097020000}"/>
    <cellStyle name="Comma 2 2 6 2 2" xfId="8690" xr:uid="{00000000-0005-0000-0000-000098020000}"/>
    <cellStyle name="Comma 2 2 6 2 2 2" xfId="8691" xr:uid="{00000000-0005-0000-0000-000099020000}"/>
    <cellStyle name="Comma 2 2 6 2 2 2 2" xfId="11179" xr:uid="{4C072620-6D70-4272-AF5C-3C7B1ED1A629}"/>
    <cellStyle name="Comma 2 2 6 2 2 3" xfId="11178" xr:uid="{398B5417-93A6-4266-AC1B-51721DBE6F38}"/>
    <cellStyle name="Comma 2 2 6 2 3" xfId="8692" xr:uid="{00000000-0005-0000-0000-00009A020000}"/>
    <cellStyle name="Comma 2 2 6 2 3 2" xfId="8693" xr:uid="{00000000-0005-0000-0000-00009B020000}"/>
    <cellStyle name="Comma 2 2 6 2 3 2 2" xfId="11181" xr:uid="{E01B9793-24A7-485E-93C8-C307FCA4878A}"/>
    <cellStyle name="Comma 2 2 6 2 3 3" xfId="11180" xr:uid="{200E5007-AE5F-4670-A571-EAD919999A14}"/>
    <cellStyle name="Comma 2 2 6 2 4" xfId="8694" xr:uid="{00000000-0005-0000-0000-00009C020000}"/>
    <cellStyle name="Comma 2 2 6 2 4 2" xfId="11182" xr:uid="{803F4150-C4EE-4C9D-A60A-319A34964E94}"/>
    <cellStyle name="Comma 2 2 6 2 5" xfId="11177" xr:uid="{CD7D0FA1-D30A-4C98-A3D9-C0F467AAD592}"/>
    <cellStyle name="Comma 2 2 6 2 6" xfId="12054" xr:uid="{C392BDF8-2527-45C6-B6CA-11B9EA061388}"/>
    <cellStyle name="Comma 2 2 6 3" xfId="8695" xr:uid="{00000000-0005-0000-0000-00009D020000}"/>
    <cellStyle name="Comma 2 2 6 3 2" xfId="8696" xr:uid="{00000000-0005-0000-0000-00009E020000}"/>
    <cellStyle name="Comma 2 2 6 3 2 2" xfId="11184" xr:uid="{2B722139-5D34-48B4-BA61-671F709A74DB}"/>
    <cellStyle name="Comma 2 2 6 3 3" xfId="11183" xr:uid="{90A87B44-D39D-4260-9CAB-DC24877CA70D}"/>
    <cellStyle name="Comma 2 2 6 4" xfId="8697" xr:uid="{00000000-0005-0000-0000-00009F020000}"/>
    <cellStyle name="Comma 2 2 6 4 2" xfId="8698" xr:uid="{00000000-0005-0000-0000-0000A0020000}"/>
    <cellStyle name="Comma 2 2 6 4 2 2" xfId="11186" xr:uid="{100E9011-E143-4F7E-939A-13017B6FA8A7}"/>
    <cellStyle name="Comma 2 2 6 4 3" xfId="11185" xr:uid="{0898E883-6E8A-4838-BF9C-CFEC4105ED0C}"/>
    <cellStyle name="Comma 2 2 6 5" xfId="8699" xr:uid="{00000000-0005-0000-0000-0000A1020000}"/>
    <cellStyle name="Comma 2 2 6 5 2" xfId="11187" xr:uid="{EC39FD0B-50EE-45F0-A009-2C419B7F0CFB}"/>
    <cellStyle name="Comma 2 2 6 6" xfId="11176" xr:uid="{E3E6AD90-E284-49C0-A67D-7DB3604E8146}"/>
    <cellStyle name="Comma 2 2 6 7" xfId="12053" xr:uid="{2456D326-BBF5-4130-8ACC-801B028C2AA2}"/>
    <cellStyle name="Comma 2 2 7" xfId="426" xr:uid="{00000000-0005-0000-0000-0000A2020000}"/>
    <cellStyle name="Comma 2 2 7 2" xfId="8700" xr:uid="{00000000-0005-0000-0000-0000A3020000}"/>
    <cellStyle name="Comma 2 2 7 2 2" xfId="8701" xr:uid="{00000000-0005-0000-0000-0000A4020000}"/>
    <cellStyle name="Comma 2 2 7 2 2 2" xfId="11190" xr:uid="{13069879-36AE-4577-BA47-C3A16BAFB336}"/>
    <cellStyle name="Comma 2 2 7 2 3" xfId="11189" xr:uid="{96110B04-CAA9-4785-B987-D2C992960242}"/>
    <cellStyle name="Comma 2 2 7 3" xfId="8702" xr:uid="{00000000-0005-0000-0000-0000A5020000}"/>
    <cellStyle name="Comma 2 2 7 3 2" xfId="8703" xr:uid="{00000000-0005-0000-0000-0000A6020000}"/>
    <cellStyle name="Comma 2 2 7 3 2 2" xfId="11192" xr:uid="{59EFAF90-3D60-4304-AF11-10A005C2D600}"/>
    <cellStyle name="Comma 2 2 7 3 3" xfId="11191" xr:uid="{D06225E9-6224-402D-BF14-82445240FCB6}"/>
    <cellStyle name="Comma 2 2 7 4" xfId="8704" xr:uid="{00000000-0005-0000-0000-0000A7020000}"/>
    <cellStyle name="Comma 2 2 7 4 2" xfId="11193" xr:uid="{BA58ABAA-1031-47D7-AF4E-E7A164C95581}"/>
    <cellStyle name="Comma 2 2 7 5" xfId="11188" xr:uid="{0B01636E-AB6A-4AE6-B3F1-AD688F21C4DF}"/>
    <cellStyle name="Comma 2 2 7 6" xfId="12055" xr:uid="{6D9D89CC-47F5-4D18-801C-93DCCE8AE436}"/>
    <cellStyle name="Comma 2 2 8" xfId="427" xr:uid="{00000000-0005-0000-0000-0000A8020000}"/>
    <cellStyle name="Comma 2 2 9" xfId="8705" xr:uid="{00000000-0005-0000-0000-0000A9020000}"/>
    <cellStyle name="Comma 2 2 9 2" xfId="9558" xr:uid="{5FC057F8-4492-4DA1-B9E3-CD61C3B2C137}"/>
    <cellStyle name="Comma 2 2 9 3" xfId="9557" xr:uid="{0E2C95C2-FD8D-41FE-85D4-46C5DE941B75}"/>
    <cellStyle name="Comma 2 3" xfId="72" xr:uid="{00000000-0005-0000-0000-0000AA020000}"/>
    <cellStyle name="Comma 2 3 2" xfId="428" xr:uid="{00000000-0005-0000-0000-0000AB020000}"/>
    <cellStyle name="Comma 2 3 2 2" xfId="9153" xr:uid="{00000000-0005-0000-0000-0000AC020000}"/>
    <cellStyle name="Comma 2 3 2 2 2" xfId="9559" xr:uid="{384B4325-1CF7-4014-9076-2ABA2CB411C1}"/>
    <cellStyle name="Comma 2 3 2 3" xfId="11194" xr:uid="{29A71450-93DC-43E9-AE7D-4853DA9CFC93}"/>
    <cellStyle name="Comma 2 3 3" xfId="9132" xr:uid="{00000000-0005-0000-0000-0000AD020000}"/>
    <cellStyle name="Comma 2 3 3 2" xfId="9560" xr:uid="{4E3282FF-6021-4626-8FE1-676933CBEA75}"/>
    <cellStyle name="Comma 2 3 4" xfId="9268" xr:uid="{68F72B5C-FE73-4CA2-873D-4D6B26681C43}"/>
    <cellStyle name="Comma 2 4" xfId="288" xr:uid="{00000000-0005-0000-0000-0000AE020000}"/>
    <cellStyle name="Comma 2 4 2" xfId="429" xr:uid="{00000000-0005-0000-0000-0000AF020000}"/>
    <cellStyle name="Comma 2 4 2 2" xfId="9562" xr:uid="{6A35A313-B9E6-4832-87B6-AC65719CBBD3}"/>
    <cellStyle name="Comma 2 4 2 3" xfId="9561" xr:uid="{AE04A549-384E-4141-85DB-652275A153AD}"/>
    <cellStyle name="Comma 2 4 3" xfId="10266" xr:uid="{ACD9AA62-9D42-4AAD-9C10-DCEECF0CC21F}"/>
    <cellStyle name="Comma 2 5" xfId="289" xr:uid="{00000000-0005-0000-0000-0000B0020000}"/>
    <cellStyle name="Comma 2 5 2" xfId="8188" xr:uid="{00000000-0005-0000-0000-0000B1020000}"/>
    <cellStyle name="Comma 2 5 2 2" xfId="11195" xr:uid="{86EC0E4C-E96C-42FD-A181-19DD9BF793DF}"/>
    <cellStyle name="Comma 2 5 2 3" xfId="11926" xr:uid="{E0ED2C3D-7210-4325-ACF5-BD2133096AE6}"/>
    <cellStyle name="Comma 2 5 2 4" xfId="9563" xr:uid="{DCDE3742-7A2D-4620-997A-D9B9A36F01C7}"/>
    <cellStyle name="Comma 2 5 3" xfId="9564" xr:uid="{D233316A-808D-4A57-BCA5-51D3806CBFA7}"/>
    <cellStyle name="Comma 2 6" xfId="9181" xr:uid="{B4BFB17E-12BB-4AFC-BE56-D61B4FEE5D72}"/>
    <cellStyle name="Comma 2 7" xfId="9230" xr:uid="{9A719E82-F5CE-41FB-B991-800FA3C3A582}"/>
    <cellStyle name="Comma 20" xfId="8205" xr:uid="{00000000-0005-0000-0000-0000B2020000}"/>
    <cellStyle name="Comma 20 2" xfId="11844" xr:uid="{07225E56-6148-482A-B129-EA2CC899B257}"/>
    <cellStyle name="Comma 21" xfId="9095" xr:uid="{00000000-0005-0000-0000-0000B3020000}"/>
    <cellStyle name="Comma 21 2" xfId="12126" xr:uid="{0B7FFEDD-538F-4A70-8B88-3B597401F8E4}"/>
    <cellStyle name="Comma 22" xfId="9094" xr:uid="{00000000-0005-0000-0000-0000B4020000}"/>
    <cellStyle name="Comma 22 2" xfId="12130" xr:uid="{9FF7E957-4C7F-49AD-8485-90D9F6DCD29B}"/>
    <cellStyle name="Comma 23" xfId="9110" xr:uid="{00000000-0005-0000-0000-0000B5020000}"/>
    <cellStyle name="Comma 23 2" xfId="12133" xr:uid="{10EABEFD-8B35-4741-A3D4-8BCFBB6DC53C}"/>
    <cellStyle name="Comma 24" xfId="9167" xr:uid="{00000000-0005-0000-0000-0000B6020000}"/>
    <cellStyle name="Comma 25" xfId="9228" xr:uid="{0721036C-960A-4D03-88A4-97F55D002289}"/>
    <cellStyle name="Comma 26" xfId="10235" xr:uid="{D830D10E-07F6-4C44-955D-FF5FECAE0873}"/>
    <cellStyle name="Comma 3" xfId="73" xr:uid="{00000000-0005-0000-0000-0000B7020000}"/>
    <cellStyle name="Comma 3 10" xfId="430" xr:uid="{00000000-0005-0000-0000-0000B8020000}"/>
    <cellStyle name="Comma 3 11" xfId="8706" xr:uid="{00000000-0005-0000-0000-0000B9020000}"/>
    <cellStyle name="Comma 3 11 2" xfId="9566" xr:uid="{41AFECC8-DA3B-416E-8BEF-D503C4082979}"/>
    <cellStyle name="Comma 3 11 3" xfId="11905" xr:uid="{4978D1FE-1957-4FF5-BE85-117D0278C8ED}"/>
    <cellStyle name="Comma 3 11 4" xfId="9565" xr:uid="{3F6A1D16-F3B3-443D-942C-9242DADFEA85}"/>
    <cellStyle name="Comma 3 12" xfId="10267" xr:uid="{CE4A7AF6-F99E-4624-A362-51A2B40CA40D}"/>
    <cellStyle name="Comma 3 13" xfId="10542" xr:uid="{FCDA8E25-3165-4DA2-9D51-B17ED3930C76}"/>
    <cellStyle name="Comma 3 2" xfId="74" xr:uid="{00000000-0005-0000-0000-0000BA020000}"/>
    <cellStyle name="Comma 3 2 2" xfId="75" xr:uid="{00000000-0005-0000-0000-0000BB020000}"/>
    <cellStyle name="Comma 3 2 2 2" xfId="8707" xr:uid="{00000000-0005-0000-0000-0000BC020000}"/>
    <cellStyle name="Comma 3 2 2 3" xfId="9184" xr:uid="{12A8D5E8-D47E-4DB0-89DA-895C183670F3}"/>
    <cellStyle name="Comma 3 2 2 3 2" xfId="10569" xr:uid="{BA66845B-4E14-44E3-AAA9-CE2C9F0F7B48}"/>
    <cellStyle name="Comma 3 2 2 4" xfId="9310" xr:uid="{B015EC6A-710A-4D2D-A41E-BBE94734EC18}"/>
    <cellStyle name="Comma 3 2 3" xfId="290" xr:uid="{00000000-0005-0000-0000-0000BD020000}"/>
    <cellStyle name="Comma 3 2 4" xfId="431" xr:uid="{00000000-0005-0000-0000-0000BE020000}"/>
    <cellStyle name="Comma 3 2 5" xfId="9183" xr:uid="{B40E0F93-7EC5-4A51-B3BF-2C923FD763EB}"/>
    <cellStyle name="Comma 3 2 5 2" xfId="11714" xr:uid="{254BAE1E-4749-4228-8308-01E731E0D876}"/>
    <cellStyle name="Comma 3 2 5 3" xfId="10268" xr:uid="{F72ABB98-E8A1-40C9-B513-DF29D5195DEA}"/>
    <cellStyle name="Comma 3 2 6" xfId="10552" xr:uid="{52A678B4-B41C-401E-BDCD-68E34B567539}"/>
    <cellStyle name="Comma 3 2 7" xfId="9269" xr:uid="{55DC4244-2714-4840-BCC2-4FF8F8A39A27}"/>
    <cellStyle name="Comma 3 3" xfId="76" xr:uid="{00000000-0005-0000-0000-0000BF020000}"/>
    <cellStyle name="Comma 3 3 2" xfId="77" xr:uid="{00000000-0005-0000-0000-0000C0020000}"/>
    <cellStyle name="Comma 3 3 2 2" xfId="8708" xr:uid="{00000000-0005-0000-0000-0000C1020000}"/>
    <cellStyle name="Comma 3 3 2 2 2" xfId="8709" xr:uid="{00000000-0005-0000-0000-0000C2020000}"/>
    <cellStyle name="Comma 3 3 2 2 2 2" xfId="11197" xr:uid="{CDEC032C-4472-4F98-9E48-78C3BDBD88A1}"/>
    <cellStyle name="Comma 3 3 2 2 3" xfId="11196" xr:uid="{F67EA071-4A32-452F-B009-C889C7E8CFF8}"/>
    <cellStyle name="Comma 3 3 2 3" xfId="8710" xr:uid="{00000000-0005-0000-0000-0000C3020000}"/>
    <cellStyle name="Comma 3 3 2 3 2" xfId="8711" xr:uid="{00000000-0005-0000-0000-0000C4020000}"/>
    <cellStyle name="Comma 3 3 2 3 2 2" xfId="11199" xr:uid="{F6A8460E-3E7D-4025-992B-C8CC99D8BF5C}"/>
    <cellStyle name="Comma 3 3 2 3 3" xfId="11198" xr:uid="{733DAB4F-0214-4D34-BCED-DAC3D03480CE}"/>
    <cellStyle name="Comma 3 3 2 4" xfId="8712" xr:uid="{00000000-0005-0000-0000-0000C5020000}"/>
    <cellStyle name="Comma 3 3 2 5" xfId="8713" xr:uid="{00000000-0005-0000-0000-0000C6020000}"/>
    <cellStyle name="Comma 3 3 2 5 2" xfId="11200" xr:uid="{CE05650A-4E80-4D7C-A839-874C2AF5B366}"/>
    <cellStyle name="Comma 3 3 2 6" xfId="8190" xr:uid="{00000000-0005-0000-0000-0000C7020000}"/>
    <cellStyle name="Comma 3 3 2 6 2" xfId="11201" xr:uid="{863EE847-3A6A-43FA-BDF2-6D6F2C1987B4}"/>
    <cellStyle name="Comma 3 3 3" xfId="78" xr:uid="{00000000-0005-0000-0000-0000C8020000}"/>
    <cellStyle name="Comma 3 3 3 2" xfId="8714" xr:uid="{00000000-0005-0000-0000-0000C9020000}"/>
    <cellStyle name="Comma 3 3 3 2 2" xfId="8715" xr:uid="{00000000-0005-0000-0000-0000CA020000}"/>
    <cellStyle name="Comma 3 3 3 2 2 2" xfId="11204" xr:uid="{43903937-ACE4-4E4A-BBEE-58731C20F087}"/>
    <cellStyle name="Comma 3 3 3 2 3" xfId="11203" xr:uid="{A6E3B315-9AFA-4D49-93B4-CD3FDD038CC2}"/>
    <cellStyle name="Comma 3 3 3 3" xfId="8716" xr:uid="{00000000-0005-0000-0000-0000CB020000}"/>
    <cellStyle name="Comma 3 3 3 3 2" xfId="8717" xr:uid="{00000000-0005-0000-0000-0000CC020000}"/>
    <cellStyle name="Comma 3 3 3 3 2 2" xfId="11206" xr:uid="{F9422F81-1F13-40C9-8DEF-5E59598564D6}"/>
    <cellStyle name="Comma 3 3 3 3 3" xfId="11205" xr:uid="{B6B03DA1-EF94-44C2-98AD-BAAEF6EEB918}"/>
    <cellStyle name="Comma 3 3 3 4" xfId="8718" xr:uid="{00000000-0005-0000-0000-0000CD020000}"/>
    <cellStyle name="Comma 3 3 3 4 2" xfId="11207" xr:uid="{A4293252-D315-4417-9F5D-6A491E355B1F}"/>
    <cellStyle name="Comma 3 3 3 5" xfId="11202" xr:uid="{1449B326-81E4-4E68-9824-14527B85311B}"/>
    <cellStyle name="Comma 3 3 3 6" xfId="11927" xr:uid="{9D10DDB5-2E36-488C-BF9E-F9B76A52BE89}"/>
    <cellStyle name="Comma 3 3 4" xfId="79" xr:uid="{00000000-0005-0000-0000-0000CE020000}"/>
    <cellStyle name="Comma 3 3 4 2" xfId="11208" xr:uid="{1093D31E-08D1-4F49-9DD2-BE0CB8FFB920}"/>
    <cellStyle name="Comma 3 3 4 3" xfId="11928" xr:uid="{80DC12C6-5291-4EE6-A054-CB0E22CE657A}"/>
    <cellStyle name="Comma 3 3 5" xfId="8189" xr:uid="{00000000-0005-0000-0000-0000CF020000}"/>
    <cellStyle name="Comma 3 3 6" xfId="10269" xr:uid="{9B8F1621-6ED5-4603-B71D-ED103040AF56}"/>
    <cellStyle name="Comma 3 3 6 2" xfId="11715" xr:uid="{115D5120-16C3-47E2-9266-C2C99D2D76AD}"/>
    <cellStyle name="Comma 3 3 7" xfId="10560" xr:uid="{502D5686-256C-4C3F-B743-BC4F81432431}"/>
    <cellStyle name="Comma 3 4" xfId="291" xr:uid="{00000000-0005-0000-0000-0000D0020000}"/>
    <cellStyle name="Comma 3 4 2" xfId="432" xr:uid="{00000000-0005-0000-0000-0000D1020000}"/>
    <cellStyle name="Comma 3 4 2 2" xfId="8719" xr:uid="{00000000-0005-0000-0000-0000D2020000}"/>
    <cellStyle name="Comma 3 4 2 2 2" xfId="8720" xr:uid="{00000000-0005-0000-0000-0000D3020000}"/>
    <cellStyle name="Comma 3 4 2 2 2 2" xfId="11211" xr:uid="{51C90EFE-346E-4D9E-AC13-88D611A28FD1}"/>
    <cellStyle name="Comma 3 4 2 2 3" xfId="11210" xr:uid="{B2E63312-18F7-49D0-93AF-6E3379186D4F}"/>
    <cellStyle name="Comma 3 4 2 2 4" xfId="12056" xr:uid="{42F58F41-C034-4787-8CFD-5DE9F777C26A}"/>
    <cellStyle name="Comma 3 4 2 3" xfId="8721" xr:uid="{00000000-0005-0000-0000-0000D4020000}"/>
    <cellStyle name="Comma 3 4 2 3 2" xfId="8722" xr:uid="{00000000-0005-0000-0000-0000D5020000}"/>
    <cellStyle name="Comma 3 4 2 3 2 2" xfId="11213" xr:uid="{6C413339-24FF-4E35-A29E-EE81F8ED3F20}"/>
    <cellStyle name="Comma 3 4 2 3 3" xfId="11212" xr:uid="{EC8C947B-BF21-43C9-A0E6-1EB76C85C40F}"/>
    <cellStyle name="Comma 3 4 2 4" xfId="8723" xr:uid="{00000000-0005-0000-0000-0000D6020000}"/>
    <cellStyle name="Comma 3 4 2 4 2" xfId="11214" xr:uid="{BDB51C27-1385-47F8-805D-C8B2E0EFB0EE}"/>
    <cellStyle name="Comma 3 4 2 5" xfId="10495" xr:uid="{C3ABD7D5-A463-40D4-953A-51C51DE96A57}"/>
    <cellStyle name="Comma 3 4 2 6" xfId="11209" xr:uid="{DDEC07A0-CE4C-4D48-849B-8984F7664C92}"/>
    <cellStyle name="Comma 3 4 3" xfId="8724" xr:uid="{00000000-0005-0000-0000-0000D7020000}"/>
    <cellStyle name="Comma 3 4 3 2" xfId="8725" xr:uid="{00000000-0005-0000-0000-0000D8020000}"/>
    <cellStyle name="Comma 3 4 3 2 2" xfId="11216" xr:uid="{A04202D5-5CF4-4F5F-9459-72C81081EF67}"/>
    <cellStyle name="Comma 3 4 3 3" xfId="11215" xr:uid="{A0B3021C-1BCB-43D5-8CB9-C77B2E0BE39E}"/>
    <cellStyle name="Comma 3 4 4" xfId="8726" xr:uid="{00000000-0005-0000-0000-0000D9020000}"/>
    <cellStyle name="Comma 3 4 4 2" xfId="8727" xr:uid="{00000000-0005-0000-0000-0000DA020000}"/>
    <cellStyle name="Comma 3 4 4 2 2" xfId="11218" xr:uid="{7FC3A64E-67A2-412B-B916-94FC7ED0301D}"/>
    <cellStyle name="Comma 3 4 4 3" xfId="11217" xr:uid="{ADFAECEA-B305-46D1-B30A-FDE018EE64C5}"/>
    <cellStyle name="Comma 3 4 5" xfId="8728" xr:uid="{00000000-0005-0000-0000-0000DB020000}"/>
    <cellStyle name="Comma 3 4 6" xfId="8729" xr:uid="{00000000-0005-0000-0000-0000DC020000}"/>
    <cellStyle name="Comma 3 4 6 2" xfId="11219" xr:uid="{742F7162-79CE-4015-BDD4-8ED0ACB24F78}"/>
    <cellStyle name="Comma 3 5" xfId="433" xr:uid="{00000000-0005-0000-0000-0000DD020000}"/>
    <cellStyle name="Comma 3 5 2" xfId="434" xr:uid="{00000000-0005-0000-0000-0000DE020000}"/>
    <cellStyle name="Comma 3 5 2 2" xfId="8730" xr:uid="{00000000-0005-0000-0000-0000DF020000}"/>
    <cellStyle name="Comma 3 5 2 2 2" xfId="8731" xr:uid="{00000000-0005-0000-0000-0000E0020000}"/>
    <cellStyle name="Comma 3 5 2 2 2 2" xfId="11223" xr:uid="{E7CF53F4-F476-4C63-B2E0-325B0D707DFA}"/>
    <cellStyle name="Comma 3 5 2 2 3" xfId="11222" xr:uid="{9E8142C4-8701-4E12-AC5C-116859BF0343}"/>
    <cellStyle name="Comma 3 5 2 3" xfId="8732" xr:uid="{00000000-0005-0000-0000-0000E1020000}"/>
    <cellStyle name="Comma 3 5 2 3 2" xfId="8733" xr:uid="{00000000-0005-0000-0000-0000E2020000}"/>
    <cellStyle name="Comma 3 5 2 3 2 2" xfId="11225" xr:uid="{C50F9933-C740-40D3-8A25-39537C8D652C}"/>
    <cellStyle name="Comma 3 5 2 3 3" xfId="11224" xr:uid="{B90254AE-C0BD-4E89-A2BE-AB6F2E81048A}"/>
    <cellStyle name="Comma 3 5 2 4" xfId="8734" xr:uid="{00000000-0005-0000-0000-0000E3020000}"/>
    <cellStyle name="Comma 3 5 2 4 2" xfId="11226" xr:uid="{F9A52511-B17D-4EBD-8DAB-44F718A3F8F2}"/>
    <cellStyle name="Comma 3 5 2 5" xfId="11221" xr:uid="{78BDD95C-85A0-48F5-918D-ADBB7EC55377}"/>
    <cellStyle name="Comma 3 5 2 6" xfId="12058" xr:uid="{E26898AA-829F-412E-9232-687B49CC7B2F}"/>
    <cellStyle name="Comma 3 5 3" xfId="8735" xr:uid="{00000000-0005-0000-0000-0000E4020000}"/>
    <cellStyle name="Comma 3 5 3 2" xfId="8736" xr:uid="{00000000-0005-0000-0000-0000E5020000}"/>
    <cellStyle name="Comma 3 5 3 2 2" xfId="11228" xr:uid="{D3B82823-43BD-43AA-9392-F4C17046420D}"/>
    <cellStyle name="Comma 3 5 3 3" xfId="11227" xr:uid="{5E3FCD09-A6E3-46A3-96B9-DC6194157C54}"/>
    <cellStyle name="Comma 3 5 3 4" xfId="12057" xr:uid="{B5C6D8F4-0628-4445-997A-1A332385FBEF}"/>
    <cellStyle name="Comma 3 5 4" xfId="8737" xr:uid="{00000000-0005-0000-0000-0000E6020000}"/>
    <cellStyle name="Comma 3 5 4 2" xfId="8738" xr:uid="{00000000-0005-0000-0000-0000E7020000}"/>
    <cellStyle name="Comma 3 5 4 2 2" xfId="11230" xr:uid="{1EC8AA6F-A030-4662-9D64-CCC925BBC2DD}"/>
    <cellStyle name="Comma 3 5 4 3" xfId="11229" xr:uid="{EDAE892D-DB77-4946-A2D9-E35F46FB810C}"/>
    <cellStyle name="Comma 3 5 5" xfId="8739" xr:uid="{00000000-0005-0000-0000-0000E8020000}"/>
    <cellStyle name="Comma 3 5 5 2" xfId="11231" xr:uid="{1E5420F6-DE9B-4BB9-BFEE-EA3DCA3AAAEB}"/>
    <cellStyle name="Comma 3 5 6" xfId="10464" xr:uid="{B9225DBF-F3C2-41BA-8958-6B0D04755BBF}"/>
    <cellStyle name="Comma 3 5 7" xfId="11220" xr:uid="{E1CEBAAD-8123-4AEC-B244-FC02C78CD413}"/>
    <cellStyle name="Comma 3 6" xfId="435" xr:uid="{00000000-0005-0000-0000-0000E9020000}"/>
    <cellStyle name="Comma 3 6 2" xfId="436" xr:uid="{00000000-0005-0000-0000-0000EA020000}"/>
    <cellStyle name="Comma 3 6 2 2" xfId="8740" xr:uid="{00000000-0005-0000-0000-0000EB020000}"/>
    <cellStyle name="Comma 3 6 2 2 2" xfId="8741" xr:uid="{00000000-0005-0000-0000-0000EC020000}"/>
    <cellStyle name="Comma 3 6 2 2 2 2" xfId="11235" xr:uid="{04D969E6-2704-41D9-937D-8DB0A5FD838D}"/>
    <cellStyle name="Comma 3 6 2 2 3" xfId="11234" xr:uid="{613E7194-6487-46AA-B9C8-7475D0EBCEC9}"/>
    <cellStyle name="Comma 3 6 2 3" xfId="8742" xr:uid="{00000000-0005-0000-0000-0000ED020000}"/>
    <cellStyle name="Comma 3 6 2 3 2" xfId="8743" xr:uid="{00000000-0005-0000-0000-0000EE020000}"/>
    <cellStyle name="Comma 3 6 2 3 2 2" xfId="11237" xr:uid="{BD10D0A2-090C-476B-BFC9-1984CACCD952}"/>
    <cellStyle name="Comma 3 6 2 3 3" xfId="11236" xr:uid="{07E3426C-857E-4AFB-9D13-51628153E30C}"/>
    <cellStyle name="Comma 3 6 2 4" xfId="8744" xr:uid="{00000000-0005-0000-0000-0000EF020000}"/>
    <cellStyle name="Comma 3 6 2 4 2" xfId="11238" xr:uid="{D2290839-6013-49E5-B76B-8AC8887CE194}"/>
    <cellStyle name="Comma 3 6 2 5" xfId="11233" xr:uid="{50F742A2-3ECC-4790-88F6-699D821EF867}"/>
    <cellStyle name="Comma 3 6 2 6" xfId="12060" xr:uid="{39C895BF-CAD7-4AB7-8B21-7FC63D7C83BF}"/>
    <cellStyle name="Comma 3 6 3" xfId="8745" xr:uid="{00000000-0005-0000-0000-0000F0020000}"/>
    <cellStyle name="Comma 3 6 3 2" xfId="8746" xr:uid="{00000000-0005-0000-0000-0000F1020000}"/>
    <cellStyle name="Comma 3 6 3 2 2" xfId="11240" xr:uid="{43488B22-AD58-42C4-9297-9F255EFFB3BD}"/>
    <cellStyle name="Comma 3 6 3 3" xfId="11239" xr:uid="{E2D4ACC5-88CA-4104-87F5-98703D0D7D0F}"/>
    <cellStyle name="Comma 3 6 3 4" xfId="12059" xr:uid="{0D5AA48D-0EF8-446C-B0FA-D1F61CEF13FC}"/>
    <cellStyle name="Comma 3 6 4" xfId="8747" xr:uid="{00000000-0005-0000-0000-0000F2020000}"/>
    <cellStyle name="Comma 3 6 4 2" xfId="8748" xr:uid="{00000000-0005-0000-0000-0000F3020000}"/>
    <cellStyle name="Comma 3 6 4 2 2" xfId="11242" xr:uid="{3B58436A-D5AC-4020-9AEC-90B8A757F3EF}"/>
    <cellStyle name="Comma 3 6 4 3" xfId="11241" xr:uid="{DA7E2ABB-A8C5-4E8C-84D3-BB408BD370F7}"/>
    <cellStyle name="Comma 3 6 5" xfId="8749" xr:uid="{00000000-0005-0000-0000-0000F4020000}"/>
    <cellStyle name="Comma 3 6 5 2" xfId="11243" xr:uid="{F959B44C-A3F1-4CC7-B523-43F90351C9E2}"/>
    <cellStyle name="Comma 3 6 6" xfId="10399" xr:uid="{8F87BC81-5B7D-48A2-9510-C3148973C642}"/>
    <cellStyle name="Comma 3 6 7" xfId="11232" xr:uid="{68EA0B93-FE50-459D-A23F-FB0E7CD245CC}"/>
    <cellStyle name="Comma 3 7" xfId="437" xr:uid="{00000000-0005-0000-0000-0000F5020000}"/>
    <cellStyle name="Comma 3 8" xfId="438" xr:uid="{00000000-0005-0000-0000-0000F6020000}"/>
    <cellStyle name="Comma 3 8 2" xfId="8750" xr:uid="{00000000-0005-0000-0000-0000F7020000}"/>
    <cellStyle name="Comma 3 8 2 2" xfId="8751" xr:uid="{00000000-0005-0000-0000-0000F8020000}"/>
    <cellStyle name="Comma 3 8 2 2 2" xfId="11246" xr:uid="{82FF0F1C-28D3-4644-B075-A0595C9308B7}"/>
    <cellStyle name="Comma 3 8 2 3" xfId="11245" xr:uid="{9444734D-B278-477A-995E-A5678F2C199C}"/>
    <cellStyle name="Comma 3 8 3" xfId="8752" xr:uid="{00000000-0005-0000-0000-0000F9020000}"/>
    <cellStyle name="Comma 3 8 3 2" xfId="8753" xr:uid="{00000000-0005-0000-0000-0000FA020000}"/>
    <cellStyle name="Comma 3 8 3 2 2" xfId="11248" xr:uid="{09D73030-9F8D-411F-8AA0-73FAB8683126}"/>
    <cellStyle name="Comma 3 8 3 3" xfId="11247" xr:uid="{916721D4-E294-4D4E-AD36-C484FD1F0117}"/>
    <cellStyle name="Comma 3 8 4" xfId="8754" xr:uid="{00000000-0005-0000-0000-0000FB020000}"/>
    <cellStyle name="Comma 3 8 4 2" xfId="11249" xr:uid="{B84FD487-2BDD-4AF2-A184-397E3DB75229}"/>
    <cellStyle name="Comma 3 8 5" xfId="11244" xr:uid="{B99ADD3D-56F3-471E-BBF3-2D36B9F244B0}"/>
    <cellStyle name="Comma 3 8 6" xfId="12061" xr:uid="{D9EAED18-56E0-4DD3-9559-E601FA95ABD8}"/>
    <cellStyle name="Comma 3 9" xfId="439" xr:uid="{00000000-0005-0000-0000-0000FC020000}"/>
    <cellStyle name="Comma 4" xfId="80" xr:uid="{00000000-0005-0000-0000-0000FD020000}"/>
    <cellStyle name="Comma 4 2" xfId="81" xr:uid="{00000000-0005-0000-0000-0000FE020000}"/>
    <cellStyle name="Comma 4 2 2" xfId="82" xr:uid="{00000000-0005-0000-0000-0000FF020000}"/>
    <cellStyle name="Comma 4 2 3" xfId="9186" xr:uid="{08AB43EE-C609-4C86-9532-5902A1359A05}"/>
    <cellStyle name="Comma 4 2 3 2" xfId="11716" xr:uid="{A2CCCAEC-DA70-41AF-A9AA-BB0E2F862E84}"/>
    <cellStyle name="Comma 4 2 3 3" xfId="11930" xr:uid="{A582D0B5-7FE0-4134-A97E-EA22D9F1E80D}"/>
    <cellStyle name="Comma 4 2 3 4" xfId="10271" xr:uid="{DBEA6BAB-DBB0-409B-B007-ED0F26B63ED1}"/>
    <cellStyle name="Comma 4 2 4" xfId="10567" xr:uid="{183561A3-5D8B-4A0B-9681-EBF3AC4E30A8}"/>
    <cellStyle name="Comma 4 3" xfId="83" xr:uid="{00000000-0005-0000-0000-000000030000}"/>
    <cellStyle name="Comma 4 4" xfId="9185" xr:uid="{AB4550B8-847E-4CA3-AC86-C5D0D531F2C4}"/>
    <cellStyle name="Comma 4 4 2" xfId="11929" xr:uid="{D4D97214-061C-49A1-9470-A022BCCE7B7D}"/>
    <cellStyle name="Comma 4 4 3" xfId="9567" xr:uid="{D027BA43-5A11-4583-A91E-72A3E00BCC42}"/>
    <cellStyle name="Comma 4 5" xfId="10270" xr:uid="{7D53E2CF-A6A3-424B-9217-213BC2456DCA}"/>
    <cellStyle name="Comma 4 6" xfId="10549" xr:uid="{AC707903-F067-4830-9561-BB50F2A0B79F}"/>
    <cellStyle name="Comma 5" xfId="84" xr:uid="{00000000-0005-0000-0000-000001030000}"/>
    <cellStyle name="Comma 5 2" xfId="85" xr:uid="{00000000-0005-0000-0000-000002030000}"/>
    <cellStyle name="Comma 5 2 2" xfId="10273" xr:uid="{CE7D8661-A792-4770-863A-DF0F295836CF}"/>
    <cellStyle name="Comma 5 2 3" xfId="11250" xr:uid="{2FCD3C55-2156-4755-A3F0-F7F7B5EC4C8A}"/>
    <cellStyle name="Comma 5 2 4" xfId="11931" xr:uid="{2E2B5CF3-E267-4C71-BCB7-8AC470F7D70F}"/>
    <cellStyle name="Comma 5 3" xfId="86" xr:uid="{00000000-0005-0000-0000-000003030000}"/>
    <cellStyle name="Comma 5 4" xfId="9187" xr:uid="{B21969C4-DA3A-4154-905F-E241EA5EF9DE}"/>
    <cellStyle name="Comma 5 4 2" xfId="10272" xr:uid="{20B540B2-EF98-4B90-B279-DE0E65352FFF}"/>
    <cellStyle name="Comma 5 5" xfId="10527" xr:uid="{D21F8C23-96A7-464B-B806-8C261C72496B}"/>
    <cellStyle name="Comma 5 5 2" xfId="11828" xr:uid="{56767AB9-AFE5-441A-9479-874811B2B742}"/>
    <cellStyle name="Comma 5 6" xfId="11902" xr:uid="{90E1DFCC-6BA9-41A9-ACCE-5DBA0912C5D6}"/>
    <cellStyle name="Comma 6" xfId="87" xr:uid="{00000000-0005-0000-0000-000004030000}"/>
    <cellStyle name="Comma 6 2" xfId="8191" xr:uid="{00000000-0005-0000-0000-000005030000}"/>
    <cellStyle name="Comma 6 2 2" xfId="11932" xr:uid="{B4158436-63FA-4BE3-A3CE-2BB352CA3379}"/>
    <cellStyle name="Comma 6 3" xfId="9180" xr:uid="{A9AC5466-29AB-459C-8F21-77288FA2BB5F}"/>
    <cellStyle name="Comma 7" xfId="88" xr:uid="{00000000-0005-0000-0000-000006030000}"/>
    <cellStyle name="Comma 7 2" xfId="8192" xr:uid="{00000000-0005-0000-0000-000007030000}"/>
    <cellStyle name="Comma 7 3" xfId="11933" xr:uid="{01BD5C64-2F3A-4896-AD2C-A5865E55770E}"/>
    <cellStyle name="Comma 8" xfId="89" xr:uid="{00000000-0005-0000-0000-000008030000}"/>
    <cellStyle name="Comma 8 2" xfId="8193" xr:uid="{00000000-0005-0000-0000-000009030000}"/>
    <cellStyle name="Comma 8 3" xfId="10582" xr:uid="{8B13FC6A-CE93-4441-B9CC-2E31A36B8E35}"/>
    <cellStyle name="Comma 8 4" xfId="11934" xr:uid="{AE5D8DF4-A55E-4235-ACA0-CB69B63D437C}"/>
    <cellStyle name="Comma 9" xfId="440" xr:uid="{00000000-0005-0000-0000-00000A030000}"/>
    <cellStyle name="Comma 9 2" xfId="10274" xr:uid="{02935FE6-26DB-41AB-A0FE-1DD86BCCFDF5}"/>
    <cellStyle name="Comma 9 3" xfId="10632" xr:uid="{8D0D464D-CF17-4B7A-8569-878D0CCD07D7}"/>
    <cellStyle name="Comma 9 4" xfId="9456" xr:uid="{1D3DA1AE-0320-4C03-A942-9EE6F605F754}"/>
    <cellStyle name="Comma0" xfId="9270" xr:uid="{3344D0C8-3FBE-43BB-BE38-3211DFD36DD6}"/>
    <cellStyle name="ContentsHyperlink" xfId="9568" xr:uid="{8DB96594-5914-4211-83B8-4B1B0EC6DEF4}"/>
    <cellStyle name="Cumulative" xfId="9345" xr:uid="{6D5BEA38-830F-4B5F-93EE-8876D5C04769}"/>
    <cellStyle name="Currency" xfId="9172" builtinId="4"/>
    <cellStyle name="Currency [0] 2" xfId="9569" xr:uid="{E53BC0A8-6520-4D46-9FF1-7BF948894178}"/>
    <cellStyle name="Currency [1]" xfId="9243" xr:uid="{50E8855A-1CEE-437F-8971-075406B2DDBD}"/>
    <cellStyle name="Currency [2]" xfId="9244" xr:uid="{13AAFBCB-26B5-465C-BA61-8E68E4FB20AC}"/>
    <cellStyle name="Currency 10" xfId="9570" xr:uid="{9E8BA96C-5B99-4A5F-AC72-1D8E8E88207B}"/>
    <cellStyle name="Currency 11" xfId="9571" xr:uid="{35574F98-BB39-4248-A167-C904C1B4B63A}"/>
    <cellStyle name="Currency 12" xfId="9572" xr:uid="{D6CDED74-511F-4542-98DB-5A7CE9F3EC8C}"/>
    <cellStyle name="Currency 13" xfId="10571" xr:uid="{C4599048-0E9F-4DE1-81C6-E6BB285D6A37}"/>
    <cellStyle name="Currency 14" xfId="12132" xr:uid="{7C545EC0-1A02-4A64-9982-63C220FF8099}"/>
    <cellStyle name="Currency 15" xfId="12135" xr:uid="{B1CC1EE3-D358-4BF1-AC8C-639FD9F65160}"/>
    <cellStyle name="Currency 16" xfId="9390" xr:uid="{5BCCF938-8F05-4EE6-A1D1-F8E7843C8B5C}"/>
    <cellStyle name="Currency 17" xfId="10125" xr:uid="{ABC121B8-F3B7-4D81-8F93-F1B0E7FC6E6D}"/>
    <cellStyle name="Currency 2" xfId="15" xr:uid="{00000000-0005-0000-0000-00000B030000}"/>
    <cellStyle name="Currency 2 2" xfId="90" xr:uid="{00000000-0005-0000-0000-00000C030000}"/>
    <cellStyle name="Currency 2 2 2" xfId="91" xr:uid="{00000000-0005-0000-0000-00000D030000}"/>
    <cellStyle name="Currency 2 2 2 2" xfId="8755" xr:uid="{00000000-0005-0000-0000-00000E030000}"/>
    <cellStyle name="Currency 2 2 2 2 2" xfId="9574" xr:uid="{C700F572-8ACB-4D9E-87F9-08863D6C523D}"/>
    <cellStyle name="Currency 2 2 2 2 3" xfId="11251" xr:uid="{9A49D0AA-45CF-4B6C-A338-466602C1BAF4}"/>
    <cellStyle name="Currency 2 2 2 2 4" xfId="9573" xr:uid="{D87B70FC-892A-4C13-9564-AA8CB2904021}"/>
    <cellStyle name="Currency 2 2 2 3" xfId="9575" xr:uid="{94FCE9B2-4C67-4FEC-965A-548462E9F6F6}"/>
    <cellStyle name="Currency 2 2 3" xfId="292" xr:uid="{00000000-0005-0000-0000-00000F030000}"/>
    <cellStyle name="Currency 2 2 3 2" xfId="9576" xr:uid="{7C61C035-2BDB-4431-B35F-715C7F0F91AD}"/>
    <cellStyle name="Currency 2 2 3 2 2" xfId="11252" xr:uid="{EEBAC3D1-D1CA-493D-9460-9CF03EE5518F}"/>
    <cellStyle name="Currency 2 2 4" xfId="441" xr:uid="{00000000-0005-0000-0000-000010030000}"/>
    <cellStyle name="Currency 2 2 4 2" xfId="9578" xr:uid="{B32E62C9-0E7D-476B-AC70-1E29DA8BEB86}"/>
    <cellStyle name="Currency 2 2 4 3" xfId="9577" xr:uid="{25C5E0A4-DD57-4F5B-A84A-A6B535F9D764}"/>
    <cellStyle name="Currency 2 2 5" xfId="9189" xr:uid="{374C6290-01C5-49BE-A7D0-B8BF0F8947CB}"/>
    <cellStyle name="Currency 2 2 5 2" xfId="10275" xr:uid="{B5B428C5-5856-456F-9469-0423846AEC62}"/>
    <cellStyle name="Currency 2 3" xfId="92" xr:uid="{00000000-0005-0000-0000-000011030000}"/>
    <cellStyle name="Currency 2 3 2" xfId="9579" xr:uid="{3A178455-A112-4E5F-8611-A859D6A3E5D4}"/>
    <cellStyle name="Currency 2 3 2 2" xfId="8756" xr:uid="{00000000-0005-0000-0000-000013030000}"/>
    <cellStyle name="Currency 2 3 2 3" xfId="10277" xr:uid="{62956C50-D000-4088-824C-A55E54D6F0F6}"/>
    <cellStyle name="Currency 2 3 2 4" xfId="10385" xr:uid="{93103DF0-BBE4-4E9E-AA99-3265FDE48958}"/>
    <cellStyle name="Currency 2 3 2 5" xfId="11253" xr:uid="{AE06DDF1-637F-440E-9F40-40749BD05AFB}"/>
    <cellStyle name="Currency 2 3 3" xfId="9580" xr:uid="{00049791-05C6-4087-B990-F3647E5BBBE1}"/>
    <cellStyle name="Currency 2 3 4" xfId="9581" xr:uid="{FCC8942C-A099-40B1-AB73-AC64EB39D437}"/>
    <cellStyle name="Currency 2 3 4 2" xfId="11254" xr:uid="{EE5CFAD4-484D-4547-BA34-23A98D9E5496}"/>
    <cellStyle name="Currency 2 3 5" xfId="10276" xr:uid="{B2CD9553-B739-421F-95D4-A86BE18CF5EB}"/>
    <cellStyle name="Currency 2 3 6" xfId="9271" xr:uid="{D6D1470B-9A00-4941-83EA-8C93C138E19D}"/>
    <cellStyle name="Currency 2 4" xfId="293" xr:uid="{00000000-0005-0000-0000-000014030000}"/>
    <cellStyle name="Currency 2 4 2" xfId="9582" xr:uid="{D7E1C411-268C-438F-AF27-6BEFC75925FF}"/>
    <cellStyle name="Currency 2 4 2 2" xfId="11255" xr:uid="{447E9F83-36BA-4CF4-973D-D12116524A4E}"/>
    <cellStyle name="Currency 2 4 3" xfId="10465" xr:uid="{2DEC052E-228A-412C-9FF6-71568D31B1CF}"/>
    <cellStyle name="Currency 2 4 4" xfId="9391" xr:uid="{F4D12894-A85E-42F8-AD50-6BBAB9F8A2D2}"/>
    <cellStyle name="Currency 2 5" xfId="294" xr:uid="{00000000-0005-0000-0000-000015030000}"/>
    <cellStyle name="Currency 2 5 2" xfId="8194" xr:uid="{00000000-0005-0000-0000-000016030000}"/>
    <cellStyle name="Currency 2 5 2 2" xfId="11935" xr:uid="{C222A6A6-001F-4BF8-84AC-E5CBB6D66F02}"/>
    <cellStyle name="Currency 2 5 3" xfId="9392" xr:uid="{6DFC1263-C3E5-4764-AC39-142B66949FFA}"/>
    <cellStyle name="Currency 2 6" xfId="442" xr:uid="{00000000-0005-0000-0000-000017030000}"/>
    <cellStyle name="Currency 2 6 2" xfId="9583" xr:uid="{091576C8-28EA-46CB-8EAE-327E37AFB3C9}"/>
    <cellStyle name="Currency 2 6 3" xfId="10278" xr:uid="{86E017B3-B50E-487E-AFA8-34A0E7C2EE55}"/>
    <cellStyle name="Currency 2 6 4" xfId="9393" xr:uid="{9AA41842-0163-4577-99DD-5488CD479767}"/>
    <cellStyle name="Currency 2 7" xfId="9116" xr:uid="{00000000-0005-0000-0000-000018030000}"/>
    <cellStyle name="Currency 2 7 2" xfId="9584" xr:uid="{46FFF45F-DAF6-46CE-BFAC-55AC32E8A578}"/>
    <cellStyle name="Currency 2 8" xfId="9231" xr:uid="{4EA17904-B737-4CB4-9D87-4D9B9BE7B0E5}"/>
    <cellStyle name="Currency 20" xfId="9101" xr:uid="{00000000-0005-0000-0000-000019030000}"/>
    <cellStyle name="Currency 3" xfId="93" xr:uid="{00000000-0005-0000-0000-00001A030000}"/>
    <cellStyle name="Currency 3 2" xfId="94" xr:uid="{00000000-0005-0000-0000-00001B030000}"/>
    <cellStyle name="Currency 3 2 2" xfId="95" xr:uid="{00000000-0005-0000-0000-00001C030000}"/>
    <cellStyle name="Currency 3 2 2 2" xfId="8757" xr:uid="{00000000-0005-0000-0000-00001D030000}"/>
    <cellStyle name="Currency 3 2 3" xfId="295" xr:uid="{00000000-0005-0000-0000-00001E030000}"/>
    <cellStyle name="Currency 3 2 4" xfId="443" xr:uid="{00000000-0005-0000-0000-00001F030000}"/>
    <cellStyle name="Currency 3 2 5" xfId="10584" xr:uid="{ED908F67-239C-4B9A-8902-FEB6FA1F28EE}"/>
    <cellStyle name="Currency 3 2 6" xfId="9394" xr:uid="{9A38C287-CFDF-4AB0-A08C-CD7F4B781CC2}"/>
    <cellStyle name="Currency 3 3" xfId="96" xr:uid="{00000000-0005-0000-0000-000020030000}"/>
    <cellStyle name="Currency 3 3 2" xfId="8758" xr:uid="{00000000-0005-0000-0000-000021030000}"/>
    <cellStyle name="Currency 3 4" xfId="296" xr:uid="{00000000-0005-0000-0000-000022030000}"/>
    <cellStyle name="Currency 3 4 2" xfId="444" xr:uid="{00000000-0005-0000-0000-000023030000}"/>
    <cellStyle name="Currency 3 5" xfId="445" xr:uid="{00000000-0005-0000-0000-000024030000}"/>
    <cellStyle name="Currency 3 6" xfId="8759" xr:uid="{00000000-0005-0000-0000-000025030000}"/>
    <cellStyle name="Currency 3 6 2" xfId="9586" xr:uid="{2F07326D-5976-405A-A4E4-9454AF7DF677}"/>
    <cellStyle name="Currency 3 6 3" xfId="9585" xr:uid="{5C05EB91-CC6C-477A-A177-C98E93C9337D}"/>
    <cellStyle name="Currency 3 7" xfId="9190" xr:uid="{718AC805-AA31-46A0-B1E7-3530D6CDE11E}"/>
    <cellStyle name="Currency 3 7 2" xfId="11717" xr:uid="{717D0A9C-9F71-48F6-B813-AA48E43B0047}"/>
    <cellStyle name="Currency 3 7 3" xfId="10279" xr:uid="{64FF956F-1B0E-480F-9853-CB39BDA69AC3}"/>
    <cellStyle name="Currency 4" xfId="97" xr:uid="{00000000-0005-0000-0000-000026030000}"/>
    <cellStyle name="Currency 4 2" xfId="446" xr:uid="{00000000-0005-0000-0000-000027030000}"/>
    <cellStyle name="Currency 4 2 2" xfId="10494" xr:uid="{96B5E061-CFD0-40D1-B383-6791A4158836}"/>
    <cellStyle name="Currency 4 2 3" xfId="10561" xr:uid="{51118F62-2C66-4D5C-A48B-F44E81C1BD31}"/>
    <cellStyle name="Currency 4 2 4" xfId="9304" xr:uid="{87D4221E-A4A6-4E2B-89FE-385A9E2018FC}"/>
    <cellStyle name="Currency 4 3" xfId="447" xr:uid="{00000000-0005-0000-0000-000028030000}"/>
    <cellStyle name="Currency 4 4" xfId="9188" xr:uid="{99DB3381-C3A3-4044-AE2B-5A6A362A4014}"/>
    <cellStyle name="Currency 4 4 2" xfId="11256" xr:uid="{0ADDA349-7785-4EF8-AB5F-D6C92E7169FF}"/>
    <cellStyle name="Currency 4 4 3" xfId="9587" xr:uid="{0A0BF09A-F469-4A22-A325-6EC8D15A2DCB}"/>
    <cellStyle name="Currency 4 5" xfId="10280" xr:uid="{A6525E12-BFD7-403F-A631-8B6844B228E4}"/>
    <cellStyle name="Currency 4 5 2" xfId="11718" xr:uid="{306D75C4-4650-44B6-96E3-F5969E41F74C}"/>
    <cellStyle name="Currency 4 6" xfId="10543" xr:uid="{E80F5415-8987-4356-9FD0-1FD702AA8A31}"/>
    <cellStyle name="Currency 4 7" xfId="9255" xr:uid="{36D3BF2C-2A87-423B-9707-498EC4A2624E}"/>
    <cellStyle name="Currency 5" xfId="98" xr:uid="{00000000-0005-0000-0000-000029030000}"/>
    <cellStyle name="Currency 5 2" xfId="99" xr:uid="{00000000-0005-0000-0000-00002A030000}"/>
    <cellStyle name="Currency 5 2 2" xfId="100" xr:uid="{00000000-0005-0000-0000-00002B030000}"/>
    <cellStyle name="Currency 5 2 2 2" xfId="8760" xr:uid="{00000000-0005-0000-0000-00002C030000}"/>
    <cellStyle name="Currency 5 2 2 2 2" xfId="11259" xr:uid="{6A5D0587-780F-4E66-9046-3472E2319858}"/>
    <cellStyle name="Currency 5 2 3" xfId="8761" xr:uid="{00000000-0005-0000-0000-00002D030000}"/>
    <cellStyle name="Currency 5 2 3 2" xfId="8762" xr:uid="{00000000-0005-0000-0000-00002E030000}"/>
    <cellStyle name="Currency 5 2 3 2 2" xfId="11261" xr:uid="{7758CE01-2056-4A07-B1E1-FADD91A96E94}"/>
    <cellStyle name="Currency 5 2 3 3" xfId="11260" xr:uid="{980B03E5-AD6F-4C1F-8D63-83B28F9BBFD8}"/>
    <cellStyle name="Currency 5 2 4" xfId="8763" xr:uid="{00000000-0005-0000-0000-00002F030000}"/>
    <cellStyle name="Currency 5 2 5" xfId="8764" xr:uid="{00000000-0005-0000-0000-000030030000}"/>
    <cellStyle name="Currency 5 2 5 2" xfId="11262" xr:uid="{08F8870E-A2EF-485C-9C1C-C465D6E255E6}"/>
    <cellStyle name="Currency 5 2 6" xfId="11258" xr:uid="{FA8A5C8B-5B17-4066-B04E-394E6D5310AB}"/>
    <cellStyle name="Currency 5 2 7" xfId="11937" xr:uid="{12A9638B-5406-44A2-ACAF-EFEE2708E106}"/>
    <cellStyle name="Currency 5 3" xfId="101" xr:uid="{00000000-0005-0000-0000-000031030000}"/>
    <cellStyle name="Currency 5 3 2" xfId="8765" xr:uid="{00000000-0005-0000-0000-000032030000}"/>
    <cellStyle name="Currency 5 3 2 2" xfId="11263" xr:uid="{73FD3BB3-B00E-4BF0-BDED-1454B246F3F3}"/>
    <cellStyle name="Currency 5 4" xfId="8766" xr:uid="{00000000-0005-0000-0000-000033030000}"/>
    <cellStyle name="Currency 5 4 2" xfId="8767" xr:uid="{00000000-0005-0000-0000-000034030000}"/>
    <cellStyle name="Currency 5 4 2 2" xfId="11265" xr:uid="{77692E84-0912-4BC2-B766-EB9C645E5FB2}"/>
    <cellStyle name="Currency 5 4 3" xfId="11264" xr:uid="{D06D5816-E4F1-4BBC-9F7E-EF8538A17405}"/>
    <cellStyle name="Currency 5 4 4" xfId="11936" xr:uid="{A11B9696-51CA-4D35-9EDB-D290CB0E88D4}"/>
    <cellStyle name="Currency 5 5" xfId="8768" xr:uid="{00000000-0005-0000-0000-000035030000}"/>
    <cellStyle name="Currency 5 6" xfId="8769" xr:uid="{00000000-0005-0000-0000-000036030000}"/>
    <cellStyle name="Currency 5 6 2" xfId="11266" xr:uid="{D6B0BF4D-F9D9-4694-973F-1D229920934E}"/>
    <cellStyle name="Currency 5 7" xfId="11257" xr:uid="{58306CDE-D69D-4743-9BB2-CEC3239634A8}"/>
    <cellStyle name="Currency 6" xfId="102" xr:uid="{00000000-0005-0000-0000-000037030000}"/>
    <cellStyle name="Currency 6 2" xfId="103" xr:uid="{00000000-0005-0000-0000-000038030000}"/>
    <cellStyle name="Currency 6 2 2" xfId="11268" xr:uid="{DADF74E6-BC98-419F-8079-0019F90435B7}"/>
    <cellStyle name="Currency 6 2 3" xfId="11939" xr:uid="{12572FA1-894A-47E3-9C9F-86902378696E}"/>
    <cellStyle name="Currency 6 3" xfId="8195" xr:uid="{00000000-0005-0000-0000-000039030000}"/>
    <cellStyle name="Currency 6 3 2" xfId="11938" xr:uid="{FA300C21-BF51-4E79-9D69-96F9F630DF90}"/>
    <cellStyle name="Currency 6 4" xfId="11267" xr:uid="{663DCE46-5E56-45EA-902B-3B88EE874E76}"/>
    <cellStyle name="Currency 7" xfId="104" xr:uid="{00000000-0005-0000-0000-00003A030000}"/>
    <cellStyle name="Currency 7 2" xfId="105" xr:uid="{00000000-0005-0000-0000-00003B030000}"/>
    <cellStyle name="Currency 7 2 2" xfId="11270" xr:uid="{283A36C0-4D92-48BB-BC59-5C055879BF5F}"/>
    <cellStyle name="Currency 7 2 3" xfId="11941" xr:uid="{68569955-3230-4CA2-8352-3B95B83D7B7E}"/>
    <cellStyle name="Currency 7 3" xfId="8196" xr:uid="{00000000-0005-0000-0000-00003C030000}"/>
    <cellStyle name="Currency 7 4" xfId="11269" xr:uid="{E7773777-341F-4F34-976C-3DDDF4EAFD54}"/>
    <cellStyle name="Currency 7 5" xfId="11940" xr:uid="{1BC7C255-F920-4BEF-A722-1B39B0EF5450}"/>
    <cellStyle name="Currency 8" xfId="106" xr:uid="{00000000-0005-0000-0000-00003D030000}"/>
    <cellStyle name="Currency 8 2" xfId="11271" xr:uid="{D219D83A-671E-424D-9D1C-C339EF8F3C67}"/>
    <cellStyle name="Currency 8 3" xfId="11942" xr:uid="{18AE071A-0323-4F83-BA6B-87AFC0706237}"/>
    <cellStyle name="Currency 9" xfId="9588" xr:uid="{76F6D5FF-AD08-41B4-90C3-CA51BD2F521D}"/>
    <cellStyle name="Currency Style" xfId="9589" xr:uid="{40327B78-3530-42AC-843F-302201B77B51}"/>
    <cellStyle name="Currency[0]" xfId="9346" xr:uid="{0C6F09D1-64BB-4572-93D9-AB5879280CE1}"/>
    <cellStyle name="Currency0" xfId="9272" xr:uid="{0A8743A9-0C46-4AD7-B625-075599C683AB}"/>
    <cellStyle name="Currency0 2" xfId="9273" xr:uid="{105A4903-F4C8-466F-A22B-DBF4ED5023F4}"/>
    <cellStyle name="Currency0 3" xfId="10281" xr:uid="{EDE16F98-4896-4053-BB2B-76DAB6F3E896}"/>
    <cellStyle name="Current_Gen" xfId="9099" xr:uid="{00000000-0005-0000-0000-00003E030000}"/>
    <cellStyle name="CurrentYrInput" xfId="8154" xr:uid="{00000000-0005-0000-0000-00003F030000}"/>
    <cellStyle name="Data Entry" xfId="9191" xr:uid="{61F91D0F-8154-4BC8-9FF3-735F858EE9D1}"/>
    <cellStyle name="Data Entry $$$" xfId="9192" xr:uid="{ABF0F754-6F48-4252-97DA-4BCEEBB5F96A}"/>
    <cellStyle name="Data Entry Smaller" xfId="9193" xr:uid="{5D652E31-BDE0-4594-B56C-959EAEE088AF}"/>
    <cellStyle name="Data Entry_BPAControls" xfId="9194" xr:uid="{6C03E9C7-ABF7-4320-8866-A26E5914D523}"/>
    <cellStyle name="Data Field" xfId="16" xr:uid="{00000000-0005-0000-0000-000040030000}"/>
    <cellStyle name="Data Field 2" xfId="107" xr:uid="{00000000-0005-0000-0000-000041030000}"/>
    <cellStyle name="Data Field 2 2" xfId="108" xr:uid="{00000000-0005-0000-0000-000042030000}"/>
    <cellStyle name="Data Field 2 2 2" xfId="8770" xr:uid="{00000000-0005-0000-0000-000043030000}"/>
    <cellStyle name="Data Field 2 3" xfId="297" xr:uid="{00000000-0005-0000-0000-000044030000}"/>
    <cellStyle name="Data Field 2 4" xfId="448" xr:uid="{00000000-0005-0000-0000-000045030000}"/>
    <cellStyle name="Data Field 3" xfId="109" xr:uid="{00000000-0005-0000-0000-000046030000}"/>
    <cellStyle name="Data Field 3 2" xfId="8771" xr:uid="{00000000-0005-0000-0000-000047030000}"/>
    <cellStyle name="Data Field 4" xfId="298" xr:uid="{00000000-0005-0000-0000-000048030000}"/>
    <cellStyle name="Data Field 4 2" xfId="449" xr:uid="{00000000-0005-0000-0000-000049030000}"/>
    <cellStyle name="Data Field 5" xfId="450" xr:uid="{00000000-0005-0000-0000-00004A030000}"/>
    <cellStyle name="Data Field 6" xfId="8772" xr:uid="{00000000-0005-0000-0000-00004B030000}"/>
    <cellStyle name="Data Name" xfId="17" xr:uid="{00000000-0005-0000-0000-00004C030000}"/>
    <cellStyle name="Data Name 2" xfId="451" xr:uid="{00000000-0005-0000-0000-00004D030000}"/>
    <cellStyle name="Data Name 2 2" xfId="452" xr:uid="{00000000-0005-0000-0000-00004E030000}"/>
    <cellStyle name="Data Name 2 3" xfId="453" xr:uid="{00000000-0005-0000-0000-00004F030000}"/>
    <cellStyle name="Data Name 3" xfId="454" xr:uid="{00000000-0005-0000-0000-000050030000}"/>
    <cellStyle name="Data Name 4" xfId="455" xr:uid="{00000000-0005-0000-0000-000051030000}"/>
    <cellStyle name="Data, Preliminary" xfId="9347" xr:uid="{2FF06D43-2219-4D3C-85A2-FBA21474180E}"/>
    <cellStyle name="Data, Researched" xfId="9348" xr:uid="{DCCD13BC-B0A9-4709-937A-DDDCDEE7C950}"/>
    <cellStyle name="Data, Static" xfId="9349" xr:uid="{F5FDEBEA-ABB8-4D5A-8283-80381E147177}"/>
    <cellStyle name="Data, Unverified" xfId="9350" xr:uid="{98EC1AB0-83E7-450C-BBE4-45BBEDBC8F3C}"/>
    <cellStyle name="Date" xfId="9234" xr:uid="{5CF4E2D7-8547-449A-A748-5B5A6D204C72}"/>
    <cellStyle name="Date 2" xfId="9274" xr:uid="{EE622788-E467-4B7C-8106-08416F28EF3E}"/>
    <cellStyle name="Date 3" xfId="10283" xr:uid="{2DC3C1AB-70BE-4605-BE34-4A59E2A3FAFB}"/>
    <cellStyle name="Date 4" xfId="10282" xr:uid="{7809EF55-E356-46F1-8A73-EE15E197760A}"/>
    <cellStyle name="Date/Time" xfId="18" xr:uid="{00000000-0005-0000-0000-000052030000}"/>
    <cellStyle name="Date/Time 2" xfId="9195" xr:uid="{4ABB800C-8E73-4DB1-8176-9084F8F4C7B5}"/>
    <cellStyle name="DateL" xfId="9245" xr:uid="{0B96F0D0-9BEB-44DD-AF5A-371BD3A18580}"/>
    <cellStyle name="Decimal" xfId="9196" xr:uid="{B060F8EC-5BAC-453D-9536-72F6BADC747B}"/>
    <cellStyle name="Definition" xfId="9351" xr:uid="{506C235D-6E0A-499B-AFAF-136D76AB488A}"/>
    <cellStyle name="Delta" xfId="9352" xr:uid="{915DE1CA-0DB2-4997-80BE-A66D22067F66}"/>
    <cellStyle name="Delta 2" xfId="10118" xr:uid="{08F526CD-7C3C-4182-99DF-DDFEBAF9C9E1}"/>
    <cellStyle name="detail #" xfId="9590" xr:uid="{54BE85F6-933E-4325-B1B3-6A6751BD0DC1}"/>
    <cellStyle name="DropDown" xfId="9265" xr:uid="{E48B1869-8D3C-4CB7-B2D3-790931015D91}"/>
    <cellStyle name="Emphasis 1" xfId="110" xr:uid="{00000000-0005-0000-0000-000053030000}"/>
    <cellStyle name="Emphasis 2" xfId="111" xr:uid="{00000000-0005-0000-0000-000054030000}"/>
    <cellStyle name="Emphasis 3" xfId="9591" xr:uid="{C110FCD3-3CD5-4595-B096-F9F4B073DAEF}"/>
    <cellStyle name="Explanatory Text 2" xfId="112" xr:uid="{00000000-0005-0000-0000-000056030000}"/>
    <cellStyle name="Explanatory Text 3" xfId="299" xr:uid="{00000000-0005-0000-0000-000057030000}"/>
    <cellStyle name="Field Name" xfId="9197" xr:uid="{4AAF8FE0-DB6D-42CD-B4DD-CBCC8EC60ED5}"/>
    <cellStyle name="Field Name - Lighting Details" xfId="9198" xr:uid="{D87FAD7C-F0D2-4352-BDE9-EFB6F2F47C03}"/>
    <cellStyle name="Field Name_BPAControls" xfId="9199" xr:uid="{A4442DA0-7F74-4C30-B2D7-B37387A32B39}"/>
    <cellStyle name="Fixed" xfId="9235" xr:uid="{A1C861C0-2E12-4556-B24B-8AD53A46665A}"/>
    <cellStyle name="Fixed 2" xfId="9275" xr:uid="{B1646E17-B503-4BCF-86C5-242FC0457DB7}"/>
    <cellStyle name="Fixed 3" xfId="10285" xr:uid="{AC2577A0-FC67-4ACF-8CCF-F3BC7AC38AFA}"/>
    <cellStyle name="Fixed 4" xfId="10284" xr:uid="{ADCEF0C2-E163-49D4-A41B-F93F8A008109}"/>
    <cellStyle name="Good" xfId="4" builtinId="26"/>
    <cellStyle name="Good 2" xfId="113" xr:uid="{00000000-0005-0000-0000-000059030000}"/>
    <cellStyle name="Good 3" xfId="300" xr:uid="{00000000-0005-0000-0000-00005A030000}"/>
    <cellStyle name="Gross" xfId="9353" xr:uid="{F3A79EAD-35BD-428C-B8A5-1B232A83E25E}"/>
    <cellStyle name="Guidance_text" xfId="9354" xr:uid="{1F67FC21-5E10-498E-AC49-F72EA1115124}"/>
    <cellStyle name="Header L" xfId="9592" xr:uid="{0D76877A-11BA-4CB2-8146-1911A81568F1}"/>
    <cellStyle name="Header R" xfId="9593" xr:uid="{B5C33B7E-526A-4118-A803-67D7DD173300}"/>
    <cellStyle name="Header R Border" xfId="9594" xr:uid="{8FA9AEA5-BC78-457F-810B-59A83C49FD4B}"/>
    <cellStyle name="Header R Border 2" xfId="9864" xr:uid="{90D45E1D-AC12-498C-BB78-C44C20B1DFFA}"/>
    <cellStyle name="Heading" xfId="19" xr:uid="{00000000-0005-0000-0000-00005B030000}"/>
    <cellStyle name="Heading 1 2" xfId="114" xr:uid="{00000000-0005-0000-0000-00005D030000}"/>
    <cellStyle name="Heading 1 2 2" xfId="301" xr:uid="{00000000-0005-0000-0000-00005E030000}"/>
    <cellStyle name="Heading 1 2 2 2" xfId="9595" xr:uid="{357A776D-5554-43D3-9AED-365993230E07}"/>
    <cellStyle name="Heading 1 2 2 3" xfId="11943" xr:uid="{D834786A-DA40-4FB9-B2DE-A41F99F324B9}"/>
    <cellStyle name="Heading 1 2 2 4" xfId="9395" xr:uid="{D6195CFC-905C-4D75-B701-027FA0802FA3}"/>
    <cellStyle name="Heading 1 2 3" xfId="9596" xr:uid="{EE7EA173-8AC9-4B3C-95C4-F8A50BEF40E5}"/>
    <cellStyle name="Heading 1 2 4" xfId="9597" xr:uid="{F6876A6B-38B6-4DD0-BA96-2F19E05EB95A}"/>
    <cellStyle name="Heading 1 2 5" xfId="9598" xr:uid="{4A869086-2D12-4582-9056-2236A621274F}"/>
    <cellStyle name="Heading 1 3" xfId="302" xr:uid="{00000000-0005-0000-0000-00005F030000}"/>
    <cellStyle name="Heading 1 3 2" xfId="9599" xr:uid="{C53D178D-A555-41C6-B79E-01B27F0E88E2}"/>
    <cellStyle name="Heading 2" xfId="3" builtinId="17"/>
    <cellStyle name="Heading 2 2" xfId="115" xr:uid="{00000000-0005-0000-0000-000061030000}"/>
    <cellStyle name="Heading 2 2 10" xfId="9600" xr:uid="{63EB53BF-2518-445D-94B0-3FA9BD61C3E7}"/>
    <cellStyle name="Heading 2 2 10 2" xfId="9862" xr:uid="{B27CF13B-A850-4F96-9EF9-3EA6304429DD}"/>
    <cellStyle name="Heading 2 2 11" xfId="9601" xr:uid="{D79E1CDC-D341-484B-84A5-08033B5677C2}"/>
    <cellStyle name="Heading 2 2 11 2" xfId="9861" xr:uid="{A5F80AA9-5B46-4A84-9EB3-403371F49ABD}"/>
    <cellStyle name="Heading 2 2 12" xfId="9602" xr:uid="{D9951567-B494-4B67-96A8-56D7DD94E82C}"/>
    <cellStyle name="Heading 2 2 12 2" xfId="9860" xr:uid="{AAE06925-90F9-4FC2-9E86-D5498DB5D1F7}"/>
    <cellStyle name="Heading 2 2 13" xfId="9603" xr:uid="{62E46F82-F947-46E6-BB63-7B0A21E357B4}"/>
    <cellStyle name="Heading 2 2 13 2" xfId="9859" xr:uid="{AE78F4CF-11F4-4A4F-A370-8EA421C4E94D}"/>
    <cellStyle name="Heading 2 2 14" xfId="9604" xr:uid="{09D6A7F4-B98B-4153-AC06-807D8E5FCA04}"/>
    <cellStyle name="Heading 2 2 2" xfId="456" xr:uid="{00000000-0005-0000-0000-000062030000}"/>
    <cellStyle name="Heading 2 2 2 10" xfId="9606" xr:uid="{EB0B8CD0-95A7-4C87-B8AC-8E2AF929F364}"/>
    <cellStyle name="Heading 2 2 2 11" xfId="9605" xr:uid="{7C0CE28C-AA0B-4C90-ABEE-E9B64CD20B13}"/>
    <cellStyle name="Heading 2 2 2 2" xfId="8773" xr:uid="{00000000-0005-0000-0000-000063030000}"/>
    <cellStyle name="Heading 2 2 2 2 2" xfId="9607" xr:uid="{96662C06-9494-43AB-A34C-80C32CBFE7C0}"/>
    <cellStyle name="Heading 2 2 2 2 3" xfId="9858" xr:uid="{1D84B130-EE1D-43F5-9C1B-A763B52193A5}"/>
    <cellStyle name="Heading 2 2 2 3" xfId="9168" xr:uid="{00000000-0005-0000-0000-000064030000}"/>
    <cellStyle name="Heading 2 2 2 3 2" xfId="9608" xr:uid="{C466A8B1-97A7-47A1-878A-15CA18DC2FBC}"/>
    <cellStyle name="Heading 2 2 2 3 3" xfId="9857" xr:uid="{A38A4C9C-D16C-4E19-834E-C0DFD9420B10}"/>
    <cellStyle name="Heading 2 2 2 4" xfId="9609" xr:uid="{FF570ACB-7A54-467E-9C12-B022AAB12A51}"/>
    <cellStyle name="Heading 2 2 2 4 2" xfId="9856" xr:uid="{167124CC-F171-43EE-96F9-90F0733CFAF9}"/>
    <cellStyle name="Heading 2 2 2 5" xfId="9610" xr:uid="{A6CA00C8-187A-4507-8B11-FC310AEBD5ED}"/>
    <cellStyle name="Heading 2 2 2 5 2" xfId="9855" xr:uid="{421766C1-AEC2-44EC-8F2C-03F2A4718141}"/>
    <cellStyle name="Heading 2 2 2 6" xfId="9611" xr:uid="{C0D31B5A-B90B-4AA8-851F-515F17606F6C}"/>
    <cellStyle name="Heading 2 2 2 6 2" xfId="9854" xr:uid="{DCC0E1D7-DEBC-4AE3-B11A-A55A6DA01BA4}"/>
    <cellStyle name="Heading 2 2 2 7" xfId="9612" xr:uid="{D4A034C2-767B-416B-A338-7357DE22CBEA}"/>
    <cellStyle name="Heading 2 2 2 7 2" xfId="9853" xr:uid="{8671B84A-3B47-411B-B7EA-E9BB2BAE1C19}"/>
    <cellStyle name="Heading 2 2 2 8" xfId="9613" xr:uid="{88C1AA93-C82E-44A6-AA75-23D701E12085}"/>
    <cellStyle name="Heading 2 2 2 8 2" xfId="9852" xr:uid="{2418D658-2FE0-444A-89FF-D9583DEBA56A}"/>
    <cellStyle name="Heading 2 2 2 9" xfId="9614" xr:uid="{472700BF-F1DE-4692-9F17-4A646E49C222}"/>
    <cellStyle name="Heading 2 2 2 9 2" xfId="9851" xr:uid="{2F99812A-B474-444F-AF8D-EC1B2611DBCD}"/>
    <cellStyle name="Heading 2 2 3" xfId="8197" xr:uid="{00000000-0005-0000-0000-000065030000}"/>
    <cellStyle name="Heading 2 2 3 10" xfId="9615" xr:uid="{79A2407D-1963-4131-AD65-D0336AAAB53F}"/>
    <cellStyle name="Heading 2 2 3 11" xfId="9850" xr:uid="{A4DCB17A-2DFB-4714-AA06-6CFF7B7DEA7A}"/>
    <cellStyle name="Heading 2 2 3 2" xfId="9616" xr:uid="{62E66D82-C58B-4541-AAA9-A286477B6602}"/>
    <cellStyle name="Heading 2 2 3 2 2" xfId="9849" xr:uid="{8D960429-EF01-455E-B979-6EC7563AAFB6}"/>
    <cellStyle name="Heading 2 2 3 3" xfId="9617" xr:uid="{D4090BA7-A335-4366-B869-483CD569C101}"/>
    <cellStyle name="Heading 2 2 3 3 2" xfId="9848" xr:uid="{6159EAE3-B1CD-4DBF-B9EE-8CF08D40EF4E}"/>
    <cellStyle name="Heading 2 2 3 4" xfId="9618" xr:uid="{FB9EA84D-8C81-4216-B67B-2C8E10345C7D}"/>
    <cellStyle name="Heading 2 2 3 4 2" xfId="9847" xr:uid="{F809EAEA-7A52-4836-9765-4D60466D9BD3}"/>
    <cellStyle name="Heading 2 2 3 5" xfId="9619" xr:uid="{DD321399-9F61-4D35-AC03-7C043900AA22}"/>
    <cellStyle name="Heading 2 2 3 5 2" xfId="9846" xr:uid="{6B6A2DF4-F562-4E63-AC12-318311F25D22}"/>
    <cellStyle name="Heading 2 2 3 6" xfId="9620" xr:uid="{F059C992-07BD-443B-9739-09400A6482B0}"/>
    <cellStyle name="Heading 2 2 3 6 2" xfId="9845" xr:uid="{B9983DB2-1232-4074-B746-94DC9AC96271}"/>
    <cellStyle name="Heading 2 2 3 7" xfId="9621" xr:uid="{4F8FD783-E03D-472F-9EE9-FBAFD9FC0C08}"/>
    <cellStyle name="Heading 2 2 3 7 2" xfId="9844" xr:uid="{96C4B04C-C7E3-4BF4-B229-23B7E80BC22B}"/>
    <cellStyle name="Heading 2 2 3 8" xfId="9622" xr:uid="{9B948FD5-D3D8-496C-A0CB-A099E4205268}"/>
    <cellStyle name="Heading 2 2 3 8 2" xfId="9843" xr:uid="{6690365F-2C24-4BBA-96B3-FD61713E7680}"/>
    <cellStyle name="Heading 2 2 3 9" xfId="11856" xr:uid="{D633921E-811B-41D7-BDC8-B8FFF58913A1}"/>
    <cellStyle name="Heading 2 2 4" xfId="9102" xr:uid="{00000000-0005-0000-0000-000066030000}"/>
    <cellStyle name="Heading 2 2 4 2" xfId="9624" xr:uid="{45DD127B-D84F-4898-B61D-FF101F0775F0}"/>
    <cellStyle name="Heading 2 2 4 2 2" xfId="9841" xr:uid="{D38E28D8-D2D6-4B23-97CB-9D0605290DA2}"/>
    <cellStyle name="Heading 2 2 4 3" xfId="9625" xr:uid="{CC576F49-452E-4269-A31C-EB10AA666AC0}"/>
    <cellStyle name="Heading 2 2 4 3 2" xfId="9840" xr:uid="{7EA3A18C-60CE-46E4-9C45-EB7153D77506}"/>
    <cellStyle name="Heading 2 2 4 4" xfId="9626" xr:uid="{BFCC5DB9-4B1E-4D87-BA0D-0DB7C1A513B6}"/>
    <cellStyle name="Heading 2 2 4 4 2" xfId="9839" xr:uid="{F9DF4347-7012-4DBE-96FC-A32BEA7F62A0}"/>
    <cellStyle name="Heading 2 2 4 5" xfId="9627" xr:uid="{93202763-5AE7-49B6-8D5C-B60572FD452E}"/>
    <cellStyle name="Heading 2 2 4 5 2" xfId="9838" xr:uid="{99DB4E30-B3B0-4A43-94D4-50DC76E66AC4}"/>
    <cellStyle name="Heading 2 2 4 6" xfId="9628" xr:uid="{455C9F46-93D5-4DF7-9DF4-890BF7B98A75}"/>
    <cellStyle name="Heading 2 2 4 6 2" xfId="9837" xr:uid="{13211E77-CE6C-457A-A2FC-DBD1E72DFE24}"/>
    <cellStyle name="Heading 2 2 4 7" xfId="9623" xr:uid="{5C03C9EB-5077-4711-96DD-A0A82290D169}"/>
    <cellStyle name="Heading 2 2 4 8" xfId="9842" xr:uid="{65B427AD-5101-40B9-A72A-375816C0D7DF}"/>
    <cellStyle name="Heading 2 2 5" xfId="9201" xr:uid="{4420F904-428C-4320-B747-39FBCC4C8929}"/>
    <cellStyle name="Heading 2 2 5 2" xfId="9630" xr:uid="{9E89321F-A0E0-462F-B498-3DF44CE240DF}"/>
    <cellStyle name="Heading 2 2 5 2 2" xfId="9835" xr:uid="{946889F1-BB79-467C-95E1-A07771159A08}"/>
    <cellStyle name="Heading 2 2 5 3" xfId="9631" xr:uid="{6574D131-E379-458B-B8B4-D1B6F618AEB9}"/>
    <cellStyle name="Heading 2 2 5 3 2" xfId="9834" xr:uid="{08B1DC12-2512-45D3-BA9D-31B687125A10}"/>
    <cellStyle name="Heading 2 2 5 4" xfId="9632" xr:uid="{5D10583C-0083-4628-AF30-D301A92EE3EC}"/>
    <cellStyle name="Heading 2 2 5 4 2" xfId="9833" xr:uid="{696B8A05-D0A5-4795-A488-762C6F4C0135}"/>
    <cellStyle name="Heading 2 2 5 5" xfId="9633" xr:uid="{25D54906-5F2B-4FBE-9C90-F74343CCD5DA}"/>
    <cellStyle name="Heading 2 2 5 5 2" xfId="9832" xr:uid="{7BDDF403-F466-4288-A1EC-BCCEC52A047F}"/>
    <cellStyle name="Heading 2 2 5 6" xfId="9634" xr:uid="{02000DCC-E970-4613-BE98-2E4A236B6DDB}"/>
    <cellStyle name="Heading 2 2 5 6 2" xfId="9831" xr:uid="{88CC89F1-80BC-4147-8F70-6F8471EB645E}"/>
    <cellStyle name="Heading 2 2 5 7" xfId="9629" xr:uid="{0BDA69E3-96E4-4B1D-97C6-00FEA503B5C0}"/>
    <cellStyle name="Heading 2 2 5 8" xfId="9836" xr:uid="{EC8C52DD-6DF1-4A22-9A73-F715E798EB06}"/>
    <cellStyle name="Heading 2 2 6" xfId="9635" xr:uid="{DDB649E9-DCC2-4A00-83B6-2E1556EE99BB}"/>
    <cellStyle name="Heading 2 2 6 2" xfId="9830" xr:uid="{C7F86252-58A5-4594-87E6-600F772D40AB}"/>
    <cellStyle name="Heading 2 2 7" xfId="9636" xr:uid="{77C80451-4929-4A9A-BEF7-18E04AB7F5FB}"/>
    <cellStyle name="Heading 2 2 7 2" xfId="9829" xr:uid="{087D9081-71B9-45BC-9A11-B5CC752391CE}"/>
    <cellStyle name="Heading 2 2 8" xfId="9637" xr:uid="{C3ED3640-93FE-4A03-B9DC-97577D4ABB00}"/>
    <cellStyle name="Heading 2 2 8 2" xfId="9828" xr:uid="{1D83F579-E370-4804-8F7F-3ECEF5369491}"/>
    <cellStyle name="Heading 2 2 9" xfId="9638" xr:uid="{754271EB-F6B0-49F2-B166-2AA0DAA2A09C}"/>
    <cellStyle name="Heading 2 2 9 2" xfId="9827" xr:uid="{14F2E8D8-B408-4C31-90B3-89605B6C1F65}"/>
    <cellStyle name="Heading 2 3" xfId="116" xr:uid="{00000000-0005-0000-0000-000067030000}"/>
    <cellStyle name="Heading 2 3 2" xfId="8774" xr:uid="{00000000-0005-0000-0000-000068030000}"/>
    <cellStyle name="Heading 2 3 2 2" xfId="9640" xr:uid="{BF930ADD-0123-4D9B-A315-196270EAAF6D}"/>
    <cellStyle name="Heading 2 3 2 2 2" xfId="9826" xr:uid="{2042EDDF-4CF7-4056-A804-98AFB5BEAF95}"/>
    <cellStyle name="Heading 2 3 2 3" xfId="9639" xr:uid="{3ED8F14E-CDB7-499C-A5F2-7B745816BD7C}"/>
    <cellStyle name="Heading 2 3 3" xfId="9200" xr:uid="{0B04396A-B24E-4AF4-B446-8315ADF432FE}"/>
    <cellStyle name="Heading 2 3 3 2" xfId="10420" xr:uid="{DF1F615F-8899-4155-ADAF-5C374C143AA0}"/>
    <cellStyle name="Heading 2 3 4" xfId="9452" xr:uid="{5BD3EB2D-834E-4234-9032-984FABE4ADD5}"/>
    <cellStyle name="Heading 2 3 5" xfId="9946" xr:uid="{146D9521-AE98-4EC7-9472-E194B566A099}"/>
    <cellStyle name="Heading 2 4" xfId="457" xr:uid="{00000000-0005-0000-0000-000069030000}"/>
    <cellStyle name="Heading 2 5" xfId="11840" xr:uid="{72ECF734-7DB0-48EB-B189-571DB0B65617}"/>
    <cellStyle name="Heading 2 5 2" xfId="12349" xr:uid="{0802E88A-6A39-4125-A578-46E0F892C7CF}"/>
    <cellStyle name="Heading 2 6" xfId="12122" xr:uid="{AA42000C-141A-4E95-B19C-7BD47369184B}"/>
    <cellStyle name="Heading 2 6 2" xfId="12352" xr:uid="{A5950DBB-5ED0-4A81-8102-74B410F102AC}"/>
    <cellStyle name="Heading 3 2" xfId="117" xr:uid="{00000000-0005-0000-0000-00006A030000}"/>
    <cellStyle name="Heading 3 2 2" xfId="303" xr:uid="{00000000-0005-0000-0000-00006B030000}"/>
    <cellStyle name="Heading 3 3" xfId="304" xr:uid="{00000000-0005-0000-0000-00006C030000}"/>
    <cellStyle name="Heading 3 3 2" xfId="9641" xr:uid="{98449B48-B257-414B-9E5E-B1A7EF8FE59A}"/>
    <cellStyle name="Heading 4 2" xfId="118" xr:uid="{00000000-0005-0000-0000-00006D030000}"/>
    <cellStyle name="Heading 4 2 2" xfId="305" xr:uid="{00000000-0005-0000-0000-00006E030000}"/>
    <cellStyle name="Heading 4 3" xfId="306" xr:uid="{00000000-0005-0000-0000-00006F030000}"/>
    <cellStyle name="Heading 4 3 2" xfId="9642" xr:uid="{D28AEED8-1C1A-4C68-A290-A6FD7030F9FA}"/>
    <cellStyle name="Heading 5" xfId="9643" xr:uid="{557F016E-1258-4678-80E7-47E858599774}"/>
    <cellStyle name="Heading 6" xfId="9644" xr:uid="{4D9B96C9-253E-4694-B1A7-D5BBF86443C0}"/>
    <cellStyle name="Heading 7" xfId="9645" xr:uid="{F6D0F113-ADAF-4A1D-A13F-E666F56CE6F6}"/>
    <cellStyle name="Hyperlink" xfId="9100" builtinId="8"/>
    <cellStyle name="Hyperlink 10" xfId="8150" xr:uid="{00000000-0005-0000-0000-000071030000}"/>
    <cellStyle name="Hyperlink 10 2" xfId="11833" xr:uid="{E90D3121-0E69-4C57-82B9-59B262DE9B10}"/>
    <cellStyle name="Hyperlink 11" xfId="9111" xr:uid="{00000000-0005-0000-0000-000072030000}"/>
    <cellStyle name="Hyperlink 12" xfId="9202" xr:uid="{D684B36E-F1DA-447A-983F-558615630909}"/>
    <cellStyle name="Hyperlink 13" xfId="9335" xr:uid="{2B5CECF9-26E0-45EB-9E31-E8BAD375B36B}"/>
    <cellStyle name="Hyperlink 2" xfId="119" xr:uid="{00000000-0005-0000-0000-000073030000}"/>
    <cellStyle name="Hyperlink 2 2" xfId="120" xr:uid="{00000000-0005-0000-0000-000074030000}"/>
    <cellStyle name="Hyperlink 2 2 2" xfId="121" xr:uid="{00000000-0005-0000-0000-000075030000}"/>
    <cellStyle name="Hyperlink 2 2 2 2" xfId="8198" xr:uid="{00000000-0005-0000-0000-000076030000}"/>
    <cellStyle name="Hyperlink 2 2 3" xfId="9117" xr:uid="{00000000-0005-0000-0000-000077030000}"/>
    <cellStyle name="Hyperlink 2 2 3 2" xfId="9646" xr:uid="{1F2B7FDB-E979-401E-A1A8-9EAAF0F1E57F}"/>
    <cellStyle name="Hyperlink 2 2 4" xfId="9647" xr:uid="{FEB0D987-3346-436B-A6C7-D31AD9D60505}"/>
    <cellStyle name="Hyperlink 2 2 5" xfId="10386" xr:uid="{F3C7D72E-5C0D-459C-89C8-4A863AD4DFDF}"/>
    <cellStyle name="Hyperlink 2 2 6" xfId="9276" xr:uid="{067A0D54-12FE-4B11-A1C5-2BEB353DD65F}"/>
    <cellStyle name="Hyperlink 2 3" xfId="458" xr:uid="{00000000-0005-0000-0000-000078030000}"/>
    <cellStyle name="Hyperlink 2 3 2" xfId="9131" xr:uid="{00000000-0005-0000-0000-000079030000}"/>
    <cellStyle name="Hyperlink 2 4" xfId="9113" xr:uid="{00000000-0005-0000-0000-00007A030000}"/>
    <cellStyle name="Hyperlink 2 4 2" xfId="11841" xr:uid="{072FEB43-4A24-40A8-8819-448C68EC1C58}"/>
    <cellStyle name="Hyperlink 2 4 3" xfId="9648" xr:uid="{8A67F4CE-DB41-4E3C-8D05-B33A81209F7F}"/>
    <cellStyle name="Hyperlink 2 5" xfId="9203" xr:uid="{1AA857A4-19F7-43FD-BAA0-D9A89180B71B}"/>
    <cellStyle name="Hyperlink 2 5 2" xfId="11837" xr:uid="{04E13157-9F0B-4954-B521-C00E59218C6D}"/>
    <cellStyle name="Hyperlink 2 6" xfId="9236" xr:uid="{3B56EF5C-9786-4670-8BB9-0353E79E2845}"/>
    <cellStyle name="Hyperlink 2_ResWXMF_FY10v2_0" xfId="122" xr:uid="{00000000-0005-0000-0000-00007B030000}"/>
    <cellStyle name="Hyperlink 3" xfId="123" xr:uid="{00000000-0005-0000-0000-00007C030000}"/>
    <cellStyle name="Hyperlink 3 2" xfId="124" xr:uid="{00000000-0005-0000-0000-00007D030000}"/>
    <cellStyle name="Hyperlink 3 2 2" xfId="125" xr:uid="{00000000-0005-0000-0000-00007E030000}"/>
    <cellStyle name="Hyperlink 3 2 3" xfId="9649" xr:uid="{AA5C035A-78A0-497B-B902-B8625C247AC2}"/>
    <cellStyle name="Hyperlink 3 3" xfId="8775" xr:uid="{00000000-0005-0000-0000-00007F030000}"/>
    <cellStyle name="Hyperlink 3 3 2" xfId="9651" xr:uid="{017FB4AA-7071-4E4B-90DF-2462E6370542}"/>
    <cellStyle name="Hyperlink 3 3 3" xfId="9652" xr:uid="{15CECA0E-641A-4727-8588-8468BA89D602}"/>
    <cellStyle name="Hyperlink 3 3 4" xfId="9650" xr:uid="{CBEF8E6F-F59B-4037-94C0-C5725EB0F487}"/>
    <cellStyle name="Hyperlink 3 4" xfId="9653" xr:uid="{54D297C7-515D-48F6-8434-A452DA0FD0FF}"/>
    <cellStyle name="Hyperlink 3 5" xfId="9264" xr:uid="{0D0DF3C3-B274-4B81-933C-90391F3D006C}"/>
    <cellStyle name="Hyperlink 4" xfId="126" xr:uid="{00000000-0005-0000-0000-000080030000}"/>
    <cellStyle name="Hyperlink 4 2" xfId="8776" xr:uid="{00000000-0005-0000-0000-000081030000}"/>
    <cellStyle name="Hyperlink 4 2 2" xfId="8777" xr:uid="{00000000-0005-0000-0000-000082030000}"/>
    <cellStyle name="Hyperlink 4 2 3" xfId="9655" xr:uid="{704FBA79-A400-4FE3-B0FD-C7DB89C79116}"/>
    <cellStyle name="Hyperlink 4 2 4" xfId="11944" xr:uid="{17E752C2-79AC-4EE4-B9C0-352D5EB38ABC}"/>
    <cellStyle name="Hyperlink 4 2 5" xfId="9654" xr:uid="{6336745A-CB19-4624-ACC8-7DB7EBB356AF}"/>
    <cellStyle name="Hyperlink 4 3" xfId="8778" xr:uid="{00000000-0005-0000-0000-000083030000}"/>
    <cellStyle name="Hyperlink 4 4" xfId="8779" xr:uid="{00000000-0005-0000-0000-000084030000}"/>
    <cellStyle name="Hyperlink 4 5" xfId="9093" xr:uid="{00000000-0005-0000-0000-000085030000}"/>
    <cellStyle name="Hyperlink 4 6" xfId="9453" xr:uid="{6E040959-BD7F-46FF-8DD1-90DD43311674}"/>
    <cellStyle name="Hyperlink 5" xfId="127" xr:uid="{00000000-0005-0000-0000-000086030000}"/>
    <cellStyle name="Hyperlink 6" xfId="128" xr:uid="{00000000-0005-0000-0000-000087030000}"/>
    <cellStyle name="Hyperlink 7" xfId="129" xr:uid="{00000000-0005-0000-0000-000088030000}"/>
    <cellStyle name="Hyperlink 8" xfId="130" xr:uid="{00000000-0005-0000-0000-000089030000}"/>
    <cellStyle name="Hyperlink 9" xfId="241" xr:uid="{00000000-0005-0000-0000-00008A030000}"/>
    <cellStyle name="Hyperlink 9 2" xfId="11832" xr:uid="{43311C69-997D-4544-98F1-6DBAD57DFCAC}"/>
    <cellStyle name="Idaho" xfId="9355" xr:uid="{B4B812D7-1F3F-46DC-87AC-6691BBD55C88}"/>
    <cellStyle name="Inconsistent, but conforms" xfId="9356" xr:uid="{433BB475-895C-45EA-A3E7-87EF50886527}"/>
    <cellStyle name="Indeces" xfId="9357" xr:uid="{5EE50BA9-17C1-42AC-A074-71CF40CD164C}"/>
    <cellStyle name="initiative" xfId="9358" xr:uid="{1E9E6A65-A135-4B65-9C8C-8375018122F4}"/>
    <cellStyle name="initiative 2" xfId="10573" xr:uid="{7719417E-CEC8-4500-959D-C850F04051A2}"/>
    <cellStyle name="Input 2" xfId="131" xr:uid="{00000000-0005-0000-0000-00008B030000}"/>
    <cellStyle name="Input 2 10" xfId="9656" xr:uid="{8B63876D-3F2E-46AF-9B2E-EA35CA25C278}"/>
    <cellStyle name="Input 2 10 2" xfId="9825" xr:uid="{0696C9B2-C7EC-4783-8858-D9AB50BDAA80}"/>
    <cellStyle name="Input 2 11" xfId="9657" xr:uid="{59652976-7342-4BC1-A287-7927555F2FC1}"/>
    <cellStyle name="Input 2 11 2" xfId="9824" xr:uid="{27789FD6-52B4-4953-94BB-34993391030B}"/>
    <cellStyle name="Input 2 12" xfId="9658" xr:uid="{5ADC9E36-8755-42A4-BFA1-4EEACA747BD0}"/>
    <cellStyle name="Input 2 12 2" xfId="9823" xr:uid="{C8555EDA-87D7-4392-BD8E-1744F0F8DD2D}"/>
    <cellStyle name="Input 2 13" xfId="9659" xr:uid="{FA892474-E1A1-4226-8179-7593E0C7C096}"/>
    <cellStyle name="Input 2 13 2" xfId="9822" xr:uid="{052984E3-AF99-4C63-AC86-97789CB4592F}"/>
    <cellStyle name="Input 2 14" xfId="9660" xr:uid="{304B187D-0E6E-4AE0-AA7B-37F6DE90D0D9}"/>
    <cellStyle name="Input 2 14 2" xfId="9821" xr:uid="{FB8CE8D9-850B-428E-A568-66DBC905C350}"/>
    <cellStyle name="Input 2 15" xfId="9661" xr:uid="{E1791C03-CBB3-42EB-B9CA-4559F1F0A2D0}"/>
    <cellStyle name="Input 2 15 2" xfId="9820" xr:uid="{366739BD-6889-4DBF-ABE0-9EDAE3FA9C7A}"/>
    <cellStyle name="Input 2 16" xfId="9662" xr:uid="{BD8F4C23-65B6-4D3D-B9AA-1BAD9638B140}"/>
    <cellStyle name="Input 2 16 2" xfId="9819" xr:uid="{34E78F3B-CD0E-4977-9C82-87ECE1E6365C}"/>
    <cellStyle name="Input 2 17" xfId="9663" xr:uid="{FE60683C-9F73-4D7F-B648-BE3CA77DF0BA}"/>
    <cellStyle name="Input 2 17 2" xfId="9818" xr:uid="{D1302B80-3B6A-4DFF-AC42-8E273BF64D3B}"/>
    <cellStyle name="Input 2 18" xfId="9664" xr:uid="{60C268EF-535F-4C99-A093-89626377DAA9}"/>
    <cellStyle name="Input 2 19" xfId="9665" xr:uid="{AB30EB61-6E5E-41BE-88E3-81A984210A37}"/>
    <cellStyle name="Input 2 19 2" xfId="9817" xr:uid="{DF3FA993-E549-468D-B2E8-D8E6FEAF18DA}"/>
    <cellStyle name="Input 2 2" xfId="8209" xr:uid="{00000000-0005-0000-0000-00008C030000}"/>
    <cellStyle name="Input 2 2 10" xfId="9666" xr:uid="{F9E90777-2AD3-4B89-BEAE-70EB31BD8EA4}"/>
    <cellStyle name="Input 2 2 10 2" xfId="9816" xr:uid="{7955F65B-7766-4879-88CC-D8B3663D60AD}"/>
    <cellStyle name="Input 2 2 11" xfId="9317" xr:uid="{6D5FC82F-A030-4E9D-B4C3-D50EFD4CCB1B}"/>
    <cellStyle name="Input 2 2 12" xfId="10142" xr:uid="{B79C1F31-1286-4AB1-9595-13F9982BF10E}"/>
    <cellStyle name="Input 2 2 2" xfId="9667" xr:uid="{3FEDEA55-B303-46BD-A263-BBA7B5CFE937}"/>
    <cellStyle name="Input 2 2 2 2" xfId="9815" xr:uid="{F6520C83-5E9A-433F-BD5B-18303E746494}"/>
    <cellStyle name="Input 2 2 3" xfId="9668" xr:uid="{11EA1206-EE20-44AA-B67B-1363AB6BBCA9}"/>
    <cellStyle name="Input 2 2 3 2" xfId="9814" xr:uid="{69E9297E-E344-4604-B3B4-39A6B935D8BE}"/>
    <cellStyle name="Input 2 2 4" xfId="9669" xr:uid="{81B2B6B0-2E99-4646-829B-A4D1EE342909}"/>
    <cellStyle name="Input 2 2 4 2" xfId="9813" xr:uid="{AF16D5F8-6682-41E7-AF10-B55AB5541ABB}"/>
    <cellStyle name="Input 2 2 5" xfId="9670" xr:uid="{3BBC2213-1238-4995-BF5D-BEF7C4E53EA5}"/>
    <cellStyle name="Input 2 2 5 2" xfId="9812" xr:uid="{AB3409DE-B90D-4D81-A4AC-F07EC1EB00EF}"/>
    <cellStyle name="Input 2 2 6" xfId="9671" xr:uid="{49049861-58A4-43C5-ACB6-5AC8F683759B}"/>
    <cellStyle name="Input 2 2 6 2" xfId="9811" xr:uid="{C166934D-8DF5-47FA-941B-9301E40AD377}"/>
    <cellStyle name="Input 2 2 7" xfId="9672" xr:uid="{544527F4-DBB7-40DB-A176-653C92E0B685}"/>
    <cellStyle name="Input 2 2 7 2" xfId="9810" xr:uid="{8A8B1BEE-6AB1-434D-BD20-62E7ABDD9D18}"/>
    <cellStyle name="Input 2 2 8" xfId="9673" xr:uid="{106E30E4-AB99-453E-A71D-B81507E36CBF}"/>
    <cellStyle name="Input 2 2 8 2" xfId="9809" xr:uid="{94AAB01A-3BAB-4E3D-8BFE-AD927A74DB32}"/>
    <cellStyle name="Input 2 2 9" xfId="9674" xr:uid="{16574AC1-E0E6-48ED-B586-035F8DDC92BC}"/>
    <cellStyle name="Input 2 2 9 2" xfId="9808" xr:uid="{F7C58309-B892-467A-8BBD-FE3886E1105E}"/>
    <cellStyle name="Input 2 20" xfId="9277" xr:uid="{6B805FF0-8F2F-4844-977C-B899997DA33F}"/>
    <cellStyle name="Input 2 21" xfId="10160" xr:uid="{75035DA4-C5FD-4E52-9C84-51ED9A667E95}"/>
    <cellStyle name="Input 2 3" xfId="9106" xr:uid="{00000000-0005-0000-0000-00008D030000}"/>
    <cellStyle name="Input 2 3 10" xfId="9675" xr:uid="{C1D3168B-B4CF-4C1F-A2B0-6B7B534810C0}"/>
    <cellStyle name="Input 2 3 10 2" xfId="9807" xr:uid="{1E750473-E496-42D6-820C-09804EA657F4}"/>
    <cellStyle name="Input 2 3 11" xfId="9309" xr:uid="{E107614A-690D-4516-BC49-BB0A4D8895A7}"/>
    <cellStyle name="Input 2 3 12" xfId="10149" xr:uid="{CC008724-E0E6-45E0-8190-2148A1907C5E}"/>
    <cellStyle name="Input 2 3 2" xfId="9676" xr:uid="{58A5BFA4-9C75-46DB-A83A-FB0D7FCFEF3E}"/>
    <cellStyle name="Input 2 3 2 2" xfId="9806" xr:uid="{4AC73172-9742-4D2D-B236-60ECEC2D5783}"/>
    <cellStyle name="Input 2 3 3" xfId="9677" xr:uid="{9E9CF011-59C7-479F-A4D8-E61073277F1A}"/>
    <cellStyle name="Input 2 3 3 2" xfId="9805" xr:uid="{2F74CDD0-37D9-4203-B55C-69A57B9DDEB7}"/>
    <cellStyle name="Input 2 3 4" xfId="9678" xr:uid="{88B8975B-F8E2-42BF-87C4-F9ADC251072C}"/>
    <cellStyle name="Input 2 3 4 2" xfId="9804" xr:uid="{B6623B23-0900-455B-98D6-0CB8A287266B}"/>
    <cellStyle name="Input 2 3 5" xfId="9679" xr:uid="{5608D9D9-8661-4C26-80DB-51C26EE6858E}"/>
    <cellStyle name="Input 2 3 5 2" xfId="9803" xr:uid="{4E9AD41D-9CED-442E-A78F-5DEE81F278FA}"/>
    <cellStyle name="Input 2 3 6" xfId="9680" xr:uid="{EBA94970-8F69-48AB-8392-2F2B81E5A109}"/>
    <cellStyle name="Input 2 3 6 2" xfId="9802" xr:uid="{E7E21AC6-C787-49C1-AC52-56D543E0C399}"/>
    <cellStyle name="Input 2 3 7" xfId="9681" xr:uid="{27EE216F-A75C-41A6-B1E7-CCCBB1E0B822}"/>
    <cellStyle name="Input 2 3 7 2" xfId="9801" xr:uid="{39D89F77-77E0-41B3-8D31-0AB3917C3345}"/>
    <cellStyle name="Input 2 3 8" xfId="9682" xr:uid="{57C768D9-38F4-4B2D-87EA-B4B7967A5E3D}"/>
    <cellStyle name="Input 2 3 8 2" xfId="9800" xr:uid="{3F17FD28-6499-49D2-BFA3-B8900BD891E4}"/>
    <cellStyle name="Input 2 3 9" xfId="9683" xr:uid="{31D14354-D2C4-43A9-951A-8810BC0B4EF4}"/>
    <cellStyle name="Input 2 3 9 2" xfId="9799" xr:uid="{45F416B0-FE01-4899-93AA-655C3D4698C3}"/>
    <cellStyle name="Input 2 4" xfId="9204" xr:uid="{C3B170AA-85D9-4909-A529-8D4832D9FC2B}"/>
    <cellStyle name="Input 2 4 10" xfId="9684" xr:uid="{08965D13-EB96-46CB-A0E0-181356F87384}"/>
    <cellStyle name="Input 2 4 11" xfId="9798" xr:uid="{761AB5F3-207E-495D-94FF-ED101B18D889}"/>
    <cellStyle name="Input 2 4 2" xfId="9685" xr:uid="{0C9C6612-32BB-468C-9890-203599FC687D}"/>
    <cellStyle name="Input 2 4 2 2" xfId="9797" xr:uid="{ADC2CCF3-7AD2-459C-B067-3E7CF4A957F4}"/>
    <cellStyle name="Input 2 4 3" xfId="9686" xr:uid="{D61E23AF-CBC6-47EF-9A14-0A4C7F5D3E0A}"/>
    <cellStyle name="Input 2 4 3 2" xfId="9796" xr:uid="{50474D07-050D-4087-82B9-190636C15075}"/>
    <cellStyle name="Input 2 4 4" xfId="9687" xr:uid="{C37A034A-BDD3-4F0B-94CF-1CE4BD97CBB1}"/>
    <cellStyle name="Input 2 4 4 2" xfId="9795" xr:uid="{4E9F5F0F-3040-442F-8366-02510FBB3348}"/>
    <cellStyle name="Input 2 4 5" xfId="9688" xr:uid="{F318ED32-0436-439C-BAE8-4A78190BF170}"/>
    <cellStyle name="Input 2 4 5 2" xfId="9794" xr:uid="{D7239056-F020-43BC-8486-47BD07E39038}"/>
    <cellStyle name="Input 2 4 6" xfId="9689" xr:uid="{3FBB3234-6179-481C-8592-CA19995BB6FB}"/>
    <cellStyle name="Input 2 4 6 2" xfId="9793" xr:uid="{20824E60-69E2-4E54-A644-E14E512D9CA3}"/>
    <cellStyle name="Input 2 4 7" xfId="9690" xr:uid="{1A532920-4A60-4646-B0CE-211A99CDC8BF}"/>
    <cellStyle name="Input 2 4 7 2" xfId="9792" xr:uid="{19CAF945-05AC-4941-8A9F-9D0810FE38CA}"/>
    <cellStyle name="Input 2 4 8" xfId="9691" xr:uid="{37CDF8F1-7736-49F9-AA9E-3257FF865580}"/>
    <cellStyle name="Input 2 4 8 2" xfId="9791" xr:uid="{910B3B5C-0073-4521-A162-A80D6C83E70B}"/>
    <cellStyle name="Input 2 4 9" xfId="9692" xr:uid="{09BF666F-4D69-4541-8391-5D840761E25A}"/>
    <cellStyle name="Input 2 4 9 2" xfId="9790" xr:uid="{08B560E0-5475-49D4-B1D2-5F4AEE10752E}"/>
    <cellStyle name="Input 2 5" xfId="9693" xr:uid="{E2C7F587-1E04-4273-BB73-4F92E79A9163}"/>
    <cellStyle name="Input 2 5 10" xfId="9789" xr:uid="{B79F581C-AEF8-4B96-ADE6-E65723EE404F}"/>
    <cellStyle name="Input 2 5 2" xfId="9694" xr:uid="{11CF69A1-3DDF-4971-B15D-D85F1075850D}"/>
    <cellStyle name="Input 2 5 2 2" xfId="9788" xr:uid="{0458C421-E57B-42C6-B9D3-53A54A26FA07}"/>
    <cellStyle name="Input 2 5 3" xfId="9695" xr:uid="{AFB5A782-B2A1-484C-98E1-689CC2FA4B3A}"/>
    <cellStyle name="Input 2 5 3 2" xfId="9787" xr:uid="{16160AF7-8E3A-40FD-9115-F4224F380D33}"/>
    <cellStyle name="Input 2 5 4" xfId="9696" xr:uid="{66153772-C1E2-4A74-9F23-7ED5B0134B68}"/>
    <cellStyle name="Input 2 5 4 2" xfId="9786" xr:uid="{CDC1F4BA-A44A-4A22-AA94-5CD66DAB2E79}"/>
    <cellStyle name="Input 2 5 5" xfId="9697" xr:uid="{50DCB33D-FE6F-4FB4-856B-7813342B253D}"/>
    <cellStyle name="Input 2 5 5 2" xfId="9785" xr:uid="{E2866FA3-F386-4A89-A68B-98918F7CFC47}"/>
    <cellStyle name="Input 2 5 6" xfId="9698" xr:uid="{6AC65633-AB84-4874-BFDF-7455702950AB}"/>
    <cellStyle name="Input 2 5 6 2" xfId="9784" xr:uid="{BCD74B9A-9A67-488E-B739-6E55DD4BDBD6}"/>
    <cellStyle name="Input 2 5 7" xfId="9699" xr:uid="{A451E29F-826F-4714-B02B-A791AAAB7D8C}"/>
    <cellStyle name="Input 2 5 7 2" xfId="9783" xr:uid="{8E664843-F3EB-4E13-979A-4D3F06D83045}"/>
    <cellStyle name="Input 2 5 8" xfId="9700" xr:uid="{DD7CFF70-EF85-4EB6-9872-41D004CA20FA}"/>
    <cellStyle name="Input 2 5 8 2" xfId="9782" xr:uid="{95789EA7-830A-489B-AB89-BC5B6BF8F8E1}"/>
    <cellStyle name="Input 2 5 9" xfId="9701" xr:uid="{0D375062-B9A9-4CE4-AAA2-DE64251027BE}"/>
    <cellStyle name="Input 2 5 9 2" xfId="9781" xr:uid="{59C3ED09-58F0-4A7A-BC8E-CEA0234162E8}"/>
    <cellStyle name="Input 2 6" xfId="9702" xr:uid="{642D0E85-DE3E-45CD-A3CB-89944B49215E}"/>
    <cellStyle name="Input 2 6 10" xfId="9780" xr:uid="{1A02FFC3-680B-4E1E-8BC3-64034DDFF790}"/>
    <cellStyle name="Input 2 6 2" xfId="9703" xr:uid="{BD1C14DE-50F3-4BC5-9654-D29C6E9D69C2}"/>
    <cellStyle name="Input 2 6 2 2" xfId="9779" xr:uid="{466E571F-9E81-4F16-A379-E26C0539AB9B}"/>
    <cellStyle name="Input 2 6 3" xfId="9704" xr:uid="{A55A4EF8-1812-4A95-B9DF-575BF3844152}"/>
    <cellStyle name="Input 2 6 3 2" xfId="9778" xr:uid="{A102A8B6-B2DF-4ADB-9E3F-6160E856758C}"/>
    <cellStyle name="Input 2 6 4" xfId="9705" xr:uid="{A06625DC-0165-4F8D-B5A2-241700FFAC2E}"/>
    <cellStyle name="Input 2 6 4 2" xfId="9777" xr:uid="{71EE9A92-77EC-4625-B918-75643A97A2C9}"/>
    <cellStyle name="Input 2 6 5" xfId="9706" xr:uid="{59924B40-BEE6-420D-BFE6-0DBA22F85650}"/>
    <cellStyle name="Input 2 6 5 2" xfId="9776" xr:uid="{886A0E6C-51CF-43CF-9CA3-DE60FD0A151A}"/>
    <cellStyle name="Input 2 6 6" xfId="9707" xr:uid="{C7567A45-3C18-47A6-B71D-8DEED127B972}"/>
    <cellStyle name="Input 2 6 6 2" xfId="9775" xr:uid="{520CD084-35A7-4630-B3DE-0CF7B9DBC344}"/>
    <cellStyle name="Input 2 6 7" xfId="9708" xr:uid="{7CB66761-48C9-4038-B80C-238CF14B0520}"/>
    <cellStyle name="Input 2 6 7 2" xfId="9774" xr:uid="{1D440A23-8C81-4EC3-9957-19A6D61BC173}"/>
    <cellStyle name="Input 2 6 8" xfId="9709" xr:uid="{954415A0-67F9-48EE-B41C-D9BE2505F87C}"/>
    <cellStyle name="Input 2 6 8 2" xfId="9773" xr:uid="{61D602F4-47B3-4EB0-984E-D58B8353D304}"/>
    <cellStyle name="Input 2 6 9" xfId="9710" xr:uid="{940B0ADF-18AA-45E2-A333-EF75D55D7CAF}"/>
    <cellStyle name="Input 2 6 9 2" xfId="9772" xr:uid="{A8D04243-5762-4498-8DD4-A08F493E469E}"/>
    <cellStyle name="Input 2 7" xfId="9711" xr:uid="{CE44F284-644F-45E1-893E-118F55E8DFC2}"/>
    <cellStyle name="Input 2 8" xfId="9712" xr:uid="{A96787E4-6D31-41A0-8D67-46FFF9646FBC}"/>
    <cellStyle name="Input 2 8 2" xfId="9771" xr:uid="{BC0D1485-4E6C-4C9D-BE6D-6813E2A8B014}"/>
    <cellStyle name="Input 2 9" xfId="9713" xr:uid="{FA07BAAF-892E-4E41-9B52-AD609E71415F}"/>
    <cellStyle name="Input 2 9 2" xfId="9770" xr:uid="{601FFDAC-C020-443C-9BD5-3F00FBEE201D}"/>
    <cellStyle name="Input 3" xfId="307" xr:uid="{00000000-0005-0000-0000-00008E030000}"/>
    <cellStyle name="Input 3 2" xfId="8213" xr:uid="{00000000-0005-0000-0000-00008F030000}"/>
    <cellStyle name="Input 3 2 2" xfId="9715" xr:uid="{3A013FCA-0122-4725-B5F9-2AF593BC06DD}"/>
    <cellStyle name="Input 3 2 3" xfId="9768" xr:uid="{2B66E779-9C44-4E40-B7C3-5BF1E1791CFE}"/>
    <cellStyle name="Input 3 3" xfId="9133" xr:uid="{00000000-0005-0000-0000-000090030000}"/>
    <cellStyle name="Input 3 4" xfId="9161" xr:uid="{00000000-0005-0000-0000-000091030000}"/>
    <cellStyle name="Input 3 5" xfId="9714" xr:uid="{41E9B80C-97D3-4AD5-82A5-3BB92FE2ECA8}"/>
    <cellStyle name="Input 3 6" xfId="9769" xr:uid="{23F582FF-C27F-44B1-955D-61BAFB9886B7}"/>
    <cellStyle name="Input that NEEDS to by Updated for Annual Report" xfId="9261" xr:uid="{275BB748-3D87-4B92-8C33-0CA68B938FEA}"/>
    <cellStyle name="Input that NEEDS to by Updated for Annual Report 2" xfId="9307" xr:uid="{12799C4E-8C23-4AC7-AEA7-EBFF7EBCD162}"/>
    <cellStyle name="Input that NEEDS to by Updated for Annual Report 2 2" xfId="10565" xr:uid="{D659057B-7A08-4903-B39A-EF8B42610C6A}"/>
    <cellStyle name="Input that NEEDS to by Updated for Annual Report 3" xfId="10286" xr:uid="{3F172AA4-B07F-487C-8681-5E5ED8108A4B}"/>
    <cellStyle name="Input that NEEDS to by Updated for Annual Report 3 2" xfId="11719" xr:uid="{61CEF2C5-7BDB-4280-97F3-E8BF4ED38B79}"/>
    <cellStyle name="Input that NEEDS to by Updated for Annual Report 4" xfId="10548" xr:uid="{F412F2A9-3C16-43DE-AD84-2DA9F9EF017A}"/>
    <cellStyle name="Input, Preliminary" xfId="9359" xr:uid="{D3AC081E-BF17-4291-BD3C-51096CF2BF87}"/>
    <cellStyle name="Input, Unverified" xfId="9360" xr:uid="{520D3D53-82B6-4524-A57B-B771E7F3FDCF}"/>
    <cellStyle name="Input, Verified" xfId="9361" xr:uid="{547587A1-EE1B-4859-A285-2654D836E293}"/>
    <cellStyle name="InputHeader" xfId="9362" xr:uid="{A84215D8-087F-4F92-B1EC-EB058EEAF730}"/>
    <cellStyle name="InputNumber" xfId="9363" xr:uid="{D6816AA0-8BCE-4F06-A49A-67908A0094EA}"/>
    <cellStyle name="InputPercent" xfId="9364" xr:uid="{A83D269F-3CAA-42EE-BF0B-EFB372F2A945}"/>
    <cellStyle name="inputs" xfId="9396" xr:uid="{4A5C2407-C8F8-4CB0-B227-A66CAD3216DF}"/>
    <cellStyle name="inputs 2" xfId="10585" xr:uid="{12F710CA-C0B2-4363-8BBF-9AFE4D83E066}"/>
    <cellStyle name="InputText" xfId="9256" xr:uid="{12381967-814B-433D-BF12-231DC8E26638}"/>
    <cellStyle name="InputText 2" xfId="9365" xr:uid="{AF521D42-6BB8-4ED8-9253-63ACE4E87AE3}"/>
    <cellStyle name="inputyear" xfId="9257" xr:uid="{AA224741-C15F-433A-A30C-281401556312}"/>
    <cellStyle name="inputyear 2" xfId="9305" xr:uid="{C295CA85-24AF-44B6-80F5-6638E84DDAF0}"/>
    <cellStyle name="inputyear 2 2" xfId="10563" xr:uid="{6A90E61A-EF29-4A03-A5B4-21F97133664D}"/>
    <cellStyle name="inputyear 3" xfId="10259" xr:uid="{F1179A40-8E12-4C00-ACBB-9BBDA23C4A82}"/>
    <cellStyle name="inputyear 3 2" xfId="11711" xr:uid="{A4EB69AC-014E-4995-A220-159B3EF06576}"/>
    <cellStyle name="inputyear 4" xfId="10546" xr:uid="{7F605FFB-4FC1-4F91-90DB-7860C85C6DD7}"/>
    <cellStyle name="Integer" xfId="9205" xr:uid="{BDD2239F-889D-4CCD-80A0-57563623BEA3}"/>
    <cellStyle name="kWh" xfId="9716" xr:uid="{B60B44A5-FA2B-4057-A4BF-2F903F12B070}"/>
    <cellStyle name="Large_Tank" xfId="9397" xr:uid="{DB7BACA8-D0C9-4DA3-A55F-E833AD783C8F}"/>
    <cellStyle name="Linked Cell" xfId="9098" builtinId="24"/>
    <cellStyle name="Linked Cell 2" xfId="9278" xr:uid="{6FCA7B15-4C35-4A84-B931-8FBF4597BDE0}"/>
    <cellStyle name="Linked Cell 2 2" xfId="9398" xr:uid="{5226DA0F-7B75-44AC-A87C-BF07255A02CF}"/>
    <cellStyle name="Linked Cell 2 2 2" xfId="10586" xr:uid="{5E52EAD4-EE23-4727-85B4-045CCF66CBB2}"/>
    <cellStyle name="Linked Cell 2 2 3" xfId="9953" xr:uid="{919945E5-02FA-4564-9945-0F47FE6F2189}"/>
    <cellStyle name="Linked Cell 2 3" xfId="9717" xr:uid="{D2059994-626E-4854-8E99-07B32A9EEC1A}"/>
    <cellStyle name="Linked Cell 2 3 2" xfId="11272" xr:uid="{EDD00FFA-1D96-4E7A-9620-01628723614E}"/>
    <cellStyle name="Linked Cell 2 3 3" xfId="9767" xr:uid="{D8B33C5D-9945-499F-845A-EFFDA978BBEE}"/>
    <cellStyle name="Linked Cell 2 4" xfId="9718" xr:uid="{B6CBFAAA-1E41-44A9-ABD8-AEFB23E25973}"/>
    <cellStyle name="Linked Cell 2 5" xfId="10260" xr:uid="{44251CA8-F217-4E76-BA58-CCD34B8C9A86}"/>
    <cellStyle name="Linked Cell 2 5 2" xfId="11712" xr:uid="{EBC2695E-1B9C-4149-BAB4-D29FAA68C751}"/>
    <cellStyle name="Linked Cell 2 6" xfId="10378" xr:uid="{A2086C99-A1E6-4710-B3EA-1977E1509123}"/>
    <cellStyle name="Linked Cell 2 7" xfId="10159" xr:uid="{B63DB6B4-D355-41B6-AFD4-2222D2112233}"/>
    <cellStyle name="Linked Cell 3" xfId="9399" xr:uid="{A3AB2ED2-4B38-4EEB-A740-4A9B978FC1A2}"/>
    <cellStyle name="Linked Cell 3 2" xfId="10421" xr:uid="{61C6135E-2384-4981-B8ED-659B4621A21C}"/>
    <cellStyle name="Linked Cell 4" xfId="9400" xr:uid="{CBD1DD1F-6A07-4D98-BC7F-60B0ADD12D8A}"/>
    <cellStyle name="Linked Cell 5" xfId="9401" xr:uid="{914FBB28-A426-4918-BDD8-5880F4F15D7F}"/>
    <cellStyle name="Linked Cell 6" xfId="9402" xr:uid="{91178434-8242-485E-BD89-A2F58AF19B71}"/>
    <cellStyle name="LinkedToModels" xfId="9403" xr:uid="{CE54B814-53F0-4F98-9544-E08CAE48A5A8}"/>
    <cellStyle name="List" xfId="9366" xr:uid="{0FBC9385-486D-4770-9B7B-62E91D7B3CE2}"/>
    <cellStyle name="Lists" xfId="9258" xr:uid="{8EA8297C-5097-48C0-9AFA-05D42706A253}"/>
    <cellStyle name="Local_Incentives" xfId="9367" xr:uid="{CF1BB829-7D49-42AB-A632-7262AA19592E}"/>
    <cellStyle name="Lookups" xfId="9226" xr:uid="{FCE42BCB-98D4-47FA-9104-969BC4980604}"/>
    <cellStyle name="MDSBadStyle" xfId="9294" xr:uid="{723BA277-9179-4A6A-A87B-22BC52BBCF72}"/>
    <cellStyle name="MDSHeader" xfId="9300" xr:uid="{6827B0B8-B76F-4ECE-83ED-1C4CFB6DC04D}"/>
    <cellStyle name="MDSInputStyle" xfId="9295" xr:uid="{4F74DA84-EEC3-4A43-85F3-BA3363913CEF}"/>
    <cellStyle name="MDSNewRecord" xfId="9297" xr:uid="{B3D6CAC5-6975-42EF-B011-F380483794B9}"/>
    <cellStyle name="MDSNonPivot" xfId="9299" xr:uid="{50ECD84D-7073-40D4-905F-32851E73FB96}"/>
    <cellStyle name="MDSNormal" xfId="9293" xr:uid="{46A03CDA-C4FD-4FDE-8BDC-65FA8850EFA8}"/>
    <cellStyle name="MDSReadOnlyStyle" xfId="9296" xr:uid="{A50E2E82-8C46-40FE-BA68-8100A81DF6BE}"/>
    <cellStyle name="MDSUnmanaged" xfId="9298" xr:uid="{ABE633F4-9186-4694-A7BD-54002DD4BFD8}"/>
    <cellStyle name="Montana" xfId="9368" xr:uid="{2EB86D4F-C5FC-44A4-89AB-A450DFDC91EE}"/>
    <cellStyle name="Named Value" xfId="9369" xr:uid="{F827FB93-DB98-4E13-B7AB-7761A08D16A5}"/>
    <cellStyle name="Net" xfId="9370" xr:uid="{42D0E48B-43B9-486A-BAC6-20E16C4D4F38}"/>
    <cellStyle name="Neutral 2" xfId="9279" xr:uid="{2D6486E0-967B-49C5-81A5-A07BA22D7C38}"/>
    <cellStyle name="Neutral 2 2" xfId="9719" xr:uid="{3951BE44-D2B7-4AE8-A47A-2A7D17496BAE}"/>
    <cellStyle name="Neutral 2 3" xfId="9720" xr:uid="{BE2E4282-5887-419E-B03E-1DEE53136E28}"/>
    <cellStyle name="Neutral 3" xfId="308" xr:uid="{00000000-0005-0000-0000-000096030000}"/>
    <cellStyle name="Neutral 3 2" xfId="10422" xr:uid="{D4F6F47C-EA6A-4E70-8F8A-A7C5F7AE7733}"/>
    <cellStyle name="Neutral 3 2 2" xfId="11945" xr:uid="{D25CEDCC-874E-4D5A-92DB-DE877B8611CF}"/>
    <cellStyle name="Neutral 4" xfId="9232" xr:uid="{5385FAE1-A2A8-4080-8396-6F1830BEC9D3}"/>
    <cellStyle name="Next_Gen" xfId="9404" xr:uid="{3A7FC4E2-50EA-44B8-820A-C31084E38FEF}"/>
    <cellStyle name="NME" xfId="9405" xr:uid="{5D95A01C-4324-4A2B-A2FB-99F477BF4192}"/>
    <cellStyle name="Normal" xfId="0" builtinId="0"/>
    <cellStyle name="Normal 1" xfId="9721" xr:uid="{4D742938-2507-4975-80AB-5A6BF1B191B0}"/>
    <cellStyle name="Normal 10" xfId="132" xr:uid="{00000000-0005-0000-0000-000099030000}"/>
    <cellStyle name="Normal 10 2" xfId="9308" xr:uid="{A4C8296B-C020-436D-8F00-203C2A1D9F0C}"/>
    <cellStyle name="Normal 10 2 2" xfId="8780" xr:uid="{00000000-0005-0000-0000-00009B030000}"/>
    <cellStyle name="Normal 10 2 2 2" xfId="9723" xr:uid="{9623DB15-7798-4C00-9A7F-220A77E1FB60}"/>
    <cellStyle name="Normal 10 2 2 3" xfId="11273" xr:uid="{9F259805-1122-43C1-89C1-52A1EA46F1B6}"/>
    <cellStyle name="Normal 10 2 2 4" xfId="9722" xr:uid="{CAB635E0-FD67-49ED-B50E-97F50D6D6C53}"/>
    <cellStyle name="Normal 10 2 3" xfId="8199" xr:uid="{00000000-0005-0000-0000-00009C030000}"/>
    <cellStyle name="Normal 10 2 3 2" xfId="11274" xr:uid="{DA2125C1-0C77-4DF7-A21B-470F06A4BE13}"/>
    <cellStyle name="Normal 10 2 3 3" xfId="9724" xr:uid="{6BF1FE9F-AB6E-4748-92D3-2974DEC3C1CF}"/>
    <cellStyle name="Normal 10 2 4" xfId="9148" xr:uid="{00000000-0005-0000-0000-00009D030000}"/>
    <cellStyle name="Normal 10 2 4 2" xfId="9725" xr:uid="{BAE1A3A9-328C-488A-913B-9A0DAAE856A9}"/>
    <cellStyle name="Normal 10 2 5" xfId="10287" xr:uid="{03778931-3381-4F0E-83E2-87EBF9F66E9B}"/>
    <cellStyle name="Normal 10 2 5 2" xfId="11720" xr:uid="{EE599771-7FB9-47C5-B617-76888CB5D362}"/>
    <cellStyle name="Normal 10 2 6" xfId="10566" xr:uid="{51734DEB-EFF7-453A-B04E-45B0A415BDFB}"/>
    <cellStyle name="Normal 10 3" xfId="459" xr:uid="{00000000-0005-0000-0000-00009E030000}"/>
    <cellStyle name="Normal 10 3 2" xfId="460" xr:uid="{00000000-0005-0000-0000-00009F030000}"/>
    <cellStyle name="Normal 10 3 3" xfId="9726" xr:uid="{E530406E-1301-439D-999E-921B37632C40}"/>
    <cellStyle name="Normal 10 3 4" xfId="10581" xr:uid="{2A642A50-8473-4000-AF27-C55FC3A92214}"/>
    <cellStyle name="Normal 10 3 5" xfId="9384" xr:uid="{8124E998-39FB-4DE0-8A5C-7401A67EAB0A}"/>
    <cellStyle name="Normal 10 4" xfId="461" xr:uid="{00000000-0005-0000-0000-0000A0030000}"/>
    <cellStyle name="Normal 10 4 2" xfId="9728" xr:uid="{90C3CF5F-31E8-4FD8-95A2-7606FAE25145}"/>
    <cellStyle name="Normal 10 4 3" xfId="9727" xr:uid="{82EB6D0A-8C39-4875-ADBC-2932F7B586AC}"/>
    <cellStyle name="Normal 10 5" xfId="462" xr:uid="{00000000-0005-0000-0000-0000A1030000}"/>
    <cellStyle name="Normal 10 5 2" xfId="9730" xr:uid="{7170CBEE-A23A-47D0-B91D-ECC78BC430FA}"/>
    <cellStyle name="Normal 10 5 3" xfId="11275" xr:uid="{C6819718-CE10-42B4-81AD-DCC57BAF4E5E}"/>
    <cellStyle name="Normal 10 5 4" xfId="9729" xr:uid="{083101A6-99FD-487F-9720-B672CAD21024}"/>
    <cellStyle name="Normal 10 6" xfId="9126" xr:uid="{00000000-0005-0000-0000-0000A2030000}"/>
    <cellStyle name="Normal 11" xfId="133" xr:uid="{00000000-0005-0000-0000-0000A3030000}"/>
    <cellStyle name="Normal 11 2" xfId="463" xr:uid="{00000000-0005-0000-0000-0000A4030000}"/>
    <cellStyle name="Normal 11 2 2" xfId="9151" xr:uid="{00000000-0005-0000-0000-0000A5030000}"/>
    <cellStyle name="Normal 11 2 2 2" xfId="11276" xr:uid="{DC8F787F-ACA2-4248-8EB7-692CD1426612}"/>
    <cellStyle name="Normal 11 2 3" xfId="9731" xr:uid="{39ED9348-B879-4A07-9A13-5921D28D0404}"/>
    <cellStyle name="Normal 11 2 3 2" xfId="11277" xr:uid="{2F41781F-DE2E-4765-90FA-1E15985FE39A}"/>
    <cellStyle name="Normal 11 2 4" xfId="12120" xr:uid="{1A250893-44DD-420A-A3EE-968842466A10}"/>
    <cellStyle name="Normal 11 3" xfId="9129" xr:uid="{00000000-0005-0000-0000-0000A6030000}"/>
    <cellStyle name="Normal 11 3 2" xfId="11278" xr:uid="{BD99CB32-4BF9-4F76-B993-F854ADF2B6E5}"/>
    <cellStyle name="Normal 11 4" xfId="9206" xr:uid="{ACB998EA-5172-4342-A038-DD5CC90E8946}"/>
    <cellStyle name="Normal 11 4 2" xfId="11279" xr:uid="{59C5D6CF-3658-4E76-97B1-9CFB33CE92F1}"/>
    <cellStyle name="Normal 11 4 3" xfId="9732" xr:uid="{DBC5B74D-C98B-4C06-9A48-2FDF8A470042}"/>
    <cellStyle name="Normal 11 5" xfId="10288" xr:uid="{EE8103DD-7345-4831-9AF5-DB31593E6601}"/>
    <cellStyle name="Normal 11 6" xfId="10574" xr:uid="{7AD7FAAD-8C99-45D1-A294-3F9498F06427}"/>
    <cellStyle name="Normal 12" xfId="134" xr:uid="{00000000-0005-0000-0000-0000A7030000}"/>
    <cellStyle name="Normal 12 2" xfId="464" xr:uid="{00000000-0005-0000-0000-0000A8030000}"/>
    <cellStyle name="Normal 12 2 2" xfId="9152" xr:uid="{00000000-0005-0000-0000-0000A9030000}"/>
    <cellStyle name="Normal 12 2 2 2" xfId="11280" xr:uid="{8BF972FE-1C27-490F-BC68-B4EF8F3FACC1}"/>
    <cellStyle name="Normal 12 2 3" xfId="9733" xr:uid="{DEB519CE-DA57-42F7-95A2-1041C230E6A9}"/>
    <cellStyle name="Normal 12 2 3 2" xfId="11281" xr:uid="{D8646473-33F7-4BE4-B83B-F45407A7927D}"/>
    <cellStyle name="Normal 12 3" xfId="9130" xr:uid="{00000000-0005-0000-0000-0000AA030000}"/>
    <cellStyle name="Normal 12 3 2" xfId="11282" xr:uid="{B4F62BC3-FD19-419E-A017-B7978C3DD750}"/>
    <cellStyle name="Normal 12 4" xfId="9734" xr:uid="{1886BA24-2113-4B8F-ACF7-19AD79E291D1}"/>
    <cellStyle name="Normal 12 4 2" xfId="11283" xr:uid="{72A6793F-B3C5-4846-B665-DF189C1FC449}"/>
    <cellStyle name="Normal 12 5" xfId="10575" xr:uid="{B7DE1F21-A25A-4608-A70F-EC2C6C73436E}"/>
    <cellStyle name="Normal 13" xfId="11" xr:uid="{00000000-0005-0000-0000-0000AB030000}"/>
    <cellStyle name="Normal 13 2" xfId="135" xr:uid="{00000000-0005-0000-0000-0000AC030000}"/>
    <cellStyle name="Normal 13 2 2" xfId="8781" xr:uid="{00000000-0005-0000-0000-0000AD030000}"/>
    <cellStyle name="Normal 13 2 2 2" xfId="8782" xr:uid="{00000000-0005-0000-0000-0000AE030000}"/>
    <cellStyle name="Normal 13 2 3" xfId="8200" xr:uid="{00000000-0005-0000-0000-0000AF030000}"/>
    <cellStyle name="Normal 13 3" xfId="136" xr:uid="{00000000-0005-0000-0000-0000B0030000}"/>
    <cellStyle name="Normal 13 3 2" xfId="8783" xr:uid="{00000000-0005-0000-0000-0000B1030000}"/>
    <cellStyle name="Normal 13 4" xfId="10576" xr:uid="{6CF36B6E-D676-4E60-AA77-FB108AED08D6}"/>
    <cellStyle name="Normal 13 5" xfId="9371" xr:uid="{4D34890B-5709-41F9-AE08-E21E30E19A56}"/>
    <cellStyle name="Normal 14" xfId="137" xr:uid="{00000000-0005-0000-0000-0000B2030000}"/>
    <cellStyle name="Normal 14 2" xfId="21" xr:uid="{00000000-0005-0000-0000-0000B3030000}"/>
    <cellStyle name="Normal 14 2 2" xfId="138" xr:uid="{00000000-0005-0000-0000-0000B4030000}"/>
    <cellStyle name="Normal 14 2 2 2" xfId="8784" xr:uid="{00000000-0005-0000-0000-0000B5030000}"/>
    <cellStyle name="Normal 14 2 2 2 2" xfId="11286" xr:uid="{BA088678-8115-4C16-9415-FA8A3C255F0F}"/>
    <cellStyle name="Normal 14 2 2 3" xfId="11285" xr:uid="{7C88239E-8BF8-4E5D-B0FE-B7CB734AA89F}"/>
    <cellStyle name="Normal 14 2 2 4" xfId="11946" xr:uid="{E40C0D1C-65DA-4FE8-A28C-ED0113C905E0}"/>
    <cellStyle name="Normal 14 2 3" xfId="8785" xr:uid="{00000000-0005-0000-0000-0000B6030000}"/>
    <cellStyle name="Normal 14 2 3 2" xfId="8786" xr:uid="{00000000-0005-0000-0000-0000B7030000}"/>
    <cellStyle name="Normal 14 2 3 2 2" xfId="11288" xr:uid="{64F1CA05-A4CD-41FE-BEC3-7A9C271FD547}"/>
    <cellStyle name="Normal 14 2 3 3" xfId="11287" xr:uid="{4EBBC44A-337A-411A-A48B-3C250704C07B}"/>
    <cellStyle name="Normal 14 2 4" xfId="8787" xr:uid="{00000000-0005-0000-0000-0000B8030000}"/>
    <cellStyle name="Normal 14 2 4 2" xfId="11289" xr:uid="{11617690-A80E-46F1-86A9-81FE5FD860D3}"/>
    <cellStyle name="Normal 14 2 5" xfId="8788" xr:uid="{00000000-0005-0000-0000-0000B9030000}"/>
    <cellStyle name="Normal 14 2 5 2" xfId="11290" xr:uid="{82DAF221-3B1A-40F7-9334-794BF12FB259}"/>
    <cellStyle name="Normal 14 2 6" xfId="9155" xr:uid="{00000000-0005-0000-0000-0000BA030000}"/>
    <cellStyle name="Normal 14 2 6 2" xfId="11807" xr:uid="{983A37FD-8193-49D2-AF79-F5EA285ECC38}"/>
    <cellStyle name="Normal 14 2 6 3" xfId="10498" xr:uid="{66541C82-E1C9-4931-9F9B-37C8EB345DC3}"/>
    <cellStyle name="Normal 14 2 7" xfId="11284" xr:uid="{CFED6C73-222A-4259-B5FD-6FA433DE224A}"/>
    <cellStyle name="Normal 14 2 8" xfId="11881" xr:uid="{952EBDCF-3C88-4710-A97E-0F97B3002090}"/>
    <cellStyle name="Normal 14 3" xfId="5" xr:uid="{00000000-0005-0000-0000-0000BB030000}"/>
    <cellStyle name="Normal 14 3 2" xfId="240" xr:uid="{00000000-0005-0000-0000-0000BC030000}"/>
    <cellStyle name="Normal 14 3 3" xfId="9157" xr:uid="{00000000-0005-0000-0000-0000BD030000}"/>
    <cellStyle name="Normal 14 3 3 2" xfId="11821" xr:uid="{12D654D5-C394-476F-AFDF-7AFD5A5B90EB}"/>
    <cellStyle name="Normal 14 3 3 3" xfId="11947" xr:uid="{467C0E3C-FBA2-4DDD-81E0-6B771A126278}"/>
    <cellStyle name="Normal 14 3 3 4" xfId="10519" xr:uid="{A210CC09-9207-4A64-9AC7-E469313C0F68}"/>
    <cellStyle name="Normal 14 3 4" xfId="11895" xr:uid="{654C593A-2783-43E8-80E3-C7EA039753F1}"/>
    <cellStyle name="Normal 14 4" xfId="309" xr:uid="{00000000-0005-0000-0000-0000BE030000}"/>
    <cellStyle name="Normal 14 4 2" xfId="9092" xr:uid="{00000000-0005-0000-0000-0000BF030000}"/>
    <cellStyle name="Normal 14 4 3" xfId="10456" xr:uid="{E7681FFE-6DFC-477A-9B7E-096541537097}"/>
    <cellStyle name="Normal 14 4 3 2" xfId="11792" xr:uid="{50B7CA3B-3697-499D-85C3-552ECF4EBA7E}"/>
    <cellStyle name="Normal 14 4 4" xfId="11291" xr:uid="{A7DEA569-C066-4680-B5BC-ED2A95185590}"/>
    <cellStyle name="Normal 14 4 5" xfId="11866" xr:uid="{D8586D67-59BE-4614-8436-40DE0CB2FA9E}"/>
    <cellStyle name="Normal 14 5" xfId="465" xr:uid="{00000000-0005-0000-0000-0000C0030000}"/>
    <cellStyle name="Normal 14 5 2" xfId="8163" xr:uid="{00000000-0005-0000-0000-0000C1030000}"/>
    <cellStyle name="Normal 14 5 2 2" xfId="11292" xr:uid="{ABB3B351-476A-400C-8B3E-55A9CE24324C}"/>
    <cellStyle name="Normal 14 6" xfId="10381" xr:uid="{EE734D39-3978-4D60-9EEE-4E5ED8281F82}"/>
    <cellStyle name="Normal 14 6 2" xfId="11775" xr:uid="{37E018AD-73CB-451E-9574-A9D0BF28FE94}"/>
    <cellStyle name="Normal 14 7" xfId="10577" xr:uid="{0778D721-12D2-4827-9BE5-8FE74DFB962A}"/>
    <cellStyle name="Normal 14 8" xfId="11839" xr:uid="{31379E75-CFBD-42A5-8026-56C810E88B13}"/>
    <cellStyle name="Normal 15" xfId="139" xr:uid="{00000000-0005-0000-0000-0000C2030000}"/>
    <cellStyle name="Normal 15 10" xfId="11848" xr:uid="{3A020394-FC59-496D-A0AA-51B9DBD0A0F4}"/>
    <cellStyle name="Normal 15 2" xfId="22" xr:uid="{00000000-0005-0000-0000-0000C3030000}"/>
    <cellStyle name="Normal 15 2 2" xfId="239" xr:uid="{00000000-0005-0000-0000-0000C4030000}"/>
    <cellStyle name="Normal 15 2 2 2" xfId="8789" xr:uid="{00000000-0005-0000-0000-0000C5030000}"/>
    <cellStyle name="Normal 15 2 2 2 2" xfId="11293" xr:uid="{8CE71275-950E-4916-A119-352D7DFCB965}"/>
    <cellStyle name="Normal 15 2 3" xfId="8790" xr:uid="{00000000-0005-0000-0000-0000C6030000}"/>
    <cellStyle name="Normal 15 2 3 2" xfId="8791" xr:uid="{00000000-0005-0000-0000-0000C7030000}"/>
    <cellStyle name="Normal 15 2 3 2 2" xfId="11295" xr:uid="{96BA7A82-160F-44FF-A98E-BF1CE3009542}"/>
    <cellStyle name="Normal 15 2 3 3" xfId="11294" xr:uid="{22ADFCD7-D974-4421-88B4-959FE5AA7FFD}"/>
    <cellStyle name="Normal 15 2 3 4" xfId="11948" xr:uid="{883003AB-2095-4F45-B254-F1F989E0F955}"/>
    <cellStyle name="Normal 15 2 4" xfId="8792" xr:uid="{00000000-0005-0000-0000-0000C8030000}"/>
    <cellStyle name="Normal 15 2 5" xfId="8793" xr:uid="{00000000-0005-0000-0000-0000C9030000}"/>
    <cellStyle name="Normal 15 2 5 2" xfId="11296" xr:uid="{76370DEC-9B51-4937-9C30-E6A353E5C0B5}"/>
    <cellStyle name="Normal 15 2 6" xfId="9156" xr:uid="{00000000-0005-0000-0000-0000CA030000}"/>
    <cellStyle name="Normal 15 2 6 2" xfId="10496" xr:uid="{60FA9BF4-215B-4536-8C1E-3D5D4DB73D98}"/>
    <cellStyle name="Normal 15 3" xfId="140" xr:uid="{00000000-0005-0000-0000-0000CB030000}"/>
    <cellStyle name="Normal 15 3 2" xfId="8794" xr:uid="{00000000-0005-0000-0000-0000CC030000}"/>
    <cellStyle name="Normal 15 3 2 2" xfId="11298" xr:uid="{29669FC3-047F-46B9-8356-582E215942DD}"/>
    <cellStyle name="Normal 15 3 2 3" xfId="11949" xr:uid="{270962F8-04DD-44B8-BDFA-A91DB520DF66}"/>
    <cellStyle name="Normal 15 3 3" xfId="10454" xr:uid="{5A1DED7B-29F8-4569-8B3C-5F0BD5FBDDBA}"/>
    <cellStyle name="Normal 15 3 4" xfId="11297" xr:uid="{4F768315-2491-4095-8D1A-61A83016E382}"/>
    <cellStyle name="Normal 15 4" xfId="141" xr:uid="{00000000-0005-0000-0000-0000CD030000}"/>
    <cellStyle name="Normal 15 4 2" xfId="8795" xr:uid="{00000000-0005-0000-0000-0000CE030000}"/>
    <cellStyle name="Normal 15 4 2 2" xfId="11300" xr:uid="{CFEBC468-7852-4D32-A39D-8D0C11B3138A}"/>
    <cellStyle name="Normal 15 4 2 3" xfId="11950" xr:uid="{D693F4A8-A747-4FCD-B036-B036849012F9}"/>
    <cellStyle name="Normal 15 4 3" xfId="10395" xr:uid="{8EF8B7F7-CEDE-4ECF-8E5C-A32D56134108}"/>
    <cellStyle name="Normal 15 4 4" xfId="11299" xr:uid="{77C76533-D8A4-476B-ACCF-4C916E8FEAC3}"/>
    <cellStyle name="Normal 15 5" xfId="466" xr:uid="{00000000-0005-0000-0000-0000CF030000}"/>
    <cellStyle name="Normal 15 5 2" xfId="8796" xr:uid="{00000000-0005-0000-0000-0000D0030000}"/>
    <cellStyle name="Normal 15 5 2 2" xfId="11301" xr:uid="{01135BBC-6347-4F74-B734-6D483A56F0AB}"/>
    <cellStyle name="Normal 15 5 3" xfId="9736" xr:uid="{AF95D00D-E957-4326-BCFC-07ED8B617142}"/>
    <cellStyle name="Normal 15 5 3 2" xfId="11302" xr:uid="{9540F70C-72CF-4E6D-BFAD-7F95943E5B37}"/>
    <cellStyle name="Normal 15 5 4" xfId="12115" xr:uid="{C546F691-8231-476E-B1D4-972581E30B59}"/>
    <cellStyle name="Normal 15 5 5" xfId="9735" xr:uid="{9F6B05EB-A5A5-4BAE-A5CB-035928EEDDC1}"/>
    <cellStyle name="Normal 15 6" xfId="8797" xr:uid="{00000000-0005-0000-0000-0000D1030000}"/>
    <cellStyle name="Normal 15 6 2" xfId="11303" xr:uid="{C7A54915-F9D7-463E-A4B4-68F99935FBBE}"/>
    <cellStyle name="Normal 15 7" xfId="8798" xr:uid="{00000000-0005-0000-0000-0000D2030000}"/>
    <cellStyle name="Normal 15 7 2" xfId="11304" xr:uid="{64DDA732-6896-4740-9FD8-D28B188D60E8}"/>
    <cellStyle name="Normal 15 8" xfId="8171" xr:uid="{00000000-0005-0000-0000-0000D3030000}"/>
    <cellStyle name="Normal 15 8 2" xfId="11776" xr:uid="{DACBB51D-2DE5-4117-9AB6-AB956EACF4A4}"/>
    <cellStyle name="Normal 15 8 3" xfId="10382" xr:uid="{42C8E656-7B81-4796-8ECB-982FF3495557}"/>
    <cellStyle name="Normal 15 9" xfId="10578" xr:uid="{85ACC745-9733-4895-8CE1-EF439D8D3BD1}"/>
    <cellStyle name="Normal 16" xfId="142" xr:uid="{00000000-0005-0000-0000-0000D4030000}"/>
    <cellStyle name="Normal 16 2" xfId="143" xr:uid="{00000000-0005-0000-0000-0000D5030000}"/>
    <cellStyle name="Normal 16 2 2" xfId="8799" xr:uid="{00000000-0005-0000-0000-0000D6030000}"/>
    <cellStyle name="Normal 16 2 2 2" xfId="11952" xr:uid="{7E91C9B6-9247-46B6-A022-668BFF55C904}"/>
    <cellStyle name="Normal 16 2 3" xfId="10504" xr:uid="{A8DDCB98-1460-4A65-ADF4-836A363719AA}"/>
    <cellStyle name="Normal 16 2 4" xfId="11305" xr:uid="{3DECB602-240A-463A-A189-87CDB75BFAEF}"/>
    <cellStyle name="Normal 16 3" xfId="144" xr:uid="{00000000-0005-0000-0000-0000D7030000}"/>
    <cellStyle name="Normal 16 4" xfId="467" xr:uid="{00000000-0005-0000-0000-0000D8030000}"/>
    <cellStyle name="Normal 16 4 2" xfId="11306" xr:uid="{3136DBB6-6D1A-452E-AA09-B81322E22B9A}"/>
    <cellStyle name="Normal 16 4 3" xfId="12116" xr:uid="{8777FB46-3B82-4117-BF2D-CEE519F99FA9}"/>
    <cellStyle name="Normal 16 5" xfId="9225" xr:uid="{6C3472AF-CB03-439E-BAA0-D8DBE26BF641}"/>
    <cellStyle name="Normal 16 5 2" xfId="11951" xr:uid="{65A5B8E8-D366-4CB0-B32C-F010CD48C804}"/>
    <cellStyle name="Normal 16 5 3" xfId="10579" xr:uid="{939D3B72-16E4-463F-8032-7FA000E29313}"/>
    <cellStyle name="Normal 17" xfId="145" xr:uid="{00000000-0005-0000-0000-0000D9030000}"/>
    <cellStyle name="Normal 17 2" xfId="146" xr:uid="{00000000-0005-0000-0000-0000DA030000}"/>
    <cellStyle name="Normal 17 2 2" xfId="10505" xr:uid="{02B0C18E-7043-47AD-BE92-EBE8B3E994EF}"/>
    <cellStyle name="Normal 17 2 2 2" xfId="11954" xr:uid="{48E05AD7-A3D9-4346-A74F-31D3FCFFE00C}"/>
    <cellStyle name="Normal 17 2 3" xfId="11307" xr:uid="{A7416234-D19C-4442-A147-94F2AED8E49C}"/>
    <cellStyle name="Normal 17 3" xfId="468" xr:uid="{00000000-0005-0000-0000-0000DB030000}"/>
    <cellStyle name="Normal 17 3 2" xfId="8800" xr:uid="{00000000-0005-0000-0000-0000DC030000}"/>
    <cellStyle name="Normal 17 3 3" xfId="10461" xr:uid="{59A74D9C-CE1A-4B92-BE63-F39E33D97882}"/>
    <cellStyle name="Normal 17 3 4" xfId="9737" xr:uid="{56F3997E-5599-4E12-9B69-333522E99219}"/>
    <cellStyle name="Normal 17 4" xfId="8801" xr:uid="{00000000-0005-0000-0000-0000DD030000}"/>
    <cellStyle name="Normal 17 4 2" xfId="11308" xr:uid="{5E79F837-2FEF-4BA3-A423-C5EEC6C2DC94}"/>
    <cellStyle name="Normal 17 4 3" xfId="11953" xr:uid="{F72479F1-03C7-462E-971A-BBA3E00DCC29}"/>
    <cellStyle name="Normal 17 5" xfId="9738" xr:uid="{EEA8E66C-FE19-447C-A0E2-0A9FDBF8D8B1}"/>
    <cellStyle name="Normal 17 6" xfId="10580" xr:uid="{9F252193-38A9-49E6-B12B-D54EAEF5782A}"/>
    <cellStyle name="Normal 18" xfId="147" xr:uid="{00000000-0005-0000-0000-0000DE030000}"/>
    <cellStyle name="Normal 18 2" xfId="469" xr:uid="{00000000-0005-0000-0000-0000DF030000}"/>
    <cellStyle name="Normal 18 2 2" xfId="8802" xr:uid="{00000000-0005-0000-0000-0000E0030000}"/>
    <cellStyle name="Normal 18 2 3" xfId="10466" xr:uid="{BFD2A0F7-4577-41F7-B7F2-D36B879C9EF4}"/>
    <cellStyle name="Normal 18 2 4" xfId="9739" xr:uid="{8837F0FE-2A15-46D5-87E7-84CD7580701F}"/>
    <cellStyle name="Normal 18 3" xfId="8201" xr:uid="{00000000-0005-0000-0000-0000E1030000}"/>
    <cellStyle name="Normal 18 4" xfId="10572" xr:uid="{709667F9-8CE0-44B5-96D6-4CA9C6E3D67A}"/>
    <cellStyle name="Normal 18 5" xfId="9336" xr:uid="{9694BD9F-A944-409D-AC03-FF7811C1A9D3}"/>
    <cellStyle name="Normal 19" xfId="13" xr:uid="{00000000-0005-0000-0000-0000E2030000}"/>
    <cellStyle name="Normal 19 2" xfId="470" xr:uid="{00000000-0005-0000-0000-0000E3030000}"/>
    <cellStyle name="Normal 19 3" xfId="9740" xr:uid="{459EA684-9A2E-43C7-BACD-39117697BFFF}"/>
    <cellStyle name="Normal 19 3 2" xfId="11955" xr:uid="{DF893FFA-8BBC-47BC-952E-5AF0FA953065}"/>
    <cellStyle name="Normal 19 4" xfId="10630" xr:uid="{974EBF04-0C83-4792-A0DD-39EEFFECB10F}"/>
    <cellStyle name="Normal 19 5" xfId="9451" xr:uid="{0C1FA9FB-0470-4595-A60C-4F1BDC910CB9}"/>
    <cellStyle name="Normal 2" xfId="148" xr:uid="{00000000-0005-0000-0000-0000E4030000}"/>
    <cellStyle name="Normal 2 10" xfId="471" xr:uid="{00000000-0005-0000-0000-0000E5030000}"/>
    <cellStyle name="Normal 2 10 10" xfId="472" xr:uid="{00000000-0005-0000-0000-0000E6030000}"/>
    <cellStyle name="Normal 2 10 10 2" xfId="473" xr:uid="{00000000-0005-0000-0000-0000E7030000}"/>
    <cellStyle name="Normal 2 10 10 2 2" xfId="474" xr:uid="{00000000-0005-0000-0000-0000E8030000}"/>
    <cellStyle name="Normal 2 10 10 3" xfId="475" xr:uid="{00000000-0005-0000-0000-0000E9030000}"/>
    <cellStyle name="Normal 2 10 11" xfId="476" xr:uid="{00000000-0005-0000-0000-0000EA030000}"/>
    <cellStyle name="Normal 2 10 11 2" xfId="477" xr:uid="{00000000-0005-0000-0000-0000EB030000}"/>
    <cellStyle name="Normal 2 10 11 2 2" xfId="478" xr:uid="{00000000-0005-0000-0000-0000EC030000}"/>
    <cellStyle name="Normal 2 10 11 3" xfId="479" xr:uid="{00000000-0005-0000-0000-0000ED030000}"/>
    <cellStyle name="Normal 2 10 12" xfId="480" xr:uid="{00000000-0005-0000-0000-0000EE030000}"/>
    <cellStyle name="Normal 2 10 12 2" xfId="481" xr:uid="{00000000-0005-0000-0000-0000EF030000}"/>
    <cellStyle name="Normal 2 10 12 2 2" xfId="482" xr:uid="{00000000-0005-0000-0000-0000F0030000}"/>
    <cellStyle name="Normal 2 10 12 3" xfId="483" xr:uid="{00000000-0005-0000-0000-0000F1030000}"/>
    <cellStyle name="Normal 2 10 13" xfId="484" xr:uid="{00000000-0005-0000-0000-0000F2030000}"/>
    <cellStyle name="Normal 2 10 13 2" xfId="485" xr:uid="{00000000-0005-0000-0000-0000F3030000}"/>
    <cellStyle name="Normal 2 10 13 2 2" xfId="486" xr:uid="{00000000-0005-0000-0000-0000F4030000}"/>
    <cellStyle name="Normal 2 10 13 3" xfId="487" xr:uid="{00000000-0005-0000-0000-0000F5030000}"/>
    <cellStyle name="Normal 2 10 14" xfId="488" xr:uid="{00000000-0005-0000-0000-0000F6030000}"/>
    <cellStyle name="Normal 2 10 14 2" xfId="489" xr:uid="{00000000-0005-0000-0000-0000F7030000}"/>
    <cellStyle name="Normal 2 10 14 2 2" xfId="490" xr:uid="{00000000-0005-0000-0000-0000F8030000}"/>
    <cellStyle name="Normal 2 10 14 3" xfId="491" xr:uid="{00000000-0005-0000-0000-0000F9030000}"/>
    <cellStyle name="Normal 2 10 15" xfId="492" xr:uid="{00000000-0005-0000-0000-0000FA030000}"/>
    <cellStyle name="Normal 2 10 15 2" xfId="493" xr:uid="{00000000-0005-0000-0000-0000FB030000}"/>
    <cellStyle name="Normal 2 10 15 2 2" xfId="494" xr:uid="{00000000-0005-0000-0000-0000FC030000}"/>
    <cellStyle name="Normal 2 10 15 3" xfId="495" xr:uid="{00000000-0005-0000-0000-0000FD030000}"/>
    <cellStyle name="Normal 2 10 16" xfId="496" xr:uid="{00000000-0005-0000-0000-0000FE030000}"/>
    <cellStyle name="Normal 2 10 16 2" xfId="497" xr:uid="{00000000-0005-0000-0000-0000FF030000}"/>
    <cellStyle name="Normal 2 10 16 2 2" xfId="498" xr:uid="{00000000-0005-0000-0000-000000040000}"/>
    <cellStyle name="Normal 2 10 16 3" xfId="499" xr:uid="{00000000-0005-0000-0000-000001040000}"/>
    <cellStyle name="Normal 2 10 17" xfId="500" xr:uid="{00000000-0005-0000-0000-000002040000}"/>
    <cellStyle name="Normal 2 10 17 2" xfId="501" xr:uid="{00000000-0005-0000-0000-000003040000}"/>
    <cellStyle name="Normal 2 10 17 2 2" xfId="502" xr:uid="{00000000-0005-0000-0000-000004040000}"/>
    <cellStyle name="Normal 2 10 17 3" xfId="503" xr:uid="{00000000-0005-0000-0000-000005040000}"/>
    <cellStyle name="Normal 2 10 18" xfId="504" xr:uid="{00000000-0005-0000-0000-000006040000}"/>
    <cellStyle name="Normal 2 10 18 2" xfId="505" xr:uid="{00000000-0005-0000-0000-000007040000}"/>
    <cellStyle name="Normal 2 10 18 2 2" xfId="506" xr:uid="{00000000-0005-0000-0000-000008040000}"/>
    <cellStyle name="Normal 2 10 18 3" xfId="507" xr:uid="{00000000-0005-0000-0000-000009040000}"/>
    <cellStyle name="Normal 2 10 19" xfId="508" xr:uid="{00000000-0005-0000-0000-00000A040000}"/>
    <cellStyle name="Normal 2 10 19 2" xfId="509" xr:uid="{00000000-0005-0000-0000-00000B040000}"/>
    <cellStyle name="Normal 2 10 19 2 2" xfId="510" xr:uid="{00000000-0005-0000-0000-00000C040000}"/>
    <cellStyle name="Normal 2 10 19 3" xfId="511" xr:uid="{00000000-0005-0000-0000-00000D040000}"/>
    <cellStyle name="Normal 2 10 2" xfId="512" xr:uid="{00000000-0005-0000-0000-00000E040000}"/>
    <cellStyle name="Normal 2 10 2 2" xfId="513" xr:uid="{00000000-0005-0000-0000-00000F040000}"/>
    <cellStyle name="Normal 2 10 2 2 2" xfId="514" xr:uid="{00000000-0005-0000-0000-000010040000}"/>
    <cellStyle name="Normal 2 10 2 2 3" xfId="8804" xr:uid="{00000000-0005-0000-0000-000011040000}"/>
    <cellStyle name="Normal 2 10 2 3" xfId="515" xr:uid="{00000000-0005-0000-0000-000012040000}"/>
    <cellStyle name="Normal 2 10 2 4" xfId="8803" xr:uid="{00000000-0005-0000-0000-000013040000}"/>
    <cellStyle name="Normal 2 10 20" xfId="516" xr:uid="{00000000-0005-0000-0000-000014040000}"/>
    <cellStyle name="Normal 2 10 20 2" xfId="517" xr:uid="{00000000-0005-0000-0000-000015040000}"/>
    <cellStyle name="Normal 2 10 20 2 2" xfId="518" xr:uid="{00000000-0005-0000-0000-000016040000}"/>
    <cellStyle name="Normal 2 10 20 3" xfId="519" xr:uid="{00000000-0005-0000-0000-000017040000}"/>
    <cellStyle name="Normal 2 10 21" xfId="520" xr:uid="{00000000-0005-0000-0000-000018040000}"/>
    <cellStyle name="Normal 2 10 21 2" xfId="521" xr:uid="{00000000-0005-0000-0000-000019040000}"/>
    <cellStyle name="Normal 2 10 21 2 2" xfId="522" xr:uid="{00000000-0005-0000-0000-00001A040000}"/>
    <cellStyle name="Normal 2 10 21 3" xfId="523" xr:uid="{00000000-0005-0000-0000-00001B040000}"/>
    <cellStyle name="Normal 2 10 22" xfId="524" xr:uid="{00000000-0005-0000-0000-00001C040000}"/>
    <cellStyle name="Normal 2 10 22 2" xfId="525" xr:uid="{00000000-0005-0000-0000-00001D040000}"/>
    <cellStyle name="Normal 2 10 22 2 2" xfId="526" xr:uid="{00000000-0005-0000-0000-00001E040000}"/>
    <cellStyle name="Normal 2 10 22 3" xfId="527" xr:uid="{00000000-0005-0000-0000-00001F040000}"/>
    <cellStyle name="Normal 2 10 23" xfId="528" xr:uid="{00000000-0005-0000-0000-000020040000}"/>
    <cellStyle name="Normal 2 10 23 2" xfId="529" xr:uid="{00000000-0005-0000-0000-000021040000}"/>
    <cellStyle name="Normal 2 10 23 2 2" xfId="530" xr:uid="{00000000-0005-0000-0000-000022040000}"/>
    <cellStyle name="Normal 2 10 23 3" xfId="531" xr:uid="{00000000-0005-0000-0000-000023040000}"/>
    <cellStyle name="Normal 2 10 24" xfId="532" xr:uid="{00000000-0005-0000-0000-000024040000}"/>
    <cellStyle name="Normal 2 10 24 2" xfId="533" xr:uid="{00000000-0005-0000-0000-000025040000}"/>
    <cellStyle name="Normal 2 10 25" xfId="534" xr:uid="{00000000-0005-0000-0000-000026040000}"/>
    <cellStyle name="Normal 2 10 26" xfId="11309" xr:uid="{AD4F5A31-009C-4833-831C-789B23F6AC8B}"/>
    <cellStyle name="Normal 2 10 26 2" xfId="12062" xr:uid="{9CADEACB-DE1B-42BB-804B-7281A56E4BD7}"/>
    <cellStyle name="Normal 2 10 3" xfId="535" xr:uid="{00000000-0005-0000-0000-000027040000}"/>
    <cellStyle name="Normal 2 10 3 2" xfId="536" xr:uid="{00000000-0005-0000-0000-000028040000}"/>
    <cellStyle name="Normal 2 10 3 2 2" xfId="537" xr:uid="{00000000-0005-0000-0000-000029040000}"/>
    <cellStyle name="Normal 2 10 3 2 3" xfId="8806" xr:uid="{00000000-0005-0000-0000-00002A040000}"/>
    <cellStyle name="Normal 2 10 3 3" xfId="538" xr:uid="{00000000-0005-0000-0000-00002B040000}"/>
    <cellStyle name="Normal 2 10 3 4" xfId="8805" xr:uid="{00000000-0005-0000-0000-00002C040000}"/>
    <cellStyle name="Normal 2 10 4" xfId="539" xr:uid="{00000000-0005-0000-0000-00002D040000}"/>
    <cellStyle name="Normal 2 10 4 2" xfId="540" xr:uid="{00000000-0005-0000-0000-00002E040000}"/>
    <cellStyle name="Normal 2 10 4 2 2" xfId="541" xr:uid="{00000000-0005-0000-0000-00002F040000}"/>
    <cellStyle name="Normal 2 10 4 3" xfId="542" xr:uid="{00000000-0005-0000-0000-000030040000}"/>
    <cellStyle name="Normal 2 10 4 4" xfId="8807" xr:uid="{00000000-0005-0000-0000-000031040000}"/>
    <cellStyle name="Normal 2 10 5" xfId="543" xr:uid="{00000000-0005-0000-0000-000032040000}"/>
    <cellStyle name="Normal 2 10 5 2" xfId="544" xr:uid="{00000000-0005-0000-0000-000033040000}"/>
    <cellStyle name="Normal 2 10 5 2 2" xfId="545" xr:uid="{00000000-0005-0000-0000-000034040000}"/>
    <cellStyle name="Normal 2 10 5 3" xfId="546" xr:uid="{00000000-0005-0000-0000-000035040000}"/>
    <cellStyle name="Normal 2 10 6" xfId="547" xr:uid="{00000000-0005-0000-0000-000036040000}"/>
    <cellStyle name="Normal 2 10 6 2" xfId="548" xr:uid="{00000000-0005-0000-0000-000037040000}"/>
    <cellStyle name="Normal 2 10 6 2 2" xfId="549" xr:uid="{00000000-0005-0000-0000-000038040000}"/>
    <cellStyle name="Normal 2 10 6 3" xfId="550" xr:uid="{00000000-0005-0000-0000-000039040000}"/>
    <cellStyle name="Normal 2 10 7" xfId="551" xr:uid="{00000000-0005-0000-0000-00003A040000}"/>
    <cellStyle name="Normal 2 10 7 2" xfId="552" xr:uid="{00000000-0005-0000-0000-00003B040000}"/>
    <cellStyle name="Normal 2 10 7 2 2" xfId="553" xr:uid="{00000000-0005-0000-0000-00003C040000}"/>
    <cellStyle name="Normal 2 10 7 3" xfId="554" xr:uid="{00000000-0005-0000-0000-00003D040000}"/>
    <cellStyle name="Normal 2 10 8" xfId="555" xr:uid="{00000000-0005-0000-0000-00003E040000}"/>
    <cellStyle name="Normal 2 10 8 2" xfId="556" xr:uid="{00000000-0005-0000-0000-00003F040000}"/>
    <cellStyle name="Normal 2 10 8 2 2" xfId="557" xr:uid="{00000000-0005-0000-0000-000040040000}"/>
    <cellStyle name="Normal 2 10 8 3" xfId="558" xr:uid="{00000000-0005-0000-0000-000041040000}"/>
    <cellStyle name="Normal 2 10 9" xfId="559" xr:uid="{00000000-0005-0000-0000-000042040000}"/>
    <cellStyle name="Normal 2 10 9 2" xfId="560" xr:uid="{00000000-0005-0000-0000-000043040000}"/>
    <cellStyle name="Normal 2 10 9 2 2" xfId="561" xr:uid="{00000000-0005-0000-0000-000044040000}"/>
    <cellStyle name="Normal 2 10 9 3" xfId="562" xr:uid="{00000000-0005-0000-0000-000045040000}"/>
    <cellStyle name="Normal 2 100" xfId="563" xr:uid="{00000000-0005-0000-0000-000046040000}"/>
    <cellStyle name="Normal 2 100 2" xfId="564" xr:uid="{00000000-0005-0000-0000-000047040000}"/>
    <cellStyle name="Normal 2 100 2 2" xfId="10493" xr:uid="{F0C7BDC3-10A2-46DA-936C-4BE5CB3B7CC0}"/>
    <cellStyle name="Normal 2 100 2 2 2" xfId="11805" xr:uid="{A5C048C9-23C9-485D-9DB6-3D08E354A402}"/>
    <cellStyle name="Normal 2 100 2 3" xfId="11311" xr:uid="{9A2627D9-A4B1-4D38-8D9F-228DC5CDE8FC}"/>
    <cellStyle name="Normal 2 100 2 4" xfId="11879" xr:uid="{03994DA3-10F4-4F60-B302-F764670DCC5A}"/>
    <cellStyle name="Normal 2 100 3" xfId="565" xr:uid="{00000000-0005-0000-0000-000048040000}"/>
    <cellStyle name="Normal 2 100 3 2" xfId="10517" xr:uid="{CD0EAF5C-07C6-45F9-83A1-65E7C272929B}"/>
    <cellStyle name="Normal 2 100 3 2 2" xfId="11819" xr:uid="{F0FE70A0-5737-4132-AED4-22D90C04A939}"/>
    <cellStyle name="Normal 2 100 3 3" xfId="11312" xr:uid="{576DAC19-387D-41B6-AA7F-4F7989D96663}"/>
    <cellStyle name="Normal 2 100 3 4" xfId="11893" xr:uid="{C4602624-50E3-457A-AA02-5C4E3195982A}"/>
    <cellStyle name="Normal 2 100 4" xfId="10453" xr:uid="{F9FC4243-91C9-42DA-A229-40A5F93C40E9}"/>
    <cellStyle name="Normal 2 100 4 2" xfId="11790" xr:uid="{FDB9B992-2585-426A-BA8E-3D3B7A5F4CA5}"/>
    <cellStyle name="Normal 2 100 5" xfId="11310" xr:uid="{43576C98-DCCB-4189-A234-FCCEB9558619}"/>
    <cellStyle name="Normal 2 100 6" xfId="11864" xr:uid="{FF2A37B1-8395-4993-8410-05C1DB100A07}"/>
    <cellStyle name="Normal 2 101" xfId="566" xr:uid="{00000000-0005-0000-0000-000049040000}"/>
    <cellStyle name="Normal 2 101 2" xfId="567" xr:uid="{00000000-0005-0000-0000-00004A040000}"/>
    <cellStyle name="Normal 2 101 2 2" xfId="10506" xr:uid="{7E4FF27F-11C2-461D-AD74-EA7CAD3C8725}"/>
    <cellStyle name="Normal 2 101 2 2 2" xfId="11808" xr:uid="{E3C450D7-C3CC-4EC5-B089-AE8E29725B9E}"/>
    <cellStyle name="Normal 2 101 2 3" xfId="11314" xr:uid="{1607653A-ABBB-479E-AFB4-3941D5229EB0}"/>
    <cellStyle name="Normal 2 101 2 4" xfId="11882" xr:uid="{B3C010A5-213D-43B1-B4C7-D38E8251A2C5}"/>
    <cellStyle name="Normal 2 101 3" xfId="568" xr:uid="{00000000-0005-0000-0000-00004B040000}"/>
    <cellStyle name="Normal 2 101 3 2" xfId="10520" xr:uid="{70D6206B-C634-40BD-B471-12B4C71AAE51}"/>
    <cellStyle name="Normal 2 101 3 2 2" xfId="11822" xr:uid="{340CDC8C-DFFE-4153-BEEF-C36E0F9BCB30}"/>
    <cellStyle name="Normal 2 101 3 3" xfId="11315" xr:uid="{2D2E6076-1996-4E86-98FC-8BD002B41E6C}"/>
    <cellStyle name="Normal 2 101 3 4" xfId="11896" xr:uid="{E74EC96F-3355-4BC1-9E48-8E2B89A15BD2}"/>
    <cellStyle name="Normal 2 101 4" xfId="10462" xr:uid="{B717FC8E-BCED-4F10-83C3-459F36161214}"/>
    <cellStyle name="Normal 2 101 4 2" xfId="11793" xr:uid="{A16E34D4-ED97-4DAA-B54D-C66CF18D3CB6}"/>
    <cellStyle name="Normal 2 101 5" xfId="11313" xr:uid="{1E3BF648-B30B-40F3-B1D9-49E963501A71}"/>
    <cellStyle name="Normal 2 101 6" xfId="11867" xr:uid="{22646463-D152-4328-A2A7-1655ED9BFBC8}"/>
    <cellStyle name="Normal 2 102" xfId="569" xr:uid="{00000000-0005-0000-0000-00004C040000}"/>
    <cellStyle name="Normal 2 103" xfId="570" xr:uid="{00000000-0005-0000-0000-00004D040000}"/>
    <cellStyle name="Normal 2 103 2" xfId="10478" xr:uid="{FA200AB8-2E7E-4AB4-BF30-61745CF02790}"/>
    <cellStyle name="Normal 2 103 2 2" xfId="11796" xr:uid="{01C4FC92-643C-44D5-A512-71FCA6F53687}"/>
    <cellStyle name="Normal 2 103 3" xfId="11316" xr:uid="{45262EE2-F51A-4C3B-9091-D798FABCBF2B}"/>
    <cellStyle name="Normal 2 103 4" xfId="11870" xr:uid="{FBECE15F-3FC3-4566-9499-E623D9721777}"/>
    <cellStyle name="Normal 2 104" xfId="571" xr:uid="{00000000-0005-0000-0000-00004E040000}"/>
    <cellStyle name="Normal 2 104 2" xfId="10508" xr:uid="{38C75750-93B8-4259-8884-3DD898B47C20}"/>
    <cellStyle name="Normal 2 104 2 2" xfId="11810" xr:uid="{2D52B330-714E-4B36-8E11-42A4C8675AAE}"/>
    <cellStyle name="Normal 2 104 3" xfId="11317" xr:uid="{CC8482E1-149C-4ECC-8957-B4D0D31CD5AD}"/>
    <cellStyle name="Normal 2 104 4" xfId="11884" xr:uid="{FDCD46D9-1703-4E44-AE03-69E76215E655}"/>
    <cellStyle name="Normal 2 105" xfId="572" xr:uid="{00000000-0005-0000-0000-00004F040000}"/>
    <cellStyle name="Normal 2 105 2" xfId="10522" xr:uid="{D532E9C4-9F79-4886-AF5F-47381496A295}"/>
    <cellStyle name="Normal 2 105 2 2" xfId="11824" xr:uid="{2C8F0BED-1E3E-4B26-A320-BD91170AC9A3}"/>
    <cellStyle name="Normal 2 105 3" xfId="11318" xr:uid="{379636FF-C061-4B41-BF10-25FC93EEE1CC}"/>
    <cellStyle name="Normal 2 105 4" xfId="11898" xr:uid="{24E8B4E5-7551-404D-A702-0E114D972BCA}"/>
    <cellStyle name="Normal 2 106" xfId="573" xr:uid="{00000000-0005-0000-0000-000050040000}"/>
    <cellStyle name="Normal 2 107" xfId="574" xr:uid="{00000000-0005-0000-0000-000051040000}"/>
    <cellStyle name="Normal 2 108" xfId="575" xr:uid="{00000000-0005-0000-0000-000052040000}"/>
    <cellStyle name="Normal 2 108 2" xfId="10529" xr:uid="{87430DBE-FD1A-4659-AB26-F04E187BA617}"/>
    <cellStyle name="Normal 2 108 2 2" xfId="11829" xr:uid="{F8F6BE46-060A-483B-BAB4-364A4CE930DC}"/>
    <cellStyle name="Normal 2 108 3" xfId="11319" xr:uid="{9EDCEC92-18A7-44FA-8013-B4321EA3717A}"/>
    <cellStyle name="Normal 2 108 4" xfId="11903" xr:uid="{9C7A4656-5995-4997-BFE0-7C6A97869F99}"/>
    <cellStyle name="Normal 2 109" xfId="576" xr:uid="{00000000-0005-0000-0000-000053040000}"/>
    <cellStyle name="Normal 2 11" xfId="577" xr:uid="{00000000-0005-0000-0000-000054040000}"/>
    <cellStyle name="Normal 2 11 10" xfId="578" xr:uid="{00000000-0005-0000-0000-000055040000}"/>
    <cellStyle name="Normal 2 11 10 2" xfId="579" xr:uid="{00000000-0005-0000-0000-000056040000}"/>
    <cellStyle name="Normal 2 11 10 2 2" xfId="580" xr:uid="{00000000-0005-0000-0000-000057040000}"/>
    <cellStyle name="Normal 2 11 10 3" xfId="581" xr:uid="{00000000-0005-0000-0000-000058040000}"/>
    <cellStyle name="Normal 2 11 11" xfId="582" xr:uid="{00000000-0005-0000-0000-000059040000}"/>
    <cellStyle name="Normal 2 11 11 2" xfId="583" xr:uid="{00000000-0005-0000-0000-00005A040000}"/>
    <cellStyle name="Normal 2 11 11 2 2" xfId="584" xr:uid="{00000000-0005-0000-0000-00005B040000}"/>
    <cellStyle name="Normal 2 11 11 3" xfId="585" xr:uid="{00000000-0005-0000-0000-00005C040000}"/>
    <cellStyle name="Normal 2 11 12" xfId="586" xr:uid="{00000000-0005-0000-0000-00005D040000}"/>
    <cellStyle name="Normal 2 11 12 2" xfId="587" xr:uid="{00000000-0005-0000-0000-00005E040000}"/>
    <cellStyle name="Normal 2 11 12 2 2" xfId="588" xr:uid="{00000000-0005-0000-0000-00005F040000}"/>
    <cellStyle name="Normal 2 11 12 3" xfId="589" xr:uid="{00000000-0005-0000-0000-000060040000}"/>
    <cellStyle name="Normal 2 11 13" xfId="590" xr:uid="{00000000-0005-0000-0000-000061040000}"/>
    <cellStyle name="Normal 2 11 13 2" xfId="591" xr:uid="{00000000-0005-0000-0000-000062040000}"/>
    <cellStyle name="Normal 2 11 13 2 2" xfId="592" xr:uid="{00000000-0005-0000-0000-000063040000}"/>
    <cellStyle name="Normal 2 11 13 3" xfId="593" xr:uid="{00000000-0005-0000-0000-000064040000}"/>
    <cellStyle name="Normal 2 11 14" xfId="594" xr:uid="{00000000-0005-0000-0000-000065040000}"/>
    <cellStyle name="Normal 2 11 14 2" xfId="595" xr:uid="{00000000-0005-0000-0000-000066040000}"/>
    <cellStyle name="Normal 2 11 14 2 2" xfId="596" xr:uid="{00000000-0005-0000-0000-000067040000}"/>
    <cellStyle name="Normal 2 11 14 3" xfId="597" xr:uid="{00000000-0005-0000-0000-000068040000}"/>
    <cellStyle name="Normal 2 11 15" xfId="598" xr:uid="{00000000-0005-0000-0000-000069040000}"/>
    <cellStyle name="Normal 2 11 15 2" xfId="599" xr:uid="{00000000-0005-0000-0000-00006A040000}"/>
    <cellStyle name="Normal 2 11 15 2 2" xfId="600" xr:uid="{00000000-0005-0000-0000-00006B040000}"/>
    <cellStyle name="Normal 2 11 15 3" xfId="601" xr:uid="{00000000-0005-0000-0000-00006C040000}"/>
    <cellStyle name="Normal 2 11 16" xfId="602" xr:uid="{00000000-0005-0000-0000-00006D040000}"/>
    <cellStyle name="Normal 2 11 16 2" xfId="603" xr:uid="{00000000-0005-0000-0000-00006E040000}"/>
    <cellStyle name="Normal 2 11 16 2 2" xfId="604" xr:uid="{00000000-0005-0000-0000-00006F040000}"/>
    <cellStyle name="Normal 2 11 16 3" xfId="605" xr:uid="{00000000-0005-0000-0000-000070040000}"/>
    <cellStyle name="Normal 2 11 17" xfId="606" xr:uid="{00000000-0005-0000-0000-000071040000}"/>
    <cellStyle name="Normal 2 11 17 2" xfId="607" xr:uid="{00000000-0005-0000-0000-000072040000}"/>
    <cellStyle name="Normal 2 11 17 2 2" xfId="608" xr:uid="{00000000-0005-0000-0000-000073040000}"/>
    <cellStyle name="Normal 2 11 17 3" xfId="609" xr:uid="{00000000-0005-0000-0000-000074040000}"/>
    <cellStyle name="Normal 2 11 18" xfId="610" xr:uid="{00000000-0005-0000-0000-000075040000}"/>
    <cellStyle name="Normal 2 11 18 2" xfId="611" xr:uid="{00000000-0005-0000-0000-000076040000}"/>
    <cellStyle name="Normal 2 11 18 2 2" xfId="612" xr:uid="{00000000-0005-0000-0000-000077040000}"/>
    <cellStyle name="Normal 2 11 18 3" xfId="613" xr:uid="{00000000-0005-0000-0000-000078040000}"/>
    <cellStyle name="Normal 2 11 19" xfId="614" xr:uid="{00000000-0005-0000-0000-000079040000}"/>
    <cellStyle name="Normal 2 11 19 2" xfId="615" xr:uid="{00000000-0005-0000-0000-00007A040000}"/>
    <cellStyle name="Normal 2 11 19 2 2" xfId="616" xr:uid="{00000000-0005-0000-0000-00007B040000}"/>
    <cellStyle name="Normal 2 11 19 3" xfId="617" xr:uid="{00000000-0005-0000-0000-00007C040000}"/>
    <cellStyle name="Normal 2 11 2" xfId="618" xr:uid="{00000000-0005-0000-0000-00007D040000}"/>
    <cellStyle name="Normal 2 11 2 2" xfId="619" xr:uid="{00000000-0005-0000-0000-00007E040000}"/>
    <cellStyle name="Normal 2 11 2 2 2" xfId="620" xr:uid="{00000000-0005-0000-0000-00007F040000}"/>
    <cellStyle name="Normal 2 11 2 3" xfId="621" xr:uid="{00000000-0005-0000-0000-000080040000}"/>
    <cellStyle name="Normal 2 11 20" xfId="622" xr:uid="{00000000-0005-0000-0000-000081040000}"/>
    <cellStyle name="Normal 2 11 20 2" xfId="623" xr:uid="{00000000-0005-0000-0000-000082040000}"/>
    <cellStyle name="Normal 2 11 20 2 2" xfId="624" xr:uid="{00000000-0005-0000-0000-000083040000}"/>
    <cellStyle name="Normal 2 11 20 3" xfId="625" xr:uid="{00000000-0005-0000-0000-000084040000}"/>
    <cellStyle name="Normal 2 11 21" xfId="626" xr:uid="{00000000-0005-0000-0000-000085040000}"/>
    <cellStyle name="Normal 2 11 21 2" xfId="627" xr:uid="{00000000-0005-0000-0000-000086040000}"/>
    <cellStyle name="Normal 2 11 21 2 2" xfId="628" xr:uid="{00000000-0005-0000-0000-000087040000}"/>
    <cellStyle name="Normal 2 11 21 3" xfId="629" xr:uid="{00000000-0005-0000-0000-000088040000}"/>
    <cellStyle name="Normal 2 11 22" xfId="630" xr:uid="{00000000-0005-0000-0000-000089040000}"/>
    <cellStyle name="Normal 2 11 22 2" xfId="631" xr:uid="{00000000-0005-0000-0000-00008A040000}"/>
    <cellStyle name="Normal 2 11 22 2 2" xfId="632" xr:uid="{00000000-0005-0000-0000-00008B040000}"/>
    <cellStyle name="Normal 2 11 22 3" xfId="633" xr:uid="{00000000-0005-0000-0000-00008C040000}"/>
    <cellStyle name="Normal 2 11 23" xfId="634" xr:uid="{00000000-0005-0000-0000-00008D040000}"/>
    <cellStyle name="Normal 2 11 23 2" xfId="635" xr:uid="{00000000-0005-0000-0000-00008E040000}"/>
    <cellStyle name="Normal 2 11 23 2 2" xfId="636" xr:uid="{00000000-0005-0000-0000-00008F040000}"/>
    <cellStyle name="Normal 2 11 23 3" xfId="637" xr:uid="{00000000-0005-0000-0000-000090040000}"/>
    <cellStyle name="Normal 2 11 24" xfId="638" xr:uid="{00000000-0005-0000-0000-000091040000}"/>
    <cellStyle name="Normal 2 11 24 2" xfId="639" xr:uid="{00000000-0005-0000-0000-000092040000}"/>
    <cellStyle name="Normal 2 11 25" xfId="640" xr:uid="{00000000-0005-0000-0000-000093040000}"/>
    <cellStyle name="Normal 2 11 26" xfId="12063" xr:uid="{7D80CD31-5A14-4B6D-947B-7AB2DF009889}"/>
    <cellStyle name="Normal 2 11 3" xfId="641" xr:uid="{00000000-0005-0000-0000-000094040000}"/>
    <cellStyle name="Normal 2 11 3 2" xfId="642" xr:uid="{00000000-0005-0000-0000-000095040000}"/>
    <cellStyle name="Normal 2 11 3 2 2" xfId="643" xr:uid="{00000000-0005-0000-0000-000096040000}"/>
    <cellStyle name="Normal 2 11 3 3" xfId="644" xr:uid="{00000000-0005-0000-0000-000097040000}"/>
    <cellStyle name="Normal 2 11 4" xfId="645" xr:uid="{00000000-0005-0000-0000-000098040000}"/>
    <cellStyle name="Normal 2 11 4 2" xfId="646" xr:uid="{00000000-0005-0000-0000-000099040000}"/>
    <cellStyle name="Normal 2 11 4 2 2" xfId="647" xr:uid="{00000000-0005-0000-0000-00009A040000}"/>
    <cellStyle name="Normal 2 11 4 3" xfId="648" xr:uid="{00000000-0005-0000-0000-00009B040000}"/>
    <cellStyle name="Normal 2 11 5" xfId="649" xr:uid="{00000000-0005-0000-0000-00009C040000}"/>
    <cellStyle name="Normal 2 11 5 2" xfId="650" xr:uid="{00000000-0005-0000-0000-00009D040000}"/>
    <cellStyle name="Normal 2 11 5 2 2" xfId="651" xr:uid="{00000000-0005-0000-0000-00009E040000}"/>
    <cellStyle name="Normal 2 11 5 3" xfId="652" xr:uid="{00000000-0005-0000-0000-00009F040000}"/>
    <cellStyle name="Normal 2 11 6" xfId="653" xr:uid="{00000000-0005-0000-0000-0000A0040000}"/>
    <cellStyle name="Normal 2 11 6 2" xfId="654" xr:uid="{00000000-0005-0000-0000-0000A1040000}"/>
    <cellStyle name="Normal 2 11 6 2 2" xfId="655" xr:uid="{00000000-0005-0000-0000-0000A2040000}"/>
    <cellStyle name="Normal 2 11 6 3" xfId="656" xr:uid="{00000000-0005-0000-0000-0000A3040000}"/>
    <cellStyle name="Normal 2 11 7" xfId="657" xr:uid="{00000000-0005-0000-0000-0000A4040000}"/>
    <cellStyle name="Normal 2 11 7 2" xfId="658" xr:uid="{00000000-0005-0000-0000-0000A5040000}"/>
    <cellStyle name="Normal 2 11 7 2 2" xfId="659" xr:uid="{00000000-0005-0000-0000-0000A6040000}"/>
    <cellStyle name="Normal 2 11 7 3" xfId="660" xr:uid="{00000000-0005-0000-0000-0000A7040000}"/>
    <cellStyle name="Normal 2 11 8" xfId="661" xr:uid="{00000000-0005-0000-0000-0000A8040000}"/>
    <cellStyle name="Normal 2 11 8 2" xfId="662" xr:uid="{00000000-0005-0000-0000-0000A9040000}"/>
    <cellStyle name="Normal 2 11 8 2 2" xfId="663" xr:uid="{00000000-0005-0000-0000-0000AA040000}"/>
    <cellStyle name="Normal 2 11 8 3" xfId="664" xr:uid="{00000000-0005-0000-0000-0000AB040000}"/>
    <cellStyle name="Normal 2 11 9" xfId="665" xr:uid="{00000000-0005-0000-0000-0000AC040000}"/>
    <cellStyle name="Normal 2 11 9 2" xfId="666" xr:uid="{00000000-0005-0000-0000-0000AD040000}"/>
    <cellStyle name="Normal 2 11 9 2 2" xfId="667" xr:uid="{00000000-0005-0000-0000-0000AE040000}"/>
    <cellStyle name="Normal 2 11 9 3" xfId="668" xr:uid="{00000000-0005-0000-0000-0000AF040000}"/>
    <cellStyle name="Normal 2 110" xfId="9112" xr:uid="{00000000-0005-0000-0000-0000B0040000}"/>
    <cellStyle name="Normal 2 110 2" xfId="11842" xr:uid="{33AD37B4-0B5E-4677-8416-A6895E8E4C0F}"/>
    <cellStyle name="Normal 2 111" xfId="9229" xr:uid="{F40878E0-5F84-4F27-B8D4-6B459B496344}"/>
    <cellStyle name="Normal 2 12" xfId="669" xr:uid="{00000000-0005-0000-0000-0000B1040000}"/>
    <cellStyle name="Normal 2 12 10" xfId="670" xr:uid="{00000000-0005-0000-0000-0000B2040000}"/>
    <cellStyle name="Normal 2 12 10 2" xfId="671" xr:uid="{00000000-0005-0000-0000-0000B3040000}"/>
    <cellStyle name="Normal 2 12 10 2 2" xfId="672" xr:uid="{00000000-0005-0000-0000-0000B4040000}"/>
    <cellStyle name="Normal 2 12 10 3" xfId="673" xr:uid="{00000000-0005-0000-0000-0000B5040000}"/>
    <cellStyle name="Normal 2 12 11" xfId="674" xr:uid="{00000000-0005-0000-0000-0000B6040000}"/>
    <cellStyle name="Normal 2 12 11 2" xfId="675" xr:uid="{00000000-0005-0000-0000-0000B7040000}"/>
    <cellStyle name="Normal 2 12 11 2 2" xfId="676" xr:uid="{00000000-0005-0000-0000-0000B8040000}"/>
    <cellStyle name="Normal 2 12 11 3" xfId="677" xr:uid="{00000000-0005-0000-0000-0000B9040000}"/>
    <cellStyle name="Normal 2 12 12" xfId="678" xr:uid="{00000000-0005-0000-0000-0000BA040000}"/>
    <cellStyle name="Normal 2 12 12 2" xfId="679" xr:uid="{00000000-0005-0000-0000-0000BB040000}"/>
    <cellStyle name="Normal 2 12 12 2 2" xfId="680" xr:uid="{00000000-0005-0000-0000-0000BC040000}"/>
    <cellStyle name="Normal 2 12 12 3" xfId="681" xr:uid="{00000000-0005-0000-0000-0000BD040000}"/>
    <cellStyle name="Normal 2 12 13" xfId="682" xr:uid="{00000000-0005-0000-0000-0000BE040000}"/>
    <cellStyle name="Normal 2 12 13 2" xfId="683" xr:uid="{00000000-0005-0000-0000-0000BF040000}"/>
    <cellStyle name="Normal 2 12 13 2 2" xfId="684" xr:uid="{00000000-0005-0000-0000-0000C0040000}"/>
    <cellStyle name="Normal 2 12 13 3" xfId="685" xr:uid="{00000000-0005-0000-0000-0000C1040000}"/>
    <cellStyle name="Normal 2 12 14" xfId="686" xr:uid="{00000000-0005-0000-0000-0000C2040000}"/>
    <cellStyle name="Normal 2 12 14 2" xfId="687" xr:uid="{00000000-0005-0000-0000-0000C3040000}"/>
    <cellStyle name="Normal 2 12 14 2 2" xfId="688" xr:uid="{00000000-0005-0000-0000-0000C4040000}"/>
    <cellStyle name="Normal 2 12 14 3" xfId="689" xr:uid="{00000000-0005-0000-0000-0000C5040000}"/>
    <cellStyle name="Normal 2 12 15" xfId="690" xr:uid="{00000000-0005-0000-0000-0000C6040000}"/>
    <cellStyle name="Normal 2 12 15 2" xfId="691" xr:uid="{00000000-0005-0000-0000-0000C7040000}"/>
    <cellStyle name="Normal 2 12 15 2 2" xfId="692" xr:uid="{00000000-0005-0000-0000-0000C8040000}"/>
    <cellStyle name="Normal 2 12 15 3" xfId="693" xr:uid="{00000000-0005-0000-0000-0000C9040000}"/>
    <cellStyle name="Normal 2 12 16" xfId="694" xr:uid="{00000000-0005-0000-0000-0000CA040000}"/>
    <cellStyle name="Normal 2 12 16 2" xfId="695" xr:uid="{00000000-0005-0000-0000-0000CB040000}"/>
    <cellStyle name="Normal 2 12 16 2 2" xfId="696" xr:uid="{00000000-0005-0000-0000-0000CC040000}"/>
    <cellStyle name="Normal 2 12 16 3" xfId="697" xr:uid="{00000000-0005-0000-0000-0000CD040000}"/>
    <cellStyle name="Normal 2 12 17" xfId="698" xr:uid="{00000000-0005-0000-0000-0000CE040000}"/>
    <cellStyle name="Normal 2 12 17 2" xfId="699" xr:uid="{00000000-0005-0000-0000-0000CF040000}"/>
    <cellStyle name="Normal 2 12 17 2 2" xfId="700" xr:uid="{00000000-0005-0000-0000-0000D0040000}"/>
    <cellStyle name="Normal 2 12 17 3" xfId="701" xr:uid="{00000000-0005-0000-0000-0000D1040000}"/>
    <cellStyle name="Normal 2 12 18" xfId="702" xr:uid="{00000000-0005-0000-0000-0000D2040000}"/>
    <cellStyle name="Normal 2 12 18 2" xfId="703" xr:uid="{00000000-0005-0000-0000-0000D3040000}"/>
    <cellStyle name="Normal 2 12 18 2 2" xfId="704" xr:uid="{00000000-0005-0000-0000-0000D4040000}"/>
    <cellStyle name="Normal 2 12 18 3" xfId="705" xr:uid="{00000000-0005-0000-0000-0000D5040000}"/>
    <cellStyle name="Normal 2 12 19" xfId="706" xr:uid="{00000000-0005-0000-0000-0000D6040000}"/>
    <cellStyle name="Normal 2 12 19 2" xfId="707" xr:uid="{00000000-0005-0000-0000-0000D7040000}"/>
    <cellStyle name="Normal 2 12 19 2 2" xfId="708" xr:uid="{00000000-0005-0000-0000-0000D8040000}"/>
    <cellStyle name="Normal 2 12 19 3" xfId="709" xr:uid="{00000000-0005-0000-0000-0000D9040000}"/>
    <cellStyle name="Normal 2 12 2" xfId="710" xr:uid="{00000000-0005-0000-0000-0000DA040000}"/>
    <cellStyle name="Normal 2 12 2 2" xfId="711" xr:uid="{00000000-0005-0000-0000-0000DB040000}"/>
    <cellStyle name="Normal 2 12 2 2 2" xfId="712" xr:uid="{00000000-0005-0000-0000-0000DC040000}"/>
    <cellStyle name="Normal 2 12 2 2 3" xfId="8809" xr:uid="{00000000-0005-0000-0000-0000DD040000}"/>
    <cellStyle name="Normal 2 12 2 3" xfId="713" xr:uid="{00000000-0005-0000-0000-0000DE040000}"/>
    <cellStyle name="Normal 2 12 2 4" xfId="8808" xr:uid="{00000000-0005-0000-0000-0000DF040000}"/>
    <cellStyle name="Normal 2 12 20" xfId="714" xr:uid="{00000000-0005-0000-0000-0000E0040000}"/>
    <cellStyle name="Normal 2 12 20 2" xfId="715" xr:uid="{00000000-0005-0000-0000-0000E1040000}"/>
    <cellStyle name="Normal 2 12 20 2 2" xfId="716" xr:uid="{00000000-0005-0000-0000-0000E2040000}"/>
    <cellStyle name="Normal 2 12 20 3" xfId="717" xr:uid="{00000000-0005-0000-0000-0000E3040000}"/>
    <cellStyle name="Normal 2 12 21" xfId="718" xr:uid="{00000000-0005-0000-0000-0000E4040000}"/>
    <cellStyle name="Normal 2 12 21 2" xfId="719" xr:uid="{00000000-0005-0000-0000-0000E5040000}"/>
    <cellStyle name="Normal 2 12 21 2 2" xfId="720" xr:uid="{00000000-0005-0000-0000-0000E6040000}"/>
    <cellStyle name="Normal 2 12 21 3" xfId="721" xr:uid="{00000000-0005-0000-0000-0000E7040000}"/>
    <cellStyle name="Normal 2 12 22" xfId="722" xr:uid="{00000000-0005-0000-0000-0000E8040000}"/>
    <cellStyle name="Normal 2 12 22 2" xfId="723" xr:uid="{00000000-0005-0000-0000-0000E9040000}"/>
    <cellStyle name="Normal 2 12 22 2 2" xfId="724" xr:uid="{00000000-0005-0000-0000-0000EA040000}"/>
    <cellStyle name="Normal 2 12 22 3" xfId="725" xr:uid="{00000000-0005-0000-0000-0000EB040000}"/>
    <cellStyle name="Normal 2 12 23" xfId="726" xr:uid="{00000000-0005-0000-0000-0000EC040000}"/>
    <cellStyle name="Normal 2 12 23 2" xfId="727" xr:uid="{00000000-0005-0000-0000-0000ED040000}"/>
    <cellStyle name="Normal 2 12 23 2 2" xfId="728" xr:uid="{00000000-0005-0000-0000-0000EE040000}"/>
    <cellStyle name="Normal 2 12 23 3" xfId="729" xr:uid="{00000000-0005-0000-0000-0000EF040000}"/>
    <cellStyle name="Normal 2 12 24" xfId="730" xr:uid="{00000000-0005-0000-0000-0000F0040000}"/>
    <cellStyle name="Normal 2 12 24 2" xfId="731" xr:uid="{00000000-0005-0000-0000-0000F1040000}"/>
    <cellStyle name="Normal 2 12 25" xfId="732" xr:uid="{00000000-0005-0000-0000-0000F2040000}"/>
    <cellStyle name="Normal 2 12 26" xfId="11320" xr:uid="{71B22862-91C1-476D-9D33-94F179EC2AD7}"/>
    <cellStyle name="Normal 2 12 26 2" xfId="12064" xr:uid="{AF75366F-160A-4871-B879-C2E58DEAC98A}"/>
    <cellStyle name="Normal 2 12 3" xfId="733" xr:uid="{00000000-0005-0000-0000-0000F3040000}"/>
    <cellStyle name="Normal 2 12 3 2" xfId="734" xr:uid="{00000000-0005-0000-0000-0000F4040000}"/>
    <cellStyle name="Normal 2 12 3 2 2" xfId="735" xr:uid="{00000000-0005-0000-0000-0000F5040000}"/>
    <cellStyle name="Normal 2 12 3 2 3" xfId="8811" xr:uid="{00000000-0005-0000-0000-0000F6040000}"/>
    <cellStyle name="Normal 2 12 3 3" xfId="736" xr:uid="{00000000-0005-0000-0000-0000F7040000}"/>
    <cellStyle name="Normal 2 12 3 4" xfId="8810" xr:uid="{00000000-0005-0000-0000-0000F8040000}"/>
    <cellStyle name="Normal 2 12 4" xfId="737" xr:uid="{00000000-0005-0000-0000-0000F9040000}"/>
    <cellStyle name="Normal 2 12 4 2" xfId="738" xr:uid="{00000000-0005-0000-0000-0000FA040000}"/>
    <cellStyle name="Normal 2 12 4 2 2" xfId="739" xr:uid="{00000000-0005-0000-0000-0000FB040000}"/>
    <cellStyle name="Normal 2 12 4 3" xfId="740" xr:uid="{00000000-0005-0000-0000-0000FC040000}"/>
    <cellStyle name="Normal 2 12 4 4" xfId="8812" xr:uid="{00000000-0005-0000-0000-0000FD040000}"/>
    <cellStyle name="Normal 2 12 5" xfId="741" xr:uid="{00000000-0005-0000-0000-0000FE040000}"/>
    <cellStyle name="Normal 2 12 5 2" xfId="742" xr:uid="{00000000-0005-0000-0000-0000FF040000}"/>
    <cellStyle name="Normal 2 12 5 2 2" xfId="743" xr:uid="{00000000-0005-0000-0000-000000050000}"/>
    <cellStyle name="Normal 2 12 5 3" xfId="744" xr:uid="{00000000-0005-0000-0000-000001050000}"/>
    <cellStyle name="Normal 2 12 6" xfId="745" xr:uid="{00000000-0005-0000-0000-000002050000}"/>
    <cellStyle name="Normal 2 12 6 2" xfId="746" xr:uid="{00000000-0005-0000-0000-000003050000}"/>
    <cellStyle name="Normal 2 12 6 2 2" xfId="747" xr:uid="{00000000-0005-0000-0000-000004050000}"/>
    <cellStyle name="Normal 2 12 6 3" xfId="748" xr:uid="{00000000-0005-0000-0000-000005050000}"/>
    <cellStyle name="Normal 2 12 7" xfId="749" xr:uid="{00000000-0005-0000-0000-000006050000}"/>
    <cellStyle name="Normal 2 12 7 2" xfId="750" xr:uid="{00000000-0005-0000-0000-000007050000}"/>
    <cellStyle name="Normal 2 12 7 2 2" xfId="751" xr:uid="{00000000-0005-0000-0000-000008050000}"/>
    <cellStyle name="Normal 2 12 7 3" xfId="752" xr:uid="{00000000-0005-0000-0000-000009050000}"/>
    <cellStyle name="Normal 2 12 8" xfId="753" xr:uid="{00000000-0005-0000-0000-00000A050000}"/>
    <cellStyle name="Normal 2 12 8 2" xfId="754" xr:uid="{00000000-0005-0000-0000-00000B050000}"/>
    <cellStyle name="Normal 2 12 8 2 2" xfId="755" xr:uid="{00000000-0005-0000-0000-00000C050000}"/>
    <cellStyle name="Normal 2 12 8 3" xfId="756" xr:uid="{00000000-0005-0000-0000-00000D050000}"/>
    <cellStyle name="Normal 2 12 9" xfId="757" xr:uid="{00000000-0005-0000-0000-00000E050000}"/>
    <cellStyle name="Normal 2 12 9 2" xfId="758" xr:uid="{00000000-0005-0000-0000-00000F050000}"/>
    <cellStyle name="Normal 2 12 9 2 2" xfId="759" xr:uid="{00000000-0005-0000-0000-000010050000}"/>
    <cellStyle name="Normal 2 12 9 3" xfId="760" xr:uid="{00000000-0005-0000-0000-000011050000}"/>
    <cellStyle name="Normal 2 13" xfId="761" xr:uid="{00000000-0005-0000-0000-000012050000}"/>
    <cellStyle name="Normal 2 13 10" xfId="762" xr:uid="{00000000-0005-0000-0000-000013050000}"/>
    <cellStyle name="Normal 2 13 10 2" xfId="763" xr:uid="{00000000-0005-0000-0000-000014050000}"/>
    <cellStyle name="Normal 2 13 10 2 2" xfId="764" xr:uid="{00000000-0005-0000-0000-000015050000}"/>
    <cellStyle name="Normal 2 13 10 3" xfId="765" xr:uid="{00000000-0005-0000-0000-000016050000}"/>
    <cellStyle name="Normal 2 13 11" xfId="766" xr:uid="{00000000-0005-0000-0000-000017050000}"/>
    <cellStyle name="Normal 2 13 11 2" xfId="767" xr:uid="{00000000-0005-0000-0000-000018050000}"/>
    <cellStyle name="Normal 2 13 11 2 2" xfId="768" xr:uid="{00000000-0005-0000-0000-000019050000}"/>
    <cellStyle name="Normal 2 13 11 3" xfId="769" xr:uid="{00000000-0005-0000-0000-00001A050000}"/>
    <cellStyle name="Normal 2 13 12" xfId="770" xr:uid="{00000000-0005-0000-0000-00001B050000}"/>
    <cellStyle name="Normal 2 13 12 2" xfId="771" xr:uid="{00000000-0005-0000-0000-00001C050000}"/>
    <cellStyle name="Normal 2 13 12 2 2" xfId="772" xr:uid="{00000000-0005-0000-0000-00001D050000}"/>
    <cellStyle name="Normal 2 13 12 3" xfId="773" xr:uid="{00000000-0005-0000-0000-00001E050000}"/>
    <cellStyle name="Normal 2 13 13" xfId="774" xr:uid="{00000000-0005-0000-0000-00001F050000}"/>
    <cellStyle name="Normal 2 13 13 2" xfId="775" xr:uid="{00000000-0005-0000-0000-000020050000}"/>
    <cellStyle name="Normal 2 13 13 2 2" xfId="776" xr:uid="{00000000-0005-0000-0000-000021050000}"/>
    <cellStyle name="Normal 2 13 13 3" xfId="777" xr:uid="{00000000-0005-0000-0000-000022050000}"/>
    <cellStyle name="Normal 2 13 14" xfId="778" xr:uid="{00000000-0005-0000-0000-000023050000}"/>
    <cellStyle name="Normal 2 13 14 2" xfId="779" xr:uid="{00000000-0005-0000-0000-000024050000}"/>
    <cellStyle name="Normal 2 13 14 2 2" xfId="780" xr:uid="{00000000-0005-0000-0000-000025050000}"/>
    <cellStyle name="Normal 2 13 14 3" xfId="781" xr:uid="{00000000-0005-0000-0000-000026050000}"/>
    <cellStyle name="Normal 2 13 15" xfId="782" xr:uid="{00000000-0005-0000-0000-000027050000}"/>
    <cellStyle name="Normal 2 13 15 2" xfId="783" xr:uid="{00000000-0005-0000-0000-000028050000}"/>
    <cellStyle name="Normal 2 13 15 2 2" xfId="784" xr:uid="{00000000-0005-0000-0000-000029050000}"/>
    <cellStyle name="Normal 2 13 15 3" xfId="785" xr:uid="{00000000-0005-0000-0000-00002A050000}"/>
    <cellStyle name="Normal 2 13 16" xfId="786" xr:uid="{00000000-0005-0000-0000-00002B050000}"/>
    <cellStyle name="Normal 2 13 16 2" xfId="787" xr:uid="{00000000-0005-0000-0000-00002C050000}"/>
    <cellStyle name="Normal 2 13 16 2 2" xfId="788" xr:uid="{00000000-0005-0000-0000-00002D050000}"/>
    <cellStyle name="Normal 2 13 16 3" xfId="789" xr:uid="{00000000-0005-0000-0000-00002E050000}"/>
    <cellStyle name="Normal 2 13 17" xfId="790" xr:uid="{00000000-0005-0000-0000-00002F050000}"/>
    <cellStyle name="Normal 2 13 17 2" xfId="791" xr:uid="{00000000-0005-0000-0000-000030050000}"/>
    <cellStyle name="Normal 2 13 17 2 2" xfId="792" xr:uid="{00000000-0005-0000-0000-000031050000}"/>
    <cellStyle name="Normal 2 13 17 3" xfId="793" xr:uid="{00000000-0005-0000-0000-000032050000}"/>
    <cellStyle name="Normal 2 13 18" xfId="794" xr:uid="{00000000-0005-0000-0000-000033050000}"/>
    <cellStyle name="Normal 2 13 18 2" xfId="795" xr:uid="{00000000-0005-0000-0000-000034050000}"/>
    <cellStyle name="Normal 2 13 18 2 2" xfId="796" xr:uid="{00000000-0005-0000-0000-000035050000}"/>
    <cellStyle name="Normal 2 13 18 3" xfId="797" xr:uid="{00000000-0005-0000-0000-000036050000}"/>
    <cellStyle name="Normal 2 13 19" xfId="798" xr:uid="{00000000-0005-0000-0000-000037050000}"/>
    <cellStyle name="Normal 2 13 19 2" xfId="799" xr:uid="{00000000-0005-0000-0000-000038050000}"/>
    <cellStyle name="Normal 2 13 19 2 2" xfId="800" xr:uid="{00000000-0005-0000-0000-000039050000}"/>
    <cellStyle name="Normal 2 13 19 3" xfId="801" xr:uid="{00000000-0005-0000-0000-00003A050000}"/>
    <cellStyle name="Normal 2 13 2" xfId="802" xr:uid="{00000000-0005-0000-0000-00003B050000}"/>
    <cellStyle name="Normal 2 13 2 2" xfId="803" xr:uid="{00000000-0005-0000-0000-00003C050000}"/>
    <cellStyle name="Normal 2 13 2 2 2" xfId="804" xr:uid="{00000000-0005-0000-0000-00003D050000}"/>
    <cellStyle name="Normal 2 13 2 3" xfId="805" xr:uid="{00000000-0005-0000-0000-00003E050000}"/>
    <cellStyle name="Normal 2 13 20" xfId="806" xr:uid="{00000000-0005-0000-0000-00003F050000}"/>
    <cellStyle name="Normal 2 13 20 2" xfId="807" xr:uid="{00000000-0005-0000-0000-000040050000}"/>
    <cellStyle name="Normal 2 13 20 2 2" xfId="808" xr:uid="{00000000-0005-0000-0000-000041050000}"/>
    <cellStyle name="Normal 2 13 20 3" xfId="809" xr:uid="{00000000-0005-0000-0000-000042050000}"/>
    <cellStyle name="Normal 2 13 21" xfId="810" xr:uid="{00000000-0005-0000-0000-000043050000}"/>
    <cellStyle name="Normal 2 13 21 2" xfId="811" xr:uid="{00000000-0005-0000-0000-000044050000}"/>
    <cellStyle name="Normal 2 13 21 2 2" xfId="812" xr:uid="{00000000-0005-0000-0000-000045050000}"/>
    <cellStyle name="Normal 2 13 21 3" xfId="813" xr:uid="{00000000-0005-0000-0000-000046050000}"/>
    <cellStyle name="Normal 2 13 22" xfId="814" xr:uid="{00000000-0005-0000-0000-000047050000}"/>
    <cellStyle name="Normal 2 13 22 2" xfId="815" xr:uid="{00000000-0005-0000-0000-000048050000}"/>
    <cellStyle name="Normal 2 13 22 2 2" xfId="816" xr:uid="{00000000-0005-0000-0000-000049050000}"/>
    <cellStyle name="Normal 2 13 22 3" xfId="817" xr:uid="{00000000-0005-0000-0000-00004A050000}"/>
    <cellStyle name="Normal 2 13 23" xfId="818" xr:uid="{00000000-0005-0000-0000-00004B050000}"/>
    <cellStyle name="Normal 2 13 23 2" xfId="819" xr:uid="{00000000-0005-0000-0000-00004C050000}"/>
    <cellStyle name="Normal 2 13 23 2 2" xfId="820" xr:uid="{00000000-0005-0000-0000-00004D050000}"/>
    <cellStyle name="Normal 2 13 23 3" xfId="821" xr:uid="{00000000-0005-0000-0000-00004E050000}"/>
    <cellStyle name="Normal 2 13 24" xfId="822" xr:uid="{00000000-0005-0000-0000-00004F050000}"/>
    <cellStyle name="Normal 2 13 24 2" xfId="823" xr:uid="{00000000-0005-0000-0000-000050050000}"/>
    <cellStyle name="Normal 2 13 25" xfId="824" xr:uid="{00000000-0005-0000-0000-000051050000}"/>
    <cellStyle name="Normal 2 13 26" xfId="9742" xr:uid="{95C6302C-9DD8-4FD8-96EF-6ED0ADBE978A}"/>
    <cellStyle name="Normal 2 13 27" xfId="9741" xr:uid="{40460CDE-68AE-4133-B2AF-A9DF2ABDBD80}"/>
    <cellStyle name="Normal 2 13 3" xfId="825" xr:uid="{00000000-0005-0000-0000-000052050000}"/>
    <cellStyle name="Normal 2 13 3 2" xfId="826" xr:uid="{00000000-0005-0000-0000-000053050000}"/>
    <cellStyle name="Normal 2 13 3 2 2" xfId="827" xr:uid="{00000000-0005-0000-0000-000054050000}"/>
    <cellStyle name="Normal 2 13 3 3" xfId="828" xr:uid="{00000000-0005-0000-0000-000055050000}"/>
    <cellStyle name="Normal 2 13 4" xfId="829" xr:uid="{00000000-0005-0000-0000-000056050000}"/>
    <cellStyle name="Normal 2 13 4 2" xfId="830" xr:uid="{00000000-0005-0000-0000-000057050000}"/>
    <cellStyle name="Normal 2 13 4 2 2" xfId="831" xr:uid="{00000000-0005-0000-0000-000058050000}"/>
    <cellStyle name="Normal 2 13 4 3" xfId="832" xr:uid="{00000000-0005-0000-0000-000059050000}"/>
    <cellStyle name="Normal 2 13 5" xfId="833" xr:uid="{00000000-0005-0000-0000-00005A050000}"/>
    <cellStyle name="Normal 2 13 5 2" xfId="834" xr:uid="{00000000-0005-0000-0000-00005B050000}"/>
    <cellStyle name="Normal 2 13 5 2 2" xfId="835" xr:uid="{00000000-0005-0000-0000-00005C050000}"/>
    <cellStyle name="Normal 2 13 5 3" xfId="836" xr:uid="{00000000-0005-0000-0000-00005D050000}"/>
    <cellStyle name="Normal 2 13 6" xfId="837" xr:uid="{00000000-0005-0000-0000-00005E050000}"/>
    <cellStyle name="Normal 2 13 6 2" xfId="838" xr:uid="{00000000-0005-0000-0000-00005F050000}"/>
    <cellStyle name="Normal 2 13 6 2 2" xfId="839" xr:uid="{00000000-0005-0000-0000-000060050000}"/>
    <cellStyle name="Normal 2 13 6 3" xfId="840" xr:uid="{00000000-0005-0000-0000-000061050000}"/>
    <cellStyle name="Normal 2 13 7" xfId="841" xr:uid="{00000000-0005-0000-0000-000062050000}"/>
    <cellStyle name="Normal 2 13 7 2" xfId="842" xr:uid="{00000000-0005-0000-0000-000063050000}"/>
    <cellStyle name="Normal 2 13 7 2 2" xfId="843" xr:uid="{00000000-0005-0000-0000-000064050000}"/>
    <cellStyle name="Normal 2 13 7 3" xfId="844" xr:uid="{00000000-0005-0000-0000-000065050000}"/>
    <cellStyle name="Normal 2 13 8" xfId="845" xr:uid="{00000000-0005-0000-0000-000066050000}"/>
    <cellStyle name="Normal 2 13 8 2" xfId="846" xr:uid="{00000000-0005-0000-0000-000067050000}"/>
    <cellStyle name="Normal 2 13 8 2 2" xfId="847" xr:uid="{00000000-0005-0000-0000-000068050000}"/>
    <cellStyle name="Normal 2 13 8 3" xfId="848" xr:uid="{00000000-0005-0000-0000-000069050000}"/>
    <cellStyle name="Normal 2 13 9" xfId="849" xr:uid="{00000000-0005-0000-0000-00006A050000}"/>
    <cellStyle name="Normal 2 13 9 2" xfId="850" xr:uid="{00000000-0005-0000-0000-00006B050000}"/>
    <cellStyle name="Normal 2 13 9 2 2" xfId="851" xr:uid="{00000000-0005-0000-0000-00006C050000}"/>
    <cellStyle name="Normal 2 13 9 3" xfId="852" xr:uid="{00000000-0005-0000-0000-00006D050000}"/>
    <cellStyle name="Normal 2 14" xfId="853" xr:uid="{00000000-0005-0000-0000-00006E050000}"/>
    <cellStyle name="Normal 2 14 10" xfId="854" xr:uid="{00000000-0005-0000-0000-00006F050000}"/>
    <cellStyle name="Normal 2 14 10 2" xfId="855" xr:uid="{00000000-0005-0000-0000-000070050000}"/>
    <cellStyle name="Normal 2 14 10 2 2" xfId="856" xr:uid="{00000000-0005-0000-0000-000071050000}"/>
    <cellStyle name="Normal 2 14 10 3" xfId="857" xr:uid="{00000000-0005-0000-0000-000072050000}"/>
    <cellStyle name="Normal 2 14 11" xfId="858" xr:uid="{00000000-0005-0000-0000-000073050000}"/>
    <cellStyle name="Normal 2 14 11 2" xfId="859" xr:uid="{00000000-0005-0000-0000-000074050000}"/>
    <cellStyle name="Normal 2 14 11 2 2" xfId="860" xr:uid="{00000000-0005-0000-0000-000075050000}"/>
    <cellStyle name="Normal 2 14 11 3" xfId="861" xr:uid="{00000000-0005-0000-0000-000076050000}"/>
    <cellStyle name="Normal 2 14 12" xfId="862" xr:uid="{00000000-0005-0000-0000-000077050000}"/>
    <cellStyle name="Normal 2 14 12 2" xfId="863" xr:uid="{00000000-0005-0000-0000-000078050000}"/>
    <cellStyle name="Normal 2 14 12 2 2" xfId="864" xr:uid="{00000000-0005-0000-0000-000079050000}"/>
    <cellStyle name="Normal 2 14 12 3" xfId="865" xr:uid="{00000000-0005-0000-0000-00007A050000}"/>
    <cellStyle name="Normal 2 14 13" xfId="866" xr:uid="{00000000-0005-0000-0000-00007B050000}"/>
    <cellStyle name="Normal 2 14 13 2" xfId="867" xr:uid="{00000000-0005-0000-0000-00007C050000}"/>
    <cellStyle name="Normal 2 14 13 2 2" xfId="868" xr:uid="{00000000-0005-0000-0000-00007D050000}"/>
    <cellStyle name="Normal 2 14 13 3" xfId="869" xr:uid="{00000000-0005-0000-0000-00007E050000}"/>
    <cellStyle name="Normal 2 14 14" xfId="870" xr:uid="{00000000-0005-0000-0000-00007F050000}"/>
    <cellStyle name="Normal 2 14 14 2" xfId="871" xr:uid="{00000000-0005-0000-0000-000080050000}"/>
    <cellStyle name="Normal 2 14 14 2 2" xfId="872" xr:uid="{00000000-0005-0000-0000-000081050000}"/>
    <cellStyle name="Normal 2 14 14 3" xfId="873" xr:uid="{00000000-0005-0000-0000-000082050000}"/>
    <cellStyle name="Normal 2 14 15" xfId="874" xr:uid="{00000000-0005-0000-0000-000083050000}"/>
    <cellStyle name="Normal 2 14 15 2" xfId="875" xr:uid="{00000000-0005-0000-0000-000084050000}"/>
    <cellStyle name="Normal 2 14 15 2 2" xfId="876" xr:uid="{00000000-0005-0000-0000-000085050000}"/>
    <cellStyle name="Normal 2 14 15 3" xfId="877" xr:uid="{00000000-0005-0000-0000-000086050000}"/>
    <cellStyle name="Normal 2 14 16" xfId="878" xr:uid="{00000000-0005-0000-0000-000087050000}"/>
    <cellStyle name="Normal 2 14 16 2" xfId="879" xr:uid="{00000000-0005-0000-0000-000088050000}"/>
    <cellStyle name="Normal 2 14 16 2 2" xfId="880" xr:uid="{00000000-0005-0000-0000-000089050000}"/>
    <cellStyle name="Normal 2 14 16 3" xfId="881" xr:uid="{00000000-0005-0000-0000-00008A050000}"/>
    <cellStyle name="Normal 2 14 17" xfId="882" xr:uid="{00000000-0005-0000-0000-00008B050000}"/>
    <cellStyle name="Normal 2 14 17 2" xfId="883" xr:uid="{00000000-0005-0000-0000-00008C050000}"/>
    <cellStyle name="Normal 2 14 17 2 2" xfId="884" xr:uid="{00000000-0005-0000-0000-00008D050000}"/>
    <cellStyle name="Normal 2 14 17 3" xfId="885" xr:uid="{00000000-0005-0000-0000-00008E050000}"/>
    <cellStyle name="Normal 2 14 18" xfId="886" xr:uid="{00000000-0005-0000-0000-00008F050000}"/>
    <cellStyle name="Normal 2 14 18 2" xfId="887" xr:uid="{00000000-0005-0000-0000-000090050000}"/>
    <cellStyle name="Normal 2 14 18 2 2" xfId="888" xr:uid="{00000000-0005-0000-0000-000091050000}"/>
    <cellStyle name="Normal 2 14 18 3" xfId="889" xr:uid="{00000000-0005-0000-0000-000092050000}"/>
    <cellStyle name="Normal 2 14 19" xfId="890" xr:uid="{00000000-0005-0000-0000-000093050000}"/>
    <cellStyle name="Normal 2 14 19 2" xfId="891" xr:uid="{00000000-0005-0000-0000-000094050000}"/>
    <cellStyle name="Normal 2 14 19 2 2" xfId="892" xr:uid="{00000000-0005-0000-0000-000095050000}"/>
    <cellStyle name="Normal 2 14 19 3" xfId="893" xr:uid="{00000000-0005-0000-0000-000096050000}"/>
    <cellStyle name="Normal 2 14 2" xfId="894" xr:uid="{00000000-0005-0000-0000-000097050000}"/>
    <cellStyle name="Normal 2 14 2 2" xfId="895" xr:uid="{00000000-0005-0000-0000-000098050000}"/>
    <cellStyle name="Normal 2 14 2 2 2" xfId="896" xr:uid="{00000000-0005-0000-0000-000099050000}"/>
    <cellStyle name="Normal 2 14 2 3" xfId="897" xr:uid="{00000000-0005-0000-0000-00009A050000}"/>
    <cellStyle name="Normal 2 14 20" xfId="898" xr:uid="{00000000-0005-0000-0000-00009B050000}"/>
    <cellStyle name="Normal 2 14 20 2" xfId="899" xr:uid="{00000000-0005-0000-0000-00009C050000}"/>
    <cellStyle name="Normal 2 14 20 2 2" xfId="900" xr:uid="{00000000-0005-0000-0000-00009D050000}"/>
    <cellStyle name="Normal 2 14 20 3" xfId="901" xr:uid="{00000000-0005-0000-0000-00009E050000}"/>
    <cellStyle name="Normal 2 14 21" xfId="902" xr:uid="{00000000-0005-0000-0000-00009F050000}"/>
    <cellStyle name="Normal 2 14 21 2" xfId="903" xr:uid="{00000000-0005-0000-0000-0000A0050000}"/>
    <cellStyle name="Normal 2 14 21 2 2" xfId="904" xr:uid="{00000000-0005-0000-0000-0000A1050000}"/>
    <cellStyle name="Normal 2 14 21 3" xfId="905" xr:uid="{00000000-0005-0000-0000-0000A2050000}"/>
    <cellStyle name="Normal 2 14 22" xfId="906" xr:uid="{00000000-0005-0000-0000-0000A3050000}"/>
    <cellStyle name="Normal 2 14 22 2" xfId="907" xr:uid="{00000000-0005-0000-0000-0000A4050000}"/>
    <cellStyle name="Normal 2 14 22 2 2" xfId="908" xr:uid="{00000000-0005-0000-0000-0000A5050000}"/>
    <cellStyle name="Normal 2 14 22 3" xfId="909" xr:uid="{00000000-0005-0000-0000-0000A6050000}"/>
    <cellStyle name="Normal 2 14 23" xfId="910" xr:uid="{00000000-0005-0000-0000-0000A7050000}"/>
    <cellStyle name="Normal 2 14 23 2" xfId="911" xr:uid="{00000000-0005-0000-0000-0000A8050000}"/>
    <cellStyle name="Normal 2 14 23 2 2" xfId="912" xr:uid="{00000000-0005-0000-0000-0000A9050000}"/>
    <cellStyle name="Normal 2 14 23 3" xfId="913" xr:uid="{00000000-0005-0000-0000-0000AA050000}"/>
    <cellStyle name="Normal 2 14 24" xfId="914" xr:uid="{00000000-0005-0000-0000-0000AB050000}"/>
    <cellStyle name="Normal 2 14 24 2" xfId="915" xr:uid="{00000000-0005-0000-0000-0000AC050000}"/>
    <cellStyle name="Normal 2 14 25" xfId="916" xr:uid="{00000000-0005-0000-0000-0000AD050000}"/>
    <cellStyle name="Normal 2 14 3" xfId="917" xr:uid="{00000000-0005-0000-0000-0000AE050000}"/>
    <cellStyle name="Normal 2 14 3 2" xfId="918" xr:uid="{00000000-0005-0000-0000-0000AF050000}"/>
    <cellStyle name="Normal 2 14 3 2 2" xfId="919" xr:uid="{00000000-0005-0000-0000-0000B0050000}"/>
    <cellStyle name="Normal 2 14 3 3" xfId="920" xr:uid="{00000000-0005-0000-0000-0000B1050000}"/>
    <cellStyle name="Normal 2 14 4" xfId="921" xr:uid="{00000000-0005-0000-0000-0000B2050000}"/>
    <cellStyle name="Normal 2 14 4 2" xfId="922" xr:uid="{00000000-0005-0000-0000-0000B3050000}"/>
    <cellStyle name="Normal 2 14 4 2 2" xfId="923" xr:uid="{00000000-0005-0000-0000-0000B4050000}"/>
    <cellStyle name="Normal 2 14 4 3" xfId="924" xr:uid="{00000000-0005-0000-0000-0000B5050000}"/>
    <cellStyle name="Normal 2 14 5" xfId="925" xr:uid="{00000000-0005-0000-0000-0000B6050000}"/>
    <cellStyle name="Normal 2 14 5 2" xfId="926" xr:uid="{00000000-0005-0000-0000-0000B7050000}"/>
    <cellStyle name="Normal 2 14 5 2 2" xfId="927" xr:uid="{00000000-0005-0000-0000-0000B8050000}"/>
    <cellStyle name="Normal 2 14 5 3" xfId="928" xr:uid="{00000000-0005-0000-0000-0000B9050000}"/>
    <cellStyle name="Normal 2 14 6" xfId="929" xr:uid="{00000000-0005-0000-0000-0000BA050000}"/>
    <cellStyle name="Normal 2 14 6 2" xfId="930" xr:uid="{00000000-0005-0000-0000-0000BB050000}"/>
    <cellStyle name="Normal 2 14 6 2 2" xfId="931" xr:uid="{00000000-0005-0000-0000-0000BC050000}"/>
    <cellStyle name="Normal 2 14 6 3" xfId="932" xr:uid="{00000000-0005-0000-0000-0000BD050000}"/>
    <cellStyle name="Normal 2 14 7" xfId="933" xr:uid="{00000000-0005-0000-0000-0000BE050000}"/>
    <cellStyle name="Normal 2 14 7 2" xfId="934" xr:uid="{00000000-0005-0000-0000-0000BF050000}"/>
    <cellStyle name="Normal 2 14 7 2 2" xfId="935" xr:uid="{00000000-0005-0000-0000-0000C0050000}"/>
    <cellStyle name="Normal 2 14 7 3" xfId="936" xr:uid="{00000000-0005-0000-0000-0000C1050000}"/>
    <cellStyle name="Normal 2 14 8" xfId="937" xr:uid="{00000000-0005-0000-0000-0000C2050000}"/>
    <cellStyle name="Normal 2 14 8 2" xfId="938" xr:uid="{00000000-0005-0000-0000-0000C3050000}"/>
    <cellStyle name="Normal 2 14 8 2 2" xfId="939" xr:uid="{00000000-0005-0000-0000-0000C4050000}"/>
    <cellStyle name="Normal 2 14 8 3" xfId="940" xr:uid="{00000000-0005-0000-0000-0000C5050000}"/>
    <cellStyle name="Normal 2 14 9" xfId="941" xr:uid="{00000000-0005-0000-0000-0000C6050000}"/>
    <cellStyle name="Normal 2 14 9 2" xfId="942" xr:uid="{00000000-0005-0000-0000-0000C7050000}"/>
    <cellStyle name="Normal 2 14 9 2 2" xfId="943" xr:uid="{00000000-0005-0000-0000-0000C8050000}"/>
    <cellStyle name="Normal 2 14 9 3" xfId="944" xr:uid="{00000000-0005-0000-0000-0000C9050000}"/>
    <cellStyle name="Normal 2 15" xfId="945" xr:uid="{00000000-0005-0000-0000-0000CA050000}"/>
    <cellStyle name="Normal 2 15 10" xfId="946" xr:uid="{00000000-0005-0000-0000-0000CB050000}"/>
    <cellStyle name="Normal 2 15 10 2" xfId="947" xr:uid="{00000000-0005-0000-0000-0000CC050000}"/>
    <cellStyle name="Normal 2 15 10 2 2" xfId="948" xr:uid="{00000000-0005-0000-0000-0000CD050000}"/>
    <cellStyle name="Normal 2 15 10 3" xfId="949" xr:uid="{00000000-0005-0000-0000-0000CE050000}"/>
    <cellStyle name="Normal 2 15 11" xfId="950" xr:uid="{00000000-0005-0000-0000-0000CF050000}"/>
    <cellStyle name="Normal 2 15 11 2" xfId="951" xr:uid="{00000000-0005-0000-0000-0000D0050000}"/>
    <cellStyle name="Normal 2 15 11 2 2" xfId="952" xr:uid="{00000000-0005-0000-0000-0000D1050000}"/>
    <cellStyle name="Normal 2 15 11 3" xfId="953" xr:uid="{00000000-0005-0000-0000-0000D2050000}"/>
    <cellStyle name="Normal 2 15 12" xfId="954" xr:uid="{00000000-0005-0000-0000-0000D3050000}"/>
    <cellStyle name="Normal 2 15 12 2" xfId="955" xr:uid="{00000000-0005-0000-0000-0000D4050000}"/>
    <cellStyle name="Normal 2 15 12 2 2" xfId="956" xr:uid="{00000000-0005-0000-0000-0000D5050000}"/>
    <cellStyle name="Normal 2 15 12 3" xfId="957" xr:uid="{00000000-0005-0000-0000-0000D6050000}"/>
    <cellStyle name="Normal 2 15 13" xfId="958" xr:uid="{00000000-0005-0000-0000-0000D7050000}"/>
    <cellStyle name="Normal 2 15 13 2" xfId="959" xr:uid="{00000000-0005-0000-0000-0000D8050000}"/>
    <cellStyle name="Normal 2 15 13 2 2" xfId="960" xr:uid="{00000000-0005-0000-0000-0000D9050000}"/>
    <cellStyle name="Normal 2 15 13 3" xfId="961" xr:uid="{00000000-0005-0000-0000-0000DA050000}"/>
    <cellStyle name="Normal 2 15 14" xfId="962" xr:uid="{00000000-0005-0000-0000-0000DB050000}"/>
    <cellStyle name="Normal 2 15 14 2" xfId="963" xr:uid="{00000000-0005-0000-0000-0000DC050000}"/>
    <cellStyle name="Normal 2 15 14 2 2" xfId="964" xr:uid="{00000000-0005-0000-0000-0000DD050000}"/>
    <cellStyle name="Normal 2 15 14 3" xfId="965" xr:uid="{00000000-0005-0000-0000-0000DE050000}"/>
    <cellStyle name="Normal 2 15 15" xfId="966" xr:uid="{00000000-0005-0000-0000-0000DF050000}"/>
    <cellStyle name="Normal 2 15 15 2" xfId="967" xr:uid="{00000000-0005-0000-0000-0000E0050000}"/>
    <cellStyle name="Normal 2 15 15 2 2" xfId="968" xr:uid="{00000000-0005-0000-0000-0000E1050000}"/>
    <cellStyle name="Normal 2 15 15 3" xfId="969" xr:uid="{00000000-0005-0000-0000-0000E2050000}"/>
    <cellStyle name="Normal 2 15 16" xfId="970" xr:uid="{00000000-0005-0000-0000-0000E3050000}"/>
    <cellStyle name="Normal 2 15 16 2" xfId="971" xr:uid="{00000000-0005-0000-0000-0000E4050000}"/>
    <cellStyle name="Normal 2 15 16 2 2" xfId="972" xr:uid="{00000000-0005-0000-0000-0000E5050000}"/>
    <cellStyle name="Normal 2 15 16 3" xfId="973" xr:uid="{00000000-0005-0000-0000-0000E6050000}"/>
    <cellStyle name="Normal 2 15 17" xfId="974" xr:uid="{00000000-0005-0000-0000-0000E7050000}"/>
    <cellStyle name="Normal 2 15 17 2" xfId="975" xr:uid="{00000000-0005-0000-0000-0000E8050000}"/>
    <cellStyle name="Normal 2 15 17 2 2" xfId="976" xr:uid="{00000000-0005-0000-0000-0000E9050000}"/>
    <cellStyle name="Normal 2 15 17 3" xfId="977" xr:uid="{00000000-0005-0000-0000-0000EA050000}"/>
    <cellStyle name="Normal 2 15 18" xfId="978" xr:uid="{00000000-0005-0000-0000-0000EB050000}"/>
    <cellStyle name="Normal 2 15 18 2" xfId="979" xr:uid="{00000000-0005-0000-0000-0000EC050000}"/>
    <cellStyle name="Normal 2 15 18 2 2" xfId="980" xr:uid="{00000000-0005-0000-0000-0000ED050000}"/>
    <cellStyle name="Normal 2 15 18 3" xfId="981" xr:uid="{00000000-0005-0000-0000-0000EE050000}"/>
    <cellStyle name="Normal 2 15 19" xfId="982" xr:uid="{00000000-0005-0000-0000-0000EF050000}"/>
    <cellStyle name="Normal 2 15 19 2" xfId="983" xr:uid="{00000000-0005-0000-0000-0000F0050000}"/>
    <cellStyle name="Normal 2 15 19 2 2" xfId="984" xr:uid="{00000000-0005-0000-0000-0000F1050000}"/>
    <cellStyle name="Normal 2 15 19 3" xfId="985" xr:uid="{00000000-0005-0000-0000-0000F2050000}"/>
    <cellStyle name="Normal 2 15 2" xfId="986" xr:uid="{00000000-0005-0000-0000-0000F3050000}"/>
    <cellStyle name="Normal 2 15 2 2" xfId="987" xr:uid="{00000000-0005-0000-0000-0000F4050000}"/>
    <cellStyle name="Normal 2 15 2 2 2" xfId="988" xr:uid="{00000000-0005-0000-0000-0000F5050000}"/>
    <cellStyle name="Normal 2 15 2 3" xfId="989" xr:uid="{00000000-0005-0000-0000-0000F6050000}"/>
    <cellStyle name="Normal 2 15 20" xfId="990" xr:uid="{00000000-0005-0000-0000-0000F7050000}"/>
    <cellStyle name="Normal 2 15 20 2" xfId="991" xr:uid="{00000000-0005-0000-0000-0000F8050000}"/>
    <cellStyle name="Normal 2 15 20 2 2" xfId="992" xr:uid="{00000000-0005-0000-0000-0000F9050000}"/>
    <cellStyle name="Normal 2 15 20 3" xfId="993" xr:uid="{00000000-0005-0000-0000-0000FA050000}"/>
    <cellStyle name="Normal 2 15 21" xfId="994" xr:uid="{00000000-0005-0000-0000-0000FB050000}"/>
    <cellStyle name="Normal 2 15 21 2" xfId="995" xr:uid="{00000000-0005-0000-0000-0000FC050000}"/>
    <cellStyle name="Normal 2 15 21 2 2" xfId="996" xr:uid="{00000000-0005-0000-0000-0000FD050000}"/>
    <cellStyle name="Normal 2 15 21 3" xfId="997" xr:uid="{00000000-0005-0000-0000-0000FE050000}"/>
    <cellStyle name="Normal 2 15 22" xfId="998" xr:uid="{00000000-0005-0000-0000-0000FF050000}"/>
    <cellStyle name="Normal 2 15 22 2" xfId="999" xr:uid="{00000000-0005-0000-0000-000000060000}"/>
    <cellStyle name="Normal 2 15 22 2 2" xfId="1000" xr:uid="{00000000-0005-0000-0000-000001060000}"/>
    <cellStyle name="Normal 2 15 22 3" xfId="1001" xr:uid="{00000000-0005-0000-0000-000002060000}"/>
    <cellStyle name="Normal 2 15 23" xfId="1002" xr:uid="{00000000-0005-0000-0000-000003060000}"/>
    <cellStyle name="Normal 2 15 23 2" xfId="1003" xr:uid="{00000000-0005-0000-0000-000004060000}"/>
    <cellStyle name="Normal 2 15 23 2 2" xfId="1004" xr:uid="{00000000-0005-0000-0000-000005060000}"/>
    <cellStyle name="Normal 2 15 23 3" xfId="1005" xr:uid="{00000000-0005-0000-0000-000006060000}"/>
    <cellStyle name="Normal 2 15 24" xfId="1006" xr:uid="{00000000-0005-0000-0000-000007060000}"/>
    <cellStyle name="Normal 2 15 24 2" xfId="1007" xr:uid="{00000000-0005-0000-0000-000008060000}"/>
    <cellStyle name="Normal 2 15 25" xfId="1008" xr:uid="{00000000-0005-0000-0000-000009060000}"/>
    <cellStyle name="Normal 2 15 3" xfId="1009" xr:uid="{00000000-0005-0000-0000-00000A060000}"/>
    <cellStyle name="Normal 2 15 3 2" xfId="1010" xr:uid="{00000000-0005-0000-0000-00000B060000}"/>
    <cellStyle name="Normal 2 15 3 2 2" xfId="1011" xr:uid="{00000000-0005-0000-0000-00000C060000}"/>
    <cellStyle name="Normal 2 15 3 3" xfId="1012" xr:uid="{00000000-0005-0000-0000-00000D060000}"/>
    <cellStyle name="Normal 2 15 4" xfId="1013" xr:uid="{00000000-0005-0000-0000-00000E060000}"/>
    <cellStyle name="Normal 2 15 4 2" xfId="1014" xr:uid="{00000000-0005-0000-0000-00000F060000}"/>
    <cellStyle name="Normal 2 15 4 2 2" xfId="1015" xr:uid="{00000000-0005-0000-0000-000010060000}"/>
    <cellStyle name="Normal 2 15 4 3" xfId="1016" xr:uid="{00000000-0005-0000-0000-000011060000}"/>
    <cellStyle name="Normal 2 15 5" xfId="1017" xr:uid="{00000000-0005-0000-0000-000012060000}"/>
    <cellStyle name="Normal 2 15 5 2" xfId="1018" xr:uid="{00000000-0005-0000-0000-000013060000}"/>
    <cellStyle name="Normal 2 15 5 2 2" xfId="1019" xr:uid="{00000000-0005-0000-0000-000014060000}"/>
    <cellStyle name="Normal 2 15 5 3" xfId="1020" xr:uid="{00000000-0005-0000-0000-000015060000}"/>
    <cellStyle name="Normal 2 15 6" xfId="1021" xr:uid="{00000000-0005-0000-0000-000016060000}"/>
    <cellStyle name="Normal 2 15 6 2" xfId="1022" xr:uid="{00000000-0005-0000-0000-000017060000}"/>
    <cellStyle name="Normal 2 15 6 2 2" xfId="1023" xr:uid="{00000000-0005-0000-0000-000018060000}"/>
    <cellStyle name="Normal 2 15 6 3" xfId="1024" xr:uid="{00000000-0005-0000-0000-000019060000}"/>
    <cellStyle name="Normal 2 15 7" xfId="1025" xr:uid="{00000000-0005-0000-0000-00001A060000}"/>
    <cellStyle name="Normal 2 15 7 2" xfId="1026" xr:uid="{00000000-0005-0000-0000-00001B060000}"/>
    <cellStyle name="Normal 2 15 7 2 2" xfId="1027" xr:uid="{00000000-0005-0000-0000-00001C060000}"/>
    <cellStyle name="Normal 2 15 7 3" xfId="1028" xr:uid="{00000000-0005-0000-0000-00001D060000}"/>
    <cellStyle name="Normal 2 15 8" xfId="1029" xr:uid="{00000000-0005-0000-0000-00001E060000}"/>
    <cellStyle name="Normal 2 15 8 2" xfId="1030" xr:uid="{00000000-0005-0000-0000-00001F060000}"/>
    <cellStyle name="Normal 2 15 8 2 2" xfId="1031" xr:uid="{00000000-0005-0000-0000-000020060000}"/>
    <cellStyle name="Normal 2 15 8 3" xfId="1032" xr:uid="{00000000-0005-0000-0000-000021060000}"/>
    <cellStyle name="Normal 2 15 9" xfId="1033" xr:uid="{00000000-0005-0000-0000-000022060000}"/>
    <cellStyle name="Normal 2 15 9 2" xfId="1034" xr:uid="{00000000-0005-0000-0000-000023060000}"/>
    <cellStyle name="Normal 2 15 9 2 2" xfId="1035" xr:uid="{00000000-0005-0000-0000-000024060000}"/>
    <cellStyle name="Normal 2 15 9 3" xfId="1036" xr:uid="{00000000-0005-0000-0000-000025060000}"/>
    <cellStyle name="Normal 2 16" xfId="1037" xr:uid="{00000000-0005-0000-0000-000026060000}"/>
    <cellStyle name="Normal 2 16 10" xfId="1038" xr:uid="{00000000-0005-0000-0000-000027060000}"/>
    <cellStyle name="Normal 2 16 10 2" xfId="1039" xr:uid="{00000000-0005-0000-0000-000028060000}"/>
    <cellStyle name="Normal 2 16 10 2 2" xfId="1040" xr:uid="{00000000-0005-0000-0000-000029060000}"/>
    <cellStyle name="Normal 2 16 10 3" xfId="1041" xr:uid="{00000000-0005-0000-0000-00002A060000}"/>
    <cellStyle name="Normal 2 16 11" xfId="1042" xr:uid="{00000000-0005-0000-0000-00002B060000}"/>
    <cellStyle name="Normal 2 16 11 2" xfId="1043" xr:uid="{00000000-0005-0000-0000-00002C060000}"/>
    <cellStyle name="Normal 2 16 11 2 2" xfId="1044" xr:uid="{00000000-0005-0000-0000-00002D060000}"/>
    <cellStyle name="Normal 2 16 11 3" xfId="1045" xr:uid="{00000000-0005-0000-0000-00002E060000}"/>
    <cellStyle name="Normal 2 16 12" xfId="1046" xr:uid="{00000000-0005-0000-0000-00002F060000}"/>
    <cellStyle name="Normal 2 16 12 2" xfId="1047" xr:uid="{00000000-0005-0000-0000-000030060000}"/>
    <cellStyle name="Normal 2 16 12 2 2" xfId="1048" xr:uid="{00000000-0005-0000-0000-000031060000}"/>
    <cellStyle name="Normal 2 16 12 3" xfId="1049" xr:uid="{00000000-0005-0000-0000-000032060000}"/>
    <cellStyle name="Normal 2 16 13" xfId="1050" xr:uid="{00000000-0005-0000-0000-000033060000}"/>
    <cellStyle name="Normal 2 16 13 2" xfId="1051" xr:uid="{00000000-0005-0000-0000-000034060000}"/>
    <cellStyle name="Normal 2 16 13 2 2" xfId="1052" xr:uid="{00000000-0005-0000-0000-000035060000}"/>
    <cellStyle name="Normal 2 16 13 3" xfId="1053" xr:uid="{00000000-0005-0000-0000-000036060000}"/>
    <cellStyle name="Normal 2 16 14" xfId="1054" xr:uid="{00000000-0005-0000-0000-000037060000}"/>
    <cellStyle name="Normal 2 16 14 2" xfId="1055" xr:uid="{00000000-0005-0000-0000-000038060000}"/>
    <cellStyle name="Normal 2 16 14 2 2" xfId="1056" xr:uid="{00000000-0005-0000-0000-000039060000}"/>
    <cellStyle name="Normal 2 16 14 3" xfId="1057" xr:uid="{00000000-0005-0000-0000-00003A060000}"/>
    <cellStyle name="Normal 2 16 15" xfId="1058" xr:uid="{00000000-0005-0000-0000-00003B060000}"/>
    <cellStyle name="Normal 2 16 15 2" xfId="1059" xr:uid="{00000000-0005-0000-0000-00003C060000}"/>
    <cellStyle name="Normal 2 16 15 2 2" xfId="1060" xr:uid="{00000000-0005-0000-0000-00003D060000}"/>
    <cellStyle name="Normal 2 16 15 3" xfId="1061" xr:uid="{00000000-0005-0000-0000-00003E060000}"/>
    <cellStyle name="Normal 2 16 16" xfId="1062" xr:uid="{00000000-0005-0000-0000-00003F060000}"/>
    <cellStyle name="Normal 2 16 16 2" xfId="1063" xr:uid="{00000000-0005-0000-0000-000040060000}"/>
    <cellStyle name="Normal 2 16 16 2 2" xfId="1064" xr:uid="{00000000-0005-0000-0000-000041060000}"/>
    <cellStyle name="Normal 2 16 16 3" xfId="1065" xr:uid="{00000000-0005-0000-0000-000042060000}"/>
    <cellStyle name="Normal 2 16 17" xfId="1066" xr:uid="{00000000-0005-0000-0000-000043060000}"/>
    <cellStyle name="Normal 2 16 17 2" xfId="1067" xr:uid="{00000000-0005-0000-0000-000044060000}"/>
    <cellStyle name="Normal 2 16 17 2 2" xfId="1068" xr:uid="{00000000-0005-0000-0000-000045060000}"/>
    <cellStyle name="Normal 2 16 17 3" xfId="1069" xr:uid="{00000000-0005-0000-0000-000046060000}"/>
    <cellStyle name="Normal 2 16 18" xfId="1070" xr:uid="{00000000-0005-0000-0000-000047060000}"/>
    <cellStyle name="Normal 2 16 18 2" xfId="1071" xr:uid="{00000000-0005-0000-0000-000048060000}"/>
    <cellStyle name="Normal 2 16 18 2 2" xfId="1072" xr:uid="{00000000-0005-0000-0000-000049060000}"/>
    <cellStyle name="Normal 2 16 18 3" xfId="1073" xr:uid="{00000000-0005-0000-0000-00004A060000}"/>
    <cellStyle name="Normal 2 16 19" xfId="1074" xr:uid="{00000000-0005-0000-0000-00004B060000}"/>
    <cellStyle name="Normal 2 16 19 2" xfId="1075" xr:uid="{00000000-0005-0000-0000-00004C060000}"/>
    <cellStyle name="Normal 2 16 19 2 2" xfId="1076" xr:uid="{00000000-0005-0000-0000-00004D060000}"/>
    <cellStyle name="Normal 2 16 19 3" xfId="1077" xr:uid="{00000000-0005-0000-0000-00004E060000}"/>
    <cellStyle name="Normal 2 16 2" xfId="1078" xr:uid="{00000000-0005-0000-0000-00004F060000}"/>
    <cellStyle name="Normal 2 16 2 2" xfId="1079" xr:uid="{00000000-0005-0000-0000-000050060000}"/>
    <cellStyle name="Normal 2 16 2 2 2" xfId="1080" xr:uid="{00000000-0005-0000-0000-000051060000}"/>
    <cellStyle name="Normal 2 16 2 3" xfId="1081" xr:uid="{00000000-0005-0000-0000-000052060000}"/>
    <cellStyle name="Normal 2 16 20" xfId="1082" xr:uid="{00000000-0005-0000-0000-000053060000}"/>
    <cellStyle name="Normal 2 16 20 2" xfId="1083" xr:uid="{00000000-0005-0000-0000-000054060000}"/>
    <cellStyle name="Normal 2 16 20 2 2" xfId="1084" xr:uid="{00000000-0005-0000-0000-000055060000}"/>
    <cellStyle name="Normal 2 16 20 3" xfId="1085" xr:uid="{00000000-0005-0000-0000-000056060000}"/>
    <cellStyle name="Normal 2 16 21" xfId="1086" xr:uid="{00000000-0005-0000-0000-000057060000}"/>
    <cellStyle name="Normal 2 16 21 2" xfId="1087" xr:uid="{00000000-0005-0000-0000-000058060000}"/>
    <cellStyle name="Normal 2 16 21 2 2" xfId="1088" xr:uid="{00000000-0005-0000-0000-000059060000}"/>
    <cellStyle name="Normal 2 16 21 3" xfId="1089" xr:uid="{00000000-0005-0000-0000-00005A060000}"/>
    <cellStyle name="Normal 2 16 22" xfId="1090" xr:uid="{00000000-0005-0000-0000-00005B060000}"/>
    <cellStyle name="Normal 2 16 22 2" xfId="1091" xr:uid="{00000000-0005-0000-0000-00005C060000}"/>
    <cellStyle name="Normal 2 16 22 2 2" xfId="1092" xr:uid="{00000000-0005-0000-0000-00005D060000}"/>
    <cellStyle name="Normal 2 16 22 3" xfId="1093" xr:uid="{00000000-0005-0000-0000-00005E060000}"/>
    <cellStyle name="Normal 2 16 23" xfId="1094" xr:uid="{00000000-0005-0000-0000-00005F060000}"/>
    <cellStyle name="Normal 2 16 23 2" xfId="1095" xr:uid="{00000000-0005-0000-0000-000060060000}"/>
    <cellStyle name="Normal 2 16 23 2 2" xfId="1096" xr:uid="{00000000-0005-0000-0000-000061060000}"/>
    <cellStyle name="Normal 2 16 23 3" xfId="1097" xr:uid="{00000000-0005-0000-0000-000062060000}"/>
    <cellStyle name="Normal 2 16 24" xfId="1098" xr:uid="{00000000-0005-0000-0000-000063060000}"/>
    <cellStyle name="Normal 2 16 24 2" xfId="1099" xr:uid="{00000000-0005-0000-0000-000064060000}"/>
    <cellStyle name="Normal 2 16 25" xfId="1100" xr:uid="{00000000-0005-0000-0000-000065060000}"/>
    <cellStyle name="Normal 2 16 3" xfId="1101" xr:uid="{00000000-0005-0000-0000-000066060000}"/>
    <cellStyle name="Normal 2 16 3 2" xfId="1102" xr:uid="{00000000-0005-0000-0000-000067060000}"/>
    <cellStyle name="Normal 2 16 3 2 2" xfId="1103" xr:uid="{00000000-0005-0000-0000-000068060000}"/>
    <cellStyle name="Normal 2 16 3 3" xfId="1104" xr:uid="{00000000-0005-0000-0000-000069060000}"/>
    <cellStyle name="Normal 2 16 4" xfId="1105" xr:uid="{00000000-0005-0000-0000-00006A060000}"/>
    <cellStyle name="Normal 2 16 4 2" xfId="1106" xr:uid="{00000000-0005-0000-0000-00006B060000}"/>
    <cellStyle name="Normal 2 16 4 2 2" xfId="1107" xr:uid="{00000000-0005-0000-0000-00006C060000}"/>
    <cellStyle name="Normal 2 16 4 3" xfId="1108" xr:uid="{00000000-0005-0000-0000-00006D060000}"/>
    <cellStyle name="Normal 2 16 5" xfId="1109" xr:uid="{00000000-0005-0000-0000-00006E060000}"/>
    <cellStyle name="Normal 2 16 5 2" xfId="1110" xr:uid="{00000000-0005-0000-0000-00006F060000}"/>
    <cellStyle name="Normal 2 16 5 2 2" xfId="1111" xr:uid="{00000000-0005-0000-0000-000070060000}"/>
    <cellStyle name="Normal 2 16 5 3" xfId="1112" xr:uid="{00000000-0005-0000-0000-000071060000}"/>
    <cellStyle name="Normal 2 16 6" xfId="1113" xr:uid="{00000000-0005-0000-0000-000072060000}"/>
    <cellStyle name="Normal 2 16 6 2" xfId="1114" xr:uid="{00000000-0005-0000-0000-000073060000}"/>
    <cellStyle name="Normal 2 16 6 2 2" xfId="1115" xr:uid="{00000000-0005-0000-0000-000074060000}"/>
    <cellStyle name="Normal 2 16 6 3" xfId="1116" xr:uid="{00000000-0005-0000-0000-000075060000}"/>
    <cellStyle name="Normal 2 16 7" xfId="1117" xr:uid="{00000000-0005-0000-0000-000076060000}"/>
    <cellStyle name="Normal 2 16 7 2" xfId="1118" xr:uid="{00000000-0005-0000-0000-000077060000}"/>
    <cellStyle name="Normal 2 16 7 2 2" xfId="1119" xr:uid="{00000000-0005-0000-0000-000078060000}"/>
    <cellStyle name="Normal 2 16 7 3" xfId="1120" xr:uid="{00000000-0005-0000-0000-000079060000}"/>
    <cellStyle name="Normal 2 16 8" xfId="1121" xr:uid="{00000000-0005-0000-0000-00007A060000}"/>
    <cellStyle name="Normal 2 16 8 2" xfId="1122" xr:uid="{00000000-0005-0000-0000-00007B060000}"/>
    <cellStyle name="Normal 2 16 8 2 2" xfId="1123" xr:uid="{00000000-0005-0000-0000-00007C060000}"/>
    <cellStyle name="Normal 2 16 8 3" xfId="1124" xr:uid="{00000000-0005-0000-0000-00007D060000}"/>
    <cellStyle name="Normal 2 16 9" xfId="1125" xr:uid="{00000000-0005-0000-0000-00007E060000}"/>
    <cellStyle name="Normal 2 16 9 2" xfId="1126" xr:uid="{00000000-0005-0000-0000-00007F060000}"/>
    <cellStyle name="Normal 2 16 9 2 2" xfId="1127" xr:uid="{00000000-0005-0000-0000-000080060000}"/>
    <cellStyle name="Normal 2 16 9 3" xfId="1128" xr:uid="{00000000-0005-0000-0000-000081060000}"/>
    <cellStyle name="Normal 2 17" xfId="1129" xr:uid="{00000000-0005-0000-0000-000082060000}"/>
    <cellStyle name="Normal 2 17 10" xfId="1130" xr:uid="{00000000-0005-0000-0000-000083060000}"/>
    <cellStyle name="Normal 2 17 10 2" xfId="1131" xr:uid="{00000000-0005-0000-0000-000084060000}"/>
    <cellStyle name="Normal 2 17 10 2 2" xfId="1132" xr:uid="{00000000-0005-0000-0000-000085060000}"/>
    <cellStyle name="Normal 2 17 10 3" xfId="1133" xr:uid="{00000000-0005-0000-0000-000086060000}"/>
    <cellStyle name="Normal 2 17 11" xfId="1134" xr:uid="{00000000-0005-0000-0000-000087060000}"/>
    <cellStyle name="Normal 2 17 11 2" xfId="1135" xr:uid="{00000000-0005-0000-0000-000088060000}"/>
    <cellStyle name="Normal 2 17 11 2 2" xfId="1136" xr:uid="{00000000-0005-0000-0000-000089060000}"/>
    <cellStyle name="Normal 2 17 11 3" xfId="1137" xr:uid="{00000000-0005-0000-0000-00008A060000}"/>
    <cellStyle name="Normal 2 17 12" xfId="1138" xr:uid="{00000000-0005-0000-0000-00008B060000}"/>
    <cellStyle name="Normal 2 17 12 2" xfId="1139" xr:uid="{00000000-0005-0000-0000-00008C060000}"/>
    <cellStyle name="Normal 2 17 12 2 2" xfId="1140" xr:uid="{00000000-0005-0000-0000-00008D060000}"/>
    <cellStyle name="Normal 2 17 12 3" xfId="1141" xr:uid="{00000000-0005-0000-0000-00008E060000}"/>
    <cellStyle name="Normal 2 17 13" xfId="1142" xr:uid="{00000000-0005-0000-0000-00008F060000}"/>
    <cellStyle name="Normal 2 17 13 2" xfId="1143" xr:uid="{00000000-0005-0000-0000-000090060000}"/>
    <cellStyle name="Normal 2 17 13 2 2" xfId="1144" xr:uid="{00000000-0005-0000-0000-000091060000}"/>
    <cellStyle name="Normal 2 17 13 3" xfId="1145" xr:uid="{00000000-0005-0000-0000-000092060000}"/>
    <cellStyle name="Normal 2 17 14" xfId="1146" xr:uid="{00000000-0005-0000-0000-000093060000}"/>
    <cellStyle name="Normal 2 17 14 2" xfId="1147" xr:uid="{00000000-0005-0000-0000-000094060000}"/>
    <cellStyle name="Normal 2 17 14 2 2" xfId="1148" xr:uid="{00000000-0005-0000-0000-000095060000}"/>
    <cellStyle name="Normal 2 17 14 3" xfId="1149" xr:uid="{00000000-0005-0000-0000-000096060000}"/>
    <cellStyle name="Normal 2 17 15" xfId="1150" xr:uid="{00000000-0005-0000-0000-000097060000}"/>
    <cellStyle name="Normal 2 17 15 2" xfId="1151" xr:uid="{00000000-0005-0000-0000-000098060000}"/>
    <cellStyle name="Normal 2 17 15 2 2" xfId="1152" xr:uid="{00000000-0005-0000-0000-000099060000}"/>
    <cellStyle name="Normal 2 17 15 3" xfId="1153" xr:uid="{00000000-0005-0000-0000-00009A060000}"/>
    <cellStyle name="Normal 2 17 16" xfId="1154" xr:uid="{00000000-0005-0000-0000-00009B060000}"/>
    <cellStyle name="Normal 2 17 16 2" xfId="1155" xr:uid="{00000000-0005-0000-0000-00009C060000}"/>
    <cellStyle name="Normal 2 17 16 2 2" xfId="1156" xr:uid="{00000000-0005-0000-0000-00009D060000}"/>
    <cellStyle name="Normal 2 17 16 3" xfId="1157" xr:uid="{00000000-0005-0000-0000-00009E060000}"/>
    <cellStyle name="Normal 2 17 17" xfId="1158" xr:uid="{00000000-0005-0000-0000-00009F060000}"/>
    <cellStyle name="Normal 2 17 17 2" xfId="1159" xr:uid="{00000000-0005-0000-0000-0000A0060000}"/>
    <cellStyle name="Normal 2 17 17 2 2" xfId="1160" xr:uid="{00000000-0005-0000-0000-0000A1060000}"/>
    <cellStyle name="Normal 2 17 17 3" xfId="1161" xr:uid="{00000000-0005-0000-0000-0000A2060000}"/>
    <cellStyle name="Normal 2 17 18" xfId="1162" xr:uid="{00000000-0005-0000-0000-0000A3060000}"/>
    <cellStyle name="Normal 2 17 18 2" xfId="1163" xr:uid="{00000000-0005-0000-0000-0000A4060000}"/>
    <cellStyle name="Normal 2 17 18 2 2" xfId="1164" xr:uid="{00000000-0005-0000-0000-0000A5060000}"/>
    <cellStyle name="Normal 2 17 18 3" xfId="1165" xr:uid="{00000000-0005-0000-0000-0000A6060000}"/>
    <cellStyle name="Normal 2 17 19" xfId="1166" xr:uid="{00000000-0005-0000-0000-0000A7060000}"/>
    <cellStyle name="Normal 2 17 19 2" xfId="1167" xr:uid="{00000000-0005-0000-0000-0000A8060000}"/>
    <cellStyle name="Normal 2 17 19 2 2" xfId="1168" xr:uid="{00000000-0005-0000-0000-0000A9060000}"/>
    <cellStyle name="Normal 2 17 19 3" xfId="1169" xr:uid="{00000000-0005-0000-0000-0000AA060000}"/>
    <cellStyle name="Normal 2 17 2" xfId="1170" xr:uid="{00000000-0005-0000-0000-0000AB060000}"/>
    <cellStyle name="Normal 2 17 2 2" xfId="1171" xr:uid="{00000000-0005-0000-0000-0000AC060000}"/>
    <cellStyle name="Normal 2 17 2 2 2" xfId="1172" xr:uid="{00000000-0005-0000-0000-0000AD060000}"/>
    <cellStyle name="Normal 2 17 2 3" xfId="1173" xr:uid="{00000000-0005-0000-0000-0000AE060000}"/>
    <cellStyle name="Normal 2 17 20" xfId="1174" xr:uid="{00000000-0005-0000-0000-0000AF060000}"/>
    <cellStyle name="Normal 2 17 20 2" xfId="1175" xr:uid="{00000000-0005-0000-0000-0000B0060000}"/>
    <cellStyle name="Normal 2 17 20 2 2" xfId="1176" xr:uid="{00000000-0005-0000-0000-0000B1060000}"/>
    <cellStyle name="Normal 2 17 20 3" xfId="1177" xr:uid="{00000000-0005-0000-0000-0000B2060000}"/>
    <cellStyle name="Normal 2 17 21" xfId="1178" xr:uid="{00000000-0005-0000-0000-0000B3060000}"/>
    <cellStyle name="Normal 2 17 21 2" xfId="1179" xr:uid="{00000000-0005-0000-0000-0000B4060000}"/>
    <cellStyle name="Normal 2 17 21 2 2" xfId="1180" xr:uid="{00000000-0005-0000-0000-0000B5060000}"/>
    <cellStyle name="Normal 2 17 21 3" xfId="1181" xr:uid="{00000000-0005-0000-0000-0000B6060000}"/>
    <cellStyle name="Normal 2 17 22" xfId="1182" xr:uid="{00000000-0005-0000-0000-0000B7060000}"/>
    <cellStyle name="Normal 2 17 22 2" xfId="1183" xr:uid="{00000000-0005-0000-0000-0000B8060000}"/>
    <cellStyle name="Normal 2 17 22 2 2" xfId="1184" xr:uid="{00000000-0005-0000-0000-0000B9060000}"/>
    <cellStyle name="Normal 2 17 22 3" xfId="1185" xr:uid="{00000000-0005-0000-0000-0000BA060000}"/>
    <cellStyle name="Normal 2 17 23" xfId="1186" xr:uid="{00000000-0005-0000-0000-0000BB060000}"/>
    <cellStyle name="Normal 2 17 23 2" xfId="1187" xr:uid="{00000000-0005-0000-0000-0000BC060000}"/>
    <cellStyle name="Normal 2 17 23 2 2" xfId="1188" xr:uid="{00000000-0005-0000-0000-0000BD060000}"/>
    <cellStyle name="Normal 2 17 23 3" xfId="1189" xr:uid="{00000000-0005-0000-0000-0000BE060000}"/>
    <cellStyle name="Normal 2 17 24" xfId="1190" xr:uid="{00000000-0005-0000-0000-0000BF060000}"/>
    <cellStyle name="Normal 2 17 24 2" xfId="1191" xr:uid="{00000000-0005-0000-0000-0000C0060000}"/>
    <cellStyle name="Normal 2 17 25" xfId="1192" xr:uid="{00000000-0005-0000-0000-0000C1060000}"/>
    <cellStyle name="Normal 2 17 3" xfId="1193" xr:uid="{00000000-0005-0000-0000-0000C2060000}"/>
    <cellStyle name="Normal 2 17 3 2" xfId="1194" xr:uid="{00000000-0005-0000-0000-0000C3060000}"/>
    <cellStyle name="Normal 2 17 3 2 2" xfId="1195" xr:uid="{00000000-0005-0000-0000-0000C4060000}"/>
    <cellStyle name="Normal 2 17 3 3" xfId="1196" xr:uid="{00000000-0005-0000-0000-0000C5060000}"/>
    <cellStyle name="Normal 2 17 4" xfId="1197" xr:uid="{00000000-0005-0000-0000-0000C6060000}"/>
    <cellStyle name="Normal 2 17 4 2" xfId="1198" xr:uid="{00000000-0005-0000-0000-0000C7060000}"/>
    <cellStyle name="Normal 2 17 4 2 2" xfId="1199" xr:uid="{00000000-0005-0000-0000-0000C8060000}"/>
    <cellStyle name="Normal 2 17 4 3" xfId="1200" xr:uid="{00000000-0005-0000-0000-0000C9060000}"/>
    <cellStyle name="Normal 2 17 5" xfId="1201" xr:uid="{00000000-0005-0000-0000-0000CA060000}"/>
    <cellStyle name="Normal 2 17 5 2" xfId="1202" xr:uid="{00000000-0005-0000-0000-0000CB060000}"/>
    <cellStyle name="Normal 2 17 5 2 2" xfId="1203" xr:uid="{00000000-0005-0000-0000-0000CC060000}"/>
    <cellStyle name="Normal 2 17 5 3" xfId="1204" xr:uid="{00000000-0005-0000-0000-0000CD060000}"/>
    <cellStyle name="Normal 2 17 6" xfId="1205" xr:uid="{00000000-0005-0000-0000-0000CE060000}"/>
    <cellStyle name="Normal 2 17 6 2" xfId="1206" xr:uid="{00000000-0005-0000-0000-0000CF060000}"/>
    <cellStyle name="Normal 2 17 6 2 2" xfId="1207" xr:uid="{00000000-0005-0000-0000-0000D0060000}"/>
    <cellStyle name="Normal 2 17 6 3" xfId="1208" xr:uid="{00000000-0005-0000-0000-0000D1060000}"/>
    <cellStyle name="Normal 2 17 7" xfId="1209" xr:uid="{00000000-0005-0000-0000-0000D2060000}"/>
    <cellStyle name="Normal 2 17 7 2" xfId="1210" xr:uid="{00000000-0005-0000-0000-0000D3060000}"/>
    <cellStyle name="Normal 2 17 7 2 2" xfId="1211" xr:uid="{00000000-0005-0000-0000-0000D4060000}"/>
    <cellStyle name="Normal 2 17 7 3" xfId="1212" xr:uid="{00000000-0005-0000-0000-0000D5060000}"/>
    <cellStyle name="Normal 2 17 8" xfId="1213" xr:uid="{00000000-0005-0000-0000-0000D6060000}"/>
    <cellStyle name="Normal 2 17 8 2" xfId="1214" xr:uid="{00000000-0005-0000-0000-0000D7060000}"/>
    <cellStyle name="Normal 2 17 8 2 2" xfId="1215" xr:uid="{00000000-0005-0000-0000-0000D8060000}"/>
    <cellStyle name="Normal 2 17 8 3" xfId="1216" xr:uid="{00000000-0005-0000-0000-0000D9060000}"/>
    <cellStyle name="Normal 2 17 9" xfId="1217" xr:uid="{00000000-0005-0000-0000-0000DA060000}"/>
    <cellStyle name="Normal 2 17 9 2" xfId="1218" xr:uid="{00000000-0005-0000-0000-0000DB060000}"/>
    <cellStyle name="Normal 2 17 9 2 2" xfId="1219" xr:uid="{00000000-0005-0000-0000-0000DC060000}"/>
    <cellStyle name="Normal 2 17 9 3" xfId="1220" xr:uid="{00000000-0005-0000-0000-0000DD060000}"/>
    <cellStyle name="Normal 2 18" xfId="1221" xr:uid="{00000000-0005-0000-0000-0000DE060000}"/>
    <cellStyle name="Normal 2 18 10" xfId="1222" xr:uid="{00000000-0005-0000-0000-0000DF060000}"/>
    <cellStyle name="Normal 2 18 10 2" xfId="1223" xr:uid="{00000000-0005-0000-0000-0000E0060000}"/>
    <cellStyle name="Normal 2 18 10 2 2" xfId="1224" xr:uid="{00000000-0005-0000-0000-0000E1060000}"/>
    <cellStyle name="Normal 2 18 10 3" xfId="1225" xr:uid="{00000000-0005-0000-0000-0000E2060000}"/>
    <cellStyle name="Normal 2 18 11" xfId="1226" xr:uid="{00000000-0005-0000-0000-0000E3060000}"/>
    <cellStyle name="Normal 2 18 11 2" xfId="1227" xr:uid="{00000000-0005-0000-0000-0000E4060000}"/>
    <cellStyle name="Normal 2 18 11 2 2" xfId="1228" xr:uid="{00000000-0005-0000-0000-0000E5060000}"/>
    <cellStyle name="Normal 2 18 11 3" xfId="1229" xr:uid="{00000000-0005-0000-0000-0000E6060000}"/>
    <cellStyle name="Normal 2 18 12" xfId="1230" xr:uid="{00000000-0005-0000-0000-0000E7060000}"/>
    <cellStyle name="Normal 2 18 12 2" xfId="1231" xr:uid="{00000000-0005-0000-0000-0000E8060000}"/>
    <cellStyle name="Normal 2 18 12 2 2" xfId="1232" xr:uid="{00000000-0005-0000-0000-0000E9060000}"/>
    <cellStyle name="Normal 2 18 12 3" xfId="1233" xr:uid="{00000000-0005-0000-0000-0000EA060000}"/>
    <cellStyle name="Normal 2 18 13" xfId="1234" xr:uid="{00000000-0005-0000-0000-0000EB060000}"/>
    <cellStyle name="Normal 2 18 13 2" xfId="1235" xr:uid="{00000000-0005-0000-0000-0000EC060000}"/>
    <cellStyle name="Normal 2 18 13 2 2" xfId="1236" xr:uid="{00000000-0005-0000-0000-0000ED060000}"/>
    <cellStyle name="Normal 2 18 13 3" xfId="1237" xr:uid="{00000000-0005-0000-0000-0000EE060000}"/>
    <cellStyle name="Normal 2 18 14" xfId="1238" xr:uid="{00000000-0005-0000-0000-0000EF060000}"/>
    <cellStyle name="Normal 2 18 14 2" xfId="1239" xr:uid="{00000000-0005-0000-0000-0000F0060000}"/>
    <cellStyle name="Normal 2 18 14 2 2" xfId="1240" xr:uid="{00000000-0005-0000-0000-0000F1060000}"/>
    <cellStyle name="Normal 2 18 14 3" xfId="1241" xr:uid="{00000000-0005-0000-0000-0000F2060000}"/>
    <cellStyle name="Normal 2 18 15" xfId="1242" xr:uid="{00000000-0005-0000-0000-0000F3060000}"/>
    <cellStyle name="Normal 2 18 15 2" xfId="1243" xr:uid="{00000000-0005-0000-0000-0000F4060000}"/>
    <cellStyle name="Normal 2 18 15 2 2" xfId="1244" xr:uid="{00000000-0005-0000-0000-0000F5060000}"/>
    <cellStyle name="Normal 2 18 15 3" xfId="1245" xr:uid="{00000000-0005-0000-0000-0000F6060000}"/>
    <cellStyle name="Normal 2 18 16" xfId="1246" xr:uid="{00000000-0005-0000-0000-0000F7060000}"/>
    <cellStyle name="Normal 2 18 16 2" xfId="1247" xr:uid="{00000000-0005-0000-0000-0000F8060000}"/>
    <cellStyle name="Normal 2 18 16 2 2" xfId="1248" xr:uid="{00000000-0005-0000-0000-0000F9060000}"/>
    <cellStyle name="Normal 2 18 16 3" xfId="1249" xr:uid="{00000000-0005-0000-0000-0000FA060000}"/>
    <cellStyle name="Normal 2 18 17" xfId="1250" xr:uid="{00000000-0005-0000-0000-0000FB060000}"/>
    <cellStyle name="Normal 2 18 17 2" xfId="1251" xr:uid="{00000000-0005-0000-0000-0000FC060000}"/>
    <cellStyle name="Normal 2 18 17 2 2" xfId="1252" xr:uid="{00000000-0005-0000-0000-0000FD060000}"/>
    <cellStyle name="Normal 2 18 17 3" xfId="1253" xr:uid="{00000000-0005-0000-0000-0000FE060000}"/>
    <cellStyle name="Normal 2 18 18" xfId="1254" xr:uid="{00000000-0005-0000-0000-0000FF060000}"/>
    <cellStyle name="Normal 2 18 18 2" xfId="1255" xr:uid="{00000000-0005-0000-0000-000000070000}"/>
    <cellStyle name="Normal 2 18 18 2 2" xfId="1256" xr:uid="{00000000-0005-0000-0000-000001070000}"/>
    <cellStyle name="Normal 2 18 18 3" xfId="1257" xr:uid="{00000000-0005-0000-0000-000002070000}"/>
    <cellStyle name="Normal 2 18 19" xfId="1258" xr:uid="{00000000-0005-0000-0000-000003070000}"/>
    <cellStyle name="Normal 2 18 19 2" xfId="1259" xr:uid="{00000000-0005-0000-0000-000004070000}"/>
    <cellStyle name="Normal 2 18 19 2 2" xfId="1260" xr:uid="{00000000-0005-0000-0000-000005070000}"/>
    <cellStyle name="Normal 2 18 19 3" xfId="1261" xr:uid="{00000000-0005-0000-0000-000006070000}"/>
    <cellStyle name="Normal 2 18 2" xfId="1262" xr:uid="{00000000-0005-0000-0000-000007070000}"/>
    <cellStyle name="Normal 2 18 2 2" xfId="1263" xr:uid="{00000000-0005-0000-0000-000008070000}"/>
    <cellStyle name="Normal 2 18 2 2 2" xfId="1264" xr:uid="{00000000-0005-0000-0000-000009070000}"/>
    <cellStyle name="Normal 2 18 2 3" xfId="1265" xr:uid="{00000000-0005-0000-0000-00000A070000}"/>
    <cellStyle name="Normal 2 18 20" xfId="1266" xr:uid="{00000000-0005-0000-0000-00000B070000}"/>
    <cellStyle name="Normal 2 18 20 2" xfId="1267" xr:uid="{00000000-0005-0000-0000-00000C070000}"/>
    <cellStyle name="Normal 2 18 20 2 2" xfId="1268" xr:uid="{00000000-0005-0000-0000-00000D070000}"/>
    <cellStyle name="Normal 2 18 20 3" xfId="1269" xr:uid="{00000000-0005-0000-0000-00000E070000}"/>
    <cellStyle name="Normal 2 18 21" xfId="1270" xr:uid="{00000000-0005-0000-0000-00000F070000}"/>
    <cellStyle name="Normal 2 18 21 2" xfId="1271" xr:uid="{00000000-0005-0000-0000-000010070000}"/>
    <cellStyle name="Normal 2 18 21 2 2" xfId="1272" xr:uid="{00000000-0005-0000-0000-000011070000}"/>
    <cellStyle name="Normal 2 18 21 3" xfId="1273" xr:uid="{00000000-0005-0000-0000-000012070000}"/>
    <cellStyle name="Normal 2 18 22" xfId="1274" xr:uid="{00000000-0005-0000-0000-000013070000}"/>
    <cellStyle name="Normal 2 18 22 2" xfId="1275" xr:uid="{00000000-0005-0000-0000-000014070000}"/>
    <cellStyle name="Normal 2 18 22 2 2" xfId="1276" xr:uid="{00000000-0005-0000-0000-000015070000}"/>
    <cellStyle name="Normal 2 18 22 3" xfId="1277" xr:uid="{00000000-0005-0000-0000-000016070000}"/>
    <cellStyle name="Normal 2 18 23" xfId="1278" xr:uid="{00000000-0005-0000-0000-000017070000}"/>
    <cellStyle name="Normal 2 18 23 2" xfId="1279" xr:uid="{00000000-0005-0000-0000-000018070000}"/>
    <cellStyle name="Normal 2 18 23 2 2" xfId="1280" xr:uid="{00000000-0005-0000-0000-000019070000}"/>
    <cellStyle name="Normal 2 18 23 3" xfId="1281" xr:uid="{00000000-0005-0000-0000-00001A070000}"/>
    <cellStyle name="Normal 2 18 24" xfId="1282" xr:uid="{00000000-0005-0000-0000-00001B070000}"/>
    <cellStyle name="Normal 2 18 24 2" xfId="1283" xr:uid="{00000000-0005-0000-0000-00001C070000}"/>
    <cellStyle name="Normal 2 18 25" xfId="1284" xr:uid="{00000000-0005-0000-0000-00001D070000}"/>
    <cellStyle name="Normal 2 18 3" xfId="1285" xr:uid="{00000000-0005-0000-0000-00001E070000}"/>
    <cellStyle name="Normal 2 18 3 2" xfId="1286" xr:uid="{00000000-0005-0000-0000-00001F070000}"/>
    <cellStyle name="Normal 2 18 3 2 2" xfId="1287" xr:uid="{00000000-0005-0000-0000-000020070000}"/>
    <cellStyle name="Normal 2 18 3 3" xfId="1288" xr:uid="{00000000-0005-0000-0000-000021070000}"/>
    <cellStyle name="Normal 2 18 4" xfId="1289" xr:uid="{00000000-0005-0000-0000-000022070000}"/>
    <cellStyle name="Normal 2 18 4 2" xfId="1290" xr:uid="{00000000-0005-0000-0000-000023070000}"/>
    <cellStyle name="Normal 2 18 4 2 2" xfId="1291" xr:uid="{00000000-0005-0000-0000-000024070000}"/>
    <cellStyle name="Normal 2 18 4 3" xfId="1292" xr:uid="{00000000-0005-0000-0000-000025070000}"/>
    <cellStyle name="Normal 2 18 5" xfId="1293" xr:uid="{00000000-0005-0000-0000-000026070000}"/>
    <cellStyle name="Normal 2 18 5 2" xfId="1294" xr:uid="{00000000-0005-0000-0000-000027070000}"/>
    <cellStyle name="Normal 2 18 5 2 2" xfId="1295" xr:uid="{00000000-0005-0000-0000-000028070000}"/>
    <cellStyle name="Normal 2 18 5 3" xfId="1296" xr:uid="{00000000-0005-0000-0000-000029070000}"/>
    <cellStyle name="Normal 2 18 6" xfId="1297" xr:uid="{00000000-0005-0000-0000-00002A070000}"/>
    <cellStyle name="Normal 2 18 6 2" xfId="1298" xr:uid="{00000000-0005-0000-0000-00002B070000}"/>
    <cellStyle name="Normal 2 18 6 2 2" xfId="1299" xr:uid="{00000000-0005-0000-0000-00002C070000}"/>
    <cellStyle name="Normal 2 18 6 3" xfId="1300" xr:uid="{00000000-0005-0000-0000-00002D070000}"/>
    <cellStyle name="Normal 2 18 7" xfId="1301" xr:uid="{00000000-0005-0000-0000-00002E070000}"/>
    <cellStyle name="Normal 2 18 7 2" xfId="1302" xr:uid="{00000000-0005-0000-0000-00002F070000}"/>
    <cellStyle name="Normal 2 18 7 2 2" xfId="1303" xr:uid="{00000000-0005-0000-0000-000030070000}"/>
    <cellStyle name="Normal 2 18 7 3" xfId="1304" xr:uid="{00000000-0005-0000-0000-000031070000}"/>
    <cellStyle name="Normal 2 18 8" xfId="1305" xr:uid="{00000000-0005-0000-0000-000032070000}"/>
    <cellStyle name="Normal 2 18 8 2" xfId="1306" xr:uid="{00000000-0005-0000-0000-000033070000}"/>
    <cellStyle name="Normal 2 18 8 2 2" xfId="1307" xr:uid="{00000000-0005-0000-0000-000034070000}"/>
    <cellStyle name="Normal 2 18 8 3" xfId="1308" xr:uid="{00000000-0005-0000-0000-000035070000}"/>
    <cellStyle name="Normal 2 18 9" xfId="1309" xr:uid="{00000000-0005-0000-0000-000036070000}"/>
    <cellStyle name="Normal 2 18 9 2" xfId="1310" xr:uid="{00000000-0005-0000-0000-000037070000}"/>
    <cellStyle name="Normal 2 18 9 2 2" xfId="1311" xr:uid="{00000000-0005-0000-0000-000038070000}"/>
    <cellStyle name="Normal 2 18 9 3" xfId="1312" xr:uid="{00000000-0005-0000-0000-000039070000}"/>
    <cellStyle name="Normal 2 19" xfId="1313" xr:uid="{00000000-0005-0000-0000-00003A070000}"/>
    <cellStyle name="Normal 2 19 10" xfId="1314" xr:uid="{00000000-0005-0000-0000-00003B070000}"/>
    <cellStyle name="Normal 2 19 10 2" xfId="1315" xr:uid="{00000000-0005-0000-0000-00003C070000}"/>
    <cellStyle name="Normal 2 19 10 2 2" xfId="1316" xr:uid="{00000000-0005-0000-0000-00003D070000}"/>
    <cellStyle name="Normal 2 19 10 3" xfId="1317" xr:uid="{00000000-0005-0000-0000-00003E070000}"/>
    <cellStyle name="Normal 2 19 11" xfId="1318" xr:uid="{00000000-0005-0000-0000-00003F070000}"/>
    <cellStyle name="Normal 2 19 11 2" xfId="1319" xr:uid="{00000000-0005-0000-0000-000040070000}"/>
    <cellStyle name="Normal 2 19 11 2 2" xfId="1320" xr:uid="{00000000-0005-0000-0000-000041070000}"/>
    <cellStyle name="Normal 2 19 11 3" xfId="1321" xr:uid="{00000000-0005-0000-0000-000042070000}"/>
    <cellStyle name="Normal 2 19 12" xfId="1322" xr:uid="{00000000-0005-0000-0000-000043070000}"/>
    <cellStyle name="Normal 2 19 12 2" xfId="1323" xr:uid="{00000000-0005-0000-0000-000044070000}"/>
    <cellStyle name="Normal 2 19 12 2 2" xfId="1324" xr:uid="{00000000-0005-0000-0000-000045070000}"/>
    <cellStyle name="Normal 2 19 12 3" xfId="1325" xr:uid="{00000000-0005-0000-0000-000046070000}"/>
    <cellStyle name="Normal 2 19 13" xfId="1326" xr:uid="{00000000-0005-0000-0000-000047070000}"/>
    <cellStyle name="Normal 2 19 13 2" xfId="1327" xr:uid="{00000000-0005-0000-0000-000048070000}"/>
    <cellStyle name="Normal 2 19 13 2 2" xfId="1328" xr:uid="{00000000-0005-0000-0000-000049070000}"/>
    <cellStyle name="Normal 2 19 13 3" xfId="1329" xr:uid="{00000000-0005-0000-0000-00004A070000}"/>
    <cellStyle name="Normal 2 19 14" xfId="1330" xr:uid="{00000000-0005-0000-0000-00004B070000}"/>
    <cellStyle name="Normal 2 19 14 2" xfId="1331" xr:uid="{00000000-0005-0000-0000-00004C070000}"/>
    <cellStyle name="Normal 2 19 14 2 2" xfId="1332" xr:uid="{00000000-0005-0000-0000-00004D070000}"/>
    <cellStyle name="Normal 2 19 14 3" xfId="1333" xr:uid="{00000000-0005-0000-0000-00004E070000}"/>
    <cellStyle name="Normal 2 19 15" xfId="1334" xr:uid="{00000000-0005-0000-0000-00004F070000}"/>
    <cellStyle name="Normal 2 19 15 2" xfId="1335" xr:uid="{00000000-0005-0000-0000-000050070000}"/>
    <cellStyle name="Normal 2 19 15 2 2" xfId="1336" xr:uid="{00000000-0005-0000-0000-000051070000}"/>
    <cellStyle name="Normal 2 19 15 3" xfId="1337" xr:uid="{00000000-0005-0000-0000-000052070000}"/>
    <cellStyle name="Normal 2 19 16" xfId="1338" xr:uid="{00000000-0005-0000-0000-000053070000}"/>
    <cellStyle name="Normal 2 19 16 2" xfId="1339" xr:uid="{00000000-0005-0000-0000-000054070000}"/>
    <cellStyle name="Normal 2 19 16 2 2" xfId="1340" xr:uid="{00000000-0005-0000-0000-000055070000}"/>
    <cellStyle name="Normal 2 19 16 3" xfId="1341" xr:uid="{00000000-0005-0000-0000-000056070000}"/>
    <cellStyle name="Normal 2 19 17" xfId="1342" xr:uid="{00000000-0005-0000-0000-000057070000}"/>
    <cellStyle name="Normal 2 19 17 2" xfId="1343" xr:uid="{00000000-0005-0000-0000-000058070000}"/>
    <cellStyle name="Normal 2 19 17 2 2" xfId="1344" xr:uid="{00000000-0005-0000-0000-000059070000}"/>
    <cellStyle name="Normal 2 19 17 3" xfId="1345" xr:uid="{00000000-0005-0000-0000-00005A070000}"/>
    <cellStyle name="Normal 2 19 18" xfId="1346" xr:uid="{00000000-0005-0000-0000-00005B070000}"/>
    <cellStyle name="Normal 2 19 18 2" xfId="1347" xr:uid="{00000000-0005-0000-0000-00005C070000}"/>
    <cellStyle name="Normal 2 19 18 2 2" xfId="1348" xr:uid="{00000000-0005-0000-0000-00005D070000}"/>
    <cellStyle name="Normal 2 19 18 3" xfId="1349" xr:uid="{00000000-0005-0000-0000-00005E070000}"/>
    <cellStyle name="Normal 2 19 19" xfId="1350" xr:uid="{00000000-0005-0000-0000-00005F070000}"/>
    <cellStyle name="Normal 2 19 19 2" xfId="1351" xr:uid="{00000000-0005-0000-0000-000060070000}"/>
    <cellStyle name="Normal 2 19 19 2 2" xfId="1352" xr:uid="{00000000-0005-0000-0000-000061070000}"/>
    <cellStyle name="Normal 2 19 19 3" xfId="1353" xr:uid="{00000000-0005-0000-0000-000062070000}"/>
    <cellStyle name="Normal 2 19 2" xfId="1354" xr:uid="{00000000-0005-0000-0000-000063070000}"/>
    <cellStyle name="Normal 2 19 2 2" xfId="1355" xr:uid="{00000000-0005-0000-0000-000064070000}"/>
    <cellStyle name="Normal 2 19 2 2 2" xfId="1356" xr:uid="{00000000-0005-0000-0000-000065070000}"/>
    <cellStyle name="Normal 2 19 2 3" xfId="1357" xr:uid="{00000000-0005-0000-0000-000066070000}"/>
    <cellStyle name="Normal 2 19 20" xfId="1358" xr:uid="{00000000-0005-0000-0000-000067070000}"/>
    <cellStyle name="Normal 2 19 20 2" xfId="1359" xr:uid="{00000000-0005-0000-0000-000068070000}"/>
    <cellStyle name="Normal 2 19 20 2 2" xfId="1360" xr:uid="{00000000-0005-0000-0000-000069070000}"/>
    <cellStyle name="Normal 2 19 20 3" xfId="1361" xr:uid="{00000000-0005-0000-0000-00006A070000}"/>
    <cellStyle name="Normal 2 19 21" xfId="1362" xr:uid="{00000000-0005-0000-0000-00006B070000}"/>
    <cellStyle name="Normal 2 19 21 2" xfId="1363" xr:uid="{00000000-0005-0000-0000-00006C070000}"/>
    <cellStyle name="Normal 2 19 21 2 2" xfId="1364" xr:uid="{00000000-0005-0000-0000-00006D070000}"/>
    <cellStyle name="Normal 2 19 21 3" xfId="1365" xr:uid="{00000000-0005-0000-0000-00006E070000}"/>
    <cellStyle name="Normal 2 19 22" xfId="1366" xr:uid="{00000000-0005-0000-0000-00006F070000}"/>
    <cellStyle name="Normal 2 19 22 2" xfId="1367" xr:uid="{00000000-0005-0000-0000-000070070000}"/>
    <cellStyle name="Normal 2 19 22 2 2" xfId="1368" xr:uid="{00000000-0005-0000-0000-000071070000}"/>
    <cellStyle name="Normal 2 19 22 3" xfId="1369" xr:uid="{00000000-0005-0000-0000-000072070000}"/>
    <cellStyle name="Normal 2 19 23" xfId="1370" xr:uid="{00000000-0005-0000-0000-000073070000}"/>
    <cellStyle name="Normal 2 19 23 2" xfId="1371" xr:uid="{00000000-0005-0000-0000-000074070000}"/>
    <cellStyle name="Normal 2 19 23 2 2" xfId="1372" xr:uid="{00000000-0005-0000-0000-000075070000}"/>
    <cellStyle name="Normal 2 19 23 3" xfId="1373" xr:uid="{00000000-0005-0000-0000-000076070000}"/>
    <cellStyle name="Normal 2 19 24" xfId="1374" xr:uid="{00000000-0005-0000-0000-000077070000}"/>
    <cellStyle name="Normal 2 19 24 2" xfId="1375" xr:uid="{00000000-0005-0000-0000-000078070000}"/>
    <cellStyle name="Normal 2 19 25" xfId="1376" xr:uid="{00000000-0005-0000-0000-000079070000}"/>
    <cellStyle name="Normal 2 19 3" xfId="1377" xr:uid="{00000000-0005-0000-0000-00007A070000}"/>
    <cellStyle name="Normal 2 19 3 2" xfId="1378" xr:uid="{00000000-0005-0000-0000-00007B070000}"/>
    <cellStyle name="Normal 2 19 3 2 2" xfId="1379" xr:uid="{00000000-0005-0000-0000-00007C070000}"/>
    <cellStyle name="Normal 2 19 3 3" xfId="1380" xr:uid="{00000000-0005-0000-0000-00007D070000}"/>
    <cellStyle name="Normal 2 19 4" xfId="1381" xr:uid="{00000000-0005-0000-0000-00007E070000}"/>
    <cellStyle name="Normal 2 19 4 2" xfId="1382" xr:uid="{00000000-0005-0000-0000-00007F070000}"/>
    <cellStyle name="Normal 2 19 4 2 2" xfId="1383" xr:uid="{00000000-0005-0000-0000-000080070000}"/>
    <cellStyle name="Normal 2 19 4 3" xfId="1384" xr:uid="{00000000-0005-0000-0000-000081070000}"/>
    <cellStyle name="Normal 2 19 5" xfId="1385" xr:uid="{00000000-0005-0000-0000-000082070000}"/>
    <cellStyle name="Normal 2 19 5 2" xfId="1386" xr:uid="{00000000-0005-0000-0000-000083070000}"/>
    <cellStyle name="Normal 2 19 5 2 2" xfId="1387" xr:uid="{00000000-0005-0000-0000-000084070000}"/>
    <cellStyle name="Normal 2 19 5 3" xfId="1388" xr:uid="{00000000-0005-0000-0000-000085070000}"/>
    <cellStyle name="Normal 2 19 6" xfId="1389" xr:uid="{00000000-0005-0000-0000-000086070000}"/>
    <cellStyle name="Normal 2 19 6 2" xfId="1390" xr:uid="{00000000-0005-0000-0000-000087070000}"/>
    <cellStyle name="Normal 2 19 6 2 2" xfId="1391" xr:uid="{00000000-0005-0000-0000-000088070000}"/>
    <cellStyle name="Normal 2 19 6 3" xfId="1392" xr:uid="{00000000-0005-0000-0000-000089070000}"/>
    <cellStyle name="Normal 2 19 7" xfId="1393" xr:uid="{00000000-0005-0000-0000-00008A070000}"/>
    <cellStyle name="Normal 2 19 7 2" xfId="1394" xr:uid="{00000000-0005-0000-0000-00008B070000}"/>
    <cellStyle name="Normal 2 19 7 2 2" xfId="1395" xr:uid="{00000000-0005-0000-0000-00008C070000}"/>
    <cellStyle name="Normal 2 19 7 3" xfId="1396" xr:uid="{00000000-0005-0000-0000-00008D070000}"/>
    <cellStyle name="Normal 2 19 8" xfId="1397" xr:uid="{00000000-0005-0000-0000-00008E070000}"/>
    <cellStyle name="Normal 2 19 8 2" xfId="1398" xr:uid="{00000000-0005-0000-0000-00008F070000}"/>
    <cellStyle name="Normal 2 19 8 2 2" xfId="1399" xr:uid="{00000000-0005-0000-0000-000090070000}"/>
    <cellStyle name="Normal 2 19 8 3" xfId="1400" xr:uid="{00000000-0005-0000-0000-000091070000}"/>
    <cellStyle name="Normal 2 19 9" xfId="1401" xr:uid="{00000000-0005-0000-0000-000092070000}"/>
    <cellStyle name="Normal 2 19 9 2" xfId="1402" xr:uid="{00000000-0005-0000-0000-000093070000}"/>
    <cellStyle name="Normal 2 19 9 2 2" xfId="1403" xr:uid="{00000000-0005-0000-0000-000094070000}"/>
    <cellStyle name="Normal 2 19 9 3" xfId="1404" xr:uid="{00000000-0005-0000-0000-000095070000}"/>
    <cellStyle name="Normal 2 2" xfId="149" xr:uid="{00000000-0005-0000-0000-000096070000}"/>
    <cellStyle name="Normal 2 2 10" xfId="9406" xr:uid="{10ED2E09-9A3E-47FB-8D5B-A04FE9C09F22}"/>
    <cellStyle name="Normal 2 2 10 2" xfId="10289" xr:uid="{82789284-106E-47EF-B978-2EDFAC1A74C9}"/>
    <cellStyle name="Normal 2 2 10 2 2" xfId="11721" xr:uid="{64A07FD8-5EA8-47CC-BBCA-810123EBFE78}"/>
    <cellStyle name="Normal 2 2 10 3" xfId="10587" xr:uid="{CED95C2D-8F7B-49CC-96BE-308238F1F1AA}"/>
    <cellStyle name="Normal 2 2 11" xfId="9407" xr:uid="{1CE471D9-86F4-4756-8676-229726FD641B}"/>
    <cellStyle name="Normal 2 2 11 2" xfId="10290" xr:uid="{85062804-B2BC-4EAA-9EF3-3800D0012744}"/>
    <cellStyle name="Normal 2 2 11 2 2" xfId="11722" xr:uid="{575601A7-EB47-400D-A1E7-EA7EA6610CA2}"/>
    <cellStyle name="Normal 2 2 11 3" xfId="10588" xr:uid="{0778F604-24DD-4EA3-8111-D618235A1C7D}"/>
    <cellStyle name="Normal 2 2 12" xfId="9408" xr:uid="{7A44E440-FBCA-4F48-8EBD-76A49A72E722}"/>
    <cellStyle name="Normal 2 2 12 2" xfId="10291" xr:uid="{90902225-F5D8-4AE0-AED9-47262DCA64BB}"/>
    <cellStyle name="Normal 2 2 12 2 2" xfId="11723" xr:uid="{FAF94423-A0F2-4234-8FCE-6D2F1CE9F906}"/>
    <cellStyle name="Normal 2 2 12 3" xfId="10589" xr:uid="{E808CF23-66DB-4A45-9CC5-4895168CE4B1}"/>
    <cellStyle name="Normal 2 2 2" xfId="150" xr:uid="{00000000-0005-0000-0000-000097070000}"/>
    <cellStyle name="Normal 2 2 2 2" xfId="151" xr:uid="{00000000-0005-0000-0000-000098070000}"/>
    <cellStyle name="Normal 2 2 2 2 2" xfId="8813" xr:uid="{00000000-0005-0000-0000-000099070000}"/>
    <cellStyle name="Normal 2 2 2 2 2 2" xfId="10294" xr:uid="{34A3A6CB-09E1-4BA7-9695-238D5F591D09}"/>
    <cellStyle name="Normal 2 2 2 2 2 2 2" xfId="11726" xr:uid="{B14E5E05-C09A-4FD3-8F41-E31ECCC15B36}"/>
    <cellStyle name="Normal 2 2 2 2 2 3" xfId="10591" xr:uid="{818EC5FC-846B-4B48-837E-A9D775831CE2}"/>
    <cellStyle name="Normal 2 2 2 2 2 4" xfId="9410" xr:uid="{6E3FA7DC-4381-4E29-B403-19CF78E5F696}"/>
    <cellStyle name="Normal 2 2 2 2 3" xfId="9411" xr:uid="{E95537EA-06EB-4F7C-8654-EBCA06920DDA}"/>
    <cellStyle name="Normal 2 2 2 2 3 2" xfId="10295" xr:uid="{006B5FF1-D23F-4A15-9320-117E9E7DEAF0}"/>
    <cellStyle name="Normal 2 2 2 2 3 2 2" xfId="11727" xr:uid="{4C6F12D1-A486-4C43-9FD1-F7C09E4ABFFB}"/>
    <cellStyle name="Normal 2 2 2 2 3 3" xfId="10592" xr:uid="{3B3FC8CD-2133-4D99-B4EF-3EDAC13083DF}"/>
    <cellStyle name="Normal 2 2 2 2 4" xfId="10293" xr:uid="{07D27709-A6E3-467A-9E15-B68B7795E9B6}"/>
    <cellStyle name="Normal 2 2 2 2 4 2" xfId="11725" xr:uid="{8068E8C1-E057-4898-A8AA-89320AF3D401}"/>
    <cellStyle name="Normal 2 2 2 2 5" xfId="10379" xr:uid="{0C79070B-7307-4E44-B511-94CAB318D09D}"/>
    <cellStyle name="Normal 2 2 2 2 6" xfId="10590" xr:uid="{531D02F5-E4FB-4BBD-A604-FE340A8CBFC7}"/>
    <cellStyle name="Normal 2 2 2 2 7" xfId="9409" xr:uid="{89FAE387-466F-4301-96FC-366916AB012D}"/>
    <cellStyle name="Normal 2 2 2 3" xfId="310" xr:uid="{00000000-0005-0000-0000-00009A070000}"/>
    <cellStyle name="Normal 2 2 2 3 2" xfId="9413" xr:uid="{DF8B104C-C49F-4568-8EB9-C248A1946E5F}"/>
    <cellStyle name="Normal 2 2 2 3 2 2" xfId="10297" xr:uid="{B645A80B-1E08-415D-89D1-AA74EBEBB740}"/>
    <cellStyle name="Normal 2 2 2 3 2 2 2" xfId="11729" xr:uid="{CE797E47-2918-4F61-8C53-27F3736B677A}"/>
    <cellStyle name="Normal 2 2 2 3 2 3" xfId="10594" xr:uid="{25C065A4-E726-41B4-AE58-0B297AB510CF}"/>
    <cellStyle name="Normal 2 2 2 3 3" xfId="9414" xr:uid="{7F9F5272-5EC3-4C65-94CC-306D460B994A}"/>
    <cellStyle name="Normal 2 2 2 3 3 2" xfId="10298" xr:uid="{E52A5AE5-AF53-4A0A-8081-F2FE6CCE3A6B}"/>
    <cellStyle name="Normal 2 2 2 3 3 2 2" xfId="11730" xr:uid="{6333F13D-524E-43D9-97EF-6633D1A40D22}"/>
    <cellStyle name="Normal 2 2 2 3 3 3" xfId="10595" xr:uid="{40D84AB6-9F77-4906-93B6-DF21A3E42227}"/>
    <cellStyle name="Normal 2 2 2 3 4" xfId="10296" xr:uid="{DE59B9C8-BC80-443C-B552-544990BE5493}"/>
    <cellStyle name="Normal 2 2 2 3 4 2" xfId="11728" xr:uid="{51A5FD43-28AF-4F68-8E12-8CC8D18768EC}"/>
    <cellStyle name="Normal 2 2 2 3 5" xfId="10402" xr:uid="{E03571CD-A562-4917-8D9C-93350BD88653}"/>
    <cellStyle name="Normal 2 2 2 3 6" xfId="10593" xr:uid="{5E94C2E3-BE9D-4C4B-AD99-A891ECAFF98F}"/>
    <cellStyle name="Normal 2 2 2 3 7" xfId="9412" xr:uid="{12134A57-CBB9-40DB-A023-B49B26414B07}"/>
    <cellStyle name="Normal 2 2 2 4" xfId="1405" xr:uid="{00000000-0005-0000-0000-00009B070000}"/>
    <cellStyle name="Normal 2 2 2 4 2" xfId="9743" xr:uid="{EEEE128D-0F5B-4395-B8D8-E5B5D0358911}"/>
    <cellStyle name="Normal 2 2 2 4 3" xfId="10299" xr:uid="{A471CC25-46F5-436B-A515-02F86FEE5C64}"/>
    <cellStyle name="Normal 2 2 2 4 3 2" xfId="11731" xr:uid="{D0CF7F82-A06D-430D-8F25-DCF4364CCDE6}"/>
    <cellStyle name="Normal 2 2 2 4 4" xfId="10596" xr:uid="{F69FAC1E-CA31-412B-9492-D30FBE49A4A7}"/>
    <cellStyle name="Normal 2 2 2 4 5" xfId="9415" xr:uid="{20EAE9AF-5E92-40B0-B1C6-C8AD82D9BE29}"/>
    <cellStyle name="Normal 2 2 2 5" xfId="9209" xr:uid="{3FA9DBE6-6D96-4E39-BD58-2CDF3C2897E1}"/>
    <cellStyle name="Normal 2 2 2 5 2" xfId="10300" xr:uid="{96C27732-03A0-4312-8FF8-2F10015DE717}"/>
    <cellStyle name="Normal 2 2 2 5 2 2" xfId="11732" xr:uid="{544EA841-1E01-4F42-9F4A-D7A9DB9B1D93}"/>
    <cellStyle name="Normal 2 2 2 5 3" xfId="10597" xr:uid="{621C8711-526A-4CD8-B441-9104DCEDD3A4}"/>
    <cellStyle name="Normal 2 2 2 5 4" xfId="9416" xr:uid="{6126513F-A73C-427D-8E34-FAE9D98EB2CF}"/>
    <cellStyle name="Normal 2 2 2 6" xfId="9417" xr:uid="{F8F2B902-C6CE-42FD-A487-ED3451155A05}"/>
    <cellStyle name="Normal 2 2 2 6 2" xfId="10301" xr:uid="{0B5815E1-CA33-411A-8D11-38B2308AFDBD}"/>
    <cellStyle name="Normal 2 2 2 6 2 2" xfId="11733" xr:uid="{B2193D90-CF93-48AB-95FF-0F485DC82F3F}"/>
    <cellStyle name="Normal 2 2 2 6 3" xfId="10598" xr:uid="{2F21AFE1-5E7C-4280-9BCF-16470F468826}"/>
    <cellStyle name="Normal 2 2 2 7" xfId="9418" xr:uid="{1CCD4BC9-72E0-4A73-9C9D-C51F89DA9487}"/>
    <cellStyle name="Normal 2 2 2 7 2" xfId="10302" xr:uid="{96A254AF-6D4A-482B-AC4C-0B626DA7843C}"/>
    <cellStyle name="Normal 2 2 2 7 2 2" xfId="11734" xr:uid="{63573E44-7197-4E26-8671-8F7BA89C9024}"/>
    <cellStyle name="Normal 2 2 2 7 3" xfId="10599" xr:uid="{FE7D7B00-1895-4B10-A89F-016733762A84}"/>
    <cellStyle name="Normal 2 2 2 8" xfId="9419" xr:uid="{EC65BACC-18B4-49C7-AD8D-CB4245A10FF6}"/>
    <cellStyle name="Normal 2 2 2 8 2" xfId="10600" xr:uid="{B4B19B2B-598A-4518-A902-026F98F0014C}"/>
    <cellStyle name="Normal 2 2 2 9" xfId="10292" xr:uid="{15B7C756-BF1A-4BBD-8084-0718D9BFE7E6}"/>
    <cellStyle name="Normal 2 2 2 9 2" xfId="11724" xr:uid="{0D19C16A-7206-48BB-AE75-39B8E37AE593}"/>
    <cellStyle name="Normal 2 2 3" xfId="152" xr:uid="{00000000-0005-0000-0000-00009C070000}"/>
    <cellStyle name="Normal 2 2 3 10" xfId="9420" xr:uid="{D89DFB7B-9007-4F77-B74D-FE27BEBF4BFD}"/>
    <cellStyle name="Normal 2 2 3 2" xfId="153" xr:uid="{00000000-0005-0000-0000-00009D070000}"/>
    <cellStyle name="Normal 2 2 3 2 2" xfId="8814" xr:uid="{00000000-0005-0000-0000-00009E070000}"/>
    <cellStyle name="Normal 2 2 3 2 2 2" xfId="9744" xr:uid="{551785F8-AECE-466D-97B2-251A043FFFD2}"/>
    <cellStyle name="Normal 2 2 3 2 2 3" xfId="10305" xr:uid="{1A1FBBCF-6B95-496D-BF17-E388A4D4F50E}"/>
    <cellStyle name="Normal 2 2 3 2 2 3 2" xfId="11737" xr:uid="{86A2A548-7E64-48D0-B5B3-727EB75C5E61}"/>
    <cellStyle name="Normal 2 2 3 2 2 4" xfId="10603" xr:uid="{A3B57F31-8721-4B6F-A0AD-2647881A2454}"/>
    <cellStyle name="Normal 2 2 3 2 2 5" xfId="9422" xr:uid="{FAED7276-8471-47F1-93C3-3C972E50A1E9}"/>
    <cellStyle name="Normal 2 2 3 2 3" xfId="8202" xr:uid="{00000000-0005-0000-0000-00009F070000}"/>
    <cellStyle name="Normal 2 2 3 2 3 2" xfId="10306" xr:uid="{F778E47A-F96D-4B08-A303-8671E8405826}"/>
    <cellStyle name="Normal 2 2 3 2 3 2 2" xfId="11738" xr:uid="{FDC7C3A7-F41A-4569-AADE-FB14F6D0ED0C}"/>
    <cellStyle name="Normal 2 2 3 2 3 3" xfId="10604" xr:uid="{A45FBF55-06CA-4EF4-995B-3F8B1B7116A6}"/>
    <cellStyle name="Normal 2 2 3 2 3 4" xfId="9423" xr:uid="{3752A452-35B0-49C1-88CB-EA5E2EC4218E}"/>
    <cellStyle name="Normal 2 2 3 2 4" xfId="10304" xr:uid="{BC4A16D7-06C6-49DF-8F2B-BACE046ECC09}"/>
    <cellStyle name="Normal 2 2 3 2 4 2" xfId="11736" xr:uid="{AC18A9F6-065D-4BA3-9620-7C275029EE6C}"/>
    <cellStyle name="Normal 2 2 3 2 5" xfId="10602" xr:uid="{0D102F89-9BE6-41B4-A0BF-8C36DCBC5190}"/>
    <cellStyle name="Normal 2 2 3 2 6" xfId="9421" xr:uid="{7ED2009E-FBFD-4F28-A430-6E8228C4252D}"/>
    <cellStyle name="Normal 2 2 3 3" xfId="154" xr:uid="{00000000-0005-0000-0000-0000A0070000}"/>
    <cellStyle name="Normal 2 2 3 3 2" xfId="9425" xr:uid="{66205D2D-DBD8-47F4-B865-4C5E9D733B2F}"/>
    <cellStyle name="Normal 2 2 3 3 2 2" xfId="10308" xr:uid="{C98DC5DA-3505-4453-9C8F-97441A6E9FE7}"/>
    <cellStyle name="Normal 2 2 3 3 2 2 2" xfId="11740" xr:uid="{FACF65DC-BA8A-42BB-A1C1-980CB3B14841}"/>
    <cellStyle name="Normal 2 2 3 3 2 3" xfId="10606" xr:uid="{F9D1F869-A796-4EEE-8EC1-CB72626AC060}"/>
    <cellStyle name="Normal 2 2 3 3 3" xfId="9426" xr:uid="{097A7D2C-C215-491B-93CF-CB1F051A2273}"/>
    <cellStyle name="Normal 2 2 3 3 3 2" xfId="10309" xr:uid="{F820F858-698C-41A5-98B4-F3CE303601CF}"/>
    <cellStyle name="Normal 2 2 3 3 3 2 2" xfId="11741" xr:uid="{4EC22475-9F06-42F4-B7E9-EB52EDF605B5}"/>
    <cellStyle name="Normal 2 2 3 3 3 3" xfId="10607" xr:uid="{885C0298-C528-480A-A75C-30E56A6809EB}"/>
    <cellStyle name="Normal 2 2 3 3 4" xfId="10307" xr:uid="{4C7F02E6-3711-4F36-A85F-6F543E392567}"/>
    <cellStyle name="Normal 2 2 3 3 4 2" xfId="11739" xr:uid="{FA393914-EC81-4BA8-9939-F4AA92386C83}"/>
    <cellStyle name="Normal 2 2 3 3 5" xfId="10605" xr:uid="{A2C47817-2402-4BFD-9DD1-229E160DB17B}"/>
    <cellStyle name="Normal 2 2 3 3 6" xfId="11956" xr:uid="{2887FA91-FF32-495B-93AC-C4277E1B55EC}"/>
    <cellStyle name="Normal 2 2 3 3 7" xfId="9424" xr:uid="{E9160AC7-9FD7-4556-BBFA-4D4360A3B490}"/>
    <cellStyle name="Normal 2 2 3 4" xfId="9134" xr:uid="{00000000-0005-0000-0000-0000A1070000}"/>
    <cellStyle name="Normal 2 2 3 4 2" xfId="10310" xr:uid="{CBB90B81-2B4F-49D9-A4FB-D8F352C03A0D}"/>
    <cellStyle name="Normal 2 2 3 4 2 2" xfId="11742" xr:uid="{084827E8-9412-4094-A4DB-445082908C6A}"/>
    <cellStyle name="Normal 2 2 3 4 3" xfId="10608" xr:uid="{4ADA594A-646F-4D79-9FFD-B2A277161AD3}"/>
    <cellStyle name="Normal 2 2 3 4 4" xfId="9427" xr:uid="{5D66C523-68C7-48DE-84FE-929322864C91}"/>
    <cellStyle name="Normal 2 2 3 5" xfId="9428" xr:uid="{3C2CDD5D-EFA0-4368-8F5F-8B960C8A5840}"/>
    <cellStyle name="Normal 2 2 3 5 2" xfId="10311" xr:uid="{44195789-68D3-4F4A-9A7F-6DD199A2F5B2}"/>
    <cellStyle name="Normal 2 2 3 5 2 2" xfId="11743" xr:uid="{2FAF43B7-E899-4E7F-A821-FFBD8FFA857D}"/>
    <cellStyle name="Normal 2 2 3 5 3" xfId="10609" xr:uid="{6B4440C5-E8C6-422C-A57E-4430065CA41C}"/>
    <cellStyle name="Normal 2 2 3 6" xfId="9429" xr:uid="{C9A5E91F-4723-4ACB-B518-CF7D899DC078}"/>
    <cellStyle name="Normal 2 2 3 6 2" xfId="10312" xr:uid="{E307E23C-2AC5-4FB6-84C6-C4A0434E1568}"/>
    <cellStyle name="Normal 2 2 3 6 2 2" xfId="11744" xr:uid="{75884895-C0A0-4096-B675-7572BD34DADC}"/>
    <cellStyle name="Normal 2 2 3 6 3" xfId="10610" xr:uid="{34514759-8C31-4835-951D-0FAB926BF3CC}"/>
    <cellStyle name="Normal 2 2 3 7" xfId="9430" xr:uid="{2810E9D2-A7BD-482D-A7D9-7AE7A8DECF52}"/>
    <cellStyle name="Normal 2 2 3 7 2" xfId="10313" xr:uid="{21BD4AE8-DF6C-44C3-8C8F-310A848F4CFB}"/>
    <cellStyle name="Normal 2 2 3 7 2 2" xfId="11745" xr:uid="{417C7A9A-E504-4A2E-9F62-534EB9E934F8}"/>
    <cellStyle name="Normal 2 2 3 7 3" xfId="10611" xr:uid="{A6110FBA-8EAF-4C54-BF5A-B1552095636A}"/>
    <cellStyle name="Normal 2 2 3 8" xfId="10303" xr:uid="{6E1CCB70-9C1F-486A-AA39-B8AB6AD900E4}"/>
    <cellStyle name="Normal 2 2 3 8 2" xfId="11735" xr:uid="{E8FBF621-3F01-48CD-8B57-E2152F7BCC55}"/>
    <cellStyle name="Normal 2 2 3 9" xfId="10601" xr:uid="{AEE3DA08-72EE-4AC0-A96D-5D7FE32F9BF7}"/>
    <cellStyle name="Normal 2 2 4" xfId="311" xr:uid="{00000000-0005-0000-0000-0000A2070000}"/>
    <cellStyle name="Normal 2 2 4 2" xfId="1406" xr:uid="{00000000-0005-0000-0000-0000A3070000}"/>
    <cellStyle name="Normal 2 2 4 2 2" xfId="10315" xr:uid="{5AB7D78C-51E8-4DA1-AB1C-3E356286420F}"/>
    <cellStyle name="Normal 2 2 4 2 2 2" xfId="11747" xr:uid="{45C818CA-7C9E-46CC-ACB6-7383DCD6C9D7}"/>
    <cellStyle name="Normal 2 2 4 2 3" xfId="10491" xr:uid="{B2C309E5-44DE-4F6F-8490-052B9BA78D04}"/>
    <cellStyle name="Normal 2 2 4 2 4" xfId="10613" xr:uid="{EB77E394-5043-40CF-8A60-F2813B053A12}"/>
    <cellStyle name="Normal 2 2 4 2 5" xfId="9432" xr:uid="{2F55F8BE-D7F9-40CD-A5D1-20BA49F0C359}"/>
    <cellStyle name="Normal 2 2 4 3" xfId="9135" xr:uid="{00000000-0005-0000-0000-0000A4070000}"/>
    <cellStyle name="Normal 2 2 4 3 2" xfId="10316" xr:uid="{F4F81BB7-8AD3-46E3-B64C-DEAEF359D948}"/>
    <cellStyle name="Normal 2 2 4 3 2 2" xfId="11748" xr:uid="{8C815C39-A91A-400F-9785-E910302376C7}"/>
    <cellStyle name="Normal 2 2 4 3 3" xfId="10614" xr:uid="{2395839C-1AED-497E-AB87-02BF9F325656}"/>
    <cellStyle name="Normal 2 2 4 3 4" xfId="9433" xr:uid="{A827C7DC-F530-4E7B-B238-067AFED42CC7}"/>
    <cellStyle name="Normal 2 2 4 4" xfId="9434" xr:uid="{956A3AF3-7CCB-4345-9D44-ACFA9302E048}"/>
    <cellStyle name="Normal 2 2 4 4 2" xfId="10317" xr:uid="{63748874-43FA-41F3-973D-AC8434301072}"/>
    <cellStyle name="Normal 2 2 4 4 2 2" xfId="11749" xr:uid="{050A7D7A-B027-4856-84A6-9A75B4264105}"/>
    <cellStyle name="Normal 2 2 4 4 3" xfId="10615" xr:uid="{93F4155A-5805-4DE6-B9F0-0453DD1D1801}"/>
    <cellStyle name="Normal 2 2 4 5" xfId="10314" xr:uid="{183AF281-0A26-4B72-BE0D-3AE2BDBF312A}"/>
    <cellStyle name="Normal 2 2 4 5 2" xfId="11746" xr:uid="{363A91EB-6FA5-458E-9E5B-3174498B1DC0}"/>
    <cellStyle name="Normal 2 2 4 6" xfId="10451" xr:uid="{65A92C92-006F-4DDF-95F4-5F914B4D9A91}"/>
    <cellStyle name="Normal 2 2 4 7" xfId="10612" xr:uid="{19F229F5-8190-46FD-8B31-C87A87B21658}"/>
    <cellStyle name="Normal 2 2 4 8" xfId="9431" xr:uid="{668F8295-839A-4558-9C14-8E6BA84C0F02}"/>
    <cellStyle name="Normal 2 2 5" xfId="1407" xr:uid="{00000000-0005-0000-0000-0000A5070000}"/>
    <cellStyle name="Normal 2 2 5 2" xfId="9136" xr:uid="{00000000-0005-0000-0000-0000A6070000}"/>
    <cellStyle name="Normal 2 2 5 2 2" xfId="10319" xr:uid="{7960CB87-F21C-4CE5-845C-E50C6728A799}"/>
    <cellStyle name="Normal 2 2 5 2 2 2" xfId="11751" xr:uid="{7A179B61-0195-40EA-8ADA-121B2068FF04}"/>
    <cellStyle name="Normal 2 2 5 2 3" xfId="10617" xr:uid="{F39ADB25-0AFA-47DE-929C-2A4F32079824}"/>
    <cellStyle name="Normal 2 2 5 2 4" xfId="9436" xr:uid="{D64A095B-9914-4D21-BFC7-7F87FA786E41}"/>
    <cellStyle name="Normal 2 2 5 3" xfId="9437" xr:uid="{EEFF3084-EB27-410D-AAD4-5808C4D1C448}"/>
    <cellStyle name="Normal 2 2 5 3 2" xfId="10320" xr:uid="{1ED883B1-07ED-472D-90C6-C895EB0F53E0}"/>
    <cellStyle name="Normal 2 2 5 3 2 2" xfId="11752" xr:uid="{7DB638D7-A1BB-4F8E-8C98-0A2E34A28F34}"/>
    <cellStyle name="Normal 2 2 5 3 3" xfId="10618" xr:uid="{7B10CAC5-CF18-4D71-A289-DF3CBD93007F}"/>
    <cellStyle name="Normal 2 2 5 4" xfId="9438" xr:uid="{4C4E2F8B-F0FB-447B-BE11-83CBF4A341F8}"/>
    <cellStyle name="Normal 2 2 5 4 2" xfId="10321" xr:uid="{6356D065-F899-440B-948C-494B68E372D9}"/>
    <cellStyle name="Normal 2 2 5 4 2 2" xfId="11753" xr:uid="{0230290B-9202-4333-A707-7343CA9E14AB}"/>
    <cellStyle name="Normal 2 2 5 4 3" xfId="10619" xr:uid="{2C01BB13-562F-450F-A710-1C98FB940BF5}"/>
    <cellStyle name="Normal 2 2 5 5" xfId="10318" xr:uid="{D67C2038-6816-45F3-AF12-E0F18BCF065B}"/>
    <cellStyle name="Normal 2 2 5 5 2" xfId="11750" xr:uid="{74F304F5-CB35-4480-A4A0-693F8C843320}"/>
    <cellStyle name="Normal 2 2 5 6" xfId="10467" xr:uid="{4AA636E9-8C18-439D-84E1-35976CA02E19}"/>
    <cellStyle name="Normal 2 2 5 7" xfId="10616" xr:uid="{F9771048-55D2-40A6-AB6A-F3D13F7A5843}"/>
    <cellStyle name="Normal 2 2 5 8" xfId="9435" xr:uid="{FC730602-E9B8-44AF-B62F-0FD7D6C9548D}"/>
    <cellStyle name="Normal 2 2 6" xfId="1408" xr:uid="{00000000-0005-0000-0000-0000A7070000}"/>
    <cellStyle name="Normal 2 2 6 2" xfId="8164" xr:uid="{00000000-0005-0000-0000-0000A8070000}"/>
    <cellStyle name="Normal 2 2 6 2 2" xfId="10323" xr:uid="{2DBE427F-F9AA-4C9C-912F-0111045E90BF}"/>
    <cellStyle name="Normal 2 2 6 2 2 2" xfId="11755" xr:uid="{038F4061-5A29-4323-A8F6-9BC948DD1843}"/>
    <cellStyle name="Normal 2 2 6 2 3" xfId="10621" xr:uid="{C20294BA-6D4F-4DE0-9ABF-B8E4762CEE04}"/>
    <cellStyle name="Normal 2 2 6 3" xfId="10322" xr:uid="{ECE0626E-09D8-4A42-99E9-E0DD422DD7CA}"/>
    <cellStyle name="Normal 2 2 6 3 2" xfId="11754" xr:uid="{1C3DEA76-354D-454B-BE8F-211145DBF02F}"/>
    <cellStyle name="Normal 2 2 6 4" xfId="10400" xr:uid="{1DFA6ED6-E574-48C3-A943-3AFF22A70998}"/>
    <cellStyle name="Normal 2 2 6 5" xfId="10620" xr:uid="{E5895231-02FF-441E-9CBA-6653D300FD9D}"/>
    <cellStyle name="Normal 2 2 7" xfId="1409" xr:uid="{00000000-0005-0000-0000-0000A9070000}"/>
    <cellStyle name="Normal 2 2 7 2" xfId="10324" xr:uid="{3235B801-12B7-44C6-ABF9-B34456AC6393}"/>
    <cellStyle name="Normal 2 2 7 2 2" xfId="11756" xr:uid="{1D35303E-25B9-4706-975E-1A8D9975B4A6}"/>
    <cellStyle name="Normal 2 2 7 3" xfId="10525" xr:uid="{4F85F92B-E1A1-47C0-9478-991490E5FADB}"/>
    <cellStyle name="Normal 2 2 7 3 2" xfId="11826" xr:uid="{868FFAFC-D5E9-4765-A5DE-F429EA739791}"/>
    <cellStyle name="Normal 2 2 7 4" xfId="10622" xr:uid="{1F32EE7B-B789-413B-B71B-322B70ED27FE}"/>
    <cellStyle name="Normal 2 2 7 5" xfId="11900" xr:uid="{845D65C4-28D8-40F0-9EE2-37283E971708}"/>
    <cellStyle name="Normal 2 2 8" xfId="1410" xr:uid="{00000000-0005-0000-0000-0000AA070000}"/>
    <cellStyle name="Normal 2 2 8 2" xfId="10325" xr:uid="{2A841961-79F8-4AA2-A623-AA152FD83B1C}"/>
    <cellStyle name="Normal 2 2 8 2 2" xfId="11757" xr:uid="{039AF903-0AB2-4A0C-A101-CDCF8C81CC77}"/>
    <cellStyle name="Normal 2 2 8 3" xfId="10390" xr:uid="{82357E32-CE85-4DD6-96C7-E96C1D6EC3F8}"/>
    <cellStyle name="Normal 2 2 8 4" xfId="10623" xr:uid="{5D29C4B9-0C54-4ED7-A975-02E21A937F76}"/>
    <cellStyle name="Normal 2 2 8 5" xfId="9439" xr:uid="{CBB4677C-BAA3-4EEB-9979-8E53B39B2075}"/>
    <cellStyle name="Normal 2 2 9" xfId="9208" xr:uid="{DD562F06-3BB6-48C5-8201-6A9BC4C6AA74}"/>
    <cellStyle name="Normal 2 2 9 2" xfId="10326" xr:uid="{D15C29FD-C3C3-4EFF-8172-F996B7FCA15C}"/>
    <cellStyle name="Normal 2 2 9 2 2" xfId="11758" xr:uid="{7105A908-0DA4-45E9-9EF3-10A13B13AE43}"/>
    <cellStyle name="Normal 2 2 9 3" xfId="10624" xr:uid="{C3816F60-7955-4854-AC9C-BFDC53C3F775}"/>
    <cellStyle name="Normal 2 2 9 4" xfId="11906" xr:uid="{D8186BF6-B581-4E7D-9AED-949438BB5801}"/>
    <cellStyle name="Normal 2 2 9 5" xfId="9440" xr:uid="{99D16352-3793-46DD-A2C6-279072FCAE35}"/>
    <cellStyle name="Normal 2 2_BPAControls" xfId="9210" xr:uid="{C9D99B7D-4C43-44E9-8356-BC627467B12B}"/>
    <cellStyle name="Normal 2 20" xfId="1411" xr:uid="{00000000-0005-0000-0000-0000AB070000}"/>
    <cellStyle name="Normal 2 20 10" xfId="1412" xr:uid="{00000000-0005-0000-0000-0000AC070000}"/>
    <cellStyle name="Normal 2 20 10 2" xfId="1413" xr:uid="{00000000-0005-0000-0000-0000AD070000}"/>
    <cellStyle name="Normal 2 20 10 2 2" xfId="1414" xr:uid="{00000000-0005-0000-0000-0000AE070000}"/>
    <cellStyle name="Normal 2 20 10 3" xfId="1415" xr:uid="{00000000-0005-0000-0000-0000AF070000}"/>
    <cellStyle name="Normal 2 20 11" xfId="1416" xr:uid="{00000000-0005-0000-0000-0000B0070000}"/>
    <cellStyle name="Normal 2 20 11 2" xfId="1417" xr:uid="{00000000-0005-0000-0000-0000B1070000}"/>
    <cellStyle name="Normal 2 20 11 2 2" xfId="1418" xr:uid="{00000000-0005-0000-0000-0000B2070000}"/>
    <cellStyle name="Normal 2 20 11 3" xfId="1419" xr:uid="{00000000-0005-0000-0000-0000B3070000}"/>
    <cellStyle name="Normal 2 20 12" xfId="1420" xr:uid="{00000000-0005-0000-0000-0000B4070000}"/>
    <cellStyle name="Normal 2 20 12 2" xfId="1421" xr:uid="{00000000-0005-0000-0000-0000B5070000}"/>
    <cellStyle name="Normal 2 20 12 2 2" xfId="1422" xr:uid="{00000000-0005-0000-0000-0000B6070000}"/>
    <cellStyle name="Normal 2 20 12 3" xfId="1423" xr:uid="{00000000-0005-0000-0000-0000B7070000}"/>
    <cellStyle name="Normal 2 20 13" xfId="1424" xr:uid="{00000000-0005-0000-0000-0000B8070000}"/>
    <cellStyle name="Normal 2 20 13 2" xfId="1425" xr:uid="{00000000-0005-0000-0000-0000B9070000}"/>
    <cellStyle name="Normal 2 20 13 2 2" xfId="1426" xr:uid="{00000000-0005-0000-0000-0000BA070000}"/>
    <cellStyle name="Normal 2 20 13 3" xfId="1427" xr:uid="{00000000-0005-0000-0000-0000BB070000}"/>
    <cellStyle name="Normal 2 20 14" xfId="1428" xr:uid="{00000000-0005-0000-0000-0000BC070000}"/>
    <cellStyle name="Normal 2 20 14 2" xfId="1429" xr:uid="{00000000-0005-0000-0000-0000BD070000}"/>
    <cellStyle name="Normal 2 20 14 2 2" xfId="1430" xr:uid="{00000000-0005-0000-0000-0000BE070000}"/>
    <cellStyle name="Normal 2 20 14 3" xfId="1431" xr:uid="{00000000-0005-0000-0000-0000BF070000}"/>
    <cellStyle name="Normal 2 20 15" xfId="1432" xr:uid="{00000000-0005-0000-0000-0000C0070000}"/>
    <cellStyle name="Normal 2 20 15 2" xfId="1433" xr:uid="{00000000-0005-0000-0000-0000C1070000}"/>
    <cellStyle name="Normal 2 20 15 2 2" xfId="1434" xr:uid="{00000000-0005-0000-0000-0000C2070000}"/>
    <cellStyle name="Normal 2 20 15 3" xfId="1435" xr:uid="{00000000-0005-0000-0000-0000C3070000}"/>
    <cellStyle name="Normal 2 20 16" xfId="1436" xr:uid="{00000000-0005-0000-0000-0000C4070000}"/>
    <cellStyle name="Normal 2 20 16 2" xfId="1437" xr:uid="{00000000-0005-0000-0000-0000C5070000}"/>
    <cellStyle name="Normal 2 20 16 2 2" xfId="1438" xr:uid="{00000000-0005-0000-0000-0000C6070000}"/>
    <cellStyle name="Normal 2 20 16 3" xfId="1439" xr:uid="{00000000-0005-0000-0000-0000C7070000}"/>
    <cellStyle name="Normal 2 20 17" xfId="1440" xr:uid="{00000000-0005-0000-0000-0000C8070000}"/>
    <cellStyle name="Normal 2 20 17 2" xfId="1441" xr:uid="{00000000-0005-0000-0000-0000C9070000}"/>
    <cellStyle name="Normal 2 20 17 2 2" xfId="1442" xr:uid="{00000000-0005-0000-0000-0000CA070000}"/>
    <cellStyle name="Normal 2 20 17 3" xfId="1443" xr:uid="{00000000-0005-0000-0000-0000CB070000}"/>
    <cellStyle name="Normal 2 20 18" xfId="1444" xr:uid="{00000000-0005-0000-0000-0000CC070000}"/>
    <cellStyle name="Normal 2 20 18 2" xfId="1445" xr:uid="{00000000-0005-0000-0000-0000CD070000}"/>
    <cellStyle name="Normal 2 20 18 2 2" xfId="1446" xr:uid="{00000000-0005-0000-0000-0000CE070000}"/>
    <cellStyle name="Normal 2 20 18 3" xfId="1447" xr:uid="{00000000-0005-0000-0000-0000CF070000}"/>
    <cellStyle name="Normal 2 20 19" xfId="1448" xr:uid="{00000000-0005-0000-0000-0000D0070000}"/>
    <cellStyle name="Normal 2 20 19 2" xfId="1449" xr:uid="{00000000-0005-0000-0000-0000D1070000}"/>
    <cellStyle name="Normal 2 20 19 2 2" xfId="1450" xr:uid="{00000000-0005-0000-0000-0000D2070000}"/>
    <cellStyle name="Normal 2 20 19 3" xfId="1451" xr:uid="{00000000-0005-0000-0000-0000D3070000}"/>
    <cellStyle name="Normal 2 20 2" xfId="1452" xr:uid="{00000000-0005-0000-0000-0000D4070000}"/>
    <cellStyle name="Normal 2 20 2 2" xfId="1453" xr:uid="{00000000-0005-0000-0000-0000D5070000}"/>
    <cellStyle name="Normal 2 20 2 2 2" xfId="1454" xr:uid="{00000000-0005-0000-0000-0000D6070000}"/>
    <cellStyle name="Normal 2 20 2 3" xfId="1455" xr:uid="{00000000-0005-0000-0000-0000D7070000}"/>
    <cellStyle name="Normal 2 20 20" xfId="1456" xr:uid="{00000000-0005-0000-0000-0000D8070000}"/>
    <cellStyle name="Normal 2 20 20 2" xfId="1457" xr:uid="{00000000-0005-0000-0000-0000D9070000}"/>
    <cellStyle name="Normal 2 20 20 2 2" xfId="1458" xr:uid="{00000000-0005-0000-0000-0000DA070000}"/>
    <cellStyle name="Normal 2 20 20 3" xfId="1459" xr:uid="{00000000-0005-0000-0000-0000DB070000}"/>
    <cellStyle name="Normal 2 20 21" xfId="1460" xr:uid="{00000000-0005-0000-0000-0000DC070000}"/>
    <cellStyle name="Normal 2 20 21 2" xfId="1461" xr:uid="{00000000-0005-0000-0000-0000DD070000}"/>
    <cellStyle name="Normal 2 20 21 2 2" xfId="1462" xr:uid="{00000000-0005-0000-0000-0000DE070000}"/>
    <cellStyle name="Normal 2 20 21 3" xfId="1463" xr:uid="{00000000-0005-0000-0000-0000DF070000}"/>
    <cellStyle name="Normal 2 20 22" xfId="1464" xr:uid="{00000000-0005-0000-0000-0000E0070000}"/>
    <cellStyle name="Normal 2 20 22 2" xfId="1465" xr:uid="{00000000-0005-0000-0000-0000E1070000}"/>
    <cellStyle name="Normal 2 20 22 2 2" xfId="1466" xr:uid="{00000000-0005-0000-0000-0000E2070000}"/>
    <cellStyle name="Normal 2 20 22 3" xfId="1467" xr:uid="{00000000-0005-0000-0000-0000E3070000}"/>
    <cellStyle name="Normal 2 20 23" xfId="1468" xr:uid="{00000000-0005-0000-0000-0000E4070000}"/>
    <cellStyle name="Normal 2 20 23 2" xfId="1469" xr:uid="{00000000-0005-0000-0000-0000E5070000}"/>
    <cellStyle name="Normal 2 20 23 2 2" xfId="1470" xr:uid="{00000000-0005-0000-0000-0000E6070000}"/>
    <cellStyle name="Normal 2 20 23 3" xfId="1471" xr:uid="{00000000-0005-0000-0000-0000E7070000}"/>
    <cellStyle name="Normal 2 20 24" xfId="1472" xr:uid="{00000000-0005-0000-0000-0000E8070000}"/>
    <cellStyle name="Normal 2 20 24 2" xfId="1473" xr:uid="{00000000-0005-0000-0000-0000E9070000}"/>
    <cellStyle name="Normal 2 20 25" xfId="1474" xr:uid="{00000000-0005-0000-0000-0000EA070000}"/>
    <cellStyle name="Normal 2 20 3" xfId="1475" xr:uid="{00000000-0005-0000-0000-0000EB070000}"/>
    <cellStyle name="Normal 2 20 3 2" xfId="1476" xr:uid="{00000000-0005-0000-0000-0000EC070000}"/>
    <cellStyle name="Normal 2 20 3 2 2" xfId="1477" xr:uid="{00000000-0005-0000-0000-0000ED070000}"/>
    <cellStyle name="Normal 2 20 3 3" xfId="1478" xr:uid="{00000000-0005-0000-0000-0000EE070000}"/>
    <cellStyle name="Normal 2 20 4" xfId="1479" xr:uid="{00000000-0005-0000-0000-0000EF070000}"/>
    <cellStyle name="Normal 2 20 4 2" xfId="1480" xr:uid="{00000000-0005-0000-0000-0000F0070000}"/>
    <cellStyle name="Normal 2 20 4 2 2" xfId="1481" xr:uid="{00000000-0005-0000-0000-0000F1070000}"/>
    <cellStyle name="Normal 2 20 4 3" xfId="1482" xr:uid="{00000000-0005-0000-0000-0000F2070000}"/>
    <cellStyle name="Normal 2 20 5" xfId="1483" xr:uid="{00000000-0005-0000-0000-0000F3070000}"/>
    <cellStyle name="Normal 2 20 5 2" xfId="1484" xr:uid="{00000000-0005-0000-0000-0000F4070000}"/>
    <cellStyle name="Normal 2 20 5 2 2" xfId="1485" xr:uid="{00000000-0005-0000-0000-0000F5070000}"/>
    <cellStyle name="Normal 2 20 5 3" xfId="1486" xr:uid="{00000000-0005-0000-0000-0000F6070000}"/>
    <cellStyle name="Normal 2 20 6" xfId="1487" xr:uid="{00000000-0005-0000-0000-0000F7070000}"/>
    <cellStyle name="Normal 2 20 6 2" xfId="1488" xr:uid="{00000000-0005-0000-0000-0000F8070000}"/>
    <cellStyle name="Normal 2 20 6 2 2" xfId="1489" xr:uid="{00000000-0005-0000-0000-0000F9070000}"/>
    <cellStyle name="Normal 2 20 6 3" xfId="1490" xr:uid="{00000000-0005-0000-0000-0000FA070000}"/>
    <cellStyle name="Normal 2 20 7" xfId="1491" xr:uid="{00000000-0005-0000-0000-0000FB070000}"/>
    <cellStyle name="Normal 2 20 7 2" xfId="1492" xr:uid="{00000000-0005-0000-0000-0000FC070000}"/>
    <cellStyle name="Normal 2 20 7 2 2" xfId="1493" xr:uid="{00000000-0005-0000-0000-0000FD070000}"/>
    <cellStyle name="Normal 2 20 7 3" xfId="1494" xr:uid="{00000000-0005-0000-0000-0000FE070000}"/>
    <cellStyle name="Normal 2 20 8" xfId="1495" xr:uid="{00000000-0005-0000-0000-0000FF070000}"/>
    <cellStyle name="Normal 2 20 8 2" xfId="1496" xr:uid="{00000000-0005-0000-0000-000000080000}"/>
    <cellStyle name="Normal 2 20 8 2 2" xfId="1497" xr:uid="{00000000-0005-0000-0000-000001080000}"/>
    <cellStyle name="Normal 2 20 8 3" xfId="1498" xr:uid="{00000000-0005-0000-0000-000002080000}"/>
    <cellStyle name="Normal 2 20 9" xfId="1499" xr:uid="{00000000-0005-0000-0000-000003080000}"/>
    <cellStyle name="Normal 2 20 9 2" xfId="1500" xr:uid="{00000000-0005-0000-0000-000004080000}"/>
    <cellStyle name="Normal 2 20 9 2 2" xfId="1501" xr:uid="{00000000-0005-0000-0000-000005080000}"/>
    <cellStyle name="Normal 2 20 9 3" xfId="1502" xr:uid="{00000000-0005-0000-0000-000006080000}"/>
    <cellStyle name="Normal 2 21" xfId="1503" xr:uid="{00000000-0005-0000-0000-000007080000}"/>
    <cellStyle name="Normal 2 21 10" xfId="1504" xr:uid="{00000000-0005-0000-0000-000008080000}"/>
    <cellStyle name="Normal 2 21 10 2" xfId="1505" xr:uid="{00000000-0005-0000-0000-000009080000}"/>
    <cellStyle name="Normal 2 21 10 2 2" xfId="1506" xr:uid="{00000000-0005-0000-0000-00000A080000}"/>
    <cellStyle name="Normal 2 21 10 3" xfId="1507" xr:uid="{00000000-0005-0000-0000-00000B080000}"/>
    <cellStyle name="Normal 2 21 11" xfId="1508" xr:uid="{00000000-0005-0000-0000-00000C080000}"/>
    <cellStyle name="Normal 2 21 11 2" xfId="1509" xr:uid="{00000000-0005-0000-0000-00000D080000}"/>
    <cellStyle name="Normal 2 21 11 2 2" xfId="1510" xr:uid="{00000000-0005-0000-0000-00000E080000}"/>
    <cellStyle name="Normal 2 21 11 3" xfId="1511" xr:uid="{00000000-0005-0000-0000-00000F080000}"/>
    <cellStyle name="Normal 2 21 12" xfId="1512" xr:uid="{00000000-0005-0000-0000-000010080000}"/>
    <cellStyle name="Normal 2 21 12 2" xfId="1513" xr:uid="{00000000-0005-0000-0000-000011080000}"/>
    <cellStyle name="Normal 2 21 12 2 2" xfId="1514" xr:uid="{00000000-0005-0000-0000-000012080000}"/>
    <cellStyle name="Normal 2 21 12 3" xfId="1515" xr:uid="{00000000-0005-0000-0000-000013080000}"/>
    <cellStyle name="Normal 2 21 13" xfId="1516" xr:uid="{00000000-0005-0000-0000-000014080000}"/>
    <cellStyle name="Normal 2 21 13 2" xfId="1517" xr:uid="{00000000-0005-0000-0000-000015080000}"/>
    <cellStyle name="Normal 2 21 13 2 2" xfId="1518" xr:uid="{00000000-0005-0000-0000-000016080000}"/>
    <cellStyle name="Normal 2 21 13 3" xfId="1519" xr:uid="{00000000-0005-0000-0000-000017080000}"/>
    <cellStyle name="Normal 2 21 14" xfId="1520" xr:uid="{00000000-0005-0000-0000-000018080000}"/>
    <cellStyle name="Normal 2 21 14 2" xfId="1521" xr:uid="{00000000-0005-0000-0000-000019080000}"/>
    <cellStyle name="Normal 2 21 14 2 2" xfId="1522" xr:uid="{00000000-0005-0000-0000-00001A080000}"/>
    <cellStyle name="Normal 2 21 14 3" xfId="1523" xr:uid="{00000000-0005-0000-0000-00001B080000}"/>
    <cellStyle name="Normal 2 21 15" xfId="1524" xr:uid="{00000000-0005-0000-0000-00001C080000}"/>
    <cellStyle name="Normal 2 21 15 2" xfId="1525" xr:uid="{00000000-0005-0000-0000-00001D080000}"/>
    <cellStyle name="Normal 2 21 15 2 2" xfId="1526" xr:uid="{00000000-0005-0000-0000-00001E080000}"/>
    <cellStyle name="Normal 2 21 15 3" xfId="1527" xr:uid="{00000000-0005-0000-0000-00001F080000}"/>
    <cellStyle name="Normal 2 21 16" xfId="1528" xr:uid="{00000000-0005-0000-0000-000020080000}"/>
    <cellStyle name="Normal 2 21 16 2" xfId="1529" xr:uid="{00000000-0005-0000-0000-000021080000}"/>
    <cellStyle name="Normal 2 21 16 2 2" xfId="1530" xr:uid="{00000000-0005-0000-0000-000022080000}"/>
    <cellStyle name="Normal 2 21 16 3" xfId="1531" xr:uid="{00000000-0005-0000-0000-000023080000}"/>
    <cellStyle name="Normal 2 21 17" xfId="1532" xr:uid="{00000000-0005-0000-0000-000024080000}"/>
    <cellStyle name="Normal 2 21 17 2" xfId="1533" xr:uid="{00000000-0005-0000-0000-000025080000}"/>
    <cellStyle name="Normal 2 21 17 2 2" xfId="1534" xr:uid="{00000000-0005-0000-0000-000026080000}"/>
    <cellStyle name="Normal 2 21 17 3" xfId="1535" xr:uid="{00000000-0005-0000-0000-000027080000}"/>
    <cellStyle name="Normal 2 21 18" xfId="1536" xr:uid="{00000000-0005-0000-0000-000028080000}"/>
    <cellStyle name="Normal 2 21 18 2" xfId="1537" xr:uid="{00000000-0005-0000-0000-000029080000}"/>
    <cellStyle name="Normal 2 21 18 2 2" xfId="1538" xr:uid="{00000000-0005-0000-0000-00002A080000}"/>
    <cellStyle name="Normal 2 21 18 3" xfId="1539" xr:uid="{00000000-0005-0000-0000-00002B080000}"/>
    <cellStyle name="Normal 2 21 19" xfId="1540" xr:uid="{00000000-0005-0000-0000-00002C080000}"/>
    <cellStyle name="Normal 2 21 19 2" xfId="1541" xr:uid="{00000000-0005-0000-0000-00002D080000}"/>
    <cellStyle name="Normal 2 21 19 2 2" xfId="1542" xr:uid="{00000000-0005-0000-0000-00002E080000}"/>
    <cellStyle name="Normal 2 21 19 3" xfId="1543" xr:uid="{00000000-0005-0000-0000-00002F080000}"/>
    <cellStyle name="Normal 2 21 2" xfId="1544" xr:uid="{00000000-0005-0000-0000-000030080000}"/>
    <cellStyle name="Normal 2 21 2 2" xfId="1545" xr:uid="{00000000-0005-0000-0000-000031080000}"/>
    <cellStyle name="Normal 2 21 2 2 2" xfId="1546" xr:uid="{00000000-0005-0000-0000-000032080000}"/>
    <cellStyle name="Normal 2 21 2 3" xfId="1547" xr:uid="{00000000-0005-0000-0000-000033080000}"/>
    <cellStyle name="Normal 2 21 20" xfId="1548" xr:uid="{00000000-0005-0000-0000-000034080000}"/>
    <cellStyle name="Normal 2 21 20 2" xfId="1549" xr:uid="{00000000-0005-0000-0000-000035080000}"/>
    <cellStyle name="Normal 2 21 20 2 2" xfId="1550" xr:uid="{00000000-0005-0000-0000-000036080000}"/>
    <cellStyle name="Normal 2 21 20 3" xfId="1551" xr:uid="{00000000-0005-0000-0000-000037080000}"/>
    <cellStyle name="Normal 2 21 21" xfId="1552" xr:uid="{00000000-0005-0000-0000-000038080000}"/>
    <cellStyle name="Normal 2 21 21 2" xfId="1553" xr:uid="{00000000-0005-0000-0000-000039080000}"/>
    <cellStyle name="Normal 2 21 21 2 2" xfId="1554" xr:uid="{00000000-0005-0000-0000-00003A080000}"/>
    <cellStyle name="Normal 2 21 21 3" xfId="1555" xr:uid="{00000000-0005-0000-0000-00003B080000}"/>
    <cellStyle name="Normal 2 21 22" xfId="1556" xr:uid="{00000000-0005-0000-0000-00003C080000}"/>
    <cellStyle name="Normal 2 21 22 2" xfId="1557" xr:uid="{00000000-0005-0000-0000-00003D080000}"/>
    <cellStyle name="Normal 2 21 22 2 2" xfId="1558" xr:uid="{00000000-0005-0000-0000-00003E080000}"/>
    <cellStyle name="Normal 2 21 22 3" xfId="1559" xr:uid="{00000000-0005-0000-0000-00003F080000}"/>
    <cellStyle name="Normal 2 21 23" xfId="1560" xr:uid="{00000000-0005-0000-0000-000040080000}"/>
    <cellStyle name="Normal 2 21 23 2" xfId="1561" xr:uid="{00000000-0005-0000-0000-000041080000}"/>
    <cellStyle name="Normal 2 21 23 2 2" xfId="1562" xr:uid="{00000000-0005-0000-0000-000042080000}"/>
    <cellStyle name="Normal 2 21 23 3" xfId="1563" xr:uid="{00000000-0005-0000-0000-000043080000}"/>
    <cellStyle name="Normal 2 21 24" xfId="1564" xr:uid="{00000000-0005-0000-0000-000044080000}"/>
    <cellStyle name="Normal 2 21 24 2" xfId="1565" xr:uid="{00000000-0005-0000-0000-000045080000}"/>
    <cellStyle name="Normal 2 21 25" xfId="1566" xr:uid="{00000000-0005-0000-0000-000046080000}"/>
    <cellStyle name="Normal 2 21 3" xfId="1567" xr:uid="{00000000-0005-0000-0000-000047080000}"/>
    <cellStyle name="Normal 2 21 3 2" xfId="1568" xr:uid="{00000000-0005-0000-0000-000048080000}"/>
    <cellStyle name="Normal 2 21 3 2 2" xfId="1569" xr:uid="{00000000-0005-0000-0000-000049080000}"/>
    <cellStyle name="Normal 2 21 3 3" xfId="1570" xr:uid="{00000000-0005-0000-0000-00004A080000}"/>
    <cellStyle name="Normal 2 21 4" xfId="1571" xr:uid="{00000000-0005-0000-0000-00004B080000}"/>
    <cellStyle name="Normal 2 21 4 2" xfId="1572" xr:uid="{00000000-0005-0000-0000-00004C080000}"/>
    <cellStyle name="Normal 2 21 4 2 2" xfId="1573" xr:uid="{00000000-0005-0000-0000-00004D080000}"/>
    <cellStyle name="Normal 2 21 4 3" xfId="1574" xr:uid="{00000000-0005-0000-0000-00004E080000}"/>
    <cellStyle name="Normal 2 21 5" xfId="1575" xr:uid="{00000000-0005-0000-0000-00004F080000}"/>
    <cellStyle name="Normal 2 21 5 2" xfId="1576" xr:uid="{00000000-0005-0000-0000-000050080000}"/>
    <cellStyle name="Normal 2 21 5 2 2" xfId="1577" xr:uid="{00000000-0005-0000-0000-000051080000}"/>
    <cellStyle name="Normal 2 21 5 3" xfId="1578" xr:uid="{00000000-0005-0000-0000-000052080000}"/>
    <cellStyle name="Normal 2 21 6" xfId="1579" xr:uid="{00000000-0005-0000-0000-000053080000}"/>
    <cellStyle name="Normal 2 21 6 2" xfId="1580" xr:uid="{00000000-0005-0000-0000-000054080000}"/>
    <cellStyle name="Normal 2 21 6 2 2" xfId="1581" xr:uid="{00000000-0005-0000-0000-000055080000}"/>
    <cellStyle name="Normal 2 21 6 3" xfId="1582" xr:uid="{00000000-0005-0000-0000-000056080000}"/>
    <cellStyle name="Normal 2 21 7" xfId="1583" xr:uid="{00000000-0005-0000-0000-000057080000}"/>
    <cellStyle name="Normal 2 21 7 2" xfId="1584" xr:uid="{00000000-0005-0000-0000-000058080000}"/>
    <cellStyle name="Normal 2 21 7 2 2" xfId="1585" xr:uid="{00000000-0005-0000-0000-000059080000}"/>
    <cellStyle name="Normal 2 21 7 3" xfId="1586" xr:uid="{00000000-0005-0000-0000-00005A080000}"/>
    <cellStyle name="Normal 2 21 8" xfId="1587" xr:uid="{00000000-0005-0000-0000-00005B080000}"/>
    <cellStyle name="Normal 2 21 8 2" xfId="1588" xr:uid="{00000000-0005-0000-0000-00005C080000}"/>
    <cellStyle name="Normal 2 21 8 2 2" xfId="1589" xr:uid="{00000000-0005-0000-0000-00005D080000}"/>
    <cellStyle name="Normal 2 21 8 3" xfId="1590" xr:uid="{00000000-0005-0000-0000-00005E080000}"/>
    <cellStyle name="Normal 2 21 9" xfId="1591" xr:uid="{00000000-0005-0000-0000-00005F080000}"/>
    <cellStyle name="Normal 2 21 9 2" xfId="1592" xr:uid="{00000000-0005-0000-0000-000060080000}"/>
    <cellStyle name="Normal 2 21 9 2 2" xfId="1593" xr:uid="{00000000-0005-0000-0000-000061080000}"/>
    <cellStyle name="Normal 2 21 9 3" xfId="1594" xr:uid="{00000000-0005-0000-0000-000062080000}"/>
    <cellStyle name="Normal 2 22" xfId="1595" xr:uid="{00000000-0005-0000-0000-000063080000}"/>
    <cellStyle name="Normal 2 22 10" xfId="1596" xr:uid="{00000000-0005-0000-0000-000064080000}"/>
    <cellStyle name="Normal 2 22 10 2" xfId="1597" xr:uid="{00000000-0005-0000-0000-000065080000}"/>
    <cellStyle name="Normal 2 22 10 2 2" xfId="1598" xr:uid="{00000000-0005-0000-0000-000066080000}"/>
    <cellStyle name="Normal 2 22 10 3" xfId="1599" xr:uid="{00000000-0005-0000-0000-000067080000}"/>
    <cellStyle name="Normal 2 22 11" xfId="1600" xr:uid="{00000000-0005-0000-0000-000068080000}"/>
    <cellStyle name="Normal 2 22 11 2" xfId="1601" xr:uid="{00000000-0005-0000-0000-000069080000}"/>
    <cellStyle name="Normal 2 22 11 2 2" xfId="1602" xr:uid="{00000000-0005-0000-0000-00006A080000}"/>
    <cellStyle name="Normal 2 22 11 3" xfId="1603" xr:uid="{00000000-0005-0000-0000-00006B080000}"/>
    <cellStyle name="Normal 2 22 12" xfId="1604" xr:uid="{00000000-0005-0000-0000-00006C080000}"/>
    <cellStyle name="Normal 2 22 12 2" xfId="1605" xr:uid="{00000000-0005-0000-0000-00006D080000}"/>
    <cellStyle name="Normal 2 22 12 2 2" xfId="1606" xr:uid="{00000000-0005-0000-0000-00006E080000}"/>
    <cellStyle name="Normal 2 22 12 3" xfId="1607" xr:uid="{00000000-0005-0000-0000-00006F080000}"/>
    <cellStyle name="Normal 2 22 13" xfId="1608" xr:uid="{00000000-0005-0000-0000-000070080000}"/>
    <cellStyle name="Normal 2 22 13 2" xfId="1609" xr:uid="{00000000-0005-0000-0000-000071080000}"/>
    <cellStyle name="Normal 2 22 13 2 2" xfId="1610" xr:uid="{00000000-0005-0000-0000-000072080000}"/>
    <cellStyle name="Normal 2 22 13 3" xfId="1611" xr:uid="{00000000-0005-0000-0000-000073080000}"/>
    <cellStyle name="Normal 2 22 14" xfId="1612" xr:uid="{00000000-0005-0000-0000-000074080000}"/>
    <cellStyle name="Normal 2 22 14 2" xfId="1613" xr:uid="{00000000-0005-0000-0000-000075080000}"/>
    <cellStyle name="Normal 2 22 14 2 2" xfId="1614" xr:uid="{00000000-0005-0000-0000-000076080000}"/>
    <cellStyle name="Normal 2 22 14 3" xfId="1615" xr:uid="{00000000-0005-0000-0000-000077080000}"/>
    <cellStyle name="Normal 2 22 15" xfId="1616" xr:uid="{00000000-0005-0000-0000-000078080000}"/>
    <cellStyle name="Normal 2 22 15 2" xfId="1617" xr:uid="{00000000-0005-0000-0000-000079080000}"/>
    <cellStyle name="Normal 2 22 15 2 2" xfId="1618" xr:uid="{00000000-0005-0000-0000-00007A080000}"/>
    <cellStyle name="Normal 2 22 15 3" xfId="1619" xr:uid="{00000000-0005-0000-0000-00007B080000}"/>
    <cellStyle name="Normal 2 22 16" xfId="1620" xr:uid="{00000000-0005-0000-0000-00007C080000}"/>
    <cellStyle name="Normal 2 22 16 2" xfId="1621" xr:uid="{00000000-0005-0000-0000-00007D080000}"/>
    <cellStyle name="Normal 2 22 16 2 2" xfId="1622" xr:uid="{00000000-0005-0000-0000-00007E080000}"/>
    <cellStyle name="Normal 2 22 16 3" xfId="1623" xr:uid="{00000000-0005-0000-0000-00007F080000}"/>
    <cellStyle name="Normal 2 22 17" xfId="1624" xr:uid="{00000000-0005-0000-0000-000080080000}"/>
    <cellStyle name="Normal 2 22 17 2" xfId="1625" xr:uid="{00000000-0005-0000-0000-000081080000}"/>
    <cellStyle name="Normal 2 22 17 2 2" xfId="1626" xr:uid="{00000000-0005-0000-0000-000082080000}"/>
    <cellStyle name="Normal 2 22 17 3" xfId="1627" xr:uid="{00000000-0005-0000-0000-000083080000}"/>
    <cellStyle name="Normal 2 22 18" xfId="1628" xr:uid="{00000000-0005-0000-0000-000084080000}"/>
    <cellStyle name="Normal 2 22 18 2" xfId="1629" xr:uid="{00000000-0005-0000-0000-000085080000}"/>
    <cellStyle name="Normal 2 22 18 2 2" xfId="1630" xr:uid="{00000000-0005-0000-0000-000086080000}"/>
    <cellStyle name="Normal 2 22 18 3" xfId="1631" xr:uid="{00000000-0005-0000-0000-000087080000}"/>
    <cellStyle name="Normal 2 22 19" xfId="1632" xr:uid="{00000000-0005-0000-0000-000088080000}"/>
    <cellStyle name="Normal 2 22 19 2" xfId="1633" xr:uid="{00000000-0005-0000-0000-000089080000}"/>
    <cellStyle name="Normal 2 22 19 2 2" xfId="1634" xr:uid="{00000000-0005-0000-0000-00008A080000}"/>
    <cellStyle name="Normal 2 22 19 3" xfId="1635" xr:uid="{00000000-0005-0000-0000-00008B080000}"/>
    <cellStyle name="Normal 2 22 2" xfId="1636" xr:uid="{00000000-0005-0000-0000-00008C080000}"/>
    <cellStyle name="Normal 2 22 2 2" xfId="1637" xr:uid="{00000000-0005-0000-0000-00008D080000}"/>
    <cellStyle name="Normal 2 22 2 2 2" xfId="1638" xr:uid="{00000000-0005-0000-0000-00008E080000}"/>
    <cellStyle name="Normal 2 22 2 3" xfId="1639" xr:uid="{00000000-0005-0000-0000-00008F080000}"/>
    <cellStyle name="Normal 2 22 20" xfId="1640" xr:uid="{00000000-0005-0000-0000-000090080000}"/>
    <cellStyle name="Normal 2 22 20 2" xfId="1641" xr:uid="{00000000-0005-0000-0000-000091080000}"/>
    <cellStyle name="Normal 2 22 20 2 2" xfId="1642" xr:uid="{00000000-0005-0000-0000-000092080000}"/>
    <cellStyle name="Normal 2 22 20 3" xfId="1643" xr:uid="{00000000-0005-0000-0000-000093080000}"/>
    <cellStyle name="Normal 2 22 21" xfId="1644" xr:uid="{00000000-0005-0000-0000-000094080000}"/>
    <cellStyle name="Normal 2 22 21 2" xfId="1645" xr:uid="{00000000-0005-0000-0000-000095080000}"/>
    <cellStyle name="Normal 2 22 21 2 2" xfId="1646" xr:uid="{00000000-0005-0000-0000-000096080000}"/>
    <cellStyle name="Normal 2 22 21 3" xfId="1647" xr:uid="{00000000-0005-0000-0000-000097080000}"/>
    <cellStyle name="Normal 2 22 22" xfId="1648" xr:uid="{00000000-0005-0000-0000-000098080000}"/>
    <cellStyle name="Normal 2 22 22 2" xfId="1649" xr:uid="{00000000-0005-0000-0000-000099080000}"/>
    <cellStyle name="Normal 2 22 22 2 2" xfId="1650" xr:uid="{00000000-0005-0000-0000-00009A080000}"/>
    <cellStyle name="Normal 2 22 22 3" xfId="1651" xr:uid="{00000000-0005-0000-0000-00009B080000}"/>
    <cellStyle name="Normal 2 22 23" xfId="1652" xr:uid="{00000000-0005-0000-0000-00009C080000}"/>
    <cellStyle name="Normal 2 22 23 2" xfId="1653" xr:uid="{00000000-0005-0000-0000-00009D080000}"/>
    <cellStyle name="Normal 2 22 23 2 2" xfId="1654" xr:uid="{00000000-0005-0000-0000-00009E080000}"/>
    <cellStyle name="Normal 2 22 23 3" xfId="1655" xr:uid="{00000000-0005-0000-0000-00009F080000}"/>
    <cellStyle name="Normal 2 22 24" xfId="1656" xr:uid="{00000000-0005-0000-0000-0000A0080000}"/>
    <cellStyle name="Normal 2 22 24 2" xfId="1657" xr:uid="{00000000-0005-0000-0000-0000A1080000}"/>
    <cellStyle name="Normal 2 22 25" xfId="1658" xr:uid="{00000000-0005-0000-0000-0000A2080000}"/>
    <cellStyle name="Normal 2 22 3" xfId="1659" xr:uid="{00000000-0005-0000-0000-0000A3080000}"/>
    <cellStyle name="Normal 2 22 3 2" xfId="1660" xr:uid="{00000000-0005-0000-0000-0000A4080000}"/>
    <cellStyle name="Normal 2 22 3 2 2" xfId="1661" xr:uid="{00000000-0005-0000-0000-0000A5080000}"/>
    <cellStyle name="Normal 2 22 3 3" xfId="1662" xr:uid="{00000000-0005-0000-0000-0000A6080000}"/>
    <cellStyle name="Normal 2 22 4" xfId="1663" xr:uid="{00000000-0005-0000-0000-0000A7080000}"/>
    <cellStyle name="Normal 2 22 4 2" xfId="1664" xr:uid="{00000000-0005-0000-0000-0000A8080000}"/>
    <cellStyle name="Normal 2 22 4 2 2" xfId="1665" xr:uid="{00000000-0005-0000-0000-0000A9080000}"/>
    <cellStyle name="Normal 2 22 4 3" xfId="1666" xr:uid="{00000000-0005-0000-0000-0000AA080000}"/>
    <cellStyle name="Normal 2 22 5" xfId="1667" xr:uid="{00000000-0005-0000-0000-0000AB080000}"/>
    <cellStyle name="Normal 2 22 5 2" xfId="1668" xr:uid="{00000000-0005-0000-0000-0000AC080000}"/>
    <cellStyle name="Normal 2 22 5 2 2" xfId="1669" xr:uid="{00000000-0005-0000-0000-0000AD080000}"/>
    <cellStyle name="Normal 2 22 5 3" xfId="1670" xr:uid="{00000000-0005-0000-0000-0000AE080000}"/>
    <cellStyle name="Normal 2 22 6" xfId="1671" xr:uid="{00000000-0005-0000-0000-0000AF080000}"/>
    <cellStyle name="Normal 2 22 6 2" xfId="1672" xr:uid="{00000000-0005-0000-0000-0000B0080000}"/>
    <cellStyle name="Normal 2 22 6 2 2" xfId="1673" xr:uid="{00000000-0005-0000-0000-0000B1080000}"/>
    <cellStyle name="Normal 2 22 6 3" xfId="1674" xr:uid="{00000000-0005-0000-0000-0000B2080000}"/>
    <cellStyle name="Normal 2 22 7" xfId="1675" xr:uid="{00000000-0005-0000-0000-0000B3080000}"/>
    <cellStyle name="Normal 2 22 7 2" xfId="1676" xr:uid="{00000000-0005-0000-0000-0000B4080000}"/>
    <cellStyle name="Normal 2 22 7 2 2" xfId="1677" xr:uid="{00000000-0005-0000-0000-0000B5080000}"/>
    <cellStyle name="Normal 2 22 7 3" xfId="1678" xr:uid="{00000000-0005-0000-0000-0000B6080000}"/>
    <cellStyle name="Normal 2 22 8" xfId="1679" xr:uid="{00000000-0005-0000-0000-0000B7080000}"/>
    <cellStyle name="Normal 2 22 8 2" xfId="1680" xr:uid="{00000000-0005-0000-0000-0000B8080000}"/>
    <cellStyle name="Normal 2 22 8 2 2" xfId="1681" xr:uid="{00000000-0005-0000-0000-0000B9080000}"/>
    <cellStyle name="Normal 2 22 8 3" xfId="1682" xr:uid="{00000000-0005-0000-0000-0000BA080000}"/>
    <cellStyle name="Normal 2 22 9" xfId="1683" xr:uid="{00000000-0005-0000-0000-0000BB080000}"/>
    <cellStyle name="Normal 2 22 9 2" xfId="1684" xr:uid="{00000000-0005-0000-0000-0000BC080000}"/>
    <cellStyle name="Normal 2 22 9 2 2" xfId="1685" xr:uid="{00000000-0005-0000-0000-0000BD080000}"/>
    <cellStyle name="Normal 2 22 9 3" xfId="1686" xr:uid="{00000000-0005-0000-0000-0000BE080000}"/>
    <cellStyle name="Normal 2 23" xfId="1687" xr:uid="{00000000-0005-0000-0000-0000BF080000}"/>
    <cellStyle name="Normal 2 23 10" xfId="1688" xr:uid="{00000000-0005-0000-0000-0000C0080000}"/>
    <cellStyle name="Normal 2 23 10 2" xfId="1689" xr:uid="{00000000-0005-0000-0000-0000C1080000}"/>
    <cellStyle name="Normal 2 23 10 2 2" xfId="1690" xr:uid="{00000000-0005-0000-0000-0000C2080000}"/>
    <cellStyle name="Normal 2 23 10 3" xfId="1691" xr:uid="{00000000-0005-0000-0000-0000C3080000}"/>
    <cellStyle name="Normal 2 23 11" xfId="1692" xr:uid="{00000000-0005-0000-0000-0000C4080000}"/>
    <cellStyle name="Normal 2 23 11 2" xfId="1693" xr:uid="{00000000-0005-0000-0000-0000C5080000}"/>
    <cellStyle name="Normal 2 23 11 2 2" xfId="1694" xr:uid="{00000000-0005-0000-0000-0000C6080000}"/>
    <cellStyle name="Normal 2 23 11 3" xfId="1695" xr:uid="{00000000-0005-0000-0000-0000C7080000}"/>
    <cellStyle name="Normal 2 23 12" xfId="1696" xr:uid="{00000000-0005-0000-0000-0000C8080000}"/>
    <cellStyle name="Normal 2 23 12 2" xfId="1697" xr:uid="{00000000-0005-0000-0000-0000C9080000}"/>
    <cellStyle name="Normal 2 23 12 2 2" xfId="1698" xr:uid="{00000000-0005-0000-0000-0000CA080000}"/>
    <cellStyle name="Normal 2 23 12 3" xfId="1699" xr:uid="{00000000-0005-0000-0000-0000CB080000}"/>
    <cellStyle name="Normal 2 23 13" xfId="1700" xr:uid="{00000000-0005-0000-0000-0000CC080000}"/>
    <cellStyle name="Normal 2 23 13 2" xfId="1701" xr:uid="{00000000-0005-0000-0000-0000CD080000}"/>
    <cellStyle name="Normal 2 23 13 2 2" xfId="1702" xr:uid="{00000000-0005-0000-0000-0000CE080000}"/>
    <cellStyle name="Normal 2 23 13 3" xfId="1703" xr:uid="{00000000-0005-0000-0000-0000CF080000}"/>
    <cellStyle name="Normal 2 23 14" xfId="1704" xr:uid="{00000000-0005-0000-0000-0000D0080000}"/>
    <cellStyle name="Normal 2 23 14 2" xfId="1705" xr:uid="{00000000-0005-0000-0000-0000D1080000}"/>
    <cellStyle name="Normal 2 23 14 2 2" xfId="1706" xr:uid="{00000000-0005-0000-0000-0000D2080000}"/>
    <cellStyle name="Normal 2 23 14 3" xfId="1707" xr:uid="{00000000-0005-0000-0000-0000D3080000}"/>
    <cellStyle name="Normal 2 23 15" xfId="1708" xr:uid="{00000000-0005-0000-0000-0000D4080000}"/>
    <cellStyle name="Normal 2 23 15 2" xfId="1709" xr:uid="{00000000-0005-0000-0000-0000D5080000}"/>
    <cellStyle name="Normal 2 23 15 2 2" xfId="1710" xr:uid="{00000000-0005-0000-0000-0000D6080000}"/>
    <cellStyle name="Normal 2 23 15 3" xfId="1711" xr:uid="{00000000-0005-0000-0000-0000D7080000}"/>
    <cellStyle name="Normal 2 23 16" xfId="1712" xr:uid="{00000000-0005-0000-0000-0000D8080000}"/>
    <cellStyle name="Normal 2 23 16 2" xfId="1713" xr:uid="{00000000-0005-0000-0000-0000D9080000}"/>
    <cellStyle name="Normal 2 23 16 2 2" xfId="1714" xr:uid="{00000000-0005-0000-0000-0000DA080000}"/>
    <cellStyle name="Normal 2 23 16 3" xfId="1715" xr:uid="{00000000-0005-0000-0000-0000DB080000}"/>
    <cellStyle name="Normal 2 23 17" xfId="1716" xr:uid="{00000000-0005-0000-0000-0000DC080000}"/>
    <cellStyle name="Normal 2 23 17 2" xfId="1717" xr:uid="{00000000-0005-0000-0000-0000DD080000}"/>
    <cellStyle name="Normal 2 23 17 2 2" xfId="1718" xr:uid="{00000000-0005-0000-0000-0000DE080000}"/>
    <cellStyle name="Normal 2 23 17 3" xfId="1719" xr:uid="{00000000-0005-0000-0000-0000DF080000}"/>
    <cellStyle name="Normal 2 23 18" xfId="1720" xr:uid="{00000000-0005-0000-0000-0000E0080000}"/>
    <cellStyle name="Normal 2 23 18 2" xfId="1721" xr:uid="{00000000-0005-0000-0000-0000E1080000}"/>
    <cellStyle name="Normal 2 23 18 2 2" xfId="1722" xr:uid="{00000000-0005-0000-0000-0000E2080000}"/>
    <cellStyle name="Normal 2 23 18 3" xfId="1723" xr:uid="{00000000-0005-0000-0000-0000E3080000}"/>
    <cellStyle name="Normal 2 23 19" xfId="1724" xr:uid="{00000000-0005-0000-0000-0000E4080000}"/>
    <cellStyle name="Normal 2 23 19 2" xfId="1725" xr:uid="{00000000-0005-0000-0000-0000E5080000}"/>
    <cellStyle name="Normal 2 23 19 2 2" xfId="1726" xr:uid="{00000000-0005-0000-0000-0000E6080000}"/>
    <cellStyle name="Normal 2 23 19 3" xfId="1727" xr:uid="{00000000-0005-0000-0000-0000E7080000}"/>
    <cellStyle name="Normal 2 23 2" xfId="1728" xr:uid="{00000000-0005-0000-0000-0000E8080000}"/>
    <cellStyle name="Normal 2 23 2 2" xfId="1729" xr:uid="{00000000-0005-0000-0000-0000E9080000}"/>
    <cellStyle name="Normal 2 23 2 2 2" xfId="1730" xr:uid="{00000000-0005-0000-0000-0000EA080000}"/>
    <cellStyle name="Normal 2 23 2 3" xfId="1731" xr:uid="{00000000-0005-0000-0000-0000EB080000}"/>
    <cellStyle name="Normal 2 23 20" xfId="1732" xr:uid="{00000000-0005-0000-0000-0000EC080000}"/>
    <cellStyle name="Normal 2 23 20 2" xfId="1733" xr:uid="{00000000-0005-0000-0000-0000ED080000}"/>
    <cellStyle name="Normal 2 23 20 2 2" xfId="1734" xr:uid="{00000000-0005-0000-0000-0000EE080000}"/>
    <cellStyle name="Normal 2 23 20 3" xfId="1735" xr:uid="{00000000-0005-0000-0000-0000EF080000}"/>
    <cellStyle name="Normal 2 23 21" xfId="1736" xr:uid="{00000000-0005-0000-0000-0000F0080000}"/>
    <cellStyle name="Normal 2 23 21 2" xfId="1737" xr:uid="{00000000-0005-0000-0000-0000F1080000}"/>
    <cellStyle name="Normal 2 23 21 2 2" xfId="1738" xr:uid="{00000000-0005-0000-0000-0000F2080000}"/>
    <cellStyle name="Normal 2 23 21 3" xfId="1739" xr:uid="{00000000-0005-0000-0000-0000F3080000}"/>
    <cellStyle name="Normal 2 23 22" xfId="1740" xr:uid="{00000000-0005-0000-0000-0000F4080000}"/>
    <cellStyle name="Normal 2 23 22 2" xfId="1741" xr:uid="{00000000-0005-0000-0000-0000F5080000}"/>
    <cellStyle name="Normal 2 23 22 2 2" xfId="1742" xr:uid="{00000000-0005-0000-0000-0000F6080000}"/>
    <cellStyle name="Normal 2 23 22 3" xfId="1743" xr:uid="{00000000-0005-0000-0000-0000F7080000}"/>
    <cellStyle name="Normal 2 23 23" xfId="1744" xr:uid="{00000000-0005-0000-0000-0000F8080000}"/>
    <cellStyle name="Normal 2 23 23 2" xfId="1745" xr:uid="{00000000-0005-0000-0000-0000F9080000}"/>
    <cellStyle name="Normal 2 23 23 2 2" xfId="1746" xr:uid="{00000000-0005-0000-0000-0000FA080000}"/>
    <cellStyle name="Normal 2 23 23 3" xfId="1747" xr:uid="{00000000-0005-0000-0000-0000FB080000}"/>
    <cellStyle name="Normal 2 23 24" xfId="1748" xr:uid="{00000000-0005-0000-0000-0000FC080000}"/>
    <cellStyle name="Normal 2 23 24 2" xfId="1749" xr:uid="{00000000-0005-0000-0000-0000FD080000}"/>
    <cellStyle name="Normal 2 23 25" xfId="1750" xr:uid="{00000000-0005-0000-0000-0000FE080000}"/>
    <cellStyle name="Normal 2 23 3" xfId="1751" xr:uid="{00000000-0005-0000-0000-0000FF080000}"/>
    <cellStyle name="Normal 2 23 3 2" xfId="1752" xr:uid="{00000000-0005-0000-0000-000000090000}"/>
    <cellStyle name="Normal 2 23 3 2 2" xfId="1753" xr:uid="{00000000-0005-0000-0000-000001090000}"/>
    <cellStyle name="Normal 2 23 3 3" xfId="1754" xr:uid="{00000000-0005-0000-0000-000002090000}"/>
    <cellStyle name="Normal 2 23 4" xfId="1755" xr:uid="{00000000-0005-0000-0000-000003090000}"/>
    <cellStyle name="Normal 2 23 4 2" xfId="1756" xr:uid="{00000000-0005-0000-0000-000004090000}"/>
    <cellStyle name="Normal 2 23 4 2 2" xfId="1757" xr:uid="{00000000-0005-0000-0000-000005090000}"/>
    <cellStyle name="Normal 2 23 4 3" xfId="1758" xr:uid="{00000000-0005-0000-0000-000006090000}"/>
    <cellStyle name="Normal 2 23 5" xfId="1759" xr:uid="{00000000-0005-0000-0000-000007090000}"/>
    <cellStyle name="Normal 2 23 5 2" xfId="1760" xr:uid="{00000000-0005-0000-0000-000008090000}"/>
    <cellStyle name="Normal 2 23 5 2 2" xfId="1761" xr:uid="{00000000-0005-0000-0000-000009090000}"/>
    <cellStyle name="Normal 2 23 5 3" xfId="1762" xr:uid="{00000000-0005-0000-0000-00000A090000}"/>
    <cellStyle name="Normal 2 23 6" xfId="1763" xr:uid="{00000000-0005-0000-0000-00000B090000}"/>
    <cellStyle name="Normal 2 23 6 2" xfId="1764" xr:uid="{00000000-0005-0000-0000-00000C090000}"/>
    <cellStyle name="Normal 2 23 6 2 2" xfId="1765" xr:uid="{00000000-0005-0000-0000-00000D090000}"/>
    <cellStyle name="Normal 2 23 6 3" xfId="1766" xr:uid="{00000000-0005-0000-0000-00000E090000}"/>
    <cellStyle name="Normal 2 23 7" xfId="1767" xr:uid="{00000000-0005-0000-0000-00000F090000}"/>
    <cellStyle name="Normal 2 23 7 2" xfId="1768" xr:uid="{00000000-0005-0000-0000-000010090000}"/>
    <cellStyle name="Normal 2 23 7 2 2" xfId="1769" xr:uid="{00000000-0005-0000-0000-000011090000}"/>
    <cellStyle name="Normal 2 23 7 3" xfId="1770" xr:uid="{00000000-0005-0000-0000-000012090000}"/>
    <cellStyle name="Normal 2 23 8" xfId="1771" xr:uid="{00000000-0005-0000-0000-000013090000}"/>
    <cellStyle name="Normal 2 23 8 2" xfId="1772" xr:uid="{00000000-0005-0000-0000-000014090000}"/>
    <cellStyle name="Normal 2 23 8 2 2" xfId="1773" xr:uid="{00000000-0005-0000-0000-000015090000}"/>
    <cellStyle name="Normal 2 23 8 3" xfId="1774" xr:uid="{00000000-0005-0000-0000-000016090000}"/>
    <cellStyle name="Normal 2 23 9" xfId="1775" xr:uid="{00000000-0005-0000-0000-000017090000}"/>
    <cellStyle name="Normal 2 23 9 2" xfId="1776" xr:uid="{00000000-0005-0000-0000-000018090000}"/>
    <cellStyle name="Normal 2 23 9 2 2" xfId="1777" xr:uid="{00000000-0005-0000-0000-000019090000}"/>
    <cellStyle name="Normal 2 23 9 3" xfId="1778" xr:uid="{00000000-0005-0000-0000-00001A090000}"/>
    <cellStyle name="Normal 2 24" xfId="1779" xr:uid="{00000000-0005-0000-0000-00001B090000}"/>
    <cellStyle name="Normal 2 24 10" xfId="1780" xr:uid="{00000000-0005-0000-0000-00001C090000}"/>
    <cellStyle name="Normal 2 24 10 2" xfId="1781" xr:uid="{00000000-0005-0000-0000-00001D090000}"/>
    <cellStyle name="Normal 2 24 10 2 2" xfId="1782" xr:uid="{00000000-0005-0000-0000-00001E090000}"/>
    <cellStyle name="Normal 2 24 10 3" xfId="1783" xr:uid="{00000000-0005-0000-0000-00001F090000}"/>
    <cellStyle name="Normal 2 24 11" xfId="1784" xr:uid="{00000000-0005-0000-0000-000020090000}"/>
    <cellStyle name="Normal 2 24 11 2" xfId="1785" xr:uid="{00000000-0005-0000-0000-000021090000}"/>
    <cellStyle name="Normal 2 24 11 2 2" xfId="1786" xr:uid="{00000000-0005-0000-0000-000022090000}"/>
    <cellStyle name="Normal 2 24 11 3" xfId="1787" xr:uid="{00000000-0005-0000-0000-000023090000}"/>
    <cellStyle name="Normal 2 24 12" xfId="1788" xr:uid="{00000000-0005-0000-0000-000024090000}"/>
    <cellStyle name="Normal 2 24 12 2" xfId="1789" xr:uid="{00000000-0005-0000-0000-000025090000}"/>
    <cellStyle name="Normal 2 24 12 2 2" xfId="1790" xr:uid="{00000000-0005-0000-0000-000026090000}"/>
    <cellStyle name="Normal 2 24 12 3" xfId="1791" xr:uid="{00000000-0005-0000-0000-000027090000}"/>
    <cellStyle name="Normal 2 24 13" xfId="1792" xr:uid="{00000000-0005-0000-0000-000028090000}"/>
    <cellStyle name="Normal 2 24 13 2" xfId="1793" xr:uid="{00000000-0005-0000-0000-000029090000}"/>
    <cellStyle name="Normal 2 24 13 2 2" xfId="1794" xr:uid="{00000000-0005-0000-0000-00002A090000}"/>
    <cellStyle name="Normal 2 24 13 3" xfId="1795" xr:uid="{00000000-0005-0000-0000-00002B090000}"/>
    <cellStyle name="Normal 2 24 14" xfId="1796" xr:uid="{00000000-0005-0000-0000-00002C090000}"/>
    <cellStyle name="Normal 2 24 14 2" xfId="1797" xr:uid="{00000000-0005-0000-0000-00002D090000}"/>
    <cellStyle name="Normal 2 24 14 2 2" xfId="1798" xr:uid="{00000000-0005-0000-0000-00002E090000}"/>
    <cellStyle name="Normal 2 24 14 3" xfId="1799" xr:uid="{00000000-0005-0000-0000-00002F090000}"/>
    <cellStyle name="Normal 2 24 15" xfId="1800" xr:uid="{00000000-0005-0000-0000-000030090000}"/>
    <cellStyle name="Normal 2 24 15 2" xfId="1801" xr:uid="{00000000-0005-0000-0000-000031090000}"/>
    <cellStyle name="Normal 2 24 15 2 2" xfId="1802" xr:uid="{00000000-0005-0000-0000-000032090000}"/>
    <cellStyle name="Normal 2 24 15 3" xfId="1803" xr:uid="{00000000-0005-0000-0000-000033090000}"/>
    <cellStyle name="Normal 2 24 16" xfId="1804" xr:uid="{00000000-0005-0000-0000-000034090000}"/>
    <cellStyle name="Normal 2 24 16 2" xfId="1805" xr:uid="{00000000-0005-0000-0000-000035090000}"/>
    <cellStyle name="Normal 2 24 16 2 2" xfId="1806" xr:uid="{00000000-0005-0000-0000-000036090000}"/>
    <cellStyle name="Normal 2 24 16 3" xfId="1807" xr:uid="{00000000-0005-0000-0000-000037090000}"/>
    <cellStyle name="Normal 2 24 17" xfId="1808" xr:uid="{00000000-0005-0000-0000-000038090000}"/>
    <cellStyle name="Normal 2 24 17 2" xfId="1809" xr:uid="{00000000-0005-0000-0000-000039090000}"/>
    <cellStyle name="Normal 2 24 17 2 2" xfId="1810" xr:uid="{00000000-0005-0000-0000-00003A090000}"/>
    <cellStyle name="Normal 2 24 17 3" xfId="1811" xr:uid="{00000000-0005-0000-0000-00003B090000}"/>
    <cellStyle name="Normal 2 24 18" xfId="1812" xr:uid="{00000000-0005-0000-0000-00003C090000}"/>
    <cellStyle name="Normal 2 24 18 2" xfId="1813" xr:uid="{00000000-0005-0000-0000-00003D090000}"/>
    <cellStyle name="Normal 2 24 18 2 2" xfId="1814" xr:uid="{00000000-0005-0000-0000-00003E090000}"/>
    <cellStyle name="Normal 2 24 18 3" xfId="1815" xr:uid="{00000000-0005-0000-0000-00003F090000}"/>
    <cellStyle name="Normal 2 24 19" xfId="1816" xr:uid="{00000000-0005-0000-0000-000040090000}"/>
    <cellStyle name="Normal 2 24 19 2" xfId="1817" xr:uid="{00000000-0005-0000-0000-000041090000}"/>
    <cellStyle name="Normal 2 24 19 2 2" xfId="1818" xr:uid="{00000000-0005-0000-0000-000042090000}"/>
    <cellStyle name="Normal 2 24 19 3" xfId="1819" xr:uid="{00000000-0005-0000-0000-000043090000}"/>
    <cellStyle name="Normal 2 24 2" xfId="1820" xr:uid="{00000000-0005-0000-0000-000044090000}"/>
    <cellStyle name="Normal 2 24 2 2" xfId="1821" xr:uid="{00000000-0005-0000-0000-000045090000}"/>
    <cellStyle name="Normal 2 24 2 2 2" xfId="1822" xr:uid="{00000000-0005-0000-0000-000046090000}"/>
    <cellStyle name="Normal 2 24 2 3" xfId="1823" xr:uid="{00000000-0005-0000-0000-000047090000}"/>
    <cellStyle name="Normal 2 24 20" xfId="1824" xr:uid="{00000000-0005-0000-0000-000048090000}"/>
    <cellStyle name="Normal 2 24 20 2" xfId="1825" xr:uid="{00000000-0005-0000-0000-000049090000}"/>
    <cellStyle name="Normal 2 24 20 2 2" xfId="1826" xr:uid="{00000000-0005-0000-0000-00004A090000}"/>
    <cellStyle name="Normal 2 24 20 3" xfId="1827" xr:uid="{00000000-0005-0000-0000-00004B090000}"/>
    <cellStyle name="Normal 2 24 21" xfId="1828" xr:uid="{00000000-0005-0000-0000-00004C090000}"/>
    <cellStyle name="Normal 2 24 21 2" xfId="1829" xr:uid="{00000000-0005-0000-0000-00004D090000}"/>
    <cellStyle name="Normal 2 24 21 2 2" xfId="1830" xr:uid="{00000000-0005-0000-0000-00004E090000}"/>
    <cellStyle name="Normal 2 24 21 3" xfId="1831" xr:uid="{00000000-0005-0000-0000-00004F090000}"/>
    <cellStyle name="Normal 2 24 22" xfId="1832" xr:uid="{00000000-0005-0000-0000-000050090000}"/>
    <cellStyle name="Normal 2 24 22 2" xfId="1833" xr:uid="{00000000-0005-0000-0000-000051090000}"/>
    <cellStyle name="Normal 2 24 22 2 2" xfId="1834" xr:uid="{00000000-0005-0000-0000-000052090000}"/>
    <cellStyle name="Normal 2 24 22 3" xfId="1835" xr:uid="{00000000-0005-0000-0000-000053090000}"/>
    <cellStyle name="Normal 2 24 23" xfId="1836" xr:uid="{00000000-0005-0000-0000-000054090000}"/>
    <cellStyle name="Normal 2 24 23 2" xfId="1837" xr:uid="{00000000-0005-0000-0000-000055090000}"/>
    <cellStyle name="Normal 2 24 23 2 2" xfId="1838" xr:uid="{00000000-0005-0000-0000-000056090000}"/>
    <cellStyle name="Normal 2 24 23 3" xfId="1839" xr:uid="{00000000-0005-0000-0000-000057090000}"/>
    <cellStyle name="Normal 2 24 24" xfId="1840" xr:uid="{00000000-0005-0000-0000-000058090000}"/>
    <cellStyle name="Normal 2 24 24 2" xfId="1841" xr:uid="{00000000-0005-0000-0000-000059090000}"/>
    <cellStyle name="Normal 2 24 25" xfId="1842" xr:uid="{00000000-0005-0000-0000-00005A090000}"/>
    <cellStyle name="Normal 2 24 3" xfId="1843" xr:uid="{00000000-0005-0000-0000-00005B090000}"/>
    <cellStyle name="Normal 2 24 3 2" xfId="1844" xr:uid="{00000000-0005-0000-0000-00005C090000}"/>
    <cellStyle name="Normal 2 24 3 2 2" xfId="1845" xr:uid="{00000000-0005-0000-0000-00005D090000}"/>
    <cellStyle name="Normal 2 24 3 3" xfId="1846" xr:uid="{00000000-0005-0000-0000-00005E090000}"/>
    <cellStyle name="Normal 2 24 4" xfId="1847" xr:uid="{00000000-0005-0000-0000-00005F090000}"/>
    <cellStyle name="Normal 2 24 4 2" xfId="1848" xr:uid="{00000000-0005-0000-0000-000060090000}"/>
    <cellStyle name="Normal 2 24 4 2 2" xfId="1849" xr:uid="{00000000-0005-0000-0000-000061090000}"/>
    <cellStyle name="Normal 2 24 4 3" xfId="1850" xr:uid="{00000000-0005-0000-0000-000062090000}"/>
    <cellStyle name="Normal 2 24 5" xfId="1851" xr:uid="{00000000-0005-0000-0000-000063090000}"/>
    <cellStyle name="Normal 2 24 5 2" xfId="1852" xr:uid="{00000000-0005-0000-0000-000064090000}"/>
    <cellStyle name="Normal 2 24 5 2 2" xfId="1853" xr:uid="{00000000-0005-0000-0000-000065090000}"/>
    <cellStyle name="Normal 2 24 5 3" xfId="1854" xr:uid="{00000000-0005-0000-0000-000066090000}"/>
    <cellStyle name="Normal 2 24 6" xfId="1855" xr:uid="{00000000-0005-0000-0000-000067090000}"/>
    <cellStyle name="Normal 2 24 6 2" xfId="1856" xr:uid="{00000000-0005-0000-0000-000068090000}"/>
    <cellStyle name="Normal 2 24 6 2 2" xfId="1857" xr:uid="{00000000-0005-0000-0000-000069090000}"/>
    <cellStyle name="Normal 2 24 6 3" xfId="1858" xr:uid="{00000000-0005-0000-0000-00006A090000}"/>
    <cellStyle name="Normal 2 24 7" xfId="1859" xr:uid="{00000000-0005-0000-0000-00006B090000}"/>
    <cellStyle name="Normal 2 24 7 2" xfId="1860" xr:uid="{00000000-0005-0000-0000-00006C090000}"/>
    <cellStyle name="Normal 2 24 7 2 2" xfId="1861" xr:uid="{00000000-0005-0000-0000-00006D090000}"/>
    <cellStyle name="Normal 2 24 7 3" xfId="1862" xr:uid="{00000000-0005-0000-0000-00006E090000}"/>
    <cellStyle name="Normal 2 24 8" xfId="1863" xr:uid="{00000000-0005-0000-0000-00006F090000}"/>
    <cellStyle name="Normal 2 24 8 2" xfId="1864" xr:uid="{00000000-0005-0000-0000-000070090000}"/>
    <cellStyle name="Normal 2 24 8 2 2" xfId="1865" xr:uid="{00000000-0005-0000-0000-000071090000}"/>
    <cellStyle name="Normal 2 24 8 3" xfId="1866" xr:uid="{00000000-0005-0000-0000-000072090000}"/>
    <cellStyle name="Normal 2 24 9" xfId="1867" xr:uid="{00000000-0005-0000-0000-000073090000}"/>
    <cellStyle name="Normal 2 24 9 2" xfId="1868" xr:uid="{00000000-0005-0000-0000-000074090000}"/>
    <cellStyle name="Normal 2 24 9 2 2" xfId="1869" xr:uid="{00000000-0005-0000-0000-000075090000}"/>
    <cellStyle name="Normal 2 24 9 3" xfId="1870" xr:uid="{00000000-0005-0000-0000-000076090000}"/>
    <cellStyle name="Normal 2 25" xfId="1871" xr:uid="{00000000-0005-0000-0000-000077090000}"/>
    <cellStyle name="Normal 2 25 10" xfId="1872" xr:uid="{00000000-0005-0000-0000-000078090000}"/>
    <cellStyle name="Normal 2 25 10 2" xfId="1873" xr:uid="{00000000-0005-0000-0000-000079090000}"/>
    <cellStyle name="Normal 2 25 10 2 2" xfId="1874" xr:uid="{00000000-0005-0000-0000-00007A090000}"/>
    <cellStyle name="Normal 2 25 10 3" xfId="1875" xr:uid="{00000000-0005-0000-0000-00007B090000}"/>
    <cellStyle name="Normal 2 25 11" xfId="1876" xr:uid="{00000000-0005-0000-0000-00007C090000}"/>
    <cellStyle name="Normal 2 25 11 2" xfId="1877" xr:uid="{00000000-0005-0000-0000-00007D090000}"/>
    <cellStyle name="Normal 2 25 11 2 2" xfId="1878" xr:uid="{00000000-0005-0000-0000-00007E090000}"/>
    <cellStyle name="Normal 2 25 11 3" xfId="1879" xr:uid="{00000000-0005-0000-0000-00007F090000}"/>
    <cellStyle name="Normal 2 25 12" xfId="1880" xr:uid="{00000000-0005-0000-0000-000080090000}"/>
    <cellStyle name="Normal 2 25 12 2" xfId="1881" xr:uid="{00000000-0005-0000-0000-000081090000}"/>
    <cellStyle name="Normal 2 25 12 2 2" xfId="1882" xr:uid="{00000000-0005-0000-0000-000082090000}"/>
    <cellStyle name="Normal 2 25 12 3" xfId="1883" xr:uid="{00000000-0005-0000-0000-000083090000}"/>
    <cellStyle name="Normal 2 25 13" xfId="1884" xr:uid="{00000000-0005-0000-0000-000084090000}"/>
    <cellStyle name="Normal 2 25 13 2" xfId="1885" xr:uid="{00000000-0005-0000-0000-000085090000}"/>
    <cellStyle name="Normal 2 25 13 2 2" xfId="1886" xr:uid="{00000000-0005-0000-0000-000086090000}"/>
    <cellStyle name="Normal 2 25 13 3" xfId="1887" xr:uid="{00000000-0005-0000-0000-000087090000}"/>
    <cellStyle name="Normal 2 25 14" xfId="1888" xr:uid="{00000000-0005-0000-0000-000088090000}"/>
    <cellStyle name="Normal 2 25 14 2" xfId="1889" xr:uid="{00000000-0005-0000-0000-000089090000}"/>
    <cellStyle name="Normal 2 25 14 2 2" xfId="1890" xr:uid="{00000000-0005-0000-0000-00008A090000}"/>
    <cellStyle name="Normal 2 25 14 3" xfId="1891" xr:uid="{00000000-0005-0000-0000-00008B090000}"/>
    <cellStyle name="Normal 2 25 15" xfId="1892" xr:uid="{00000000-0005-0000-0000-00008C090000}"/>
    <cellStyle name="Normal 2 25 15 2" xfId="1893" xr:uid="{00000000-0005-0000-0000-00008D090000}"/>
    <cellStyle name="Normal 2 25 15 2 2" xfId="1894" xr:uid="{00000000-0005-0000-0000-00008E090000}"/>
    <cellStyle name="Normal 2 25 15 3" xfId="1895" xr:uid="{00000000-0005-0000-0000-00008F090000}"/>
    <cellStyle name="Normal 2 25 16" xfId="1896" xr:uid="{00000000-0005-0000-0000-000090090000}"/>
    <cellStyle name="Normal 2 25 16 2" xfId="1897" xr:uid="{00000000-0005-0000-0000-000091090000}"/>
    <cellStyle name="Normal 2 25 16 2 2" xfId="1898" xr:uid="{00000000-0005-0000-0000-000092090000}"/>
    <cellStyle name="Normal 2 25 16 3" xfId="1899" xr:uid="{00000000-0005-0000-0000-000093090000}"/>
    <cellStyle name="Normal 2 25 17" xfId="1900" xr:uid="{00000000-0005-0000-0000-000094090000}"/>
    <cellStyle name="Normal 2 25 17 2" xfId="1901" xr:uid="{00000000-0005-0000-0000-000095090000}"/>
    <cellStyle name="Normal 2 25 17 2 2" xfId="1902" xr:uid="{00000000-0005-0000-0000-000096090000}"/>
    <cellStyle name="Normal 2 25 17 3" xfId="1903" xr:uid="{00000000-0005-0000-0000-000097090000}"/>
    <cellStyle name="Normal 2 25 18" xfId="1904" xr:uid="{00000000-0005-0000-0000-000098090000}"/>
    <cellStyle name="Normal 2 25 18 2" xfId="1905" xr:uid="{00000000-0005-0000-0000-000099090000}"/>
    <cellStyle name="Normal 2 25 18 2 2" xfId="1906" xr:uid="{00000000-0005-0000-0000-00009A090000}"/>
    <cellStyle name="Normal 2 25 18 3" xfId="1907" xr:uid="{00000000-0005-0000-0000-00009B090000}"/>
    <cellStyle name="Normal 2 25 19" xfId="1908" xr:uid="{00000000-0005-0000-0000-00009C090000}"/>
    <cellStyle name="Normal 2 25 19 2" xfId="1909" xr:uid="{00000000-0005-0000-0000-00009D090000}"/>
    <cellStyle name="Normal 2 25 19 2 2" xfId="1910" xr:uid="{00000000-0005-0000-0000-00009E090000}"/>
    <cellStyle name="Normal 2 25 19 3" xfId="1911" xr:uid="{00000000-0005-0000-0000-00009F090000}"/>
    <cellStyle name="Normal 2 25 2" xfId="1912" xr:uid="{00000000-0005-0000-0000-0000A0090000}"/>
    <cellStyle name="Normal 2 25 2 2" xfId="1913" xr:uid="{00000000-0005-0000-0000-0000A1090000}"/>
    <cellStyle name="Normal 2 25 2 2 2" xfId="1914" xr:uid="{00000000-0005-0000-0000-0000A2090000}"/>
    <cellStyle name="Normal 2 25 2 3" xfId="1915" xr:uid="{00000000-0005-0000-0000-0000A3090000}"/>
    <cellStyle name="Normal 2 25 20" xfId="1916" xr:uid="{00000000-0005-0000-0000-0000A4090000}"/>
    <cellStyle name="Normal 2 25 20 2" xfId="1917" xr:uid="{00000000-0005-0000-0000-0000A5090000}"/>
    <cellStyle name="Normal 2 25 20 2 2" xfId="1918" xr:uid="{00000000-0005-0000-0000-0000A6090000}"/>
    <cellStyle name="Normal 2 25 20 3" xfId="1919" xr:uid="{00000000-0005-0000-0000-0000A7090000}"/>
    <cellStyle name="Normal 2 25 21" xfId="1920" xr:uid="{00000000-0005-0000-0000-0000A8090000}"/>
    <cellStyle name="Normal 2 25 21 2" xfId="1921" xr:uid="{00000000-0005-0000-0000-0000A9090000}"/>
    <cellStyle name="Normal 2 25 21 2 2" xfId="1922" xr:uid="{00000000-0005-0000-0000-0000AA090000}"/>
    <cellStyle name="Normal 2 25 21 3" xfId="1923" xr:uid="{00000000-0005-0000-0000-0000AB090000}"/>
    <cellStyle name="Normal 2 25 22" xfId="1924" xr:uid="{00000000-0005-0000-0000-0000AC090000}"/>
    <cellStyle name="Normal 2 25 22 2" xfId="1925" xr:uid="{00000000-0005-0000-0000-0000AD090000}"/>
    <cellStyle name="Normal 2 25 22 2 2" xfId="1926" xr:uid="{00000000-0005-0000-0000-0000AE090000}"/>
    <cellStyle name="Normal 2 25 22 3" xfId="1927" xr:uid="{00000000-0005-0000-0000-0000AF090000}"/>
    <cellStyle name="Normal 2 25 23" xfId="1928" xr:uid="{00000000-0005-0000-0000-0000B0090000}"/>
    <cellStyle name="Normal 2 25 23 2" xfId="1929" xr:uid="{00000000-0005-0000-0000-0000B1090000}"/>
    <cellStyle name="Normal 2 25 23 2 2" xfId="1930" xr:uid="{00000000-0005-0000-0000-0000B2090000}"/>
    <cellStyle name="Normal 2 25 23 3" xfId="1931" xr:uid="{00000000-0005-0000-0000-0000B3090000}"/>
    <cellStyle name="Normal 2 25 24" xfId="1932" xr:uid="{00000000-0005-0000-0000-0000B4090000}"/>
    <cellStyle name="Normal 2 25 24 2" xfId="1933" xr:uid="{00000000-0005-0000-0000-0000B5090000}"/>
    <cellStyle name="Normal 2 25 25" xfId="1934" xr:uid="{00000000-0005-0000-0000-0000B6090000}"/>
    <cellStyle name="Normal 2 25 3" xfId="1935" xr:uid="{00000000-0005-0000-0000-0000B7090000}"/>
    <cellStyle name="Normal 2 25 3 2" xfId="1936" xr:uid="{00000000-0005-0000-0000-0000B8090000}"/>
    <cellStyle name="Normal 2 25 3 2 2" xfId="1937" xr:uid="{00000000-0005-0000-0000-0000B9090000}"/>
    <cellStyle name="Normal 2 25 3 3" xfId="1938" xr:uid="{00000000-0005-0000-0000-0000BA090000}"/>
    <cellStyle name="Normal 2 25 4" xfId="1939" xr:uid="{00000000-0005-0000-0000-0000BB090000}"/>
    <cellStyle name="Normal 2 25 4 2" xfId="1940" xr:uid="{00000000-0005-0000-0000-0000BC090000}"/>
    <cellStyle name="Normal 2 25 4 2 2" xfId="1941" xr:uid="{00000000-0005-0000-0000-0000BD090000}"/>
    <cellStyle name="Normal 2 25 4 3" xfId="1942" xr:uid="{00000000-0005-0000-0000-0000BE090000}"/>
    <cellStyle name="Normal 2 25 5" xfId="1943" xr:uid="{00000000-0005-0000-0000-0000BF090000}"/>
    <cellStyle name="Normal 2 25 5 2" xfId="1944" xr:uid="{00000000-0005-0000-0000-0000C0090000}"/>
    <cellStyle name="Normal 2 25 5 2 2" xfId="1945" xr:uid="{00000000-0005-0000-0000-0000C1090000}"/>
    <cellStyle name="Normal 2 25 5 3" xfId="1946" xr:uid="{00000000-0005-0000-0000-0000C2090000}"/>
    <cellStyle name="Normal 2 25 6" xfId="1947" xr:uid="{00000000-0005-0000-0000-0000C3090000}"/>
    <cellStyle name="Normal 2 25 6 2" xfId="1948" xr:uid="{00000000-0005-0000-0000-0000C4090000}"/>
    <cellStyle name="Normal 2 25 6 2 2" xfId="1949" xr:uid="{00000000-0005-0000-0000-0000C5090000}"/>
    <cellStyle name="Normal 2 25 6 3" xfId="1950" xr:uid="{00000000-0005-0000-0000-0000C6090000}"/>
    <cellStyle name="Normal 2 25 7" xfId="1951" xr:uid="{00000000-0005-0000-0000-0000C7090000}"/>
    <cellStyle name="Normal 2 25 7 2" xfId="1952" xr:uid="{00000000-0005-0000-0000-0000C8090000}"/>
    <cellStyle name="Normal 2 25 7 2 2" xfId="1953" xr:uid="{00000000-0005-0000-0000-0000C9090000}"/>
    <cellStyle name="Normal 2 25 7 3" xfId="1954" xr:uid="{00000000-0005-0000-0000-0000CA090000}"/>
    <cellStyle name="Normal 2 25 8" xfId="1955" xr:uid="{00000000-0005-0000-0000-0000CB090000}"/>
    <cellStyle name="Normal 2 25 8 2" xfId="1956" xr:uid="{00000000-0005-0000-0000-0000CC090000}"/>
    <cellStyle name="Normal 2 25 8 2 2" xfId="1957" xr:uid="{00000000-0005-0000-0000-0000CD090000}"/>
    <cellStyle name="Normal 2 25 8 3" xfId="1958" xr:uid="{00000000-0005-0000-0000-0000CE090000}"/>
    <cellStyle name="Normal 2 25 9" xfId="1959" xr:uid="{00000000-0005-0000-0000-0000CF090000}"/>
    <cellStyle name="Normal 2 25 9 2" xfId="1960" xr:uid="{00000000-0005-0000-0000-0000D0090000}"/>
    <cellStyle name="Normal 2 25 9 2 2" xfId="1961" xr:uid="{00000000-0005-0000-0000-0000D1090000}"/>
    <cellStyle name="Normal 2 25 9 3" xfId="1962" xr:uid="{00000000-0005-0000-0000-0000D2090000}"/>
    <cellStyle name="Normal 2 26" xfId="1963" xr:uid="{00000000-0005-0000-0000-0000D3090000}"/>
    <cellStyle name="Normal 2 26 10" xfId="1964" xr:uid="{00000000-0005-0000-0000-0000D4090000}"/>
    <cellStyle name="Normal 2 26 10 2" xfId="1965" xr:uid="{00000000-0005-0000-0000-0000D5090000}"/>
    <cellStyle name="Normal 2 26 10 2 2" xfId="1966" xr:uid="{00000000-0005-0000-0000-0000D6090000}"/>
    <cellStyle name="Normal 2 26 10 3" xfId="1967" xr:uid="{00000000-0005-0000-0000-0000D7090000}"/>
    <cellStyle name="Normal 2 26 11" xfId="1968" xr:uid="{00000000-0005-0000-0000-0000D8090000}"/>
    <cellStyle name="Normal 2 26 11 2" xfId="1969" xr:uid="{00000000-0005-0000-0000-0000D9090000}"/>
    <cellStyle name="Normal 2 26 11 2 2" xfId="1970" xr:uid="{00000000-0005-0000-0000-0000DA090000}"/>
    <cellStyle name="Normal 2 26 11 3" xfId="1971" xr:uid="{00000000-0005-0000-0000-0000DB090000}"/>
    <cellStyle name="Normal 2 26 12" xfId="1972" xr:uid="{00000000-0005-0000-0000-0000DC090000}"/>
    <cellStyle name="Normal 2 26 12 2" xfId="1973" xr:uid="{00000000-0005-0000-0000-0000DD090000}"/>
    <cellStyle name="Normal 2 26 12 2 2" xfId="1974" xr:uid="{00000000-0005-0000-0000-0000DE090000}"/>
    <cellStyle name="Normal 2 26 12 3" xfId="1975" xr:uid="{00000000-0005-0000-0000-0000DF090000}"/>
    <cellStyle name="Normal 2 26 13" xfId="1976" xr:uid="{00000000-0005-0000-0000-0000E0090000}"/>
    <cellStyle name="Normal 2 26 13 2" xfId="1977" xr:uid="{00000000-0005-0000-0000-0000E1090000}"/>
    <cellStyle name="Normal 2 26 13 2 2" xfId="1978" xr:uid="{00000000-0005-0000-0000-0000E2090000}"/>
    <cellStyle name="Normal 2 26 13 3" xfId="1979" xr:uid="{00000000-0005-0000-0000-0000E3090000}"/>
    <cellStyle name="Normal 2 26 14" xfId="1980" xr:uid="{00000000-0005-0000-0000-0000E4090000}"/>
    <cellStyle name="Normal 2 26 14 2" xfId="1981" xr:uid="{00000000-0005-0000-0000-0000E5090000}"/>
    <cellStyle name="Normal 2 26 14 2 2" xfId="1982" xr:uid="{00000000-0005-0000-0000-0000E6090000}"/>
    <cellStyle name="Normal 2 26 14 3" xfId="1983" xr:uid="{00000000-0005-0000-0000-0000E7090000}"/>
    <cellStyle name="Normal 2 26 15" xfId="1984" xr:uid="{00000000-0005-0000-0000-0000E8090000}"/>
    <cellStyle name="Normal 2 26 15 2" xfId="1985" xr:uid="{00000000-0005-0000-0000-0000E9090000}"/>
    <cellStyle name="Normal 2 26 15 2 2" xfId="1986" xr:uid="{00000000-0005-0000-0000-0000EA090000}"/>
    <cellStyle name="Normal 2 26 15 3" xfId="1987" xr:uid="{00000000-0005-0000-0000-0000EB090000}"/>
    <cellStyle name="Normal 2 26 16" xfId="1988" xr:uid="{00000000-0005-0000-0000-0000EC090000}"/>
    <cellStyle name="Normal 2 26 16 2" xfId="1989" xr:uid="{00000000-0005-0000-0000-0000ED090000}"/>
    <cellStyle name="Normal 2 26 16 2 2" xfId="1990" xr:uid="{00000000-0005-0000-0000-0000EE090000}"/>
    <cellStyle name="Normal 2 26 16 3" xfId="1991" xr:uid="{00000000-0005-0000-0000-0000EF090000}"/>
    <cellStyle name="Normal 2 26 17" xfId="1992" xr:uid="{00000000-0005-0000-0000-0000F0090000}"/>
    <cellStyle name="Normal 2 26 17 2" xfId="1993" xr:uid="{00000000-0005-0000-0000-0000F1090000}"/>
    <cellStyle name="Normal 2 26 17 2 2" xfId="1994" xr:uid="{00000000-0005-0000-0000-0000F2090000}"/>
    <cellStyle name="Normal 2 26 17 3" xfId="1995" xr:uid="{00000000-0005-0000-0000-0000F3090000}"/>
    <cellStyle name="Normal 2 26 18" xfId="1996" xr:uid="{00000000-0005-0000-0000-0000F4090000}"/>
    <cellStyle name="Normal 2 26 18 2" xfId="1997" xr:uid="{00000000-0005-0000-0000-0000F5090000}"/>
    <cellStyle name="Normal 2 26 18 2 2" xfId="1998" xr:uid="{00000000-0005-0000-0000-0000F6090000}"/>
    <cellStyle name="Normal 2 26 18 3" xfId="1999" xr:uid="{00000000-0005-0000-0000-0000F7090000}"/>
    <cellStyle name="Normal 2 26 19" xfId="2000" xr:uid="{00000000-0005-0000-0000-0000F8090000}"/>
    <cellStyle name="Normal 2 26 19 2" xfId="2001" xr:uid="{00000000-0005-0000-0000-0000F9090000}"/>
    <cellStyle name="Normal 2 26 19 2 2" xfId="2002" xr:uid="{00000000-0005-0000-0000-0000FA090000}"/>
    <cellStyle name="Normal 2 26 19 3" xfId="2003" xr:uid="{00000000-0005-0000-0000-0000FB090000}"/>
    <cellStyle name="Normal 2 26 2" xfId="2004" xr:uid="{00000000-0005-0000-0000-0000FC090000}"/>
    <cellStyle name="Normal 2 26 2 2" xfId="2005" xr:uid="{00000000-0005-0000-0000-0000FD090000}"/>
    <cellStyle name="Normal 2 26 2 2 2" xfId="2006" xr:uid="{00000000-0005-0000-0000-0000FE090000}"/>
    <cellStyle name="Normal 2 26 2 3" xfId="2007" xr:uid="{00000000-0005-0000-0000-0000FF090000}"/>
    <cellStyle name="Normal 2 26 20" xfId="2008" xr:uid="{00000000-0005-0000-0000-0000000A0000}"/>
    <cellStyle name="Normal 2 26 20 2" xfId="2009" xr:uid="{00000000-0005-0000-0000-0000010A0000}"/>
    <cellStyle name="Normal 2 26 20 2 2" xfId="2010" xr:uid="{00000000-0005-0000-0000-0000020A0000}"/>
    <cellStyle name="Normal 2 26 20 3" xfId="2011" xr:uid="{00000000-0005-0000-0000-0000030A0000}"/>
    <cellStyle name="Normal 2 26 21" xfId="2012" xr:uid="{00000000-0005-0000-0000-0000040A0000}"/>
    <cellStyle name="Normal 2 26 21 2" xfId="2013" xr:uid="{00000000-0005-0000-0000-0000050A0000}"/>
    <cellStyle name="Normal 2 26 21 2 2" xfId="2014" xr:uid="{00000000-0005-0000-0000-0000060A0000}"/>
    <cellStyle name="Normal 2 26 21 3" xfId="2015" xr:uid="{00000000-0005-0000-0000-0000070A0000}"/>
    <cellStyle name="Normal 2 26 22" xfId="2016" xr:uid="{00000000-0005-0000-0000-0000080A0000}"/>
    <cellStyle name="Normal 2 26 22 2" xfId="2017" xr:uid="{00000000-0005-0000-0000-0000090A0000}"/>
    <cellStyle name="Normal 2 26 22 2 2" xfId="2018" xr:uid="{00000000-0005-0000-0000-00000A0A0000}"/>
    <cellStyle name="Normal 2 26 22 3" xfId="2019" xr:uid="{00000000-0005-0000-0000-00000B0A0000}"/>
    <cellStyle name="Normal 2 26 23" xfId="2020" xr:uid="{00000000-0005-0000-0000-00000C0A0000}"/>
    <cellStyle name="Normal 2 26 23 2" xfId="2021" xr:uid="{00000000-0005-0000-0000-00000D0A0000}"/>
    <cellStyle name="Normal 2 26 23 2 2" xfId="2022" xr:uid="{00000000-0005-0000-0000-00000E0A0000}"/>
    <cellStyle name="Normal 2 26 23 3" xfId="2023" xr:uid="{00000000-0005-0000-0000-00000F0A0000}"/>
    <cellStyle name="Normal 2 26 24" xfId="2024" xr:uid="{00000000-0005-0000-0000-0000100A0000}"/>
    <cellStyle name="Normal 2 26 24 2" xfId="2025" xr:uid="{00000000-0005-0000-0000-0000110A0000}"/>
    <cellStyle name="Normal 2 26 25" xfId="2026" xr:uid="{00000000-0005-0000-0000-0000120A0000}"/>
    <cellStyle name="Normal 2 26 3" xfId="2027" xr:uid="{00000000-0005-0000-0000-0000130A0000}"/>
    <cellStyle name="Normal 2 26 3 2" xfId="2028" xr:uid="{00000000-0005-0000-0000-0000140A0000}"/>
    <cellStyle name="Normal 2 26 3 2 2" xfId="2029" xr:uid="{00000000-0005-0000-0000-0000150A0000}"/>
    <cellStyle name="Normal 2 26 3 3" xfId="2030" xr:uid="{00000000-0005-0000-0000-0000160A0000}"/>
    <cellStyle name="Normal 2 26 4" xfId="2031" xr:uid="{00000000-0005-0000-0000-0000170A0000}"/>
    <cellStyle name="Normal 2 26 4 2" xfId="2032" xr:uid="{00000000-0005-0000-0000-0000180A0000}"/>
    <cellStyle name="Normal 2 26 4 2 2" xfId="2033" xr:uid="{00000000-0005-0000-0000-0000190A0000}"/>
    <cellStyle name="Normal 2 26 4 3" xfId="2034" xr:uid="{00000000-0005-0000-0000-00001A0A0000}"/>
    <cellStyle name="Normal 2 26 5" xfId="2035" xr:uid="{00000000-0005-0000-0000-00001B0A0000}"/>
    <cellStyle name="Normal 2 26 5 2" xfId="2036" xr:uid="{00000000-0005-0000-0000-00001C0A0000}"/>
    <cellStyle name="Normal 2 26 5 2 2" xfId="2037" xr:uid="{00000000-0005-0000-0000-00001D0A0000}"/>
    <cellStyle name="Normal 2 26 5 3" xfId="2038" xr:uid="{00000000-0005-0000-0000-00001E0A0000}"/>
    <cellStyle name="Normal 2 26 6" xfId="2039" xr:uid="{00000000-0005-0000-0000-00001F0A0000}"/>
    <cellStyle name="Normal 2 26 6 2" xfId="2040" xr:uid="{00000000-0005-0000-0000-0000200A0000}"/>
    <cellStyle name="Normal 2 26 6 2 2" xfId="2041" xr:uid="{00000000-0005-0000-0000-0000210A0000}"/>
    <cellStyle name="Normal 2 26 6 3" xfId="2042" xr:uid="{00000000-0005-0000-0000-0000220A0000}"/>
    <cellStyle name="Normal 2 26 7" xfId="2043" xr:uid="{00000000-0005-0000-0000-0000230A0000}"/>
    <cellStyle name="Normal 2 26 7 2" xfId="2044" xr:uid="{00000000-0005-0000-0000-0000240A0000}"/>
    <cellStyle name="Normal 2 26 7 2 2" xfId="2045" xr:uid="{00000000-0005-0000-0000-0000250A0000}"/>
    <cellStyle name="Normal 2 26 7 3" xfId="2046" xr:uid="{00000000-0005-0000-0000-0000260A0000}"/>
    <cellStyle name="Normal 2 26 8" xfId="2047" xr:uid="{00000000-0005-0000-0000-0000270A0000}"/>
    <cellStyle name="Normal 2 26 8 2" xfId="2048" xr:uid="{00000000-0005-0000-0000-0000280A0000}"/>
    <cellStyle name="Normal 2 26 8 2 2" xfId="2049" xr:uid="{00000000-0005-0000-0000-0000290A0000}"/>
    <cellStyle name="Normal 2 26 8 3" xfId="2050" xr:uid="{00000000-0005-0000-0000-00002A0A0000}"/>
    <cellStyle name="Normal 2 26 9" xfId="2051" xr:uid="{00000000-0005-0000-0000-00002B0A0000}"/>
    <cellStyle name="Normal 2 26 9 2" xfId="2052" xr:uid="{00000000-0005-0000-0000-00002C0A0000}"/>
    <cellStyle name="Normal 2 26 9 2 2" xfId="2053" xr:uid="{00000000-0005-0000-0000-00002D0A0000}"/>
    <cellStyle name="Normal 2 26 9 3" xfId="2054" xr:uid="{00000000-0005-0000-0000-00002E0A0000}"/>
    <cellStyle name="Normal 2 27" xfId="2055" xr:uid="{00000000-0005-0000-0000-00002F0A0000}"/>
    <cellStyle name="Normal 2 27 10" xfId="2056" xr:uid="{00000000-0005-0000-0000-0000300A0000}"/>
    <cellStyle name="Normal 2 27 10 2" xfId="2057" xr:uid="{00000000-0005-0000-0000-0000310A0000}"/>
    <cellStyle name="Normal 2 27 10 2 2" xfId="2058" xr:uid="{00000000-0005-0000-0000-0000320A0000}"/>
    <cellStyle name="Normal 2 27 10 3" xfId="2059" xr:uid="{00000000-0005-0000-0000-0000330A0000}"/>
    <cellStyle name="Normal 2 27 11" xfId="2060" xr:uid="{00000000-0005-0000-0000-0000340A0000}"/>
    <cellStyle name="Normal 2 27 11 2" xfId="2061" xr:uid="{00000000-0005-0000-0000-0000350A0000}"/>
    <cellStyle name="Normal 2 27 11 2 2" xfId="2062" xr:uid="{00000000-0005-0000-0000-0000360A0000}"/>
    <cellStyle name="Normal 2 27 11 3" xfId="2063" xr:uid="{00000000-0005-0000-0000-0000370A0000}"/>
    <cellStyle name="Normal 2 27 12" xfId="2064" xr:uid="{00000000-0005-0000-0000-0000380A0000}"/>
    <cellStyle name="Normal 2 27 12 2" xfId="2065" xr:uid="{00000000-0005-0000-0000-0000390A0000}"/>
    <cellStyle name="Normal 2 27 12 2 2" xfId="2066" xr:uid="{00000000-0005-0000-0000-00003A0A0000}"/>
    <cellStyle name="Normal 2 27 12 3" xfId="2067" xr:uid="{00000000-0005-0000-0000-00003B0A0000}"/>
    <cellStyle name="Normal 2 27 13" xfId="2068" xr:uid="{00000000-0005-0000-0000-00003C0A0000}"/>
    <cellStyle name="Normal 2 27 13 2" xfId="2069" xr:uid="{00000000-0005-0000-0000-00003D0A0000}"/>
    <cellStyle name="Normal 2 27 13 2 2" xfId="2070" xr:uid="{00000000-0005-0000-0000-00003E0A0000}"/>
    <cellStyle name="Normal 2 27 13 3" xfId="2071" xr:uid="{00000000-0005-0000-0000-00003F0A0000}"/>
    <cellStyle name="Normal 2 27 14" xfId="2072" xr:uid="{00000000-0005-0000-0000-0000400A0000}"/>
    <cellStyle name="Normal 2 27 14 2" xfId="2073" xr:uid="{00000000-0005-0000-0000-0000410A0000}"/>
    <cellStyle name="Normal 2 27 14 2 2" xfId="2074" xr:uid="{00000000-0005-0000-0000-0000420A0000}"/>
    <cellStyle name="Normal 2 27 14 3" xfId="2075" xr:uid="{00000000-0005-0000-0000-0000430A0000}"/>
    <cellStyle name="Normal 2 27 15" xfId="2076" xr:uid="{00000000-0005-0000-0000-0000440A0000}"/>
    <cellStyle name="Normal 2 27 15 2" xfId="2077" xr:uid="{00000000-0005-0000-0000-0000450A0000}"/>
    <cellStyle name="Normal 2 27 15 2 2" xfId="2078" xr:uid="{00000000-0005-0000-0000-0000460A0000}"/>
    <cellStyle name="Normal 2 27 15 3" xfId="2079" xr:uid="{00000000-0005-0000-0000-0000470A0000}"/>
    <cellStyle name="Normal 2 27 16" xfId="2080" xr:uid="{00000000-0005-0000-0000-0000480A0000}"/>
    <cellStyle name="Normal 2 27 16 2" xfId="2081" xr:uid="{00000000-0005-0000-0000-0000490A0000}"/>
    <cellStyle name="Normal 2 27 16 2 2" xfId="2082" xr:uid="{00000000-0005-0000-0000-00004A0A0000}"/>
    <cellStyle name="Normal 2 27 16 3" xfId="2083" xr:uid="{00000000-0005-0000-0000-00004B0A0000}"/>
    <cellStyle name="Normal 2 27 17" xfId="2084" xr:uid="{00000000-0005-0000-0000-00004C0A0000}"/>
    <cellStyle name="Normal 2 27 17 2" xfId="2085" xr:uid="{00000000-0005-0000-0000-00004D0A0000}"/>
    <cellStyle name="Normal 2 27 17 2 2" xfId="2086" xr:uid="{00000000-0005-0000-0000-00004E0A0000}"/>
    <cellStyle name="Normal 2 27 17 3" xfId="2087" xr:uid="{00000000-0005-0000-0000-00004F0A0000}"/>
    <cellStyle name="Normal 2 27 18" xfId="2088" xr:uid="{00000000-0005-0000-0000-0000500A0000}"/>
    <cellStyle name="Normal 2 27 18 2" xfId="2089" xr:uid="{00000000-0005-0000-0000-0000510A0000}"/>
    <cellStyle name="Normal 2 27 18 2 2" xfId="2090" xr:uid="{00000000-0005-0000-0000-0000520A0000}"/>
    <cellStyle name="Normal 2 27 18 3" xfId="2091" xr:uid="{00000000-0005-0000-0000-0000530A0000}"/>
    <cellStyle name="Normal 2 27 19" xfId="2092" xr:uid="{00000000-0005-0000-0000-0000540A0000}"/>
    <cellStyle name="Normal 2 27 19 2" xfId="2093" xr:uid="{00000000-0005-0000-0000-0000550A0000}"/>
    <cellStyle name="Normal 2 27 19 2 2" xfId="2094" xr:uid="{00000000-0005-0000-0000-0000560A0000}"/>
    <cellStyle name="Normal 2 27 19 3" xfId="2095" xr:uid="{00000000-0005-0000-0000-0000570A0000}"/>
    <cellStyle name="Normal 2 27 2" xfId="2096" xr:uid="{00000000-0005-0000-0000-0000580A0000}"/>
    <cellStyle name="Normal 2 27 2 2" xfId="2097" xr:uid="{00000000-0005-0000-0000-0000590A0000}"/>
    <cellStyle name="Normal 2 27 2 2 2" xfId="2098" xr:uid="{00000000-0005-0000-0000-00005A0A0000}"/>
    <cellStyle name="Normal 2 27 2 3" xfId="2099" xr:uid="{00000000-0005-0000-0000-00005B0A0000}"/>
    <cellStyle name="Normal 2 27 20" xfId="2100" xr:uid="{00000000-0005-0000-0000-00005C0A0000}"/>
    <cellStyle name="Normal 2 27 20 2" xfId="2101" xr:uid="{00000000-0005-0000-0000-00005D0A0000}"/>
    <cellStyle name="Normal 2 27 20 2 2" xfId="2102" xr:uid="{00000000-0005-0000-0000-00005E0A0000}"/>
    <cellStyle name="Normal 2 27 20 3" xfId="2103" xr:uid="{00000000-0005-0000-0000-00005F0A0000}"/>
    <cellStyle name="Normal 2 27 21" xfId="2104" xr:uid="{00000000-0005-0000-0000-0000600A0000}"/>
    <cellStyle name="Normal 2 27 21 2" xfId="2105" xr:uid="{00000000-0005-0000-0000-0000610A0000}"/>
    <cellStyle name="Normal 2 27 21 2 2" xfId="2106" xr:uid="{00000000-0005-0000-0000-0000620A0000}"/>
    <cellStyle name="Normal 2 27 21 3" xfId="2107" xr:uid="{00000000-0005-0000-0000-0000630A0000}"/>
    <cellStyle name="Normal 2 27 22" xfId="2108" xr:uid="{00000000-0005-0000-0000-0000640A0000}"/>
    <cellStyle name="Normal 2 27 22 2" xfId="2109" xr:uid="{00000000-0005-0000-0000-0000650A0000}"/>
    <cellStyle name="Normal 2 27 22 2 2" xfId="2110" xr:uid="{00000000-0005-0000-0000-0000660A0000}"/>
    <cellStyle name="Normal 2 27 22 3" xfId="2111" xr:uid="{00000000-0005-0000-0000-0000670A0000}"/>
    <cellStyle name="Normal 2 27 23" xfId="2112" xr:uid="{00000000-0005-0000-0000-0000680A0000}"/>
    <cellStyle name="Normal 2 27 23 2" xfId="2113" xr:uid="{00000000-0005-0000-0000-0000690A0000}"/>
    <cellStyle name="Normal 2 27 23 2 2" xfId="2114" xr:uid="{00000000-0005-0000-0000-00006A0A0000}"/>
    <cellStyle name="Normal 2 27 23 3" xfId="2115" xr:uid="{00000000-0005-0000-0000-00006B0A0000}"/>
    <cellStyle name="Normal 2 27 24" xfId="2116" xr:uid="{00000000-0005-0000-0000-00006C0A0000}"/>
    <cellStyle name="Normal 2 27 24 2" xfId="2117" xr:uid="{00000000-0005-0000-0000-00006D0A0000}"/>
    <cellStyle name="Normal 2 27 25" xfId="2118" xr:uid="{00000000-0005-0000-0000-00006E0A0000}"/>
    <cellStyle name="Normal 2 27 3" xfId="2119" xr:uid="{00000000-0005-0000-0000-00006F0A0000}"/>
    <cellStyle name="Normal 2 27 3 2" xfId="2120" xr:uid="{00000000-0005-0000-0000-0000700A0000}"/>
    <cellStyle name="Normal 2 27 3 2 2" xfId="2121" xr:uid="{00000000-0005-0000-0000-0000710A0000}"/>
    <cellStyle name="Normal 2 27 3 3" xfId="2122" xr:uid="{00000000-0005-0000-0000-0000720A0000}"/>
    <cellStyle name="Normal 2 27 4" xfId="2123" xr:uid="{00000000-0005-0000-0000-0000730A0000}"/>
    <cellStyle name="Normal 2 27 4 2" xfId="2124" xr:uid="{00000000-0005-0000-0000-0000740A0000}"/>
    <cellStyle name="Normal 2 27 4 2 2" xfId="2125" xr:uid="{00000000-0005-0000-0000-0000750A0000}"/>
    <cellStyle name="Normal 2 27 4 3" xfId="2126" xr:uid="{00000000-0005-0000-0000-0000760A0000}"/>
    <cellStyle name="Normal 2 27 5" xfId="2127" xr:uid="{00000000-0005-0000-0000-0000770A0000}"/>
    <cellStyle name="Normal 2 27 5 2" xfId="2128" xr:uid="{00000000-0005-0000-0000-0000780A0000}"/>
    <cellStyle name="Normal 2 27 5 2 2" xfId="2129" xr:uid="{00000000-0005-0000-0000-0000790A0000}"/>
    <cellStyle name="Normal 2 27 5 3" xfId="2130" xr:uid="{00000000-0005-0000-0000-00007A0A0000}"/>
    <cellStyle name="Normal 2 27 6" xfId="2131" xr:uid="{00000000-0005-0000-0000-00007B0A0000}"/>
    <cellStyle name="Normal 2 27 6 2" xfId="2132" xr:uid="{00000000-0005-0000-0000-00007C0A0000}"/>
    <cellStyle name="Normal 2 27 6 2 2" xfId="2133" xr:uid="{00000000-0005-0000-0000-00007D0A0000}"/>
    <cellStyle name="Normal 2 27 6 3" xfId="2134" xr:uid="{00000000-0005-0000-0000-00007E0A0000}"/>
    <cellStyle name="Normal 2 27 7" xfId="2135" xr:uid="{00000000-0005-0000-0000-00007F0A0000}"/>
    <cellStyle name="Normal 2 27 7 2" xfId="2136" xr:uid="{00000000-0005-0000-0000-0000800A0000}"/>
    <cellStyle name="Normal 2 27 7 2 2" xfId="2137" xr:uid="{00000000-0005-0000-0000-0000810A0000}"/>
    <cellStyle name="Normal 2 27 7 3" xfId="2138" xr:uid="{00000000-0005-0000-0000-0000820A0000}"/>
    <cellStyle name="Normal 2 27 8" xfId="2139" xr:uid="{00000000-0005-0000-0000-0000830A0000}"/>
    <cellStyle name="Normal 2 27 8 2" xfId="2140" xr:uid="{00000000-0005-0000-0000-0000840A0000}"/>
    <cellStyle name="Normal 2 27 8 2 2" xfId="2141" xr:uid="{00000000-0005-0000-0000-0000850A0000}"/>
    <cellStyle name="Normal 2 27 8 3" xfId="2142" xr:uid="{00000000-0005-0000-0000-0000860A0000}"/>
    <cellStyle name="Normal 2 27 9" xfId="2143" xr:uid="{00000000-0005-0000-0000-0000870A0000}"/>
    <cellStyle name="Normal 2 27 9 2" xfId="2144" xr:uid="{00000000-0005-0000-0000-0000880A0000}"/>
    <cellStyle name="Normal 2 27 9 2 2" xfId="2145" xr:uid="{00000000-0005-0000-0000-0000890A0000}"/>
    <cellStyle name="Normal 2 27 9 3" xfId="2146" xr:uid="{00000000-0005-0000-0000-00008A0A0000}"/>
    <cellStyle name="Normal 2 28" xfId="2147" xr:uid="{00000000-0005-0000-0000-00008B0A0000}"/>
    <cellStyle name="Normal 2 28 10" xfId="2148" xr:uid="{00000000-0005-0000-0000-00008C0A0000}"/>
    <cellStyle name="Normal 2 28 10 2" xfId="2149" xr:uid="{00000000-0005-0000-0000-00008D0A0000}"/>
    <cellStyle name="Normal 2 28 10 2 2" xfId="2150" xr:uid="{00000000-0005-0000-0000-00008E0A0000}"/>
    <cellStyle name="Normal 2 28 10 3" xfId="2151" xr:uid="{00000000-0005-0000-0000-00008F0A0000}"/>
    <cellStyle name="Normal 2 28 11" xfId="2152" xr:uid="{00000000-0005-0000-0000-0000900A0000}"/>
    <cellStyle name="Normal 2 28 11 2" xfId="2153" xr:uid="{00000000-0005-0000-0000-0000910A0000}"/>
    <cellStyle name="Normal 2 28 11 2 2" xfId="2154" xr:uid="{00000000-0005-0000-0000-0000920A0000}"/>
    <cellStyle name="Normal 2 28 11 3" xfId="2155" xr:uid="{00000000-0005-0000-0000-0000930A0000}"/>
    <cellStyle name="Normal 2 28 12" xfId="2156" xr:uid="{00000000-0005-0000-0000-0000940A0000}"/>
    <cellStyle name="Normal 2 28 12 2" xfId="2157" xr:uid="{00000000-0005-0000-0000-0000950A0000}"/>
    <cellStyle name="Normal 2 28 12 2 2" xfId="2158" xr:uid="{00000000-0005-0000-0000-0000960A0000}"/>
    <cellStyle name="Normal 2 28 12 3" xfId="2159" xr:uid="{00000000-0005-0000-0000-0000970A0000}"/>
    <cellStyle name="Normal 2 28 13" xfId="2160" xr:uid="{00000000-0005-0000-0000-0000980A0000}"/>
    <cellStyle name="Normal 2 28 13 2" xfId="2161" xr:uid="{00000000-0005-0000-0000-0000990A0000}"/>
    <cellStyle name="Normal 2 28 13 2 2" xfId="2162" xr:uid="{00000000-0005-0000-0000-00009A0A0000}"/>
    <cellStyle name="Normal 2 28 13 3" xfId="2163" xr:uid="{00000000-0005-0000-0000-00009B0A0000}"/>
    <cellStyle name="Normal 2 28 14" xfId="2164" xr:uid="{00000000-0005-0000-0000-00009C0A0000}"/>
    <cellStyle name="Normal 2 28 14 2" xfId="2165" xr:uid="{00000000-0005-0000-0000-00009D0A0000}"/>
    <cellStyle name="Normal 2 28 14 2 2" xfId="2166" xr:uid="{00000000-0005-0000-0000-00009E0A0000}"/>
    <cellStyle name="Normal 2 28 14 3" xfId="2167" xr:uid="{00000000-0005-0000-0000-00009F0A0000}"/>
    <cellStyle name="Normal 2 28 15" xfId="2168" xr:uid="{00000000-0005-0000-0000-0000A00A0000}"/>
    <cellStyle name="Normal 2 28 15 2" xfId="2169" xr:uid="{00000000-0005-0000-0000-0000A10A0000}"/>
    <cellStyle name="Normal 2 28 15 2 2" xfId="2170" xr:uid="{00000000-0005-0000-0000-0000A20A0000}"/>
    <cellStyle name="Normal 2 28 15 3" xfId="2171" xr:uid="{00000000-0005-0000-0000-0000A30A0000}"/>
    <cellStyle name="Normal 2 28 16" xfId="2172" xr:uid="{00000000-0005-0000-0000-0000A40A0000}"/>
    <cellStyle name="Normal 2 28 16 2" xfId="2173" xr:uid="{00000000-0005-0000-0000-0000A50A0000}"/>
    <cellStyle name="Normal 2 28 16 2 2" xfId="2174" xr:uid="{00000000-0005-0000-0000-0000A60A0000}"/>
    <cellStyle name="Normal 2 28 16 3" xfId="2175" xr:uid="{00000000-0005-0000-0000-0000A70A0000}"/>
    <cellStyle name="Normal 2 28 17" xfId="2176" xr:uid="{00000000-0005-0000-0000-0000A80A0000}"/>
    <cellStyle name="Normal 2 28 17 2" xfId="2177" xr:uid="{00000000-0005-0000-0000-0000A90A0000}"/>
    <cellStyle name="Normal 2 28 17 2 2" xfId="2178" xr:uid="{00000000-0005-0000-0000-0000AA0A0000}"/>
    <cellStyle name="Normal 2 28 17 3" xfId="2179" xr:uid="{00000000-0005-0000-0000-0000AB0A0000}"/>
    <cellStyle name="Normal 2 28 18" xfId="2180" xr:uid="{00000000-0005-0000-0000-0000AC0A0000}"/>
    <cellStyle name="Normal 2 28 18 2" xfId="2181" xr:uid="{00000000-0005-0000-0000-0000AD0A0000}"/>
    <cellStyle name="Normal 2 28 18 2 2" xfId="2182" xr:uid="{00000000-0005-0000-0000-0000AE0A0000}"/>
    <cellStyle name="Normal 2 28 18 3" xfId="2183" xr:uid="{00000000-0005-0000-0000-0000AF0A0000}"/>
    <cellStyle name="Normal 2 28 19" xfId="2184" xr:uid="{00000000-0005-0000-0000-0000B00A0000}"/>
    <cellStyle name="Normal 2 28 19 2" xfId="2185" xr:uid="{00000000-0005-0000-0000-0000B10A0000}"/>
    <cellStyle name="Normal 2 28 19 2 2" xfId="2186" xr:uid="{00000000-0005-0000-0000-0000B20A0000}"/>
    <cellStyle name="Normal 2 28 19 3" xfId="2187" xr:uid="{00000000-0005-0000-0000-0000B30A0000}"/>
    <cellStyle name="Normal 2 28 2" xfId="2188" xr:uid="{00000000-0005-0000-0000-0000B40A0000}"/>
    <cellStyle name="Normal 2 28 2 2" xfId="2189" xr:uid="{00000000-0005-0000-0000-0000B50A0000}"/>
    <cellStyle name="Normal 2 28 2 2 2" xfId="2190" xr:uid="{00000000-0005-0000-0000-0000B60A0000}"/>
    <cellStyle name="Normal 2 28 2 3" xfId="2191" xr:uid="{00000000-0005-0000-0000-0000B70A0000}"/>
    <cellStyle name="Normal 2 28 20" xfId="2192" xr:uid="{00000000-0005-0000-0000-0000B80A0000}"/>
    <cellStyle name="Normal 2 28 20 2" xfId="2193" xr:uid="{00000000-0005-0000-0000-0000B90A0000}"/>
    <cellStyle name="Normal 2 28 20 2 2" xfId="2194" xr:uid="{00000000-0005-0000-0000-0000BA0A0000}"/>
    <cellStyle name="Normal 2 28 20 3" xfId="2195" xr:uid="{00000000-0005-0000-0000-0000BB0A0000}"/>
    <cellStyle name="Normal 2 28 21" xfId="2196" xr:uid="{00000000-0005-0000-0000-0000BC0A0000}"/>
    <cellStyle name="Normal 2 28 21 2" xfId="2197" xr:uid="{00000000-0005-0000-0000-0000BD0A0000}"/>
    <cellStyle name="Normal 2 28 21 2 2" xfId="2198" xr:uid="{00000000-0005-0000-0000-0000BE0A0000}"/>
    <cellStyle name="Normal 2 28 21 3" xfId="2199" xr:uid="{00000000-0005-0000-0000-0000BF0A0000}"/>
    <cellStyle name="Normal 2 28 22" xfId="2200" xr:uid="{00000000-0005-0000-0000-0000C00A0000}"/>
    <cellStyle name="Normal 2 28 22 2" xfId="2201" xr:uid="{00000000-0005-0000-0000-0000C10A0000}"/>
    <cellStyle name="Normal 2 28 22 2 2" xfId="2202" xr:uid="{00000000-0005-0000-0000-0000C20A0000}"/>
    <cellStyle name="Normal 2 28 22 3" xfId="2203" xr:uid="{00000000-0005-0000-0000-0000C30A0000}"/>
    <cellStyle name="Normal 2 28 23" xfId="2204" xr:uid="{00000000-0005-0000-0000-0000C40A0000}"/>
    <cellStyle name="Normal 2 28 23 2" xfId="2205" xr:uid="{00000000-0005-0000-0000-0000C50A0000}"/>
    <cellStyle name="Normal 2 28 23 2 2" xfId="2206" xr:uid="{00000000-0005-0000-0000-0000C60A0000}"/>
    <cellStyle name="Normal 2 28 23 3" xfId="2207" xr:uid="{00000000-0005-0000-0000-0000C70A0000}"/>
    <cellStyle name="Normal 2 28 24" xfId="2208" xr:uid="{00000000-0005-0000-0000-0000C80A0000}"/>
    <cellStyle name="Normal 2 28 24 2" xfId="2209" xr:uid="{00000000-0005-0000-0000-0000C90A0000}"/>
    <cellStyle name="Normal 2 28 25" xfId="2210" xr:uid="{00000000-0005-0000-0000-0000CA0A0000}"/>
    <cellStyle name="Normal 2 28 3" xfId="2211" xr:uid="{00000000-0005-0000-0000-0000CB0A0000}"/>
    <cellStyle name="Normal 2 28 3 2" xfId="2212" xr:uid="{00000000-0005-0000-0000-0000CC0A0000}"/>
    <cellStyle name="Normal 2 28 3 2 2" xfId="2213" xr:uid="{00000000-0005-0000-0000-0000CD0A0000}"/>
    <cellStyle name="Normal 2 28 3 3" xfId="2214" xr:uid="{00000000-0005-0000-0000-0000CE0A0000}"/>
    <cellStyle name="Normal 2 28 4" xfId="2215" xr:uid="{00000000-0005-0000-0000-0000CF0A0000}"/>
    <cellStyle name="Normal 2 28 4 2" xfId="2216" xr:uid="{00000000-0005-0000-0000-0000D00A0000}"/>
    <cellStyle name="Normal 2 28 4 2 2" xfId="2217" xr:uid="{00000000-0005-0000-0000-0000D10A0000}"/>
    <cellStyle name="Normal 2 28 4 3" xfId="2218" xr:uid="{00000000-0005-0000-0000-0000D20A0000}"/>
    <cellStyle name="Normal 2 28 5" xfId="2219" xr:uid="{00000000-0005-0000-0000-0000D30A0000}"/>
    <cellStyle name="Normal 2 28 5 2" xfId="2220" xr:uid="{00000000-0005-0000-0000-0000D40A0000}"/>
    <cellStyle name="Normal 2 28 5 2 2" xfId="2221" xr:uid="{00000000-0005-0000-0000-0000D50A0000}"/>
    <cellStyle name="Normal 2 28 5 3" xfId="2222" xr:uid="{00000000-0005-0000-0000-0000D60A0000}"/>
    <cellStyle name="Normal 2 28 6" xfId="2223" xr:uid="{00000000-0005-0000-0000-0000D70A0000}"/>
    <cellStyle name="Normal 2 28 6 2" xfId="2224" xr:uid="{00000000-0005-0000-0000-0000D80A0000}"/>
    <cellStyle name="Normal 2 28 6 2 2" xfId="2225" xr:uid="{00000000-0005-0000-0000-0000D90A0000}"/>
    <cellStyle name="Normal 2 28 6 3" xfId="2226" xr:uid="{00000000-0005-0000-0000-0000DA0A0000}"/>
    <cellStyle name="Normal 2 28 7" xfId="2227" xr:uid="{00000000-0005-0000-0000-0000DB0A0000}"/>
    <cellStyle name="Normal 2 28 7 2" xfId="2228" xr:uid="{00000000-0005-0000-0000-0000DC0A0000}"/>
    <cellStyle name="Normal 2 28 7 2 2" xfId="2229" xr:uid="{00000000-0005-0000-0000-0000DD0A0000}"/>
    <cellStyle name="Normal 2 28 7 3" xfId="2230" xr:uid="{00000000-0005-0000-0000-0000DE0A0000}"/>
    <cellStyle name="Normal 2 28 8" xfId="2231" xr:uid="{00000000-0005-0000-0000-0000DF0A0000}"/>
    <cellStyle name="Normal 2 28 8 2" xfId="2232" xr:uid="{00000000-0005-0000-0000-0000E00A0000}"/>
    <cellStyle name="Normal 2 28 8 2 2" xfId="2233" xr:uid="{00000000-0005-0000-0000-0000E10A0000}"/>
    <cellStyle name="Normal 2 28 8 3" xfId="2234" xr:uid="{00000000-0005-0000-0000-0000E20A0000}"/>
    <cellStyle name="Normal 2 28 9" xfId="2235" xr:uid="{00000000-0005-0000-0000-0000E30A0000}"/>
    <cellStyle name="Normal 2 28 9 2" xfId="2236" xr:uid="{00000000-0005-0000-0000-0000E40A0000}"/>
    <cellStyle name="Normal 2 28 9 2 2" xfId="2237" xr:uid="{00000000-0005-0000-0000-0000E50A0000}"/>
    <cellStyle name="Normal 2 28 9 3" xfId="2238" xr:uid="{00000000-0005-0000-0000-0000E60A0000}"/>
    <cellStyle name="Normal 2 29" xfId="2239" xr:uid="{00000000-0005-0000-0000-0000E70A0000}"/>
    <cellStyle name="Normal 2 29 10" xfId="2240" xr:uid="{00000000-0005-0000-0000-0000E80A0000}"/>
    <cellStyle name="Normal 2 29 10 2" xfId="2241" xr:uid="{00000000-0005-0000-0000-0000E90A0000}"/>
    <cellStyle name="Normal 2 29 10 2 2" xfId="2242" xr:uid="{00000000-0005-0000-0000-0000EA0A0000}"/>
    <cellStyle name="Normal 2 29 10 3" xfId="2243" xr:uid="{00000000-0005-0000-0000-0000EB0A0000}"/>
    <cellStyle name="Normal 2 29 11" xfId="2244" xr:uid="{00000000-0005-0000-0000-0000EC0A0000}"/>
    <cellStyle name="Normal 2 29 11 2" xfId="2245" xr:uid="{00000000-0005-0000-0000-0000ED0A0000}"/>
    <cellStyle name="Normal 2 29 11 2 2" xfId="2246" xr:uid="{00000000-0005-0000-0000-0000EE0A0000}"/>
    <cellStyle name="Normal 2 29 11 3" xfId="2247" xr:uid="{00000000-0005-0000-0000-0000EF0A0000}"/>
    <cellStyle name="Normal 2 29 12" xfId="2248" xr:uid="{00000000-0005-0000-0000-0000F00A0000}"/>
    <cellStyle name="Normal 2 29 12 2" xfId="2249" xr:uid="{00000000-0005-0000-0000-0000F10A0000}"/>
    <cellStyle name="Normal 2 29 12 2 2" xfId="2250" xr:uid="{00000000-0005-0000-0000-0000F20A0000}"/>
    <cellStyle name="Normal 2 29 12 3" xfId="2251" xr:uid="{00000000-0005-0000-0000-0000F30A0000}"/>
    <cellStyle name="Normal 2 29 13" xfId="2252" xr:uid="{00000000-0005-0000-0000-0000F40A0000}"/>
    <cellStyle name="Normal 2 29 13 2" xfId="2253" xr:uid="{00000000-0005-0000-0000-0000F50A0000}"/>
    <cellStyle name="Normal 2 29 13 2 2" xfId="2254" xr:uid="{00000000-0005-0000-0000-0000F60A0000}"/>
    <cellStyle name="Normal 2 29 13 3" xfId="2255" xr:uid="{00000000-0005-0000-0000-0000F70A0000}"/>
    <cellStyle name="Normal 2 29 14" xfId="2256" xr:uid="{00000000-0005-0000-0000-0000F80A0000}"/>
    <cellStyle name="Normal 2 29 14 2" xfId="2257" xr:uid="{00000000-0005-0000-0000-0000F90A0000}"/>
    <cellStyle name="Normal 2 29 14 2 2" xfId="2258" xr:uid="{00000000-0005-0000-0000-0000FA0A0000}"/>
    <cellStyle name="Normal 2 29 14 3" xfId="2259" xr:uid="{00000000-0005-0000-0000-0000FB0A0000}"/>
    <cellStyle name="Normal 2 29 15" xfId="2260" xr:uid="{00000000-0005-0000-0000-0000FC0A0000}"/>
    <cellStyle name="Normal 2 29 15 2" xfId="2261" xr:uid="{00000000-0005-0000-0000-0000FD0A0000}"/>
    <cellStyle name="Normal 2 29 15 2 2" xfId="2262" xr:uid="{00000000-0005-0000-0000-0000FE0A0000}"/>
    <cellStyle name="Normal 2 29 15 3" xfId="2263" xr:uid="{00000000-0005-0000-0000-0000FF0A0000}"/>
    <cellStyle name="Normal 2 29 16" xfId="2264" xr:uid="{00000000-0005-0000-0000-0000000B0000}"/>
    <cellStyle name="Normal 2 29 16 2" xfId="2265" xr:uid="{00000000-0005-0000-0000-0000010B0000}"/>
    <cellStyle name="Normal 2 29 16 2 2" xfId="2266" xr:uid="{00000000-0005-0000-0000-0000020B0000}"/>
    <cellStyle name="Normal 2 29 16 3" xfId="2267" xr:uid="{00000000-0005-0000-0000-0000030B0000}"/>
    <cellStyle name="Normal 2 29 17" xfId="2268" xr:uid="{00000000-0005-0000-0000-0000040B0000}"/>
    <cellStyle name="Normal 2 29 17 2" xfId="2269" xr:uid="{00000000-0005-0000-0000-0000050B0000}"/>
    <cellStyle name="Normal 2 29 17 2 2" xfId="2270" xr:uid="{00000000-0005-0000-0000-0000060B0000}"/>
    <cellStyle name="Normal 2 29 17 3" xfId="2271" xr:uid="{00000000-0005-0000-0000-0000070B0000}"/>
    <cellStyle name="Normal 2 29 18" xfId="2272" xr:uid="{00000000-0005-0000-0000-0000080B0000}"/>
    <cellStyle name="Normal 2 29 18 2" xfId="2273" xr:uid="{00000000-0005-0000-0000-0000090B0000}"/>
    <cellStyle name="Normal 2 29 18 2 2" xfId="2274" xr:uid="{00000000-0005-0000-0000-00000A0B0000}"/>
    <cellStyle name="Normal 2 29 18 3" xfId="2275" xr:uid="{00000000-0005-0000-0000-00000B0B0000}"/>
    <cellStyle name="Normal 2 29 19" xfId="2276" xr:uid="{00000000-0005-0000-0000-00000C0B0000}"/>
    <cellStyle name="Normal 2 29 19 2" xfId="2277" xr:uid="{00000000-0005-0000-0000-00000D0B0000}"/>
    <cellStyle name="Normal 2 29 19 2 2" xfId="2278" xr:uid="{00000000-0005-0000-0000-00000E0B0000}"/>
    <cellStyle name="Normal 2 29 19 3" xfId="2279" xr:uid="{00000000-0005-0000-0000-00000F0B0000}"/>
    <cellStyle name="Normal 2 29 2" xfId="2280" xr:uid="{00000000-0005-0000-0000-0000100B0000}"/>
    <cellStyle name="Normal 2 29 2 2" xfId="2281" xr:uid="{00000000-0005-0000-0000-0000110B0000}"/>
    <cellStyle name="Normal 2 29 2 2 2" xfId="2282" xr:uid="{00000000-0005-0000-0000-0000120B0000}"/>
    <cellStyle name="Normal 2 29 2 3" xfId="2283" xr:uid="{00000000-0005-0000-0000-0000130B0000}"/>
    <cellStyle name="Normal 2 29 20" xfId="2284" xr:uid="{00000000-0005-0000-0000-0000140B0000}"/>
    <cellStyle name="Normal 2 29 20 2" xfId="2285" xr:uid="{00000000-0005-0000-0000-0000150B0000}"/>
    <cellStyle name="Normal 2 29 20 2 2" xfId="2286" xr:uid="{00000000-0005-0000-0000-0000160B0000}"/>
    <cellStyle name="Normal 2 29 20 3" xfId="2287" xr:uid="{00000000-0005-0000-0000-0000170B0000}"/>
    <cellStyle name="Normal 2 29 21" xfId="2288" xr:uid="{00000000-0005-0000-0000-0000180B0000}"/>
    <cellStyle name="Normal 2 29 21 2" xfId="2289" xr:uid="{00000000-0005-0000-0000-0000190B0000}"/>
    <cellStyle name="Normal 2 29 21 2 2" xfId="2290" xr:uid="{00000000-0005-0000-0000-00001A0B0000}"/>
    <cellStyle name="Normal 2 29 21 3" xfId="2291" xr:uid="{00000000-0005-0000-0000-00001B0B0000}"/>
    <cellStyle name="Normal 2 29 22" xfId="2292" xr:uid="{00000000-0005-0000-0000-00001C0B0000}"/>
    <cellStyle name="Normal 2 29 22 2" xfId="2293" xr:uid="{00000000-0005-0000-0000-00001D0B0000}"/>
    <cellStyle name="Normal 2 29 22 2 2" xfId="2294" xr:uid="{00000000-0005-0000-0000-00001E0B0000}"/>
    <cellStyle name="Normal 2 29 22 3" xfId="2295" xr:uid="{00000000-0005-0000-0000-00001F0B0000}"/>
    <cellStyle name="Normal 2 29 23" xfId="2296" xr:uid="{00000000-0005-0000-0000-0000200B0000}"/>
    <cellStyle name="Normal 2 29 23 2" xfId="2297" xr:uid="{00000000-0005-0000-0000-0000210B0000}"/>
    <cellStyle name="Normal 2 29 23 2 2" xfId="2298" xr:uid="{00000000-0005-0000-0000-0000220B0000}"/>
    <cellStyle name="Normal 2 29 23 3" xfId="2299" xr:uid="{00000000-0005-0000-0000-0000230B0000}"/>
    <cellStyle name="Normal 2 29 24" xfId="2300" xr:uid="{00000000-0005-0000-0000-0000240B0000}"/>
    <cellStyle name="Normal 2 29 24 2" xfId="2301" xr:uid="{00000000-0005-0000-0000-0000250B0000}"/>
    <cellStyle name="Normal 2 29 25" xfId="2302" xr:uid="{00000000-0005-0000-0000-0000260B0000}"/>
    <cellStyle name="Normal 2 29 3" xfId="2303" xr:uid="{00000000-0005-0000-0000-0000270B0000}"/>
    <cellStyle name="Normal 2 29 3 2" xfId="2304" xr:uid="{00000000-0005-0000-0000-0000280B0000}"/>
    <cellStyle name="Normal 2 29 3 2 2" xfId="2305" xr:uid="{00000000-0005-0000-0000-0000290B0000}"/>
    <cellStyle name="Normal 2 29 3 3" xfId="2306" xr:uid="{00000000-0005-0000-0000-00002A0B0000}"/>
    <cellStyle name="Normal 2 29 4" xfId="2307" xr:uid="{00000000-0005-0000-0000-00002B0B0000}"/>
    <cellStyle name="Normal 2 29 4 2" xfId="2308" xr:uid="{00000000-0005-0000-0000-00002C0B0000}"/>
    <cellStyle name="Normal 2 29 4 2 2" xfId="2309" xr:uid="{00000000-0005-0000-0000-00002D0B0000}"/>
    <cellStyle name="Normal 2 29 4 3" xfId="2310" xr:uid="{00000000-0005-0000-0000-00002E0B0000}"/>
    <cellStyle name="Normal 2 29 5" xfId="2311" xr:uid="{00000000-0005-0000-0000-00002F0B0000}"/>
    <cellStyle name="Normal 2 29 5 2" xfId="2312" xr:uid="{00000000-0005-0000-0000-0000300B0000}"/>
    <cellStyle name="Normal 2 29 5 2 2" xfId="2313" xr:uid="{00000000-0005-0000-0000-0000310B0000}"/>
    <cellStyle name="Normal 2 29 5 3" xfId="2314" xr:uid="{00000000-0005-0000-0000-0000320B0000}"/>
    <cellStyle name="Normal 2 29 6" xfId="2315" xr:uid="{00000000-0005-0000-0000-0000330B0000}"/>
    <cellStyle name="Normal 2 29 6 2" xfId="2316" xr:uid="{00000000-0005-0000-0000-0000340B0000}"/>
    <cellStyle name="Normal 2 29 6 2 2" xfId="2317" xr:uid="{00000000-0005-0000-0000-0000350B0000}"/>
    <cellStyle name="Normal 2 29 6 3" xfId="2318" xr:uid="{00000000-0005-0000-0000-0000360B0000}"/>
    <cellStyle name="Normal 2 29 7" xfId="2319" xr:uid="{00000000-0005-0000-0000-0000370B0000}"/>
    <cellStyle name="Normal 2 29 7 2" xfId="2320" xr:uid="{00000000-0005-0000-0000-0000380B0000}"/>
    <cellStyle name="Normal 2 29 7 2 2" xfId="2321" xr:uid="{00000000-0005-0000-0000-0000390B0000}"/>
    <cellStyle name="Normal 2 29 7 3" xfId="2322" xr:uid="{00000000-0005-0000-0000-00003A0B0000}"/>
    <cellStyle name="Normal 2 29 8" xfId="2323" xr:uid="{00000000-0005-0000-0000-00003B0B0000}"/>
    <cellStyle name="Normal 2 29 8 2" xfId="2324" xr:uid="{00000000-0005-0000-0000-00003C0B0000}"/>
    <cellStyle name="Normal 2 29 8 2 2" xfId="2325" xr:uid="{00000000-0005-0000-0000-00003D0B0000}"/>
    <cellStyle name="Normal 2 29 8 3" xfId="2326" xr:uid="{00000000-0005-0000-0000-00003E0B0000}"/>
    <cellStyle name="Normal 2 29 9" xfId="2327" xr:uid="{00000000-0005-0000-0000-00003F0B0000}"/>
    <cellStyle name="Normal 2 29 9 2" xfId="2328" xr:uid="{00000000-0005-0000-0000-0000400B0000}"/>
    <cellStyle name="Normal 2 29 9 2 2" xfId="2329" xr:uid="{00000000-0005-0000-0000-0000410B0000}"/>
    <cellStyle name="Normal 2 29 9 3" xfId="2330" xr:uid="{00000000-0005-0000-0000-0000420B0000}"/>
    <cellStyle name="Normal 2 3" xfId="155" xr:uid="{00000000-0005-0000-0000-0000430B0000}"/>
    <cellStyle name="Normal 2 3 2" xfId="156" xr:uid="{00000000-0005-0000-0000-0000440B0000}"/>
    <cellStyle name="Normal 2 3 2 2" xfId="157" xr:uid="{00000000-0005-0000-0000-0000450B0000}"/>
    <cellStyle name="Normal 2 3 2 2 2" xfId="158" xr:uid="{00000000-0005-0000-0000-0000460B0000}"/>
    <cellStyle name="Normal 2 3 2 2 2 2" xfId="11322" xr:uid="{E3D819B1-B531-4DDB-B106-300BDD3B6899}"/>
    <cellStyle name="Normal 2 3 2 2 2 3" xfId="11958" xr:uid="{1A1555E3-0CAE-4795-A842-B19C231AFD56}"/>
    <cellStyle name="Normal 2 3 2 2 3" xfId="8203" xr:uid="{00000000-0005-0000-0000-0000470B0000}"/>
    <cellStyle name="Normal 2 3 2 2 4" xfId="11321" xr:uid="{7D792DAC-AFAF-48FF-8EC0-0762720E1839}"/>
    <cellStyle name="Normal 2 3 2 2 5" xfId="11957" xr:uid="{304AF9CC-D435-476F-A8B6-23ACA46D472C}"/>
    <cellStyle name="Normal 2 3 2 3" xfId="2331" xr:uid="{00000000-0005-0000-0000-0000480B0000}"/>
    <cellStyle name="Normal 2 3 2 4" xfId="10328" xr:uid="{431CCE0F-8ABD-43AF-A448-DAAEF23C1F66}"/>
    <cellStyle name="Normal 2 3 2 4 2" xfId="11759" xr:uid="{4C3037BB-9E5C-486D-A558-EE0B72BF5BD0}"/>
    <cellStyle name="Normal 2 3 2 5" xfId="10557" xr:uid="{80FC2651-03A2-4B71-BC83-7EA1DB7792F2}"/>
    <cellStyle name="Normal 2 3 3" xfId="159" xr:uid="{00000000-0005-0000-0000-0000490B0000}"/>
    <cellStyle name="Normal 2 3 3 2" xfId="160" xr:uid="{00000000-0005-0000-0000-00004A0B0000}"/>
    <cellStyle name="Normal 2 3 3 2 2" xfId="11324" xr:uid="{A7F84BA3-4C14-4FCA-AEDC-FC07A5F88F0F}"/>
    <cellStyle name="Normal 2 3 3 2 3" xfId="11960" xr:uid="{C406215B-3402-4D04-A943-4499E996C9B1}"/>
    <cellStyle name="Normal 2 3 3 3" xfId="8815" xr:uid="{00000000-0005-0000-0000-00004B0B0000}"/>
    <cellStyle name="Normal 2 3 3 3 2" xfId="9746" xr:uid="{FEC08B67-4684-4B7C-B32A-D969E1D8BA62}"/>
    <cellStyle name="Normal 2 3 3 3 2 2" xfId="11325" xr:uid="{9ECA7524-D2F4-4ED4-BDC3-CA0AEF02B864}"/>
    <cellStyle name="Normal 2 3 3 3 3" xfId="11959" xr:uid="{8E408A9D-8F12-4B30-A9FC-60D3086E43E6}"/>
    <cellStyle name="Normal 2 3 3 3 4" xfId="9745" xr:uid="{DE3102D8-9071-42C1-A16A-B02D928056B3}"/>
    <cellStyle name="Normal 2 3 3 4" xfId="8204" xr:uid="{00000000-0005-0000-0000-00004C0B0000}"/>
    <cellStyle name="Normal 2 3 3 5" xfId="10424" xr:uid="{4D8C2A57-91AE-4B50-A379-566F4F2FCFE7}"/>
    <cellStyle name="Normal 2 3 3 6" xfId="11323" xr:uid="{E63D21D6-5F8B-4738-8044-EB293BF138E9}"/>
    <cellStyle name="Normal 2 3 4" xfId="2332" xr:uid="{00000000-0005-0000-0000-00004D0B0000}"/>
    <cellStyle name="Normal 2 3 4 2" xfId="2333" xr:uid="{00000000-0005-0000-0000-00004E0B0000}"/>
    <cellStyle name="Normal 2 3 4 3" xfId="8165" xr:uid="{00000000-0005-0000-0000-00004F0B0000}"/>
    <cellStyle name="Normal 2 3 4 3 2" xfId="9748" xr:uid="{C9BBAA26-5ED8-4155-845B-795C2F0D70D0}"/>
    <cellStyle name="Normal 2 3 4 4" xfId="9747" xr:uid="{F6154F6A-CF9E-471D-B99B-3EC647D65678}"/>
    <cellStyle name="Normal 2 3 5" xfId="2334" xr:uid="{00000000-0005-0000-0000-0000500B0000}"/>
    <cellStyle name="Normal 2 3 6" xfId="9207" xr:uid="{2A0A4675-897E-42F4-A7A4-4B98811AFAF3}"/>
    <cellStyle name="Normal 2 3 6 2" xfId="10327" xr:uid="{BA4AD47E-B02B-459C-9ADD-5A07A75BC253}"/>
    <cellStyle name="Normal 2 3 7" xfId="10539" xr:uid="{0626D3C6-47AA-443A-B68F-ED71EBBF387F}"/>
    <cellStyle name="Normal 2 30" xfId="2335" xr:uid="{00000000-0005-0000-0000-0000510B0000}"/>
    <cellStyle name="Normal 2 30 10" xfId="2336" xr:uid="{00000000-0005-0000-0000-0000520B0000}"/>
    <cellStyle name="Normal 2 30 10 2" xfId="2337" xr:uid="{00000000-0005-0000-0000-0000530B0000}"/>
    <cellStyle name="Normal 2 30 10 2 2" xfId="2338" xr:uid="{00000000-0005-0000-0000-0000540B0000}"/>
    <cellStyle name="Normal 2 30 10 3" xfId="2339" xr:uid="{00000000-0005-0000-0000-0000550B0000}"/>
    <cellStyle name="Normal 2 30 11" xfId="2340" xr:uid="{00000000-0005-0000-0000-0000560B0000}"/>
    <cellStyle name="Normal 2 30 11 2" xfId="2341" xr:uid="{00000000-0005-0000-0000-0000570B0000}"/>
    <cellStyle name="Normal 2 30 11 2 2" xfId="2342" xr:uid="{00000000-0005-0000-0000-0000580B0000}"/>
    <cellStyle name="Normal 2 30 11 3" xfId="2343" xr:uid="{00000000-0005-0000-0000-0000590B0000}"/>
    <cellStyle name="Normal 2 30 12" xfId="2344" xr:uid="{00000000-0005-0000-0000-00005A0B0000}"/>
    <cellStyle name="Normal 2 30 12 2" xfId="2345" xr:uid="{00000000-0005-0000-0000-00005B0B0000}"/>
    <cellStyle name="Normal 2 30 12 2 2" xfId="2346" xr:uid="{00000000-0005-0000-0000-00005C0B0000}"/>
    <cellStyle name="Normal 2 30 12 3" xfId="2347" xr:uid="{00000000-0005-0000-0000-00005D0B0000}"/>
    <cellStyle name="Normal 2 30 13" xfId="2348" xr:uid="{00000000-0005-0000-0000-00005E0B0000}"/>
    <cellStyle name="Normal 2 30 13 2" xfId="2349" xr:uid="{00000000-0005-0000-0000-00005F0B0000}"/>
    <cellStyle name="Normal 2 30 13 2 2" xfId="2350" xr:uid="{00000000-0005-0000-0000-0000600B0000}"/>
    <cellStyle name="Normal 2 30 13 3" xfId="2351" xr:uid="{00000000-0005-0000-0000-0000610B0000}"/>
    <cellStyle name="Normal 2 30 14" xfId="2352" xr:uid="{00000000-0005-0000-0000-0000620B0000}"/>
    <cellStyle name="Normal 2 30 14 2" xfId="2353" xr:uid="{00000000-0005-0000-0000-0000630B0000}"/>
    <cellStyle name="Normal 2 30 14 2 2" xfId="2354" xr:uid="{00000000-0005-0000-0000-0000640B0000}"/>
    <cellStyle name="Normal 2 30 14 3" xfId="2355" xr:uid="{00000000-0005-0000-0000-0000650B0000}"/>
    <cellStyle name="Normal 2 30 15" xfId="2356" xr:uid="{00000000-0005-0000-0000-0000660B0000}"/>
    <cellStyle name="Normal 2 30 15 2" xfId="2357" xr:uid="{00000000-0005-0000-0000-0000670B0000}"/>
    <cellStyle name="Normal 2 30 15 2 2" xfId="2358" xr:uid="{00000000-0005-0000-0000-0000680B0000}"/>
    <cellStyle name="Normal 2 30 15 3" xfId="2359" xr:uid="{00000000-0005-0000-0000-0000690B0000}"/>
    <cellStyle name="Normal 2 30 16" xfId="2360" xr:uid="{00000000-0005-0000-0000-00006A0B0000}"/>
    <cellStyle name="Normal 2 30 16 2" xfId="2361" xr:uid="{00000000-0005-0000-0000-00006B0B0000}"/>
    <cellStyle name="Normal 2 30 16 2 2" xfId="2362" xr:uid="{00000000-0005-0000-0000-00006C0B0000}"/>
    <cellStyle name="Normal 2 30 16 3" xfId="2363" xr:uid="{00000000-0005-0000-0000-00006D0B0000}"/>
    <cellStyle name="Normal 2 30 17" xfId="2364" xr:uid="{00000000-0005-0000-0000-00006E0B0000}"/>
    <cellStyle name="Normal 2 30 17 2" xfId="2365" xr:uid="{00000000-0005-0000-0000-00006F0B0000}"/>
    <cellStyle name="Normal 2 30 17 2 2" xfId="2366" xr:uid="{00000000-0005-0000-0000-0000700B0000}"/>
    <cellStyle name="Normal 2 30 17 3" xfId="2367" xr:uid="{00000000-0005-0000-0000-0000710B0000}"/>
    <cellStyle name="Normal 2 30 18" xfId="2368" xr:uid="{00000000-0005-0000-0000-0000720B0000}"/>
    <cellStyle name="Normal 2 30 18 2" xfId="2369" xr:uid="{00000000-0005-0000-0000-0000730B0000}"/>
    <cellStyle name="Normal 2 30 18 2 2" xfId="2370" xr:uid="{00000000-0005-0000-0000-0000740B0000}"/>
    <cellStyle name="Normal 2 30 18 3" xfId="2371" xr:uid="{00000000-0005-0000-0000-0000750B0000}"/>
    <cellStyle name="Normal 2 30 19" xfId="2372" xr:uid="{00000000-0005-0000-0000-0000760B0000}"/>
    <cellStyle name="Normal 2 30 19 2" xfId="2373" xr:uid="{00000000-0005-0000-0000-0000770B0000}"/>
    <cellStyle name="Normal 2 30 19 2 2" xfId="2374" xr:uid="{00000000-0005-0000-0000-0000780B0000}"/>
    <cellStyle name="Normal 2 30 19 3" xfId="2375" xr:uid="{00000000-0005-0000-0000-0000790B0000}"/>
    <cellStyle name="Normal 2 30 2" xfId="2376" xr:uid="{00000000-0005-0000-0000-00007A0B0000}"/>
    <cellStyle name="Normal 2 30 2 2" xfId="2377" xr:uid="{00000000-0005-0000-0000-00007B0B0000}"/>
    <cellStyle name="Normal 2 30 2 2 2" xfId="2378" xr:uid="{00000000-0005-0000-0000-00007C0B0000}"/>
    <cellStyle name="Normal 2 30 2 3" xfId="2379" xr:uid="{00000000-0005-0000-0000-00007D0B0000}"/>
    <cellStyle name="Normal 2 30 20" xfId="2380" xr:uid="{00000000-0005-0000-0000-00007E0B0000}"/>
    <cellStyle name="Normal 2 30 20 2" xfId="2381" xr:uid="{00000000-0005-0000-0000-00007F0B0000}"/>
    <cellStyle name="Normal 2 30 20 2 2" xfId="2382" xr:uid="{00000000-0005-0000-0000-0000800B0000}"/>
    <cellStyle name="Normal 2 30 20 3" xfId="2383" xr:uid="{00000000-0005-0000-0000-0000810B0000}"/>
    <cellStyle name="Normal 2 30 21" xfId="2384" xr:uid="{00000000-0005-0000-0000-0000820B0000}"/>
    <cellStyle name="Normal 2 30 21 2" xfId="2385" xr:uid="{00000000-0005-0000-0000-0000830B0000}"/>
    <cellStyle name="Normal 2 30 21 2 2" xfId="2386" xr:uid="{00000000-0005-0000-0000-0000840B0000}"/>
    <cellStyle name="Normal 2 30 21 3" xfId="2387" xr:uid="{00000000-0005-0000-0000-0000850B0000}"/>
    <cellStyle name="Normal 2 30 22" xfId="2388" xr:uid="{00000000-0005-0000-0000-0000860B0000}"/>
    <cellStyle name="Normal 2 30 22 2" xfId="2389" xr:uid="{00000000-0005-0000-0000-0000870B0000}"/>
    <cellStyle name="Normal 2 30 22 2 2" xfId="2390" xr:uid="{00000000-0005-0000-0000-0000880B0000}"/>
    <cellStyle name="Normal 2 30 22 3" xfId="2391" xr:uid="{00000000-0005-0000-0000-0000890B0000}"/>
    <cellStyle name="Normal 2 30 23" xfId="2392" xr:uid="{00000000-0005-0000-0000-00008A0B0000}"/>
    <cellStyle name="Normal 2 30 23 2" xfId="2393" xr:uid="{00000000-0005-0000-0000-00008B0B0000}"/>
    <cellStyle name="Normal 2 30 23 2 2" xfId="2394" xr:uid="{00000000-0005-0000-0000-00008C0B0000}"/>
    <cellStyle name="Normal 2 30 23 3" xfId="2395" xr:uid="{00000000-0005-0000-0000-00008D0B0000}"/>
    <cellStyle name="Normal 2 30 24" xfId="2396" xr:uid="{00000000-0005-0000-0000-00008E0B0000}"/>
    <cellStyle name="Normal 2 30 24 2" xfId="2397" xr:uid="{00000000-0005-0000-0000-00008F0B0000}"/>
    <cellStyle name="Normal 2 30 25" xfId="2398" xr:uid="{00000000-0005-0000-0000-0000900B0000}"/>
    <cellStyle name="Normal 2 30 3" xfId="2399" xr:uid="{00000000-0005-0000-0000-0000910B0000}"/>
    <cellStyle name="Normal 2 30 3 2" xfId="2400" xr:uid="{00000000-0005-0000-0000-0000920B0000}"/>
    <cellStyle name="Normal 2 30 3 2 2" xfId="2401" xr:uid="{00000000-0005-0000-0000-0000930B0000}"/>
    <cellStyle name="Normal 2 30 3 3" xfId="2402" xr:uid="{00000000-0005-0000-0000-0000940B0000}"/>
    <cellStyle name="Normal 2 30 4" xfId="2403" xr:uid="{00000000-0005-0000-0000-0000950B0000}"/>
    <cellStyle name="Normal 2 30 4 2" xfId="2404" xr:uid="{00000000-0005-0000-0000-0000960B0000}"/>
    <cellStyle name="Normal 2 30 4 2 2" xfId="2405" xr:uid="{00000000-0005-0000-0000-0000970B0000}"/>
    <cellStyle name="Normal 2 30 4 3" xfId="2406" xr:uid="{00000000-0005-0000-0000-0000980B0000}"/>
    <cellStyle name="Normal 2 30 5" xfId="2407" xr:uid="{00000000-0005-0000-0000-0000990B0000}"/>
    <cellStyle name="Normal 2 30 5 2" xfId="2408" xr:uid="{00000000-0005-0000-0000-00009A0B0000}"/>
    <cellStyle name="Normal 2 30 5 2 2" xfId="2409" xr:uid="{00000000-0005-0000-0000-00009B0B0000}"/>
    <cellStyle name="Normal 2 30 5 3" xfId="2410" xr:uid="{00000000-0005-0000-0000-00009C0B0000}"/>
    <cellStyle name="Normal 2 30 6" xfId="2411" xr:uid="{00000000-0005-0000-0000-00009D0B0000}"/>
    <cellStyle name="Normal 2 30 6 2" xfId="2412" xr:uid="{00000000-0005-0000-0000-00009E0B0000}"/>
    <cellStyle name="Normal 2 30 6 2 2" xfId="2413" xr:uid="{00000000-0005-0000-0000-00009F0B0000}"/>
    <cellStyle name="Normal 2 30 6 3" xfId="2414" xr:uid="{00000000-0005-0000-0000-0000A00B0000}"/>
    <cellStyle name="Normal 2 30 7" xfId="2415" xr:uid="{00000000-0005-0000-0000-0000A10B0000}"/>
    <cellStyle name="Normal 2 30 7 2" xfId="2416" xr:uid="{00000000-0005-0000-0000-0000A20B0000}"/>
    <cellStyle name="Normal 2 30 7 2 2" xfId="2417" xr:uid="{00000000-0005-0000-0000-0000A30B0000}"/>
    <cellStyle name="Normal 2 30 7 3" xfId="2418" xr:uid="{00000000-0005-0000-0000-0000A40B0000}"/>
    <cellStyle name="Normal 2 30 8" xfId="2419" xr:uid="{00000000-0005-0000-0000-0000A50B0000}"/>
    <cellStyle name="Normal 2 30 8 2" xfId="2420" xr:uid="{00000000-0005-0000-0000-0000A60B0000}"/>
    <cellStyle name="Normal 2 30 8 2 2" xfId="2421" xr:uid="{00000000-0005-0000-0000-0000A70B0000}"/>
    <cellStyle name="Normal 2 30 8 3" xfId="2422" xr:uid="{00000000-0005-0000-0000-0000A80B0000}"/>
    <cellStyle name="Normal 2 30 9" xfId="2423" xr:uid="{00000000-0005-0000-0000-0000A90B0000}"/>
    <cellStyle name="Normal 2 30 9 2" xfId="2424" xr:uid="{00000000-0005-0000-0000-0000AA0B0000}"/>
    <cellStyle name="Normal 2 30 9 2 2" xfId="2425" xr:uid="{00000000-0005-0000-0000-0000AB0B0000}"/>
    <cellStyle name="Normal 2 30 9 3" xfId="2426" xr:uid="{00000000-0005-0000-0000-0000AC0B0000}"/>
    <cellStyle name="Normal 2 31" xfId="2427" xr:uid="{00000000-0005-0000-0000-0000AD0B0000}"/>
    <cellStyle name="Normal 2 31 10" xfId="2428" xr:uid="{00000000-0005-0000-0000-0000AE0B0000}"/>
    <cellStyle name="Normal 2 31 10 2" xfId="2429" xr:uid="{00000000-0005-0000-0000-0000AF0B0000}"/>
    <cellStyle name="Normal 2 31 10 2 2" xfId="2430" xr:uid="{00000000-0005-0000-0000-0000B00B0000}"/>
    <cellStyle name="Normal 2 31 10 3" xfId="2431" xr:uid="{00000000-0005-0000-0000-0000B10B0000}"/>
    <cellStyle name="Normal 2 31 11" xfId="2432" xr:uid="{00000000-0005-0000-0000-0000B20B0000}"/>
    <cellStyle name="Normal 2 31 11 2" xfId="2433" xr:uid="{00000000-0005-0000-0000-0000B30B0000}"/>
    <cellStyle name="Normal 2 31 11 2 2" xfId="2434" xr:uid="{00000000-0005-0000-0000-0000B40B0000}"/>
    <cellStyle name="Normal 2 31 11 3" xfId="2435" xr:uid="{00000000-0005-0000-0000-0000B50B0000}"/>
    <cellStyle name="Normal 2 31 12" xfId="2436" xr:uid="{00000000-0005-0000-0000-0000B60B0000}"/>
    <cellStyle name="Normal 2 31 12 2" xfId="2437" xr:uid="{00000000-0005-0000-0000-0000B70B0000}"/>
    <cellStyle name="Normal 2 31 12 2 2" xfId="2438" xr:uid="{00000000-0005-0000-0000-0000B80B0000}"/>
    <cellStyle name="Normal 2 31 12 3" xfId="2439" xr:uid="{00000000-0005-0000-0000-0000B90B0000}"/>
    <cellStyle name="Normal 2 31 13" xfId="2440" xr:uid="{00000000-0005-0000-0000-0000BA0B0000}"/>
    <cellStyle name="Normal 2 31 13 2" xfId="2441" xr:uid="{00000000-0005-0000-0000-0000BB0B0000}"/>
    <cellStyle name="Normal 2 31 13 2 2" xfId="2442" xr:uid="{00000000-0005-0000-0000-0000BC0B0000}"/>
    <cellStyle name="Normal 2 31 13 3" xfId="2443" xr:uid="{00000000-0005-0000-0000-0000BD0B0000}"/>
    <cellStyle name="Normal 2 31 14" xfId="2444" xr:uid="{00000000-0005-0000-0000-0000BE0B0000}"/>
    <cellStyle name="Normal 2 31 14 2" xfId="2445" xr:uid="{00000000-0005-0000-0000-0000BF0B0000}"/>
    <cellStyle name="Normal 2 31 14 2 2" xfId="2446" xr:uid="{00000000-0005-0000-0000-0000C00B0000}"/>
    <cellStyle name="Normal 2 31 14 3" xfId="2447" xr:uid="{00000000-0005-0000-0000-0000C10B0000}"/>
    <cellStyle name="Normal 2 31 15" xfId="2448" xr:uid="{00000000-0005-0000-0000-0000C20B0000}"/>
    <cellStyle name="Normal 2 31 15 2" xfId="2449" xr:uid="{00000000-0005-0000-0000-0000C30B0000}"/>
    <cellStyle name="Normal 2 31 15 2 2" xfId="2450" xr:uid="{00000000-0005-0000-0000-0000C40B0000}"/>
    <cellStyle name="Normal 2 31 15 3" xfId="2451" xr:uid="{00000000-0005-0000-0000-0000C50B0000}"/>
    <cellStyle name="Normal 2 31 16" xfId="2452" xr:uid="{00000000-0005-0000-0000-0000C60B0000}"/>
    <cellStyle name="Normal 2 31 16 2" xfId="2453" xr:uid="{00000000-0005-0000-0000-0000C70B0000}"/>
    <cellStyle name="Normal 2 31 16 2 2" xfId="2454" xr:uid="{00000000-0005-0000-0000-0000C80B0000}"/>
    <cellStyle name="Normal 2 31 16 3" xfId="2455" xr:uid="{00000000-0005-0000-0000-0000C90B0000}"/>
    <cellStyle name="Normal 2 31 17" xfId="2456" xr:uid="{00000000-0005-0000-0000-0000CA0B0000}"/>
    <cellStyle name="Normal 2 31 17 2" xfId="2457" xr:uid="{00000000-0005-0000-0000-0000CB0B0000}"/>
    <cellStyle name="Normal 2 31 17 2 2" xfId="2458" xr:uid="{00000000-0005-0000-0000-0000CC0B0000}"/>
    <cellStyle name="Normal 2 31 17 3" xfId="2459" xr:uid="{00000000-0005-0000-0000-0000CD0B0000}"/>
    <cellStyle name="Normal 2 31 18" xfId="2460" xr:uid="{00000000-0005-0000-0000-0000CE0B0000}"/>
    <cellStyle name="Normal 2 31 18 2" xfId="2461" xr:uid="{00000000-0005-0000-0000-0000CF0B0000}"/>
    <cellStyle name="Normal 2 31 18 2 2" xfId="2462" xr:uid="{00000000-0005-0000-0000-0000D00B0000}"/>
    <cellStyle name="Normal 2 31 18 3" xfId="2463" xr:uid="{00000000-0005-0000-0000-0000D10B0000}"/>
    <cellStyle name="Normal 2 31 19" xfId="2464" xr:uid="{00000000-0005-0000-0000-0000D20B0000}"/>
    <cellStyle name="Normal 2 31 19 2" xfId="2465" xr:uid="{00000000-0005-0000-0000-0000D30B0000}"/>
    <cellStyle name="Normal 2 31 19 2 2" xfId="2466" xr:uid="{00000000-0005-0000-0000-0000D40B0000}"/>
    <cellStyle name="Normal 2 31 19 3" xfId="2467" xr:uid="{00000000-0005-0000-0000-0000D50B0000}"/>
    <cellStyle name="Normal 2 31 2" xfId="2468" xr:uid="{00000000-0005-0000-0000-0000D60B0000}"/>
    <cellStyle name="Normal 2 31 2 2" xfId="2469" xr:uid="{00000000-0005-0000-0000-0000D70B0000}"/>
    <cellStyle name="Normal 2 31 2 2 2" xfId="2470" xr:uid="{00000000-0005-0000-0000-0000D80B0000}"/>
    <cellStyle name="Normal 2 31 2 3" xfId="2471" xr:uid="{00000000-0005-0000-0000-0000D90B0000}"/>
    <cellStyle name="Normal 2 31 20" xfId="2472" xr:uid="{00000000-0005-0000-0000-0000DA0B0000}"/>
    <cellStyle name="Normal 2 31 20 2" xfId="2473" xr:uid="{00000000-0005-0000-0000-0000DB0B0000}"/>
    <cellStyle name="Normal 2 31 20 2 2" xfId="2474" xr:uid="{00000000-0005-0000-0000-0000DC0B0000}"/>
    <cellStyle name="Normal 2 31 20 3" xfId="2475" xr:uid="{00000000-0005-0000-0000-0000DD0B0000}"/>
    <cellStyle name="Normal 2 31 21" xfId="2476" xr:uid="{00000000-0005-0000-0000-0000DE0B0000}"/>
    <cellStyle name="Normal 2 31 21 2" xfId="2477" xr:uid="{00000000-0005-0000-0000-0000DF0B0000}"/>
    <cellStyle name="Normal 2 31 21 2 2" xfId="2478" xr:uid="{00000000-0005-0000-0000-0000E00B0000}"/>
    <cellStyle name="Normal 2 31 21 3" xfId="2479" xr:uid="{00000000-0005-0000-0000-0000E10B0000}"/>
    <cellStyle name="Normal 2 31 22" xfId="2480" xr:uid="{00000000-0005-0000-0000-0000E20B0000}"/>
    <cellStyle name="Normal 2 31 22 2" xfId="2481" xr:uid="{00000000-0005-0000-0000-0000E30B0000}"/>
    <cellStyle name="Normal 2 31 22 2 2" xfId="2482" xr:uid="{00000000-0005-0000-0000-0000E40B0000}"/>
    <cellStyle name="Normal 2 31 22 3" xfId="2483" xr:uid="{00000000-0005-0000-0000-0000E50B0000}"/>
    <cellStyle name="Normal 2 31 23" xfId="2484" xr:uid="{00000000-0005-0000-0000-0000E60B0000}"/>
    <cellStyle name="Normal 2 31 23 2" xfId="2485" xr:uid="{00000000-0005-0000-0000-0000E70B0000}"/>
    <cellStyle name="Normal 2 31 23 2 2" xfId="2486" xr:uid="{00000000-0005-0000-0000-0000E80B0000}"/>
    <cellStyle name="Normal 2 31 23 3" xfId="2487" xr:uid="{00000000-0005-0000-0000-0000E90B0000}"/>
    <cellStyle name="Normal 2 31 24" xfId="2488" xr:uid="{00000000-0005-0000-0000-0000EA0B0000}"/>
    <cellStyle name="Normal 2 31 24 2" xfId="2489" xr:uid="{00000000-0005-0000-0000-0000EB0B0000}"/>
    <cellStyle name="Normal 2 31 25" xfId="2490" xr:uid="{00000000-0005-0000-0000-0000EC0B0000}"/>
    <cellStyle name="Normal 2 31 3" xfId="2491" xr:uid="{00000000-0005-0000-0000-0000ED0B0000}"/>
    <cellStyle name="Normal 2 31 3 2" xfId="2492" xr:uid="{00000000-0005-0000-0000-0000EE0B0000}"/>
    <cellStyle name="Normal 2 31 3 2 2" xfId="2493" xr:uid="{00000000-0005-0000-0000-0000EF0B0000}"/>
    <cellStyle name="Normal 2 31 3 3" xfId="2494" xr:uid="{00000000-0005-0000-0000-0000F00B0000}"/>
    <cellStyle name="Normal 2 31 4" xfId="2495" xr:uid="{00000000-0005-0000-0000-0000F10B0000}"/>
    <cellStyle name="Normal 2 31 4 2" xfId="2496" xr:uid="{00000000-0005-0000-0000-0000F20B0000}"/>
    <cellStyle name="Normal 2 31 4 2 2" xfId="2497" xr:uid="{00000000-0005-0000-0000-0000F30B0000}"/>
    <cellStyle name="Normal 2 31 4 3" xfId="2498" xr:uid="{00000000-0005-0000-0000-0000F40B0000}"/>
    <cellStyle name="Normal 2 31 5" xfId="2499" xr:uid="{00000000-0005-0000-0000-0000F50B0000}"/>
    <cellStyle name="Normal 2 31 5 2" xfId="2500" xr:uid="{00000000-0005-0000-0000-0000F60B0000}"/>
    <cellStyle name="Normal 2 31 5 2 2" xfId="2501" xr:uid="{00000000-0005-0000-0000-0000F70B0000}"/>
    <cellStyle name="Normal 2 31 5 3" xfId="2502" xr:uid="{00000000-0005-0000-0000-0000F80B0000}"/>
    <cellStyle name="Normal 2 31 6" xfId="2503" xr:uid="{00000000-0005-0000-0000-0000F90B0000}"/>
    <cellStyle name="Normal 2 31 6 2" xfId="2504" xr:uid="{00000000-0005-0000-0000-0000FA0B0000}"/>
    <cellStyle name="Normal 2 31 6 2 2" xfId="2505" xr:uid="{00000000-0005-0000-0000-0000FB0B0000}"/>
    <cellStyle name="Normal 2 31 6 3" xfId="2506" xr:uid="{00000000-0005-0000-0000-0000FC0B0000}"/>
    <cellStyle name="Normal 2 31 7" xfId="2507" xr:uid="{00000000-0005-0000-0000-0000FD0B0000}"/>
    <cellStyle name="Normal 2 31 7 2" xfId="2508" xr:uid="{00000000-0005-0000-0000-0000FE0B0000}"/>
    <cellStyle name="Normal 2 31 7 2 2" xfId="2509" xr:uid="{00000000-0005-0000-0000-0000FF0B0000}"/>
    <cellStyle name="Normal 2 31 7 3" xfId="2510" xr:uid="{00000000-0005-0000-0000-0000000C0000}"/>
    <cellStyle name="Normal 2 31 8" xfId="2511" xr:uid="{00000000-0005-0000-0000-0000010C0000}"/>
    <cellStyle name="Normal 2 31 8 2" xfId="2512" xr:uid="{00000000-0005-0000-0000-0000020C0000}"/>
    <cellStyle name="Normal 2 31 8 2 2" xfId="2513" xr:uid="{00000000-0005-0000-0000-0000030C0000}"/>
    <cellStyle name="Normal 2 31 8 3" xfId="2514" xr:uid="{00000000-0005-0000-0000-0000040C0000}"/>
    <cellStyle name="Normal 2 31 9" xfId="2515" xr:uid="{00000000-0005-0000-0000-0000050C0000}"/>
    <cellStyle name="Normal 2 31 9 2" xfId="2516" xr:uid="{00000000-0005-0000-0000-0000060C0000}"/>
    <cellStyle name="Normal 2 31 9 2 2" xfId="2517" xr:uid="{00000000-0005-0000-0000-0000070C0000}"/>
    <cellStyle name="Normal 2 31 9 3" xfId="2518" xr:uid="{00000000-0005-0000-0000-0000080C0000}"/>
    <cellStyle name="Normal 2 32" xfId="2519" xr:uid="{00000000-0005-0000-0000-0000090C0000}"/>
    <cellStyle name="Normal 2 32 10" xfId="2520" xr:uid="{00000000-0005-0000-0000-00000A0C0000}"/>
    <cellStyle name="Normal 2 32 10 2" xfId="2521" xr:uid="{00000000-0005-0000-0000-00000B0C0000}"/>
    <cellStyle name="Normal 2 32 10 2 2" xfId="2522" xr:uid="{00000000-0005-0000-0000-00000C0C0000}"/>
    <cellStyle name="Normal 2 32 10 3" xfId="2523" xr:uid="{00000000-0005-0000-0000-00000D0C0000}"/>
    <cellStyle name="Normal 2 32 11" xfId="2524" xr:uid="{00000000-0005-0000-0000-00000E0C0000}"/>
    <cellStyle name="Normal 2 32 11 2" xfId="2525" xr:uid="{00000000-0005-0000-0000-00000F0C0000}"/>
    <cellStyle name="Normal 2 32 11 2 2" xfId="2526" xr:uid="{00000000-0005-0000-0000-0000100C0000}"/>
    <cellStyle name="Normal 2 32 11 3" xfId="2527" xr:uid="{00000000-0005-0000-0000-0000110C0000}"/>
    <cellStyle name="Normal 2 32 12" xfId="2528" xr:uid="{00000000-0005-0000-0000-0000120C0000}"/>
    <cellStyle name="Normal 2 32 12 2" xfId="2529" xr:uid="{00000000-0005-0000-0000-0000130C0000}"/>
    <cellStyle name="Normal 2 32 12 2 2" xfId="2530" xr:uid="{00000000-0005-0000-0000-0000140C0000}"/>
    <cellStyle name="Normal 2 32 12 3" xfId="2531" xr:uid="{00000000-0005-0000-0000-0000150C0000}"/>
    <cellStyle name="Normal 2 32 13" xfId="2532" xr:uid="{00000000-0005-0000-0000-0000160C0000}"/>
    <cellStyle name="Normal 2 32 13 2" xfId="2533" xr:uid="{00000000-0005-0000-0000-0000170C0000}"/>
    <cellStyle name="Normal 2 32 13 2 2" xfId="2534" xr:uid="{00000000-0005-0000-0000-0000180C0000}"/>
    <cellStyle name="Normal 2 32 13 3" xfId="2535" xr:uid="{00000000-0005-0000-0000-0000190C0000}"/>
    <cellStyle name="Normal 2 32 14" xfId="2536" xr:uid="{00000000-0005-0000-0000-00001A0C0000}"/>
    <cellStyle name="Normal 2 32 14 2" xfId="2537" xr:uid="{00000000-0005-0000-0000-00001B0C0000}"/>
    <cellStyle name="Normal 2 32 14 2 2" xfId="2538" xr:uid="{00000000-0005-0000-0000-00001C0C0000}"/>
    <cellStyle name="Normal 2 32 14 3" xfId="2539" xr:uid="{00000000-0005-0000-0000-00001D0C0000}"/>
    <cellStyle name="Normal 2 32 15" xfId="2540" xr:uid="{00000000-0005-0000-0000-00001E0C0000}"/>
    <cellStyle name="Normal 2 32 15 2" xfId="2541" xr:uid="{00000000-0005-0000-0000-00001F0C0000}"/>
    <cellStyle name="Normal 2 32 15 2 2" xfId="2542" xr:uid="{00000000-0005-0000-0000-0000200C0000}"/>
    <cellStyle name="Normal 2 32 15 3" xfId="2543" xr:uid="{00000000-0005-0000-0000-0000210C0000}"/>
    <cellStyle name="Normal 2 32 16" xfId="2544" xr:uid="{00000000-0005-0000-0000-0000220C0000}"/>
    <cellStyle name="Normal 2 32 16 2" xfId="2545" xr:uid="{00000000-0005-0000-0000-0000230C0000}"/>
    <cellStyle name="Normal 2 32 16 2 2" xfId="2546" xr:uid="{00000000-0005-0000-0000-0000240C0000}"/>
    <cellStyle name="Normal 2 32 16 3" xfId="2547" xr:uid="{00000000-0005-0000-0000-0000250C0000}"/>
    <cellStyle name="Normal 2 32 17" xfId="2548" xr:uid="{00000000-0005-0000-0000-0000260C0000}"/>
    <cellStyle name="Normal 2 32 17 2" xfId="2549" xr:uid="{00000000-0005-0000-0000-0000270C0000}"/>
    <cellStyle name="Normal 2 32 17 2 2" xfId="2550" xr:uid="{00000000-0005-0000-0000-0000280C0000}"/>
    <cellStyle name="Normal 2 32 17 3" xfId="2551" xr:uid="{00000000-0005-0000-0000-0000290C0000}"/>
    <cellStyle name="Normal 2 32 18" xfId="2552" xr:uid="{00000000-0005-0000-0000-00002A0C0000}"/>
    <cellStyle name="Normal 2 32 18 2" xfId="2553" xr:uid="{00000000-0005-0000-0000-00002B0C0000}"/>
    <cellStyle name="Normal 2 32 18 2 2" xfId="2554" xr:uid="{00000000-0005-0000-0000-00002C0C0000}"/>
    <cellStyle name="Normal 2 32 18 3" xfId="2555" xr:uid="{00000000-0005-0000-0000-00002D0C0000}"/>
    <cellStyle name="Normal 2 32 19" xfId="2556" xr:uid="{00000000-0005-0000-0000-00002E0C0000}"/>
    <cellStyle name="Normal 2 32 19 2" xfId="2557" xr:uid="{00000000-0005-0000-0000-00002F0C0000}"/>
    <cellStyle name="Normal 2 32 19 2 2" xfId="2558" xr:uid="{00000000-0005-0000-0000-0000300C0000}"/>
    <cellStyle name="Normal 2 32 19 3" xfId="2559" xr:uid="{00000000-0005-0000-0000-0000310C0000}"/>
    <cellStyle name="Normal 2 32 2" xfId="2560" xr:uid="{00000000-0005-0000-0000-0000320C0000}"/>
    <cellStyle name="Normal 2 32 2 2" xfId="2561" xr:uid="{00000000-0005-0000-0000-0000330C0000}"/>
    <cellStyle name="Normal 2 32 2 2 2" xfId="2562" xr:uid="{00000000-0005-0000-0000-0000340C0000}"/>
    <cellStyle name="Normal 2 32 2 3" xfId="2563" xr:uid="{00000000-0005-0000-0000-0000350C0000}"/>
    <cellStyle name="Normal 2 32 20" xfId="2564" xr:uid="{00000000-0005-0000-0000-0000360C0000}"/>
    <cellStyle name="Normal 2 32 20 2" xfId="2565" xr:uid="{00000000-0005-0000-0000-0000370C0000}"/>
    <cellStyle name="Normal 2 32 20 2 2" xfId="2566" xr:uid="{00000000-0005-0000-0000-0000380C0000}"/>
    <cellStyle name="Normal 2 32 20 3" xfId="2567" xr:uid="{00000000-0005-0000-0000-0000390C0000}"/>
    <cellStyle name="Normal 2 32 21" xfId="2568" xr:uid="{00000000-0005-0000-0000-00003A0C0000}"/>
    <cellStyle name="Normal 2 32 21 2" xfId="2569" xr:uid="{00000000-0005-0000-0000-00003B0C0000}"/>
    <cellStyle name="Normal 2 32 21 2 2" xfId="2570" xr:uid="{00000000-0005-0000-0000-00003C0C0000}"/>
    <cellStyle name="Normal 2 32 21 3" xfId="2571" xr:uid="{00000000-0005-0000-0000-00003D0C0000}"/>
    <cellStyle name="Normal 2 32 22" xfId="2572" xr:uid="{00000000-0005-0000-0000-00003E0C0000}"/>
    <cellStyle name="Normal 2 32 22 2" xfId="2573" xr:uid="{00000000-0005-0000-0000-00003F0C0000}"/>
    <cellStyle name="Normal 2 32 22 2 2" xfId="2574" xr:uid="{00000000-0005-0000-0000-0000400C0000}"/>
    <cellStyle name="Normal 2 32 22 3" xfId="2575" xr:uid="{00000000-0005-0000-0000-0000410C0000}"/>
    <cellStyle name="Normal 2 32 23" xfId="2576" xr:uid="{00000000-0005-0000-0000-0000420C0000}"/>
    <cellStyle name="Normal 2 32 23 2" xfId="2577" xr:uid="{00000000-0005-0000-0000-0000430C0000}"/>
    <cellStyle name="Normal 2 32 23 2 2" xfId="2578" xr:uid="{00000000-0005-0000-0000-0000440C0000}"/>
    <cellStyle name="Normal 2 32 23 3" xfId="2579" xr:uid="{00000000-0005-0000-0000-0000450C0000}"/>
    <cellStyle name="Normal 2 32 24" xfId="2580" xr:uid="{00000000-0005-0000-0000-0000460C0000}"/>
    <cellStyle name="Normal 2 32 24 2" xfId="2581" xr:uid="{00000000-0005-0000-0000-0000470C0000}"/>
    <cellStyle name="Normal 2 32 25" xfId="2582" xr:uid="{00000000-0005-0000-0000-0000480C0000}"/>
    <cellStyle name="Normal 2 32 3" xfId="2583" xr:uid="{00000000-0005-0000-0000-0000490C0000}"/>
    <cellStyle name="Normal 2 32 3 2" xfId="2584" xr:uid="{00000000-0005-0000-0000-00004A0C0000}"/>
    <cellStyle name="Normal 2 32 3 2 2" xfId="2585" xr:uid="{00000000-0005-0000-0000-00004B0C0000}"/>
    <cellStyle name="Normal 2 32 3 3" xfId="2586" xr:uid="{00000000-0005-0000-0000-00004C0C0000}"/>
    <cellStyle name="Normal 2 32 4" xfId="2587" xr:uid="{00000000-0005-0000-0000-00004D0C0000}"/>
    <cellStyle name="Normal 2 32 4 2" xfId="2588" xr:uid="{00000000-0005-0000-0000-00004E0C0000}"/>
    <cellStyle name="Normal 2 32 4 2 2" xfId="2589" xr:uid="{00000000-0005-0000-0000-00004F0C0000}"/>
    <cellStyle name="Normal 2 32 4 3" xfId="2590" xr:uid="{00000000-0005-0000-0000-0000500C0000}"/>
    <cellStyle name="Normal 2 32 5" xfId="2591" xr:uid="{00000000-0005-0000-0000-0000510C0000}"/>
    <cellStyle name="Normal 2 32 5 2" xfId="2592" xr:uid="{00000000-0005-0000-0000-0000520C0000}"/>
    <cellStyle name="Normal 2 32 5 2 2" xfId="2593" xr:uid="{00000000-0005-0000-0000-0000530C0000}"/>
    <cellStyle name="Normal 2 32 5 3" xfId="2594" xr:uid="{00000000-0005-0000-0000-0000540C0000}"/>
    <cellStyle name="Normal 2 32 6" xfId="2595" xr:uid="{00000000-0005-0000-0000-0000550C0000}"/>
    <cellStyle name="Normal 2 32 6 2" xfId="2596" xr:uid="{00000000-0005-0000-0000-0000560C0000}"/>
    <cellStyle name="Normal 2 32 6 2 2" xfId="2597" xr:uid="{00000000-0005-0000-0000-0000570C0000}"/>
    <cellStyle name="Normal 2 32 6 3" xfId="2598" xr:uid="{00000000-0005-0000-0000-0000580C0000}"/>
    <cellStyle name="Normal 2 32 7" xfId="2599" xr:uid="{00000000-0005-0000-0000-0000590C0000}"/>
    <cellStyle name="Normal 2 32 7 2" xfId="2600" xr:uid="{00000000-0005-0000-0000-00005A0C0000}"/>
    <cellStyle name="Normal 2 32 7 2 2" xfId="2601" xr:uid="{00000000-0005-0000-0000-00005B0C0000}"/>
    <cellStyle name="Normal 2 32 7 3" xfId="2602" xr:uid="{00000000-0005-0000-0000-00005C0C0000}"/>
    <cellStyle name="Normal 2 32 8" xfId="2603" xr:uid="{00000000-0005-0000-0000-00005D0C0000}"/>
    <cellStyle name="Normal 2 32 8 2" xfId="2604" xr:uid="{00000000-0005-0000-0000-00005E0C0000}"/>
    <cellStyle name="Normal 2 32 8 2 2" xfId="2605" xr:uid="{00000000-0005-0000-0000-00005F0C0000}"/>
    <cellStyle name="Normal 2 32 8 3" xfId="2606" xr:uid="{00000000-0005-0000-0000-0000600C0000}"/>
    <cellStyle name="Normal 2 32 9" xfId="2607" xr:uid="{00000000-0005-0000-0000-0000610C0000}"/>
    <cellStyle name="Normal 2 32 9 2" xfId="2608" xr:uid="{00000000-0005-0000-0000-0000620C0000}"/>
    <cellStyle name="Normal 2 32 9 2 2" xfId="2609" xr:uid="{00000000-0005-0000-0000-0000630C0000}"/>
    <cellStyle name="Normal 2 32 9 3" xfId="2610" xr:uid="{00000000-0005-0000-0000-0000640C0000}"/>
    <cellStyle name="Normal 2 33" xfId="2611" xr:uid="{00000000-0005-0000-0000-0000650C0000}"/>
    <cellStyle name="Normal 2 33 10" xfId="2612" xr:uid="{00000000-0005-0000-0000-0000660C0000}"/>
    <cellStyle name="Normal 2 33 10 2" xfId="2613" xr:uid="{00000000-0005-0000-0000-0000670C0000}"/>
    <cellStyle name="Normal 2 33 10 2 2" xfId="2614" xr:uid="{00000000-0005-0000-0000-0000680C0000}"/>
    <cellStyle name="Normal 2 33 10 3" xfId="2615" xr:uid="{00000000-0005-0000-0000-0000690C0000}"/>
    <cellStyle name="Normal 2 33 11" xfId="2616" xr:uid="{00000000-0005-0000-0000-00006A0C0000}"/>
    <cellStyle name="Normal 2 33 11 2" xfId="2617" xr:uid="{00000000-0005-0000-0000-00006B0C0000}"/>
    <cellStyle name="Normal 2 33 11 2 2" xfId="2618" xr:uid="{00000000-0005-0000-0000-00006C0C0000}"/>
    <cellStyle name="Normal 2 33 11 3" xfId="2619" xr:uid="{00000000-0005-0000-0000-00006D0C0000}"/>
    <cellStyle name="Normal 2 33 12" xfId="2620" xr:uid="{00000000-0005-0000-0000-00006E0C0000}"/>
    <cellStyle name="Normal 2 33 12 2" xfId="2621" xr:uid="{00000000-0005-0000-0000-00006F0C0000}"/>
    <cellStyle name="Normal 2 33 12 2 2" xfId="2622" xr:uid="{00000000-0005-0000-0000-0000700C0000}"/>
    <cellStyle name="Normal 2 33 12 3" xfId="2623" xr:uid="{00000000-0005-0000-0000-0000710C0000}"/>
    <cellStyle name="Normal 2 33 13" xfId="2624" xr:uid="{00000000-0005-0000-0000-0000720C0000}"/>
    <cellStyle name="Normal 2 33 13 2" xfId="2625" xr:uid="{00000000-0005-0000-0000-0000730C0000}"/>
    <cellStyle name="Normal 2 33 13 2 2" xfId="2626" xr:uid="{00000000-0005-0000-0000-0000740C0000}"/>
    <cellStyle name="Normal 2 33 13 3" xfId="2627" xr:uid="{00000000-0005-0000-0000-0000750C0000}"/>
    <cellStyle name="Normal 2 33 14" xfId="2628" xr:uid="{00000000-0005-0000-0000-0000760C0000}"/>
    <cellStyle name="Normal 2 33 14 2" xfId="2629" xr:uid="{00000000-0005-0000-0000-0000770C0000}"/>
    <cellStyle name="Normal 2 33 14 2 2" xfId="2630" xr:uid="{00000000-0005-0000-0000-0000780C0000}"/>
    <cellStyle name="Normal 2 33 14 3" xfId="2631" xr:uid="{00000000-0005-0000-0000-0000790C0000}"/>
    <cellStyle name="Normal 2 33 15" xfId="2632" xr:uid="{00000000-0005-0000-0000-00007A0C0000}"/>
    <cellStyle name="Normal 2 33 15 2" xfId="2633" xr:uid="{00000000-0005-0000-0000-00007B0C0000}"/>
    <cellStyle name="Normal 2 33 15 2 2" xfId="2634" xr:uid="{00000000-0005-0000-0000-00007C0C0000}"/>
    <cellStyle name="Normal 2 33 15 3" xfId="2635" xr:uid="{00000000-0005-0000-0000-00007D0C0000}"/>
    <cellStyle name="Normal 2 33 16" xfId="2636" xr:uid="{00000000-0005-0000-0000-00007E0C0000}"/>
    <cellStyle name="Normal 2 33 16 2" xfId="2637" xr:uid="{00000000-0005-0000-0000-00007F0C0000}"/>
    <cellStyle name="Normal 2 33 16 2 2" xfId="2638" xr:uid="{00000000-0005-0000-0000-0000800C0000}"/>
    <cellStyle name="Normal 2 33 16 3" xfId="2639" xr:uid="{00000000-0005-0000-0000-0000810C0000}"/>
    <cellStyle name="Normal 2 33 17" xfId="2640" xr:uid="{00000000-0005-0000-0000-0000820C0000}"/>
    <cellStyle name="Normal 2 33 17 2" xfId="2641" xr:uid="{00000000-0005-0000-0000-0000830C0000}"/>
    <cellStyle name="Normal 2 33 17 2 2" xfId="2642" xr:uid="{00000000-0005-0000-0000-0000840C0000}"/>
    <cellStyle name="Normal 2 33 17 3" xfId="2643" xr:uid="{00000000-0005-0000-0000-0000850C0000}"/>
    <cellStyle name="Normal 2 33 18" xfId="2644" xr:uid="{00000000-0005-0000-0000-0000860C0000}"/>
    <cellStyle name="Normal 2 33 18 2" xfId="2645" xr:uid="{00000000-0005-0000-0000-0000870C0000}"/>
    <cellStyle name="Normal 2 33 18 2 2" xfId="2646" xr:uid="{00000000-0005-0000-0000-0000880C0000}"/>
    <cellStyle name="Normal 2 33 18 3" xfId="2647" xr:uid="{00000000-0005-0000-0000-0000890C0000}"/>
    <cellStyle name="Normal 2 33 19" xfId="2648" xr:uid="{00000000-0005-0000-0000-00008A0C0000}"/>
    <cellStyle name="Normal 2 33 19 2" xfId="2649" xr:uid="{00000000-0005-0000-0000-00008B0C0000}"/>
    <cellStyle name="Normal 2 33 19 2 2" xfId="2650" xr:uid="{00000000-0005-0000-0000-00008C0C0000}"/>
    <cellStyle name="Normal 2 33 19 3" xfId="2651" xr:uid="{00000000-0005-0000-0000-00008D0C0000}"/>
    <cellStyle name="Normal 2 33 2" xfId="2652" xr:uid="{00000000-0005-0000-0000-00008E0C0000}"/>
    <cellStyle name="Normal 2 33 2 2" xfId="2653" xr:uid="{00000000-0005-0000-0000-00008F0C0000}"/>
    <cellStyle name="Normal 2 33 2 2 2" xfId="2654" xr:uid="{00000000-0005-0000-0000-0000900C0000}"/>
    <cellStyle name="Normal 2 33 2 3" xfId="2655" xr:uid="{00000000-0005-0000-0000-0000910C0000}"/>
    <cellStyle name="Normal 2 33 20" xfId="2656" xr:uid="{00000000-0005-0000-0000-0000920C0000}"/>
    <cellStyle name="Normal 2 33 20 2" xfId="2657" xr:uid="{00000000-0005-0000-0000-0000930C0000}"/>
    <cellStyle name="Normal 2 33 20 2 2" xfId="2658" xr:uid="{00000000-0005-0000-0000-0000940C0000}"/>
    <cellStyle name="Normal 2 33 20 3" xfId="2659" xr:uid="{00000000-0005-0000-0000-0000950C0000}"/>
    <cellStyle name="Normal 2 33 21" xfId="2660" xr:uid="{00000000-0005-0000-0000-0000960C0000}"/>
    <cellStyle name="Normal 2 33 21 2" xfId="2661" xr:uid="{00000000-0005-0000-0000-0000970C0000}"/>
    <cellStyle name="Normal 2 33 21 2 2" xfId="2662" xr:uid="{00000000-0005-0000-0000-0000980C0000}"/>
    <cellStyle name="Normal 2 33 21 3" xfId="2663" xr:uid="{00000000-0005-0000-0000-0000990C0000}"/>
    <cellStyle name="Normal 2 33 22" xfId="2664" xr:uid="{00000000-0005-0000-0000-00009A0C0000}"/>
    <cellStyle name="Normal 2 33 22 2" xfId="2665" xr:uid="{00000000-0005-0000-0000-00009B0C0000}"/>
    <cellStyle name="Normal 2 33 22 2 2" xfId="2666" xr:uid="{00000000-0005-0000-0000-00009C0C0000}"/>
    <cellStyle name="Normal 2 33 22 3" xfId="2667" xr:uid="{00000000-0005-0000-0000-00009D0C0000}"/>
    <cellStyle name="Normal 2 33 23" xfId="2668" xr:uid="{00000000-0005-0000-0000-00009E0C0000}"/>
    <cellStyle name="Normal 2 33 23 2" xfId="2669" xr:uid="{00000000-0005-0000-0000-00009F0C0000}"/>
    <cellStyle name="Normal 2 33 23 2 2" xfId="2670" xr:uid="{00000000-0005-0000-0000-0000A00C0000}"/>
    <cellStyle name="Normal 2 33 23 3" xfId="2671" xr:uid="{00000000-0005-0000-0000-0000A10C0000}"/>
    <cellStyle name="Normal 2 33 24" xfId="2672" xr:uid="{00000000-0005-0000-0000-0000A20C0000}"/>
    <cellStyle name="Normal 2 33 24 2" xfId="2673" xr:uid="{00000000-0005-0000-0000-0000A30C0000}"/>
    <cellStyle name="Normal 2 33 25" xfId="2674" xr:uid="{00000000-0005-0000-0000-0000A40C0000}"/>
    <cellStyle name="Normal 2 33 3" xfId="2675" xr:uid="{00000000-0005-0000-0000-0000A50C0000}"/>
    <cellStyle name="Normal 2 33 3 2" xfId="2676" xr:uid="{00000000-0005-0000-0000-0000A60C0000}"/>
    <cellStyle name="Normal 2 33 3 2 2" xfId="2677" xr:uid="{00000000-0005-0000-0000-0000A70C0000}"/>
    <cellStyle name="Normal 2 33 3 3" xfId="2678" xr:uid="{00000000-0005-0000-0000-0000A80C0000}"/>
    <cellStyle name="Normal 2 33 4" xfId="2679" xr:uid="{00000000-0005-0000-0000-0000A90C0000}"/>
    <cellStyle name="Normal 2 33 4 2" xfId="2680" xr:uid="{00000000-0005-0000-0000-0000AA0C0000}"/>
    <cellStyle name="Normal 2 33 4 2 2" xfId="2681" xr:uid="{00000000-0005-0000-0000-0000AB0C0000}"/>
    <cellStyle name="Normal 2 33 4 3" xfId="2682" xr:uid="{00000000-0005-0000-0000-0000AC0C0000}"/>
    <cellStyle name="Normal 2 33 5" xfId="2683" xr:uid="{00000000-0005-0000-0000-0000AD0C0000}"/>
    <cellStyle name="Normal 2 33 5 2" xfId="2684" xr:uid="{00000000-0005-0000-0000-0000AE0C0000}"/>
    <cellStyle name="Normal 2 33 5 2 2" xfId="2685" xr:uid="{00000000-0005-0000-0000-0000AF0C0000}"/>
    <cellStyle name="Normal 2 33 5 3" xfId="2686" xr:uid="{00000000-0005-0000-0000-0000B00C0000}"/>
    <cellStyle name="Normal 2 33 6" xfId="2687" xr:uid="{00000000-0005-0000-0000-0000B10C0000}"/>
    <cellStyle name="Normal 2 33 6 2" xfId="2688" xr:uid="{00000000-0005-0000-0000-0000B20C0000}"/>
    <cellStyle name="Normal 2 33 6 2 2" xfId="2689" xr:uid="{00000000-0005-0000-0000-0000B30C0000}"/>
    <cellStyle name="Normal 2 33 6 3" xfId="2690" xr:uid="{00000000-0005-0000-0000-0000B40C0000}"/>
    <cellStyle name="Normal 2 33 7" xfId="2691" xr:uid="{00000000-0005-0000-0000-0000B50C0000}"/>
    <cellStyle name="Normal 2 33 7 2" xfId="2692" xr:uid="{00000000-0005-0000-0000-0000B60C0000}"/>
    <cellStyle name="Normal 2 33 7 2 2" xfId="2693" xr:uid="{00000000-0005-0000-0000-0000B70C0000}"/>
    <cellStyle name="Normal 2 33 7 3" xfId="2694" xr:uid="{00000000-0005-0000-0000-0000B80C0000}"/>
    <cellStyle name="Normal 2 33 8" xfId="2695" xr:uid="{00000000-0005-0000-0000-0000B90C0000}"/>
    <cellStyle name="Normal 2 33 8 2" xfId="2696" xr:uid="{00000000-0005-0000-0000-0000BA0C0000}"/>
    <cellStyle name="Normal 2 33 8 2 2" xfId="2697" xr:uid="{00000000-0005-0000-0000-0000BB0C0000}"/>
    <cellStyle name="Normal 2 33 8 3" xfId="2698" xr:uid="{00000000-0005-0000-0000-0000BC0C0000}"/>
    <cellStyle name="Normal 2 33 9" xfId="2699" xr:uid="{00000000-0005-0000-0000-0000BD0C0000}"/>
    <cellStyle name="Normal 2 33 9 2" xfId="2700" xr:uid="{00000000-0005-0000-0000-0000BE0C0000}"/>
    <cellStyle name="Normal 2 33 9 2 2" xfId="2701" xr:uid="{00000000-0005-0000-0000-0000BF0C0000}"/>
    <cellStyle name="Normal 2 33 9 3" xfId="2702" xr:uid="{00000000-0005-0000-0000-0000C00C0000}"/>
    <cellStyle name="Normal 2 34" xfId="2703" xr:uid="{00000000-0005-0000-0000-0000C10C0000}"/>
    <cellStyle name="Normal 2 34 10" xfId="2704" xr:uid="{00000000-0005-0000-0000-0000C20C0000}"/>
    <cellStyle name="Normal 2 34 10 2" xfId="2705" xr:uid="{00000000-0005-0000-0000-0000C30C0000}"/>
    <cellStyle name="Normal 2 34 10 2 2" xfId="2706" xr:uid="{00000000-0005-0000-0000-0000C40C0000}"/>
    <cellStyle name="Normal 2 34 10 3" xfId="2707" xr:uid="{00000000-0005-0000-0000-0000C50C0000}"/>
    <cellStyle name="Normal 2 34 11" xfId="2708" xr:uid="{00000000-0005-0000-0000-0000C60C0000}"/>
    <cellStyle name="Normal 2 34 11 2" xfId="2709" xr:uid="{00000000-0005-0000-0000-0000C70C0000}"/>
    <cellStyle name="Normal 2 34 11 2 2" xfId="2710" xr:uid="{00000000-0005-0000-0000-0000C80C0000}"/>
    <cellStyle name="Normal 2 34 11 3" xfId="2711" xr:uid="{00000000-0005-0000-0000-0000C90C0000}"/>
    <cellStyle name="Normal 2 34 12" xfId="2712" xr:uid="{00000000-0005-0000-0000-0000CA0C0000}"/>
    <cellStyle name="Normal 2 34 12 2" xfId="2713" xr:uid="{00000000-0005-0000-0000-0000CB0C0000}"/>
    <cellStyle name="Normal 2 34 12 2 2" xfId="2714" xr:uid="{00000000-0005-0000-0000-0000CC0C0000}"/>
    <cellStyle name="Normal 2 34 12 3" xfId="2715" xr:uid="{00000000-0005-0000-0000-0000CD0C0000}"/>
    <cellStyle name="Normal 2 34 13" xfId="2716" xr:uid="{00000000-0005-0000-0000-0000CE0C0000}"/>
    <cellStyle name="Normal 2 34 13 2" xfId="2717" xr:uid="{00000000-0005-0000-0000-0000CF0C0000}"/>
    <cellStyle name="Normal 2 34 13 2 2" xfId="2718" xr:uid="{00000000-0005-0000-0000-0000D00C0000}"/>
    <cellStyle name="Normal 2 34 13 3" xfId="2719" xr:uid="{00000000-0005-0000-0000-0000D10C0000}"/>
    <cellStyle name="Normal 2 34 14" xfId="2720" xr:uid="{00000000-0005-0000-0000-0000D20C0000}"/>
    <cellStyle name="Normal 2 34 14 2" xfId="2721" xr:uid="{00000000-0005-0000-0000-0000D30C0000}"/>
    <cellStyle name="Normal 2 34 14 2 2" xfId="2722" xr:uid="{00000000-0005-0000-0000-0000D40C0000}"/>
    <cellStyle name="Normal 2 34 14 3" xfId="2723" xr:uid="{00000000-0005-0000-0000-0000D50C0000}"/>
    <cellStyle name="Normal 2 34 15" xfId="2724" xr:uid="{00000000-0005-0000-0000-0000D60C0000}"/>
    <cellStyle name="Normal 2 34 15 2" xfId="2725" xr:uid="{00000000-0005-0000-0000-0000D70C0000}"/>
    <cellStyle name="Normal 2 34 15 2 2" xfId="2726" xr:uid="{00000000-0005-0000-0000-0000D80C0000}"/>
    <cellStyle name="Normal 2 34 15 3" xfId="2727" xr:uid="{00000000-0005-0000-0000-0000D90C0000}"/>
    <cellStyle name="Normal 2 34 16" xfId="2728" xr:uid="{00000000-0005-0000-0000-0000DA0C0000}"/>
    <cellStyle name="Normal 2 34 16 2" xfId="2729" xr:uid="{00000000-0005-0000-0000-0000DB0C0000}"/>
    <cellStyle name="Normal 2 34 16 2 2" xfId="2730" xr:uid="{00000000-0005-0000-0000-0000DC0C0000}"/>
    <cellStyle name="Normal 2 34 16 3" xfId="2731" xr:uid="{00000000-0005-0000-0000-0000DD0C0000}"/>
    <cellStyle name="Normal 2 34 17" xfId="2732" xr:uid="{00000000-0005-0000-0000-0000DE0C0000}"/>
    <cellStyle name="Normal 2 34 17 2" xfId="2733" xr:uid="{00000000-0005-0000-0000-0000DF0C0000}"/>
    <cellStyle name="Normal 2 34 17 2 2" xfId="2734" xr:uid="{00000000-0005-0000-0000-0000E00C0000}"/>
    <cellStyle name="Normal 2 34 17 3" xfId="2735" xr:uid="{00000000-0005-0000-0000-0000E10C0000}"/>
    <cellStyle name="Normal 2 34 18" xfId="2736" xr:uid="{00000000-0005-0000-0000-0000E20C0000}"/>
    <cellStyle name="Normal 2 34 18 2" xfId="2737" xr:uid="{00000000-0005-0000-0000-0000E30C0000}"/>
    <cellStyle name="Normal 2 34 18 2 2" xfId="2738" xr:uid="{00000000-0005-0000-0000-0000E40C0000}"/>
    <cellStyle name="Normal 2 34 18 3" xfId="2739" xr:uid="{00000000-0005-0000-0000-0000E50C0000}"/>
    <cellStyle name="Normal 2 34 19" xfId="2740" xr:uid="{00000000-0005-0000-0000-0000E60C0000}"/>
    <cellStyle name="Normal 2 34 19 2" xfId="2741" xr:uid="{00000000-0005-0000-0000-0000E70C0000}"/>
    <cellStyle name="Normal 2 34 19 2 2" xfId="2742" xr:uid="{00000000-0005-0000-0000-0000E80C0000}"/>
    <cellStyle name="Normal 2 34 19 3" xfId="2743" xr:uid="{00000000-0005-0000-0000-0000E90C0000}"/>
    <cellStyle name="Normal 2 34 2" xfId="2744" xr:uid="{00000000-0005-0000-0000-0000EA0C0000}"/>
    <cellStyle name="Normal 2 34 2 2" xfId="2745" xr:uid="{00000000-0005-0000-0000-0000EB0C0000}"/>
    <cellStyle name="Normal 2 34 2 2 2" xfId="2746" xr:uid="{00000000-0005-0000-0000-0000EC0C0000}"/>
    <cellStyle name="Normal 2 34 2 3" xfId="2747" xr:uid="{00000000-0005-0000-0000-0000ED0C0000}"/>
    <cellStyle name="Normal 2 34 20" xfId="2748" xr:uid="{00000000-0005-0000-0000-0000EE0C0000}"/>
    <cellStyle name="Normal 2 34 20 2" xfId="2749" xr:uid="{00000000-0005-0000-0000-0000EF0C0000}"/>
    <cellStyle name="Normal 2 34 20 2 2" xfId="2750" xr:uid="{00000000-0005-0000-0000-0000F00C0000}"/>
    <cellStyle name="Normal 2 34 20 3" xfId="2751" xr:uid="{00000000-0005-0000-0000-0000F10C0000}"/>
    <cellStyle name="Normal 2 34 21" xfId="2752" xr:uid="{00000000-0005-0000-0000-0000F20C0000}"/>
    <cellStyle name="Normal 2 34 21 2" xfId="2753" xr:uid="{00000000-0005-0000-0000-0000F30C0000}"/>
    <cellStyle name="Normal 2 34 21 2 2" xfId="2754" xr:uid="{00000000-0005-0000-0000-0000F40C0000}"/>
    <cellStyle name="Normal 2 34 21 3" xfId="2755" xr:uid="{00000000-0005-0000-0000-0000F50C0000}"/>
    <cellStyle name="Normal 2 34 22" xfId="2756" xr:uid="{00000000-0005-0000-0000-0000F60C0000}"/>
    <cellStyle name="Normal 2 34 22 2" xfId="2757" xr:uid="{00000000-0005-0000-0000-0000F70C0000}"/>
    <cellStyle name="Normal 2 34 22 2 2" xfId="2758" xr:uid="{00000000-0005-0000-0000-0000F80C0000}"/>
    <cellStyle name="Normal 2 34 22 3" xfId="2759" xr:uid="{00000000-0005-0000-0000-0000F90C0000}"/>
    <cellStyle name="Normal 2 34 23" xfId="2760" xr:uid="{00000000-0005-0000-0000-0000FA0C0000}"/>
    <cellStyle name="Normal 2 34 23 2" xfId="2761" xr:uid="{00000000-0005-0000-0000-0000FB0C0000}"/>
    <cellStyle name="Normal 2 34 23 2 2" xfId="2762" xr:uid="{00000000-0005-0000-0000-0000FC0C0000}"/>
    <cellStyle name="Normal 2 34 23 3" xfId="2763" xr:uid="{00000000-0005-0000-0000-0000FD0C0000}"/>
    <cellStyle name="Normal 2 34 24" xfId="2764" xr:uid="{00000000-0005-0000-0000-0000FE0C0000}"/>
    <cellStyle name="Normal 2 34 24 2" xfId="2765" xr:uid="{00000000-0005-0000-0000-0000FF0C0000}"/>
    <cellStyle name="Normal 2 34 25" xfId="2766" xr:uid="{00000000-0005-0000-0000-0000000D0000}"/>
    <cellStyle name="Normal 2 34 3" xfId="2767" xr:uid="{00000000-0005-0000-0000-0000010D0000}"/>
    <cellStyle name="Normal 2 34 3 2" xfId="2768" xr:uid="{00000000-0005-0000-0000-0000020D0000}"/>
    <cellStyle name="Normal 2 34 3 2 2" xfId="2769" xr:uid="{00000000-0005-0000-0000-0000030D0000}"/>
    <cellStyle name="Normal 2 34 3 3" xfId="2770" xr:uid="{00000000-0005-0000-0000-0000040D0000}"/>
    <cellStyle name="Normal 2 34 4" xfId="2771" xr:uid="{00000000-0005-0000-0000-0000050D0000}"/>
    <cellStyle name="Normal 2 34 4 2" xfId="2772" xr:uid="{00000000-0005-0000-0000-0000060D0000}"/>
    <cellStyle name="Normal 2 34 4 2 2" xfId="2773" xr:uid="{00000000-0005-0000-0000-0000070D0000}"/>
    <cellStyle name="Normal 2 34 4 3" xfId="2774" xr:uid="{00000000-0005-0000-0000-0000080D0000}"/>
    <cellStyle name="Normal 2 34 5" xfId="2775" xr:uid="{00000000-0005-0000-0000-0000090D0000}"/>
    <cellStyle name="Normal 2 34 5 2" xfId="2776" xr:uid="{00000000-0005-0000-0000-00000A0D0000}"/>
    <cellStyle name="Normal 2 34 5 2 2" xfId="2777" xr:uid="{00000000-0005-0000-0000-00000B0D0000}"/>
    <cellStyle name="Normal 2 34 5 3" xfId="2778" xr:uid="{00000000-0005-0000-0000-00000C0D0000}"/>
    <cellStyle name="Normal 2 34 6" xfId="2779" xr:uid="{00000000-0005-0000-0000-00000D0D0000}"/>
    <cellStyle name="Normal 2 34 6 2" xfId="2780" xr:uid="{00000000-0005-0000-0000-00000E0D0000}"/>
    <cellStyle name="Normal 2 34 6 2 2" xfId="2781" xr:uid="{00000000-0005-0000-0000-00000F0D0000}"/>
    <cellStyle name="Normal 2 34 6 3" xfId="2782" xr:uid="{00000000-0005-0000-0000-0000100D0000}"/>
    <cellStyle name="Normal 2 34 7" xfId="2783" xr:uid="{00000000-0005-0000-0000-0000110D0000}"/>
    <cellStyle name="Normal 2 34 7 2" xfId="2784" xr:uid="{00000000-0005-0000-0000-0000120D0000}"/>
    <cellStyle name="Normal 2 34 7 2 2" xfId="2785" xr:uid="{00000000-0005-0000-0000-0000130D0000}"/>
    <cellStyle name="Normal 2 34 7 3" xfId="2786" xr:uid="{00000000-0005-0000-0000-0000140D0000}"/>
    <cellStyle name="Normal 2 34 8" xfId="2787" xr:uid="{00000000-0005-0000-0000-0000150D0000}"/>
    <cellStyle name="Normal 2 34 8 2" xfId="2788" xr:uid="{00000000-0005-0000-0000-0000160D0000}"/>
    <cellStyle name="Normal 2 34 8 2 2" xfId="2789" xr:uid="{00000000-0005-0000-0000-0000170D0000}"/>
    <cellStyle name="Normal 2 34 8 3" xfId="2790" xr:uid="{00000000-0005-0000-0000-0000180D0000}"/>
    <cellStyle name="Normal 2 34 9" xfId="2791" xr:uid="{00000000-0005-0000-0000-0000190D0000}"/>
    <cellStyle name="Normal 2 34 9 2" xfId="2792" xr:uid="{00000000-0005-0000-0000-00001A0D0000}"/>
    <cellStyle name="Normal 2 34 9 2 2" xfId="2793" xr:uid="{00000000-0005-0000-0000-00001B0D0000}"/>
    <cellStyle name="Normal 2 34 9 3" xfId="2794" xr:uid="{00000000-0005-0000-0000-00001C0D0000}"/>
    <cellStyle name="Normal 2 35" xfId="2795" xr:uid="{00000000-0005-0000-0000-00001D0D0000}"/>
    <cellStyle name="Normal 2 35 10" xfId="2796" xr:uid="{00000000-0005-0000-0000-00001E0D0000}"/>
    <cellStyle name="Normal 2 35 10 2" xfId="2797" xr:uid="{00000000-0005-0000-0000-00001F0D0000}"/>
    <cellStyle name="Normal 2 35 10 2 2" xfId="2798" xr:uid="{00000000-0005-0000-0000-0000200D0000}"/>
    <cellStyle name="Normal 2 35 10 3" xfId="2799" xr:uid="{00000000-0005-0000-0000-0000210D0000}"/>
    <cellStyle name="Normal 2 35 11" xfId="2800" xr:uid="{00000000-0005-0000-0000-0000220D0000}"/>
    <cellStyle name="Normal 2 35 11 2" xfId="2801" xr:uid="{00000000-0005-0000-0000-0000230D0000}"/>
    <cellStyle name="Normal 2 35 11 2 2" xfId="2802" xr:uid="{00000000-0005-0000-0000-0000240D0000}"/>
    <cellStyle name="Normal 2 35 11 3" xfId="2803" xr:uid="{00000000-0005-0000-0000-0000250D0000}"/>
    <cellStyle name="Normal 2 35 12" xfId="2804" xr:uid="{00000000-0005-0000-0000-0000260D0000}"/>
    <cellStyle name="Normal 2 35 12 2" xfId="2805" xr:uid="{00000000-0005-0000-0000-0000270D0000}"/>
    <cellStyle name="Normal 2 35 12 2 2" xfId="2806" xr:uid="{00000000-0005-0000-0000-0000280D0000}"/>
    <cellStyle name="Normal 2 35 12 3" xfId="2807" xr:uid="{00000000-0005-0000-0000-0000290D0000}"/>
    <cellStyle name="Normal 2 35 13" xfId="2808" xr:uid="{00000000-0005-0000-0000-00002A0D0000}"/>
    <cellStyle name="Normal 2 35 13 2" xfId="2809" xr:uid="{00000000-0005-0000-0000-00002B0D0000}"/>
    <cellStyle name="Normal 2 35 13 2 2" xfId="2810" xr:uid="{00000000-0005-0000-0000-00002C0D0000}"/>
    <cellStyle name="Normal 2 35 13 3" xfId="2811" xr:uid="{00000000-0005-0000-0000-00002D0D0000}"/>
    <cellStyle name="Normal 2 35 14" xfId="2812" xr:uid="{00000000-0005-0000-0000-00002E0D0000}"/>
    <cellStyle name="Normal 2 35 14 2" xfId="2813" xr:uid="{00000000-0005-0000-0000-00002F0D0000}"/>
    <cellStyle name="Normal 2 35 14 2 2" xfId="2814" xr:uid="{00000000-0005-0000-0000-0000300D0000}"/>
    <cellStyle name="Normal 2 35 14 3" xfId="2815" xr:uid="{00000000-0005-0000-0000-0000310D0000}"/>
    <cellStyle name="Normal 2 35 15" xfId="2816" xr:uid="{00000000-0005-0000-0000-0000320D0000}"/>
    <cellStyle name="Normal 2 35 15 2" xfId="2817" xr:uid="{00000000-0005-0000-0000-0000330D0000}"/>
    <cellStyle name="Normal 2 35 15 2 2" xfId="2818" xr:uid="{00000000-0005-0000-0000-0000340D0000}"/>
    <cellStyle name="Normal 2 35 15 3" xfId="2819" xr:uid="{00000000-0005-0000-0000-0000350D0000}"/>
    <cellStyle name="Normal 2 35 16" xfId="2820" xr:uid="{00000000-0005-0000-0000-0000360D0000}"/>
    <cellStyle name="Normal 2 35 16 2" xfId="2821" xr:uid="{00000000-0005-0000-0000-0000370D0000}"/>
    <cellStyle name="Normal 2 35 16 2 2" xfId="2822" xr:uid="{00000000-0005-0000-0000-0000380D0000}"/>
    <cellStyle name="Normal 2 35 16 3" xfId="2823" xr:uid="{00000000-0005-0000-0000-0000390D0000}"/>
    <cellStyle name="Normal 2 35 17" xfId="2824" xr:uid="{00000000-0005-0000-0000-00003A0D0000}"/>
    <cellStyle name="Normal 2 35 17 2" xfId="2825" xr:uid="{00000000-0005-0000-0000-00003B0D0000}"/>
    <cellStyle name="Normal 2 35 17 2 2" xfId="2826" xr:uid="{00000000-0005-0000-0000-00003C0D0000}"/>
    <cellStyle name="Normal 2 35 17 3" xfId="2827" xr:uid="{00000000-0005-0000-0000-00003D0D0000}"/>
    <cellStyle name="Normal 2 35 18" xfId="2828" xr:uid="{00000000-0005-0000-0000-00003E0D0000}"/>
    <cellStyle name="Normal 2 35 18 2" xfId="2829" xr:uid="{00000000-0005-0000-0000-00003F0D0000}"/>
    <cellStyle name="Normal 2 35 18 2 2" xfId="2830" xr:uid="{00000000-0005-0000-0000-0000400D0000}"/>
    <cellStyle name="Normal 2 35 18 3" xfId="2831" xr:uid="{00000000-0005-0000-0000-0000410D0000}"/>
    <cellStyle name="Normal 2 35 19" xfId="2832" xr:uid="{00000000-0005-0000-0000-0000420D0000}"/>
    <cellStyle name="Normal 2 35 19 2" xfId="2833" xr:uid="{00000000-0005-0000-0000-0000430D0000}"/>
    <cellStyle name="Normal 2 35 19 2 2" xfId="2834" xr:uid="{00000000-0005-0000-0000-0000440D0000}"/>
    <cellStyle name="Normal 2 35 19 3" xfId="2835" xr:uid="{00000000-0005-0000-0000-0000450D0000}"/>
    <cellStyle name="Normal 2 35 2" xfId="2836" xr:uid="{00000000-0005-0000-0000-0000460D0000}"/>
    <cellStyle name="Normal 2 35 2 2" xfId="2837" xr:uid="{00000000-0005-0000-0000-0000470D0000}"/>
    <cellStyle name="Normal 2 35 2 2 2" xfId="2838" xr:uid="{00000000-0005-0000-0000-0000480D0000}"/>
    <cellStyle name="Normal 2 35 2 3" xfId="2839" xr:uid="{00000000-0005-0000-0000-0000490D0000}"/>
    <cellStyle name="Normal 2 35 20" xfId="2840" xr:uid="{00000000-0005-0000-0000-00004A0D0000}"/>
    <cellStyle name="Normal 2 35 20 2" xfId="2841" xr:uid="{00000000-0005-0000-0000-00004B0D0000}"/>
    <cellStyle name="Normal 2 35 20 2 2" xfId="2842" xr:uid="{00000000-0005-0000-0000-00004C0D0000}"/>
    <cellStyle name="Normal 2 35 20 3" xfId="2843" xr:uid="{00000000-0005-0000-0000-00004D0D0000}"/>
    <cellStyle name="Normal 2 35 21" xfId="2844" xr:uid="{00000000-0005-0000-0000-00004E0D0000}"/>
    <cellStyle name="Normal 2 35 21 2" xfId="2845" xr:uid="{00000000-0005-0000-0000-00004F0D0000}"/>
    <cellStyle name="Normal 2 35 21 2 2" xfId="2846" xr:uid="{00000000-0005-0000-0000-0000500D0000}"/>
    <cellStyle name="Normal 2 35 21 3" xfId="2847" xr:uid="{00000000-0005-0000-0000-0000510D0000}"/>
    <cellStyle name="Normal 2 35 22" xfId="2848" xr:uid="{00000000-0005-0000-0000-0000520D0000}"/>
    <cellStyle name="Normal 2 35 22 2" xfId="2849" xr:uid="{00000000-0005-0000-0000-0000530D0000}"/>
    <cellStyle name="Normal 2 35 22 2 2" xfId="2850" xr:uid="{00000000-0005-0000-0000-0000540D0000}"/>
    <cellStyle name="Normal 2 35 22 3" xfId="2851" xr:uid="{00000000-0005-0000-0000-0000550D0000}"/>
    <cellStyle name="Normal 2 35 23" xfId="2852" xr:uid="{00000000-0005-0000-0000-0000560D0000}"/>
    <cellStyle name="Normal 2 35 23 2" xfId="2853" xr:uid="{00000000-0005-0000-0000-0000570D0000}"/>
    <cellStyle name="Normal 2 35 23 2 2" xfId="2854" xr:uid="{00000000-0005-0000-0000-0000580D0000}"/>
    <cellStyle name="Normal 2 35 23 3" xfId="2855" xr:uid="{00000000-0005-0000-0000-0000590D0000}"/>
    <cellStyle name="Normal 2 35 24" xfId="2856" xr:uid="{00000000-0005-0000-0000-00005A0D0000}"/>
    <cellStyle name="Normal 2 35 24 2" xfId="2857" xr:uid="{00000000-0005-0000-0000-00005B0D0000}"/>
    <cellStyle name="Normal 2 35 25" xfId="2858" xr:uid="{00000000-0005-0000-0000-00005C0D0000}"/>
    <cellStyle name="Normal 2 35 3" xfId="2859" xr:uid="{00000000-0005-0000-0000-00005D0D0000}"/>
    <cellStyle name="Normal 2 35 3 2" xfId="2860" xr:uid="{00000000-0005-0000-0000-00005E0D0000}"/>
    <cellStyle name="Normal 2 35 3 2 2" xfId="2861" xr:uid="{00000000-0005-0000-0000-00005F0D0000}"/>
    <cellStyle name="Normal 2 35 3 3" xfId="2862" xr:uid="{00000000-0005-0000-0000-0000600D0000}"/>
    <cellStyle name="Normal 2 35 4" xfId="2863" xr:uid="{00000000-0005-0000-0000-0000610D0000}"/>
    <cellStyle name="Normal 2 35 4 2" xfId="2864" xr:uid="{00000000-0005-0000-0000-0000620D0000}"/>
    <cellStyle name="Normal 2 35 4 2 2" xfId="2865" xr:uid="{00000000-0005-0000-0000-0000630D0000}"/>
    <cellStyle name="Normal 2 35 4 3" xfId="2866" xr:uid="{00000000-0005-0000-0000-0000640D0000}"/>
    <cellStyle name="Normal 2 35 5" xfId="2867" xr:uid="{00000000-0005-0000-0000-0000650D0000}"/>
    <cellStyle name="Normal 2 35 5 2" xfId="2868" xr:uid="{00000000-0005-0000-0000-0000660D0000}"/>
    <cellStyle name="Normal 2 35 5 2 2" xfId="2869" xr:uid="{00000000-0005-0000-0000-0000670D0000}"/>
    <cellStyle name="Normal 2 35 5 3" xfId="2870" xr:uid="{00000000-0005-0000-0000-0000680D0000}"/>
    <cellStyle name="Normal 2 35 6" xfId="2871" xr:uid="{00000000-0005-0000-0000-0000690D0000}"/>
    <cellStyle name="Normal 2 35 6 2" xfId="2872" xr:uid="{00000000-0005-0000-0000-00006A0D0000}"/>
    <cellStyle name="Normal 2 35 6 2 2" xfId="2873" xr:uid="{00000000-0005-0000-0000-00006B0D0000}"/>
    <cellStyle name="Normal 2 35 6 3" xfId="2874" xr:uid="{00000000-0005-0000-0000-00006C0D0000}"/>
    <cellStyle name="Normal 2 35 7" xfId="2875" xr:uid="{00000000-0005-0000-0000-00006D0D0000}"/>
    <cellStyle name="Normal 2 35 7 2" xfId="2876" xr:uid="{00000000-0005-0000-0000-00006E0D0000}"/>
    <cellStyle name="Normal 2 35 7 2 2" xfId="2877" xr:uid="{00000000-0005-0000-0000-00006F0D0000}"/>
    <cellStyle name="Normal 2 35 7 3" xfId="2878" xr:uid="{00000000-0005-0000-0000-0000700D0000}"/>
    <cellStyle name="Normal 2 35 8" xfId="2879" xr:uid="{00000000-0005-0000-0000-0000710D0000}"/>
    <cellStyle name="Normal 2 35 8 2" xfId="2880" xr:uid="{00000000-0005-0000-0000-0000720D0000}"/>
    <cellStyle name="Normal 2 35 8 2 2" xfId="2881" xr:uid="{00000000-0005-0000-0000-0000730D0000}"/>
    <cellStyle name="Normal 2 35 8 3" xfId="2882" xr:uid="{00000000-0005-0000-0000-0000740D0000}"/>
    <cellStyle name="Normal 2 35 9" xfId="2883" xr:uid="{00000000-0005-0000-0000-0000750D0000}"/>
    <cellStyle name="Normal 2 35 9 2" xfId="2884" xr:uid="{00000000-0005-0000-0000-0000760D0000}"/>
    <cellStyle name="Normal 2 35 9 2 2" xfId="2885" xr:uid="{00000000-0005-0000-0000-0000770D0000}"/>
    <cellStyle name="Normal 2 35 9 3" xfId="2886" xr:uid="{00000000-0005-0000-0000-0000780D0000}"/>
    <cellStyle name="Normal 2 36" xfId="2887" xr:uid="{00000000-0005-0000-0000-0000790D0000}"/>
    <cellStyle name="Normal 2 36 10" xfId="2888" xr:uid="{00000000-0005-0000-0000-00007A0D0000}"/>
    <cellStyle name="Normal 2 36 10 2" xfId="2889" xr:uid="{00000000-0005-0000-0000-00007B0D0000}"/>
    <cellStyle name="Normal 2 36 10 2 2" xfId="2890" xr:uid="{00000000-0005-0000-0000-00007C0D0000}"/>
    <cellStyle name="Normal 2 36 10 3" xfId="2891" xr:uid="{00000000-0005-0000-0000-00007D0D0000}"/>
    <cellStyle name="Normal 2 36 11" xfId="2892" xr:uid="{00000000-0005-0000-0000-00007E0D0000}"/>
    <cellStyle name="Normal 2 36 11 2" xfId="2893" xr:uid="{00000000-0005-0000-0000-00007F0D0000}"/>
    <cellStyle name="Normal 2 36 11 2 2" xfId="2894" xr:uid="{00000000-0005-0000-0000-0000800D0000}"/>
    <cellStyle name="Normal 2 36 11 3" xfId="2895" xr:uid="{00000000-0005-0000-0000-0000810D0000}"/>
    <cellStyle name="Normal 2 36 12" xfId="2896" xr:uid="{00000000-0005-0000-0000-0000820D0000}"/>
    <cellStyle name="Normal 2 36 12 2" xfId="2897" xr:uid="{00000000-0005-0000-0000-0000830D0000}"/>
    <cellStyle name="Normal 2 36 12 2 2" xfId="2898" xr:uid="{00000000-0005-0000-0000-0000840D0000}"/>
    <cellStyle name="Normal 2 36 12 3" xfId="2899" xr:uid="{00000000-0005-0000-0000-0000850D0000}"/>
    <cellStyle name="Normal 2 36 13" xfId="2900" xr:uid="{00000000-0005-0000-0000-0000860D0000}"/>
    <cellStyle name="Normal 2 36 13 2" xfId="2901" xr:uid="{00000000-0005-0000-0000-0000870D0000}"/>
    <cellStyle name="Normal 2 36 13 2 2" xfId="2902" xr:uid="{00000000-0005-0000-0000-0000880D0000}"/>
    <cellStyle name="Normal 2 36 13 3" xfId="2903" xr:uid="{00000000-0005-0000-0000-0000890D0000}"/>
    <cellStyle name="Normal 2 36 14" xfId="2904" xr:uid="{00000000-0005-0000-0000-00008A0D0000}"/>
    <cellStyle name="Normal 2 36 14 2" xfId="2905" xr:uid="{00000000-0005-0000-0000-00008B0D0000}"/>
    <cellStyle name="Normal 2 36 14 2 2" xfId="2906" xr:uid="{00000000-0005-0000-0000-00008C0D0000}"/>
    <cellStyle name="Normal 2 36 14 3" xfId="2907" xr:uid="{00000000-0005-0000-0000-00008D0D0000}"/>
    <cellStyle name="Normal 2 36 15" xfId="2908" xr:uid="{00000000-0005-0000-0000-00008E0D0000}"/>
    <cellStyle name="Normal 2 36 15 2" xfId="2909" xr:uid="{00000000-0005-0000-0000-00008F0D0000}"/>
    <cellStyle name="Normal 2 36 15 2 2" xfId="2910" xr:uid="{00000000-0005-0000-0000-0000900D0000}"/>
    <cellStyle name="Normal 2 36 15 3" xfId="2911" xr:uid="{00000000-0005-0000-0000-0000910D0000}"/>
    <cellStyle name="Normal 2 36 16" xfId="2912" xr:uid="{00000000-0005-0000-0000-0000920D0000}"/>
    <cellStyle name="Normal 2 36 16 2" xfId="2913" xr:uid="{00000000-0005-0000-0000-0000930D0000}"/>
    <cellStyle name="Normal 2 36 16 2 2" xfId="2914" xr:uid="{00000000-0005-0000-0000-0000940D0000}"/>
    <cellStyle name="Normal 2 36 16 3" xfId="2915" xr:uid="{00000000-0005-0000-0000-0000950D0000}"/>
    <cellStyle name="Normal 2 36 17" xfId="2916" xr:uid="{00000000-0005-0000-0000-0000960D0000}"/>
    <cellStyle name="Normal 2 36 17 2" xfId="2917" xr:uid="{00000000-0005-0000-0000-0000970D0000}"/>
    <cellStyle name="Normal 2 36 17 2 2" xfId="2918" xr:uid="{00000000-0005-0000-0000-0000980D0000}"/>
    <cellStyle name="Normal 2 36 17 3" xfId="2919" xr:uid="{00000000-0005-0000-0000-0000990D0000}"/>
    <cellStyle name="Normal 2 36 18" xfId="2920" xr:uid="{00000000-0005-0000-0000-00009A0D0000}"/>
    <cellStyle name="Normal 2 36 18 2" xfId="2921" xr:uid="{00000000-0005-0000-0000-00009B0D0000}"/>
    <cellStyle name="Normal 2 36 18 2 2" xfId="2922" xr:uid="{00000000-0005-0000-0000-00009C0D0000}"/>
    <cellStyle name="Normal 2 36 18 3" xfId="2923" xr:uid="{00000000-0005-0000-0000-00009D0D0000}"/>
    <cellStyle name="Normal 2 36 19" xfId="2924" xr:uid="{00000000-0005-0000-0000-00009E0D0000}"/>
    <cellStyle name="Normal 2 36 19 2" xfId="2925" xr:uid="{00000000-0005-0000-0000-00009F0D0000}"/>
    <cellStyle name="Normal 2 36 19 2 2" xfId="2926" xr:uid="{00000000-0005-0000-0000-0000A00D0000}"/>
    <cellStyle name="Normal 2 36 19 3" xfId="2927" xr:uid="{00000000-0005-0000-0000-0000A10D0000}"/>
    <cellStyle name="Normal 2 36 2" xfId="2928" xr:uid="{00000000-0005-0000-0000-0000A20D0000}"/>
    <cellStyle name="Normal 2 36 2 2" xfId="2929" xr:uid="{00000000-0005-0000-0000-0000A30D0000}"/>
    <cellStyle name="Normal 2 36 2 2 2" xfId="2930" xr:uid="{00000000-0005-0000-0000-0000A40D0000}"/>
    <cellStyle name="Normal 2 36 2 3" xfId="2931" xr:uid="{00000000-0005-0000-0000-0000A50D0000}"/>
    <cellStyle name="Normal 2 36 20" xfId="2932" xr:uid="{00000000-0005-0000-0000-0000A60D0000}"/>
    <cellStyle name="Normal 2 36 20 2" xfId="2933" xr:uid="{00000000-0005-0000-0000-0000A70D0000}"/>
    <cellStyle name="Normal 2 36 20 2 2" xfId="2934" xr:uid="{00000000-0005-0000-0000-0000A80D0000}"/>
    <cellStyle name="Normal 2 36 20 3" xfId="2935" xr:uid="{00000000-0005-0000-0000-0000A90D0000}"/>
    <cellStyle name="Normal 2 36 21" xfId="2936" xr:uid="{00000000-0005-0000-0000-0000AA0D0000}"/>
    <cellStyle name="Normal 2 36 21 2" xfId="2937" xr:uid="{00000000-0005-0000-0000-0000AB0D0000}"/>
    <cellStyle name="Normal 2 36 21 2 2" xfId="2938" xr:uid="{00000000-0005-0000-0000-0000AC0D0000}"/>
    <cellStyle name="Normal 2 36 21 3" xfId="2939" xr:uid="{00000000-0005-0000-0000-0000AD0D0000}"/>
    <cellStyle name="Normal 2 36 22" xfId="2940" xr:uid="{00000000-0005-0000-0000-0000AE0D0000}"/>
    <cellStyle name="Normal 2 36 22 2" xfId="2941" xr:uid="{00000000-0005-0000-0000-0000AF0D0000}"/>
    <cellStyle name="Normal 2 36 22 2 2" xfId="2942" xr:uid="{00000000-0005-0000-0000-0000B00D0000}"/>
    <cellStyle name="Normal 2 36 22 3" xfId="2943" xr:uid="{00000000-0005-0000-0000-0000B10D0000}"/>
    <cellStyle name="Normal 2 36 23" xfId="2944" xr:uid="{00000000-0005-0000-0000-0000B20D0000}"/>
    <cellStyle name="Normal 2 36 23 2" xfId="2945" xr:uid="{00000000-0005-0000-0000-0000B30D0000}"/>
    <cellStyle name="Normal 2 36 23 2 2" xfId="2946" xr:uid="{00000000-0005-0000-0000-0000B40D0000}"/>
    <cellStyle name="Normal 2 36 23 3" xfId="2947" xr:uid="{00000000-0005-0000-0000-0000B50D0000}"/>
    <cellStyle name="Normal 2 36 24" xfId="2948" xr:uid="{00000000-0005-0000-0000-0000B60D0000}"/>
    <cellStyle name="Normal 2 36 24 2" xfId="2949" xr:uid="{00000000-0005-0000-0000-0000B70D0000}"/>
    <cellStyle name="Normal 2 36 25" xfId="2950" xr:uid="{00000000-0005-0000-0000-0000B80D0000}"/>
    <cellStyle name="Normal 2 36 3" xfId="2951" xr:uid="{00000000-0005-0000-0000-0000B90D0000}"/>
    <cellStyle name="Normal 2 36 3 2" xfId="2952" xr:uid="{00000000-0005-0000-0000-0000BA0D0000}"/>
    <cellStyle name="Normal 2 36 3 2 2" xfId="2953" xr:uid="{00000000-0005-0000-0000-0000BB0D0000}"/>
    <cellStyle name="Normal 2 36 3 3" xfId="2954" xr:uid="{00000000-0005-0000-0000-0000BC0D0000}"/>
    <cellStyle name="Normal 2 36 4" xfId="2955" xr:uid="{00000000-0005-0000-0000-0000BD0D0000}"/>
    <cellStyle name="Normal 2 36 4 2" xfId="2956" xr:uid="{00000000-0005-0000-0000-0000BE0D0000}"/>
    <cellStyle name="Normal 2 36 4 2 2" xfId="2957" xr:uid="{00000000-0005-0000-0000-0000BF0D0000}"/>
    <cellStyle name="Normal 2 36 4 3" xfId="2958" xr:uid="{00000000-0005-0000-0000-0000C00D0000}"/>
    <cellStyle name="Normal 2 36 5" xfId="2959" xr:uid="{00000000-0005-0000-0000-0000C10D0000}"/>
    <cellStyle name="Normal 2 36 5 2" xfId="2960" xr:uid="{00000000-0005-0000-0000-0000C20D0000}"/>
    <cellStyle name="Normal 2 36 5 2 2" xfId="2961" xr:uid="{00000000-0005-0000-0000-0000C30D0000}"/>
    <cellStyle name="Normal 2 36 5 3" xfId="2962" xr:uid="{00000000-0005-0000-0000-0000C40D0000}"/>
    <cellStyle name="Normal 2 36 6" xfId="2963" xr:uid="{00000000-0005-0000-0000-0000C50D0000}"/>
    <cellStyle name="Normal 2 36 6 2" xfId="2964" xr:uid="{00000000-0005-0000-0000-0000C60D0000}"/>
    <cellStyle name="Normal 2 36 6 2 2" xfId="2965" xr:uid="{00000000-0005-0000-0000-0000C70D0000}"/>
    <cellStyle name="Normal 2 36 6 3" xfId="2966" xr:uid="{00000000-0005-0000-0000-0000C80D0000}"/>
    <cellStyle name="Normal 2 36 7" xfId="2967" xr:uid="{00000000-0005-0000-0000-0000C90D0000}"/>
    <cellStyle name="Normal 2 36 7 2" xfId="2968" xr:uid="{00000000-0005-0000-0000-0000CA0D0000}"/>
    <cellStyle name="Normal 2 36 7 2 2" xfId="2969" xr:uid="{00000000-0005-0000-0000-0000CB0D0000}"/>
    <cellStyle name="Normal 2 36 7 3" xfId="2970" xr:uid="{00000000-0005-0000-0000-0000CC0D0000}"/>
    <cellStyle name="Normal 2 36 8" xfId="2971" xr:uid="{00000000-0005-0000-0000-0000CD0D0000}"/>
    <cellStyle name="Normal 2 36 8 2" xfId="2972" xr:uid="{00000000-0005-0000-0000-0000CE0D0000}"/>
    <cellStyle name="Normal 2 36 8 2 2" xfId="2973" xr:uid="{00000000-0005-0000-0000-0000CF0D0000}"/>
    <cellStyle name="Normal 2 36 8 3" xfId="2974" xr:uid="{00000000-0005-0000-0000-0000D00D0000}"/>
    <cellStyle name="Normal 2 36 9" xfId="2975" xr:uid="{00000000-0005-0000-0000-0000D10D0000}"/>
    <cellStyle name="Normal 2 36 9 2" xfId="2976" xr:uid="{00000000-0005-0000-0000-0000D20D0000}"/>
    <cellStyle name="Normal 2 36 9 2 2" xfId="2977" xr:uid="{00000000-0005-0000-0000-0000D30D0000}"/>
    <cellStyle name="Normal 2 36 9 3" xfId="2978" xr:uid="{00000000-0005-0000-0000-0000D40D0000}"/>
    <cellStyle name="Normal 2 37" xfId="2979" xr:uid="{00000000-0005-0000-0000-0000D50D0000}"/>
    <cellStyle name="Normal 2 37 10" xfId="2980" xr:uid="{00000000-0005-0000-0000-0000D60D0000}"/>
    <cellStyle name="Normal 2 37 10 2" xfId="2981" xr:uid="{00000000-0005-0000-0000-0000D70D0000}"/>
    <cellStyle name="Normal 2 37 10 2 2" xfId="2982" xr:uid="{00000000-0005-0000-0000-0000D80D0000}"/>
    <cellStyle name="Normal 2 37 10 3" xfId="2983" xr:uid="{00000000-0005-0000-0000-0000D90D0000}"/>
    <cellStyle name="Normal 2 37 11" xfId="2984" xr:uid="{00000000-0005-0000-0000-0000DA0D0000}"/>
    <cellStyle name="Normal 2 37 11 2" xfId="2985" xr:uid="{00000000-0005-0000-0000-0000DB0D0000}"/>
    <cellStyle name="Normal 2 37 11 2 2" xfId="2986" xr:uid="{00000000-0005-0000-0000-0000DC0D0000}"/>
    <cellStyle name="Normal 2 37 11 3" xfId="2987" xr:uid="{00000000-0005-0000-0000-0000DD0D0000}"/>
    <cellStyle name="Normal 2 37 12" xfId="2988" xr:uid="{00000000-0005-0000-0000-0000DE0D0000}"/>
    <cellStyle name="Normal 2 37 12 2" xfId="2989" xr:uid="{00000000-0005-0000-0000-0000DF0D0000}"/>
    <cellStyle name="Normal 2 37 12 2 2" xfId="2990" xr:uid="{00000000-0005-0000-0000-0000E00D0000}"/>
    <cellStyle name="Normal 2 37 12 3" xfId="2991" xr:uid="{00000000-0005-0000-0000-0000E10D0000}"/>
    <cellStyle name="Normal 2 37 13" xfId="2992" xr:uid="{00000000-0005-0000-0000-0000E20D0000}"/>
    <cellStyle name="Normal 2 37 13 2" xfId="2993" xr:uid="{00000000-0005-0000-0000-0000E30D0000}"/>
    <cellStyle name="Normal 2 37 13 2 2" xfId="2994" xr:uid="{00000000-0005-0000-0000-0000E40D0000}"/>
    <cellStyle name="Normal 2 37 13 3" xfId="2995" xr:uid="{00000000-0005-0000-0000-0000E50D0000}"/>
    <cellStyle name="Normal 2 37 14" xfId="2996" xr:uid="{00000000-0005-0000-0000-0000E60D0000}"/>
    <cellStyle name="Normal 2 37 14 2" xfId="2997" xr:uid="{00000000-0005-0000-0000-0000E70D0000}"/>
    <cellStyle name="Normal 2 37 14 2 2" xfId="2998" xr:uid="{00000000-0005-0000-0000-0000E80D0000}"/>
    <cellStyle name="Normal 2 37 14 3" xfId="2999" xr:uid="{00000000-0005-0000-0000-0000E90D0000}"/>
    <cellStyle name="Normal 2 37 15" xfId="3000" xr:uid="{00000000-0005-0000-0000-0000EA0D0000}"/>
    <cellStyle name="Normal 2 37 15 2" xfId="3001" xr:uid="{00000000-0005-0000-0000-0000EB0D0000}"/>
    <cellStyle name="Normal 2 37 15 2 2" xfId="3002" xr:uid="{00000000-0005-0000-0000-0000EC0D0000}"/>
    <cellStyle name="Normal 2 37 15 3" xfId="3003" xr:uid="{00000000-0005-0000-0000-0000ED0D0000}"/>
    <cellStyle name="Normal 2 37 16" xfId="3004" xr:uid="{00000000-0005-0000-0000-0000EE0D0000}"/>
    <cellStyle name="Normal 2 37 16 2" xfId="3005" xr:uid="{00000000-0005-0000-0000-0000EF0D0000}"/>
    <cellStyle name="Normal 2 37 16 2 2" xfId="3006" xr:uid="{00000000-0005-0000-0000-0000F00D0000}"/>
    <cellStyle name="Normal 2 37 16 3" xfId="3007" xr:uid="{00000000-0005-0000-0000-0000F10D0000}"/>
    <cellStyle name="Normal 2 37 17" xfId="3008" xr:uid="{00000000-0005-0000-0000-0000F20D0000}"/>
    <cellStyle name="Normal 2 37 17 2" xfId="3009" xr:uid="{00000000-0005-0000-0000-0000F30D0000}"/>
    <cellStyle name="Normal 2 37 17 2 2" xfId="3010" xr:uid="{00000000-0005-0000-0000-0000F40D0000}"/>
    <cellStyle name="Normal 2 37 17 3" xfId="3011" xr:uid="{00000000-0005-0000-0000-0000F50D0000}"/>
    <cellStyle name="Normal 2 37 18" xfId="3012" xr:uid="{00000000-0005-0000-0000-0000F60D0000}"/>
    <cellStyle name="Normal 2 37 18 2" xfId="3013" xr:uid="{00000000-0005-0000-0000-0000F70D0000}"/>
    <cellStyle name="Normal 2 37 18 2 2" xfId="3014" xr:uid="{00000000-0005-0000-0000-0000F80D0000}"/>
    <cellStyle name="Normal 2 37 18 3" xfId="3015" xr:uid="{00000000-0005-0000-0000-0000F90D0000}"/>
    <cellStyle name="Normal 2 37 19" xfId="3016" xr:uid="{00000000-0005-0000-0000-0000FA0D0000}"/>
    <cellStyle name="Normal 2 37 19 2" xfId="3017" xr:uid="{00000000-0005-0000-0000-0000FB0D0000}"/>
    <cellStyle name="Normal 2 37 19 2 2" xfId="3018" xr:uid="{00000000-0005-0000-0000-0000FC0D0000}"/>
    <cellStyle name="Normal 2 37 19 3" xfId="3019" xr:uid="{00000000-0005-0000-0000-0000FD0D0000}"/>
    <cellStyle name="Normal 2 37 2" xfId="3020" xr:uid="{00000000-0005-0000-0000-0000FE0D0000}"/>
    <cellStyle name="Normal 2 37 2 2" xfId="3021" xr:uid="{00000000-0005-0000-0000-0000FF0D0000}"/>
    <cellStyle name="Normal 2 37 2 2 2" xfId="3022" xr:uid="{00000000-0005-0000-0000-0000000E0000}"/>
    <cellStyle name="Normal 2 37 2 3" xfId="3023" xr:uid="{00000000-0005-0000-0000-0000010E0000}"/>
    <cellStyle name="Normal 2 37 20" xfId="3024" xr:uid="{00000000-0005-0000-0000-0000020E0000}"/>
    <cellStyle name="Normal 2 37 20 2" xfId="3025" xr:uid="{00000000-0005-0000-0000-0000030E0000}"/>
    <cellStyle name="Normal 2 37 20 2 2" xfId="3026" xr:uid="{00000000-0005-0000-0000-0000040E0000}"/>
    <cellStyle name="Normal 2 37 20 3" xfId="3027" xr:uid="{00000000-0005-0000-0000-0000050E0000}"/>
    <cellStyle name="Normal 2 37 21" xfId="3028" xr:uid="{00000000-0005-0000-0000-0000060E0000}"/>
    <cellStyle name="Normal 2 37 21 2" xfId="3029" xr:uid="{00000000-0005-0000-0000-0000070E0000}"/>
    <cellStyle name="Normal 2 37 21 2 2" xfId="3030" xr:uid="{00000000-0005-0000-0000-0000080E0000}"/>
    <cellStyle name="Normal 2 37 21 3" xfId="3031" xr:uid="{00000000-0005-0000-0000-0000090E0000}"/>
    <cellStyle name="Normal 2 37 22" xfId="3032" xr:uid="{00000000-0005-0000-0000-00000A0E0000}"/>
    <cellStyle name="Normal 2 37 22 2" xfId="3033" xr:uid="{00000000-0005-0000-0000-00000B0E0000}"/>
    <cellStyle name="Normal 2 37 22 2 2" xfId="3034" xr:uid="{00000000-0005-0000-0000-00000C0E0000}"/>
    <cellStyle name="Normal 2 37 22 3" xfId="3035" xr:uid="{00000000-0005-0000-0000-00000D0E0000}"/>
    <cellStyle name="Normal 2 37 23" xfId="3036" xr:uid="{00000000-0005-0000-0000-00000E0E0000}"/>
    <cellStyle name="Normal 2 37 23 2" xfId="3037" xr:uid="{00000000-0005-0000-0000-00000F0E0000}"/>
    <cellStyle name="Normal 2 37 23 2 2" xfId="3038" xr:uid="{00000000-0005-0000-0000-0000100E0000}"/>
    <cellStyle name="Normal 2 37 23 3" xfId="3039" xr:uid="{00000000-0005-0000-0000-0000110E0000}"/>
    <cellStyle name="Normal 2 37 24" xfId="3040" xr:uid="{00000000-0005-0000-0000-0000120E0000}"/>
    <cellStyle name="Normal 2 37 24 2" xfId="3041" xr:uid="{00000000-0005-0000-0000-0000130E0000}"/>
    <cellStyle name="Normal 2 37 25" xfId="3042" xr:uid="{00000000-0005-0000-0000-0000140E0000}"/>
    <cellStyle name="Normal 2 37 3" xfId="3043" xr:uid="{00000000-0005-0000-0000-0000150E0000}"/>
    <cellStyle name="Normal 2 37 3 2" xfId="3044" xr:uid="{00000000-0005-0000-0000-0000160E0000}"/>
    <cellStyle name="Normal 2 37 3 2 2" xfId="3045" xr:uid="{00000000-0005-0000-0000-0000170E0000}"/>
    <cellStyle name="Normal 2 37 3 3" xfId="3046" xr:uid="{00000000-0005-0000-0000-0000180E0000}"/>
    <cellStyle name="Normal 2 37 4" xfId="3047" xr:uid="{00000000-0005-0000-0000-0000190E0000}"/>
    <cellStyle name="Normal 2 37 4 2" xfId="3048" xr:uid="{00000000-0005-0000-0000-00001A0E0000}"/>
    <cellStyle name="Normal 2 37 4 2 2" xfId="3049" xr:uid="{00000000-0005-0000-0000-00001B0E0000}"/>
    <cellStyle name="Normal 2 37 4 3" xfId="3050" xr:uid="{00000000-0005-0000-0000-00001C0E0000}"/>
    <cellStyle name="Normal 2 37 5" xfId="3051" xr:uid="{00000000-0005-0000-0000-00001D0E0000}"/>
    <cellStyle name="Normal 2 37 5 2" xfId="3052" xr:uid="{00000000-0005-0000-0000-00001E0E0000}"/>
    <cellStyle name="Normal 2 37 5 2 2" xfId="3053" xr:uid="{00000000-0005-0000-0000-00001F0E0000}"/>
    <cellStyle name="Normal 2 37 5 3" xfId="3054" xr:uid="{00000000-0005-0000-0000-0000200E0000}"/>
    <cellStyle name="Normal 2 37 6" xfId="3055" xr:uid="{00000000-0005-0000-0000-0000210E0000}"/>
    <cellStyle name="Normal 2 37 6 2" xfId="3056" xr:uid="{00000000-0005-0000-0000-0000220E0000}"/>
    <cellStyle name="Normal 2 37 6 2 2" xfId="3057" xr:uid="{00000000-0005-0000-0000-0000230E0000}"/>
    <cellStyle name="Normal 2 37 6 3" xfId="3058" xr:uid="{00000000-0005-0000-0000-0000240E0000}"/>
    <cellStyle name="Normal 2 37 7" xfId="3059" xr:uid="{00000000-0005-0000-0000-0000250E0000}"/>
    <cellStyle name="Normal 2 37 7 2" xfId="3060" xr:uid="{00000000-0005-0000-0000-0000260E0000}"/>
    <cellStyle name="Normal 2 37 7 2 2" xfId="3061" xr:uid="{00000000-0005-0000-0000-0000270E0000}"/>
    <cellStyle name="Normal 2 37 7 3" xfId="3062" xr:uid="{00000000-0005-0000-0000-0000280E0000}"/>
    <cellStyle name="Normal 2 37 8" xfId="3063" xr:uid="{00000000-0005-0000-0000-0000290E0000}"/>
    <cellStyle name="Normal 2 37 8 2" xfId="3064" xr:uid="{00000000-0005-0000-0000-00002A0E0000}"/>
    <cellStyle name="Normal 2 37 8 2 2" xfId="3065" xr:uid="{00000000-0005-0000-0000-00002B0E0000}"/>
    <cellStyle name="Normal 2 37 8 3" xfId="3066" xr:uid="{00000000-0005-0000-0000-00002C0E0000}"/>
    <cellStyle name="Normal 2 37 9" xfId="3067" xr:uid="{00000000-0005-0000-0000-00002D0E0000}"/>
    <cellStyle name="Normal 2 37 9 2" xfId="3068" xr:uid="{00000000-0005-0000-0000-00002E0E0000}"/>
    <cellStyle name="Normal 2 37 9 2 2" xfId="3069" xr:uid="{00000000-0005-0000-0000-00002F0E0000}"/>
    <cellStyle name="Normal 2 37 9 3" xfId="3070" xr:uid="{00000000-0005-0000-0000-0000300E0000}"/>
    <cellStyle name="Normal 2 38" xfId="3071" xr:uid="{00000000-0005-0000-0000-0000310E0000}"/>
    <cellStyle name="Normal 2 38 10" xfId="3072" xr:uid="{00000000-0005-0000-0000-0000320E0000}"/>
    <cellStyle name="Normal 2 38 10 2" xfId="3073" xr:uid="{00000000-0005-0000-0000-0000330E0000}"/>
    <cellStyle name="Normal 2 38 10 2 2" xfId="3074" xr:uid="{00000000-0005-0000-0000-0000340E0000}"/>
    <cellStyle name="Normal 2 38 10 3" xfId="3075" xr:uid="{00000000-0005-0000-0000-0000350E0000}"/>
    <cellStyle name="Normal 2 38 11" xfId="3076" xr:uid="{00000000-0005-0000-0000-0000360E0000}"/>
    <cellStyle name="Normal 2 38 11 2" xfId="3077" xr:uid="{00000000-0005-0000-0000-0000370E0000}"/>
    <cellStyle name="Normal 2 38 11 2 2" xfId="3078" xr:uid="{00000000-0005-0000-0000-0000380E0000}"/>
    <cellStyle name="Normal 2 38 11 3" xfId="3079" xr:uid="{00000000-0005-0000-0000-0000390E0000}"/>
    <cellStyle name="Normal 2 38 12" xfId="3080" xr:uid="{00000000-0005-0000-0000-00003A0E0000}"/>
    <cellStyle name="Normal 2 38 12 2" xfId="3081" xr:uid="{00000000-0005-0000-0000-00003B0E0000}"/>
    <cellStyle name="Normal 2 38 12 2 2" xfId="3082" xr:uid="{00000000-0005-0000-0000-00003C0E0000}"/>
    <cellStyle name="Normal 2 38 12 3" xfId="3083" xr:uid="{00000000-0005-0000-0000-00003D0E0000}"/>
    <cellStyle name="Normal 2 38 13" xfId="3084" xr:uid="{00000000-0005-0000-0000-00003E0E0000}"/>
    <cellStyle name="Normal 2 38 13 2" xfId="3085" xr:uid="{00000000-0005-0000-0000-00003F0E0000}"/>
    <cellStyle name="Normal 2 38 13 2 2" xfId="3086" xr:uid="{00000000-0005-0000-0000-0000400E0000}"/>
    <cellStyle name="Normal 2 38 13 3" xfId="3087" xr:uid="{00000000-0005-0000-0000-0000410E0000}"/>
    <cellStyle name="Normal 2 38 14" xfId="3088" xr:uid="{00000000-0005-0000-0000-0000420E0000}"/>
    <cellStyle name="Normal 2 38 14 2" xfId="3089" xr:uid="{00000000-0005-0000-0000-0000430E0000}"/>
    <cellStyle name="Normal 2 38 14 2 2" xfId="3090" xr:uid="{00000000-0005-0000-0000-0000440E0000}"/>
    <cellStyle name="Normal 2 38 14 3" xfId="3091" xr:uid="{00000000-0005-0000-0000-0000450E0000}"/>
    <cellStyle name="Normal 2 38 15" xfId="3092" xr:uid="{00000000-0005-0000-0000-0000460E0000}"/>
    <cellStyle name="Normal 2 38 15 2" xfId="3093" xr:uid="{00000000-0005-0000-0000-0000470E0000}"/>
    <cellStyle name="Normal 2 38 15 2 2" xfId="3094" xr:uid="{00000000-0005-0000-0000-0000480E0000}"/>
    <cellStyle name="Normal 2 38 15 3" xfId="3095" xr:uid="{00000000-0005-0000-0000-0000490E0000}"/>
    <cellStyle name="Normal 2 38 16" xfId="3096" xr:uid="{00000000-0005-0000-0000-00004A0E0000}"/>
    <cellStyle name="Normal 2 38 16 2" xfId="3097" xr:uid="{00000000-0005-0000-0000-00004B0E0000}"/>
    <cellStyle name="Normal 2 38 16 2 2" xfId="3098" xr:uid="{00000000-0005-0000-0000-00004C0E0000}"/>
    <cellStyle name="Normal 2 38 16 3" xfId="3099" xr:uid="{00000000-0005-0000-0000-00004D0E0000}"/>
    <cellStyle name="Normal 2 38 17" xfId="3100" xr:uid="{00000000-0005-0000-0000-00004E0E0000}"/>
    <cellStyle name="Normal 2 38 17 2" xfId="3101" xr:uid="{00000000-0005-0000-0000-00004F0E0000}"/>
    <cellStyle name="Normal 2 38 17 2 2" xfId="3102" xr:uid="{00000000-0005-0000-0000-0000500E0000}"/>
    <cellStyle name="Normal 2 38 17 3" xfId="3103" xr:uid="{00000000-0005-0000-0000-0000510E0000}"/>
    <cellStyle name="Normal 2 38 18" xfId="3104" xr:uid="{00000000-0005-0000-0000-0000520E0000}"/>
    <cellStyle name="Normal 2 38 18 2" xfId="3105" xr:uid="{00000000-0005-0000-0000-0000530E0000}"/>
    <cellStyle name="Normal 2 38 18 2 2" xfId="3106" xr:uid="{00000000-0005-0000-0000-0000540E0000}"/>
    <cellStyle name="Normal 2 38 18 3" xfId="3107" xr:uid="{00000000-0005-0000-0000-0000550E0000}"/>
    <cellStyle name="Normal 2 38 19" xfId="3108" xr:uid="{00000000-0005-0000-0000-0000560E0000}"/>
    <cellStyle name="Normal 2 38 19 2" xfId="3109" xr:uid="{00000000-0005-0000-0000-0000570E0000}"/>
    <cellStyle name="Normal 2 38 19 2 2" xfId="3110" xr:uid="{00000000-0005-0000-0000-0000580E0000}"/>
    <cellStyle name="Normal 2 38 19 3" xfId="3111" xr:uid="{00000000-0005-0000-0000-0000590E0000}"/>
    <cellStyle name="Normal 2 38 2" xfId="3112" xr:uid="{00000000-0005-0000-0000-00005A0E0000}"/>
    <cellStyle name="Normal 2 38 2 2" xfId="3113" xr:uid="{00000000-0005-0000-0000-00005B0E0000}"/>
    <cellStyle name="Normal 2 38 2 2 2" xfId="3114" xr:uid="{00000000-0005-0000-0000-00005C0E0000}"/>
    <cellStyle name="Normal 2 38 2 3" xfId="3115" xr:uid="{00000000-0005-0000-0000-00005D0E0000}"/>
    <cellStyle name="Normal 2 38 20" xfId="3116" xr:uid="{00000000-0005-0000-0000-00005E0E0000}"/>
    <cellStyle name="Normal 2 38 20 2" xfId="3117" xr:uid="{00000000-0005-0000-0000-00005F0E0000}"/>
    <cellStyle name="Normal 2 38 20 2 2" xfId="3118" xr:uid="{00000000-0005-0000-0000-0000600E0000}"/>
    <cellStyle name="Normal 2 38 20 3" xfId="3119" xr:uid="{00000000-0005-0000-0000-0000610E0000}"/>
    <cellStyle name="Normal 2 38 21" xfId="3120" xr:uid="{00000000-0005-0000-0000-0000620E0000}"/>
    <cellStyle name="Normal 2 38 21 2" xfId="3121" xr:uid="{00000000-0005-0000-0000-0000630E0000}"/>
    <cellStyle name="Normal 2 38 21 2 2" xfId="3122" xr:uid="{00000000-0005-0000-0000-0000640E0000}"/>
    <cellStyle name="Normal 2 38 21 3" xfId="3123" xr:uid="{00000000-0005-0000-0000-0000650E0000}"/>
    <cellStyle name="Normal 2 38 22" xfId="3124" xr:uid="{00000000-0005-0000-0000-0000660E0000}"/>
    <cellStyle name="Normal 2 38 22 2" xfId="3125" xr:uid="{00000000-0005-0000-0000-0000670E0000}"/>
    <cellStyle name="Normal 2 38 22 2 2" xfId="3126" xr:uid="{00000000-0005-0000-0000-0000680E0000}"/>
    <cellStyle name="Normal 2 38 22 3" xfId="3127" xr:uid="{00000000-0005-0000-0000-0000690E0000}"/>
    <cellStyle name="Normal 2 38 23" xfId="3128" xr:uid="{00000000-0005-0000-0000-00006A0E0000}"/>
    <cellStyle name="Normal 2 38 23 2" xfId="3129" xr:uid="{00000000-0005-0000-0000-00006B0E0000}"/>
    <cellStyle name="Normal 2 38 23 2 2" xfId="3130" xr:uid="{00000000-0005-0000-0000-00006C0E0000}"/>
    <cellStyle name="Normal 2 38 23 3" xfId="3131" xr:uid="{00000000-0005-0000-0000-00006D0E0000}"/>
    <cellStyle name="Normal 2 38 24" xfId="3132" xr:uid="{00000000-0005-0000-0000-00006E0E0000}"/>
    <cellStyle name="Normal 2 38 24 2" xfId="3133" xr:uid="{00000000-0005-0000-0000-00006F0E0000}"/>
    <cellStyle name="Normal 2 38 25" xfId="3134" xr:uid="{00000000-0005-0000-0000-0000700E0000}"/>
    <cellStyle name="Normal 2 38 3" xfId="3135" xr:uid="{00000000-0005-0000-0000-0000710E0000}"/>
    <cellStyle name="Normal 2 38 3 2" xfId="3136" xr:uid="{00000000-0005-0000-0000-0000720E0000}"/>
    <cellStyle name="Normal 2 38 3 2 2" xfId="3137" xr:uid="{00000000-0005-0000-0000-0000730E0000}"/>
    <cellStyle name="Normal 2 38 3 3" xfId="3138" xr:uid="{00000000-0005-0000-0000-0000740E0000}"/>
    <cellStyle name="Normal 2 38 4" xfId="3139" xr:uid="{00000000-0005-0000-0000-0000750E0000}"/>
    <cellStyle name="Normal 2 38 4 2" xfId="3140" xr:uid="{00000000-0005-0000-0000-0000760E0000}"/>
    <cellStyle name="Normal 2 38 4 2 2" xfId="3141" xr:uid="{00000000-0005-0000-0000-0000770E0000}"/>
    <cellStyle name="Normal 2 38 4 3" xfId="3142" xr:uid="{00000000-0005-0000-0000-0000780E0000}"/>
    <cellStyle name="Normal 2 38 5" xfId="3143" xr:uid="{00000000-0005-0000-0000-0000790E0000}"/>
    <cellStyle name="Normal 2 38 5 2" xfId="3144" xr:uid="{00000000-0005-0000-0000-00007A0E0000}"/>
    <cellStyle name="Normal 2 38 5 2 2" xfId="3145" xr:uid="{00000000-0005-0000-0000-00007B0E0000}"/>
    <cellStyle name="Normal 2 38 5 3" xfId="3146" xr:uid="{00000000-0005-0000-0000-00007C0E0000}"/>
    <cellStyle name="Normal 2 38 6" xfId="3147" xr:uid="{00000000-0005-0000-0000-00007D0E0000}"/>
    <cellStyle name="Normal 2 38 6 2" xfId="3148" xr:uid="{00000000-0005-0000-0000-00007E0E0000}"/>
    <cellStyle name="Normal 2 38 6 2 2" xfId="3149" xr:uid="{00000000-0005-0000-0000-00007F0E0000}"/>
    <cellStyle name="Normal 2 38 6 3" xfId="3150" xr:uid="{00000000-0005-0000-0000-0000800E0000}"/>
    <cellStyle name="Normal 2 38 7" xfId="3151" xr:uid="{00000000-0005-0000-0000-0000810E0000}"/>
    <cellStyle name="Normal 2 38 7 2" xfId="3152" xr:uid="{00000000-0005-0000-0000-0000820E0000}"/>
    <cellStyle name="Normal 2 38 7 2 2" xfId="3153" xr:uid="{00000000-0005-0000-0000-0000830E0000}"/>
    <cellStyle name="Normal 2 38 7 3" xfId="3154" xr:uid="{00000000-0005-0000-0000-0000840E0000}"/>
    <cellStyle name="Normal 2 38 8" xfId="3155" xr:uid="{00000000-0005-0000-0000-0000850E0000}"/>
    <cellStyle name="Normal 2 38 8 2" xfId="3156" xr:uid="{00000000-0005-0000-0000-0000860E0000}"/>
    <cellStyle name="Normal 2 38 8 2 2" xfId="3157" xr:uid="{00000000-0005-0000-0000-0000870E0000}"/>
    <cellStyle name="Normal 2 38 8 3" xfId="3158" xr:uid="{00000000-0005-0000-0000-0000880E0000}"/>
    <cellStyle name="Normal 2 38 9" xfId="3159" xr:uid="{00000000-0005-0000-0000-0000890E0000}"/>
    <cellStyle name="Normal 2 38 9 2" xfId="3160" xr:uid="{00000000-0005-0000-0000-00008A0E0000}"/>
    <cellStyle name="Normal 2 38 9 2 2" xfId="3161" xr:uid="{00000000-0005-0000-0000-00008B0E0000}"/>
    <cellStyle name="Normal 2 38 9 3" xfId="3162" xr:uid="{00000000-0005-0000-0000-00008C0E0000}"/>
    <cellStyle name="Normal 2 39" xfId="3163" xr:uid="{00000000-0005-0000-0000-00008D0E0000}"/>
    <cellStyle name="Normal 2 39 10" xfId="3164" xr:uid="{00000000-0005-0000-0000-00008E0E0000}"/>
    <cellStyle name="Normal 2 39 10 2" xfId="3165" xr:uid="{00000000-0005-0000-0000-00008F0E0000}"/>
    <cellStyle name="Normal 2 39 10 2 2" xfId="3166" xr:uid="{00000000-0005-0000-0000-0000900E0000}"/>
    <cellStyle name="Normal 2 39 10 3" xfId="3167" xr:uid="{00000000-0005-0000-0000-0000910E0000}"/>
    <cellStyle name="Normal 2 39 11" xfId="3168" xr:uid="{00000000-0005-0000-0000-0000920E0000}"/>
    <cellStyle name="Normal 2 39 11 2" xfId="3169" xr:uid="{00000000-0005-0000-0000-0000930E0000}"/>
    <cellStyle name="Normal 2 39 11 2 2" xfId="3170" xr:uid="{00000000-0005-0000-0000-0000940E0000}"/>
    <cellStyle name="Normal 2 39 11 3" xfId="3171" xr:uid="{00000000-0005-0000-0000-0000950E0000}"/>
    <cellStyle name="Normal 2 39 12" xfId="3172" xr:uid="{00000000-0005-0000-0000-0000960E0000}"/>
    <cellStyle name="Normal 2 39 12 2" xfId="3173" xr:uid="{00000000-0005-0000-0000-0000970E0000}"/>
    <cellStyle name="Normal 2 39 12 2 2" xfId="3174" xr:uid="{00000000-0005-0000-0000-0000980E0000}"/>
    <cellStyle name="Normal 2 39 12 3" xfId="3175" xr:uid="{00000000-0005-0000-0000-0000990E0000}"/>
    <cellStyle name="Normal 2 39 13" xfId="3176" xr:uid="{00000000-0005-0000-0000-00009A0E0000}"/>
    <cellStyle name="Normal 2 39 13 2" xfId="3177" xr:uid="{00000000-0005-0000-0000-00009B0E0000}"/>
    <cellStyle name="Normal 2 39 13 2 2" xfId="3178" xr:uid="{00000000-0005-0000-0000-00009C0E0000}"/>
    <cellStyle name="Normal 2 39 13 3" xfId="3179" xr:uid="{00000000-0005-0000-0000-00009D0E0000}"/>
    <cellStyle name="Normal 2 39 14" xfId="3180" xr:uid="{00000000-0005-0000-0000-00009E0E0000}"/>
    <cellStyle name="Normal 2 39 14 2" xfId="3181" xr:uid="{00000000-0005-0000-0000-00009F0E0000}"/>
    <cellStyle name="Normal 2 39 14 2 2" xfId="3182" xr:uid="{00000000-0005-0000-0000-0000A00E0000}"/>
    <cellStyle name="Normal 2 39 14 3" xfId="3183" xr:uid="{00000000-0005-0000-0000-0000A10E0000}"/>
    <cellStyle name="Normal 2 39 15" xfId="3184" xr:uid="{00000000-0005-0000-0000-0000A20E0000}"/>
    <cellStyle name="Normal 2 39 15 2" xfId="3185" xr:uid="{00000000-0005-0000-0000-0000A30E0000}"/>
    <cellStyle name="Normal 2 39 15 2 2" xfId="3186" xr:uid="{00000000-0005-0000-0000-0000A40E0000}"/>
    <cellStyle name="Normal 2 39 15 3" xfId="3187" xr:uid="{00000000-0005-0000-0000-0000A50E0000}"/>
    <cellStyle name="Normal 2 39 16" xfId="3188" xr:uid="{00000000-0005-0000-0000-0000A60E0000}"/>
    <cellStyle name="Normal 2 39 16 2" xfId="3189" xr:uid="{00000000-0005-0000-0000-0000A70E0000}"/>
    <cellStyle name="Normal 2 39 16 2 2" xfId="3190" xr:uid="{00000000-0005-0000-0000-0000A80E0000}"/>
    <cellStyle name="Normal 2 39 16 3" xfId="3191" xr:uid="{00000000-0005-0000-0000-0000A90E0000}"/>
    <cellStyle name="Normal 2 39 17" xfId="3192" xr:uid="{00000000-0005-0000-0000-0000AA0E0000}"/>
    <cellStyle name="Normal 2 39 17 2" xfId="3193" xr:uid="{00000000-0005-0000-0000-0000AB0E0000}"/>
    <cellStyle name="Normal 2 39 17 2 2" xfId="3194" xr:uid="{00000000-0005-0000-0000-0000AC0E0000}"/>
    <cellStyle name="Normal 2 39 17 3" xfId="3195" xr:uid="{00000000-0005-0000-0000-0000AD0E0000}"/>
    <cellStyle name="Normal 2 39 18" xfId="3196" xr:uid="{00000000-0005-0000-0000-0000AE0E0000}"/>
    <cellStyle name="Normal 2 39 18 2" xfId="3197" xr:uid="{00000000-0005-0000-0000-0000AF0E0000}"/>
    <cellStyle name="Normal 2 39 18 2 2" xfId="3198" xr:uid="{00000000-0005-0000-0000-0000B00E0000}"/>
    <cellStyle name="Normal 2 39 18 3" xfId="3199" xr:uid="{00000000-0005-0000-0000-0000B10E0000}"/>
    <cellStyle name="Normal 2 39 19" xfId="3200" xr:uid="{00000000-0005-0000-0000-0000B20E0000}"/>
    <cellStyle name="Normal 2 39 19 2" xfId="3201" xr:uid="{00000000-0005-0000-0000-0000B30E0000}"/>
    <cellStyle name="Normal 2 39 19 2 2" xfId="3202" xr:uid="{00000000-0005-0000-0000-0000B40E0000}"/>
    <cellStyle name="Normal 2 39 19 3" xfId="3203" xr:uid="{00000000-0005-0000-0000-0000B50E0000}"/>
    <cellStyle name="Normal 2 39 2" xfId="3204" xr:uid="{00000000-0005-0000-0000-0000B60E0000}"/>
    <cellStyle name="Normal 2 39 2 2" xfId="3205" xr:uid="{00000000-0005-0000-0000-0000B70E0000}"/>
    <cellStyle name="Normal 2 39 2 2 2" xfId="3206" xr:uid="{00000000-0005-0000-0000-0000B80E0000}"/>
    <cellStyle name="Normal 2 39 2 3" xfId="3207" xr:uid="{00000000-0005-0000-0000-0000B90E0000}"/>
    <cellStyle name="Normal 2 39 20" xfId="3208" xr:uid="{00000000-0005-0000-0000-0000BA0E0000}"/>
    <cellStyle name="Normal 2 39 20 2" xfId="3209" xr:uid="{00000000-0005-0000-0000-0000BB0E0000}"/>
    <cellStyle name="Normal 2 39 20 2 2" xfId="3210" xr:uid="{00000000-0005-0000-0000-0000BC0E0000}"/>
    <cellStyle name="Normal 2 39 20 3" xfId="3211" xr:uid="{00000000-0005-0000-0000-0000BD0E0000}"/>
    <cellStyle name="Normal 2 39 21" xfId="3212" xr:uid="{00000000-0005-0000-0000-0000BE0E0000}"/>
    <cellStyle name="Normal 2 39 21 2" xfId="3213" xr:uid="{00000000-0005-0000-0000-0000BF0E0000}"/>
    <cellStyle name="Normal 2 39 21 2 2" xfId="3214" xr:uid="{00000000-0005-0000-0000-0000C00E0000}"/>
    <cellStyle name="Normal 2 39 21 3" xfId="3215" xr:uid="{00000000-0005-0000-0000-0000C10E0000}"/>
    <cellStyle name="Normal 2 39 22" xfId="3216" xr:uid="{00000000-0005-0000-0000-0000C20E0000}"/>
    <cellStyle name="Normal 2 39 22 2" xfId="3217" xr:uid="{00000000-0005-0000-0000-0000C30E0000}"/>
    <cellStyle name="Normal 2 39 22 2 2" xfId="3218" xr:uid="{00000000-0005-0000-0000-0000C40E0000}"/>
    <cellStyle name="Normal 2 39 22 3" xfId="3219" xr:uid="{00000000-0005-0000-0000-0000C50E0000}"/>
    <cellStyle name="Normal 2 39 23" xfId="3220" xr:uid="{00000000-0005-0000-0000-0000C60E0000}"/>
    <cellStyle name="Normal 2 39 23 2" xfId="3221" xr:uid="{00000000-0005-0000-0000-0000C70E0000}"/>
    <cellStyle name="Normal 2 39 23 2 2" xfId="3222" xr:uid="{00000000-0005-0000-0000-0000C80E0000}"/>
    <cellStyle name="Normal 2 39 23 3" xfId="3223" xr:uid="{00000000-0005-0000-0000-0000C90E0000}"/>
    <cellStyle name="Normal 2 39 24" xfId="3224" xr:uid="{00000000-0005-0000-0000-0000CA0E0000}"/>
    <cellStyle name="Normal 2 39 24 2" xfId="3225" xr:uid="{00000000-0005-0000-0000-0000CB0E0000}"/>
    <cellStyle name="Normal 2 39 25" xfId="3226" xr:uid="{00000000-0005-0000-0000-0000CC0E0000}"/>
    <cellStyle name="Normal 2 39 3" xfId="3227" xr:uid="{00000000-0005-0000-0000-0000CD0E0000}"/>
    <cellStyle name="Normal 2 39 3 2" xfId="3228" xr:uid="{00000000-0005-0000-0000-0000CE0E0000}"/>
    <cellStyle name="Normal 2 39 3 2 2" xfId="3229" xr:uid="{00000000-0005-0000-0000-0000CF0E0000}"/>
    <cellStyle name="Normal 2 39 3 3" xfId="3230" xr:uid="{00000000-0005-0000-0000-0000D00E0000}"/>
    <cellStyle name="Normal 2 39 4" xfId="3231" xr:uid="{00000000-0005-0000-0000-0000D10E0000}"/>
    <cellStyle name="Normal 2 39 4 2" xfId="3232" xr:uid="{00000000-0005-0000-0000-0000D20E0000}"/>
    <cellStyle name="Normal 2 39 4 2 2" xfId="3233" xr:uid="{00000000-0005-0000-0000-0000D30E0000}"/>
    <cellStyle name="Normal 2 39 4 3" xfId="3234" xr:uid="{00000000-0005-0000-0000-0000D40E0000}"/>
    <cellStyle name="Normal 2 39 5" xfId="3235" xr:uid="{00000000-0005-0000-0000-0000D50E0000}"/>
    <cellStyle name="Normal 2 39 5 2" xfId="3236" xr:uid="{00000000-0005-0000-0000-0000D60E0000}"/>
    <cellStyle name="Normal 2 39 5 2 2" xfId="3237" xr:uid="{00000000-0005-0000-0000-0000D70E0000}"/>
    <cellStyle name="Normal 2 39 5 3" xfId="3238" xr:uid="{00000000-0005-0000-0000-0000D80E0000}"/>
    <cellStyle name="Normal 2 39 6" xfId="3239" xr:uid="{00000000-0005-0000-0000-0000D90E0000}"/>
    <cellStyle name="Normal 2 39 6 2" xfId="3240" xr:uid="{00000000-0005-0000-0000-0000DA0E0000}"/>
    <cellStyle name="Normal 2 39 6 2 2" xfId="3241" xr:uid="{00000000-0005-0000-0000-0000DB0E0000}"/>
    <cellStyle name="Normal 2 39 6 3" xfId="3242" xr:uid="{00000000-0005-0000-0000-0000DC0E0000}"/>
    <cellStyle name="Normal 2 39 7" xfId="3243" xr:uid="{00000000-0005-0000-0000-0000DD0E0000}"/>
    <cellStyle name="Normal 2 39 7 2" xfId="3244" xr:uid="{00000000-0005-0000-0000-0000DE0E0000}"/>
    <cellStyle name="Normal 2 39 7 2 2" xfId="3245" xr:uid="{00000000-0005-0000-0000-0000DF0E0000}"/>
    <cellStyle name="Normal 2 39 7 3" xfId="3246" xr:uid="{00000000-0005-0000-0000-0000E00E0000}"/>
    <cellStyle name="Normal 2 39 8" xfId="3247" xr:uid="{00000000-0005-0000-0000-0000E10E0000}"/>
    <cellStyle name="Normal 2 39 8 2" xfId="3248" xr:uid="{00000000-0005-0000-0000-0000E20E0000}"/>
    <cellStyle name="Normal 2 39 8 2 2" xfId="3249" xr:uid="{00000000-0005-0000-0000-0000E30E0000}"/>
    <cellStyle name="Normal 2 39 8 3" xfId="3250" xr:uid="{00000000-0005-0000-0000-0000E40E0000}"/>
    <cellStyle name="Normal 2 39 9" xfId="3251" xr:uid="{00000000-0005-0000-0000-0000E50E0000}"/>
    <cellStyle name="Normal 2 39 9 2" xfId="3252" xr:uid="{00000000-0005-0000-0000-0000E60E0000}"/>
    <cellStyle name="Normal 2 39 9 2 2" xfId="3253" xr:uid="{00000000-0005-0000-0000-0000E70E0000}"/>
    <cellStyle name="Normal 2 39 9 3" xfId="3254" xr:uid="{00000000-0005-0000-0000-0000E80E0000}"/>
    <cellStyle name="Normal 2 4" xfId="161" xr:uid="{00000000-0005-0000-0000-0000E90E0000}"/>
    <cellStyle name="Normal 2 4 2" xfId="162" xr:uid="{00000000-0005-0000-0000-0000EA0E0000}"/>
    <cellStyle name="Normal 2 4 2 2" xfId="163" xr:uid="{00000000-0005-0000-0000-0000EB0E0000}"/>
    <cellStyle name="Normal 2 4 2 2 2" xfId="10425" xr:uid="{4B567B01-0F1F-4F82-A8AF-E3E37F0E4E37}"/>
    <cellStyle name="Normal 2 4 2 2 2 2" xfId="11961" xr:uid="{5DDA99CA-AD6C-4062-B53F-1CF88C4B6171}"/>
    <cellStyle name="Normal 2 4 2 3" xfId="164" xr:uid="{00000000-0005-0000-0000-0000EC0E0000}"/>
    <cellStyle name="Normal 2 4 2 3 2" xfId="11326" xr:uid="{27F07787-879C-4239-A158-F11237CB29D8}"/>
    <cellStyle name="Normal 2 4 2 3 3" xfId="11962" xr:uid="{8DD30B07-5412-43DE-98D0-7F2159D04403}"/>
    <cellStyle name="Normal 2 4 2 4" xfId="165" xr:uid="{00000000-0005-0000-0000-0000ED0E0000}"/>
    <cellStyle name="Normal 2 4 2 4 2" xfId="11327" xr:uid="{A44B6B2C-3EAF-4B82-B75F-F44E638E02C0}"/>
    <cellStyle name="Normal 2 4 2 4 3" xfId="11963" xr:uid="{F450861B-4E93-400A-A168-8DBFCAD1C265}"/>
    <cellStyle name="Normal 2 4 2 5" xfId="9137" xr:uid="{00000000-0005-0000-0000-0000EE0E0000}"/>
    <cellStyle name="Normal 2 4 2 6" xfId="9441" xr:uid="{D63C74C1-0E2B-4D29-B802-EB13F5378395}"/>
    <cellStyle name="Normal 2 4 3" xfId="312" xr:uid="{00000000-0005-0000-0000-0000EF0E0000}"/>
    <cellStyle name="Normal 2 4 3 2" xfId="3255" xr:uid="{00000000-0005-0000-0000-0000F00E0000}"/>
    <cellStyle name="Normal 2 4 3 3" xfId="11964" xr:uid="{FD8E6F54-54B8-4CB0-B91E-9BBDCBF0D2FB}"/>
    <cellStyle name="Normal 2 4 4" xfId="3256" xr:uid="{00000000-0005-0000-0000-0000F10E0000}"/>
    <cellStyle name="Normal 2 4 4 2" xfId="9750" xr:uid="{528BCF51-E7BC-4FD0-9B5C-29E0D1179AA8}"/>
    <cellStyle name="Normal 2 4 4 3" xfId="9749" xr:uid="{C43C109F-76AE-4379-A7B2-F2DF0D778751}"/>
    <cellStyle name="Normal 2 4 5" xfId="3257" xr:uid="{00000000-0005-0000-0000-0000F20E0000}"/>
    <cellStyle name="Normal 2 4 6" xfId="3258" xr:uid="{00000000-0005-0000-0000-0000F30E0000}"/>
    <cellStyle name="Normal 2 4 7" xfId="9219" xr:uid="{21915762-E3FC-4821-A7BE-05345B00A7AE}"/>
    <cellStyle name="Normal 2 40" xfId="3259" xr:uid="{00000000-0005-0000-0000-0000F40E0000}"/>
    <cellStyle name="Normal 2 40 2" xfId="3260" xr:uid="{00000000-0005-0000-0000-0000F50E0000}"/>
    <cellStyle name="Normal 2 40 2 2" xfId="3261" xr:uid="{00000000-0005-0000-0000-0000F60E0000}"/>
    <cellStyle name="Normal 2 40 3" xfId="3262" xr:uid="{00000000-0005-0000-0000-0000F70E0000}"/>
    <cellStyle name="Normal 2 41" xfId="3263" xr:uid="{00000000-0005-0000-0000-0000F80E0000}"/>
    <cellStyle name="Normal 2 41 2" xfId="3264" xr:uid="{00000000-0005-0000-0000-0000F90E0000}"/>
    <cellStyle name="Normal 2 41 2 2" xfId="3265" xr:uid="{00000000-0005-0000-0000-0000FA0E0000}"/>
    <cellStyle name="Normal 2 41 3" xfId="3266" xr:uid="{00000000-0005-0000-0000-0000FB0E0000}"/>
    <cellStyle name="Normal 2 42" xfId="3267" xr:uid="{00000000-0005-0000-0000-0000FC0E0000}"/>
    <cellStyle name="Normal 2 42 2" xfId="3268" xr:uid="{00000000-0005-0000-0000-0000FD0E0000}"/>
    <cellStyle name="Normal 2 42 2 2" xfId="3269" xr:uid="{00000000-0005-0000-0000-0000FE0E0000}"/>
    <cellStyle name="Normal 2 42 3" xfId="3270" xr:uid="{00000000-0005-0000-0000-0000FF0E0000}"/>
    <cellStyle name="Normal 2 43" xfId="3271" xr:uid="{00000000-0005-0000-0000-0000000F0000}"/>
    <cellStyle name="Normal 2 43 2" xfId="3272" xr:uid="{00000000-0005-0000-0000-0000010F0000}"/>
    <cellStyle name="Normal 2 43 2 2" xfId="3273" xr:uid="{00000000-0005-0000-0000-0000020F0000}"/>
    <cellStyle name="Normal 2 43 3" xfId="3274" xr:uid="{00000000-0005-0000-0000-0000030F0000}"/>
    <cellStyle name="Normal 2 44" xfId="3275" xr:uid="{00000000-0005-0000-0000-0000040F0000}"/>
    <cellStyle name="Normal 2 44 2" xfId="3276" xr:uid="{00000000-0005-0000-0000-0000050F0000}"/>
    <cellStyle name="Normal 2 44 2 2" xfId="3277" xr:uid="{00000000-0005-0000-0000-0000060F0000}"/>
    <cellStyle name="Normal 2 44 3" xfId="3278" xr:uid="{00000000-0005-0000-0000-0000070F0000}"/>
    <cellStyle name="Normal 2 45" xfId="3279" xr:uid="{00000000-0005-0000-0000-0000080F0000}"/>
    <cellStyle name="Normal 2 45 2" xfId="3280" xr:uid="{00000000-0005-0000-0000-0000090F0000}"/>
    <cellStyle name="Normal 2 45 2 2" xfId="3281" xr:uid="{00000000-0005-0000-0000-00000A0F0000}"/>
    <cellStyle name="Normal 2 45 3" xfId="3282" xr:uid="{00000000-0005-0000-0000-00000B0F0000}"/>
    <cellStyle name="Normal 2 46" xfId="3283" xr:uid="{00000000-0005-0000-0000-00000C0F0000}"/>
    <cellStyle name="Normal 2 46 2" xfId="3284" xr:uid="{00000000-0005-0000-0000-00000D0F0000}"/>
    <cellStyle name="Normal 2 46 2 2" xfId="3285" xr:uid="{00000000-0005-0000-0000-00000E0F0000}"/>
    <cellStyle name="Normal 2 46 3" xfId="3286" xr:uid="{00000000-0005-0000-0000-00000F0F0000}"/>
    <cellStyle name="Normal 2 47" xfId="3287" xr:uid="{00000000-0005-0000-0000-0000100F0000}"/>
    <cellStyle name="Normal 2 47 2" xfId="3288" xr:uid="{00000000-0005-0000-0000-0000110F0000}"/>
    <cellStyle name="Normal 2 47 2 2" xfId="3289" xr:uid="{00000000-0005-0000-0000-0000120F0000}"/>
    <cellStyle name="Normal 2 47 3" xfId="3290" xr:uid="{00000000-0005-0000-0000-0000130F0000}"/>
    <cellStyle name="Normal 2 48" xfId="3291" xr:uid="{00000000-0005-0000-0000-0000140F0000}"/>
    <cellStyle name="Normal 2 48 2" xfId="3292" xr:uid="{00000000-0005-0000-0000-0000150F0000}"/>
    <cellStyle name="Normal 2 48 2 2" xfId="3293" xr:uid="{00000000-0005-0000-0000-0000160F0000}"/>
    <cellStyle name="Normal 2 48 3" xfId="3294" xr:uid="{00000000-0005-0000-0000-0000170F0000}"/>
    <cellStyle name="Normal 2 49" xfId="3295" xr:uid="{00000000-0005-0000-0000-0000180F0000}"/>
    <cellStyle name="Normal 2 49 2" xfId="3296" xr:uid="{00000000-0005-0000-0000-0000190F0000}"/>
    <cellStyle name="Normal 2 49 2 2" xfId="3297" xr:uid="{00000000-0005-0000-0000-00001A0F0000}"/>
    <cellStyle name="Normal 2 49 3" xfId="3298" xr:uid="{00000000-0005-0000-0000-00001B0F0000}"/>
    <cellStyle name="Normal 2 5" xfId="166" xr:uid="{00000000-0005-0000-0000-00001C0F0000}"/>
    <cellStyle name="Normal 2 5 10" xfId="3299" xr:uid="{00000000-0005-0000-0000-00001D0F0000}"/>
    <cellStyle name="Normal 2 5 10 2" xfId="3300" xr:uid="{00000000-0005-0000-0000-00001E0F0000}"/>
    <cellStyle name="Normal 2 5 10 2 2" xfId="3301" xr:uid="{00000000-0005-0000-0000-00001F0F0000}"/>
    <cellStyle name="Normal 2 5 10 3" xfId="3302" xr:uid="{00000000-0005-0000-0000-0000200F0000}"/>
    <cellStyle name="Normal 2 5 11" xfId="3303" xr:uid="{00000000-0005-0000-0000-0000210F0000}"/>
    <cellStyle name="Normal 2 5 11 2" xfId="3304" xr:uid="{00000000-0005-0000-0000-0000220F0000}"/>
    <cellStyle name="Normal 2 5 11 2 2" xfId="3305" xr:uid="{00000000-0005-0000-0000-0000230F0000}"/>
    <cellStyle name="Normal 2 5 11 3" xfId="3306" xr:uid="{00000000-0005-0000-0000-0000240F0000}"/>
    <cellStyle name="Normal 2 5 12" xfId="3307" xr:uid="{00000000-0005-0000-0000-0000250F0000}"/>
    <cellStyle name="Normal 2 5 12 2" xfId="3308" xr:uid="{00000000-0005-0000-0000-0000260F0000}"/>
    <cellStyle name="Normal 2 5 12 2 2" xfId="3309" xr:uid="{00000000-0005-0000-0000-0000270F0000}"/>
    <cellStyle name="Normal 2 5 12 3" xfId="3310" xr:uid="{00000000-0005-0000-0000-0000280F0000}"/>
    <cellStyle name="Normal 2 5 13" xfId="3311" xr:uid="{00000000-0005-0000-0000-0000290F0000}"/>
    <cellStyle name="Normal 2 5 13 2" xfId="3312" xr:uid="{00000000-0005-0000-0000-00002A0F0000}"/>
    <cellStyle name="Normal 2 5 13 2 2" xfId="3313" xr:uid="{00000000-0005-0000-0000-00002B0F0000}"/>
    <cellStyle name="Normal 2 5 13 3" xfId="3314" xr:uid="{00000000-0005-0000-0000-00002C0F0000}"/>
    <cellStyle name="Normal 2 5 14" xfId="3315" xr:uid="{00000000-0005-0000-0000-00002D0F0000}"/>
    <cellStyle name="Normal 2 5 14 2" xfId="3316" xr:uid="{00000000-0005-0000-0000-00002E0F0000}"/>
    <cellStyle name="Normal 2 5 14 2 2" xfId="3317" xr:uid="{00000000-0005-0000-0000-00002F0F0000}"/>
    <cellStyle name="Normal 2 5 14 3" xfId="3318" xr:uid="{00000000-0005-0000-0000-0000300F0000}"/>
    <cellStyle name="Normal 2 5 15" xfId="3319" xr:uid="{00000000-0005-0000-0000-0000310F0000}"/>
    <cellStyle name="Normal 2 5 15 2" xfId="3320" xr:uid="{00000000-0005-0000-0000-0000320F0000}"/>
    <cellStyle name="Normal 2 5 15 2 2" xfId="3321" xr:uid="{00000000-0005-0000-0000-0000330F0000}"/>
    <cellStyle name="Normal 2 5 15 3" xfId="3322" xr:uid="{00000000-0005-0000-0000-0000340F0000}"/>
    <cellStyle name="Normal 2 5 16" xfId="3323" xr:uid="{00000000-0005-0000-0000-0000350F0000}"/>
    <cellStyle name="Normal 2 5 16 2" xfId="3324" xr:uid="{00000000-0005-0000-0000-0000360F0000}"/>
    <cellStyle name="Normal 2 5 16 2 2" xfId="3325" xr:uid="{00000000-0005-0000-0000-0000370F0000}"/>
    <cellStyle name="Normal 2 5 16 3" xfId="3326" xr:uid="{00000000-0005-0000-0000-0000380F0000}"/>
    <cellStyle name="Normal 2 5 17" xfId="3327" xr:uid="{00000000-0005-0000-0000-0000390F0000}"/>
    <cellStyle name="Normal 2 5 17 2" xfId="3328" xr:uid="{00000000-0005-0000-0000-00003A0F0000}"/>
    <cellStyle name="Normal 2 5 17 2 2" xfId="3329" xr:uid="{00000000-0005-0000-0000-00003B0F0000}"/>
    <cellStyle name="Normal 2 5 17 3" xfId="3330" xr:uid="{00000000-0005-0000-0000-00003C0F0000}"/>
    <cellStyle name="Normal 2 5 18" xfId="3331" xr:uid="{00000000-0005-0000-0000-00003D0F0000}"/>
    <cellStyle name="Normal 2 5 18 2" xfId="3332" xr:uid="{00000000-0005-0000-0000-00003E0F0000}"/>
    <cellStyle name="Normal 2 5 18 2 2" xfId="3333" xr:uid="{00000000-0005-0000-0000-00003F0F0000}"/>
    <cellStyle name="Normal 2 5 18 3" xfId="3334" xr:uid="{00000000-0005-0000-0000-0000400F0000}"/>
    <cellStyle name="Normal 2 5 19" xfId="3335" xr:uid="{00000000-0005-0000-0000-0000410F0000}"/>
    <cellStyle name="Normal 2 5 19 2" xfId="3336" xr:uid="{00000000-0005-0000-0000-0000420F0000}"/>
    <cellStyle name="Normal 2 5 19 2 2" xfId="3337" xr:uid="{00000000-0005-0000-0000-0000430F0000}"/>
    <cellStyle name="Normal 2 5 19 3" xfId="3338" xr:uid="{00000000-0005-0000-0000-0000440F0000}"/>
    <cellStyle name="Normal 2 5 2" xfId="3339" xr:uid="{00000000-0005-0000-0000-0000450F0000}"/>
    <cellStyle name="Normal 2 5 2 10" xfId="3340" xr:uid="{00000000-0005-0000-0000-0000460F0000}"/>
    <cellStyle name="Normal 2 5 2 10 2" xfId="3341" xr:uid="{00000000-0005-0000-0000-0000470F0000}"/>
    <cellStyle name="Normal 2 5 2 10 2 2" xfId="3342" xr:uid="{00000000-0005-0000-0000-0000480F0000}"/>
    <cellStyle name="Normal 2 5 2 10 3" xfId="3343" xr:uid="{00000000-0005-0000-0000-0000490F0000}"/>
    <cellStyle name="Normal 2 5 2 11" xfId="3344" xr:uid="{00000000-0005-0000-0000-00004A0F0000}"/>
    <cellStyle name="Normal 2 5 2 11 2" xfId="3345" xr:uid="{00000000-0005-0000-0000-00004B0F0000}"/>
    <cellStyle name="Normal 2 5 2 11 2 2" xfId="3346" xr:uid="{00000000-0005-0000-0000-00004C0F0000}"/>
    <cellStyle name="Normal 2 5 2 11 3" xfId="3347" xr:uid="{00000000-0005-0000-0000-00004D0F0000}"/>
    <cellStyle name="Normal 2 5 2 12" xfId="3348" xr:uid="{00000000-0005-0000-0000-00004E0F0000}"/>
    <cellStyle name="Normal 2 5 2 12 2" xfId="3349" xr:uid="{00000000-0005-0000-0000-00004F0F0000}"/>
    <cellStyle name="Normal 2 5 2 12 2 2" xfId="3350" xr:uid="{00000000-0005-0000-0000-0000500F0000}"/>
    <cellStyle name="Normal 2 5 2 12 3" xfId="3351" xr:uid="{00000000-0005-0000-0000-0000510F0000}"/>
    <cellStyle name="Normal 2 5 2 13" xfId="3352" xr:uid="{00000000-0005-0000-0000-0000520F0000}"/>
    <cellStyle name="Normal 2 5 2 13 2" xfId="3353" xr:uid="{00000000-0005-0000-0000-0000530F0000}"/>
    <cellStyle name="Normal 2 5 2 13 2 2" xfId="3354" xr:uid="{00000000-0005-0000-0000-0000540F0000}"/>
    <cellStyle name="Normal 2 5 2 13 3" xfId="3355" xr:uid="{00000000-0005-0000-0000-0000550F0000}"/>
    <cellStyle name="Normal 2 5 2 14" xfId="3356" xr:uid="{00000000-0005-0000-0000-0000560F0000}"/>
    <cellStyle name="Normal 2 5 2 14 2" xfId="3357" xr:uid="{00000000-0005-0000-0000-0000570F0000}"/>
    <cellStyle name="Normal 2 5 2 14 2 2" xfId="3358" xr:uid="{00000000-0005-0000-0000-0000580F0000}"/>
    <cellStyle name="Normal 2 5 2 14 3" xfId="3359" xr:uid="{00000000-0005-0000-0000-0000590F0000}"/>
    <cellStyle name="Normal 2 5 2 15" xfId="3360" xr:uid="{00000000-0005-0000-0000-00005A0F0000}"/>
    <cellStyle name="Normal 2 5 2 15 2" xfId="3361" xr:uid="{00000000-0005-0000-0000-00005B0F0000}"/>
    <cellStyle name="Normal 2 5 2 15 2 2" xfId="3362" xr:uid="{00000000-0005-0000-0000-00005C0F0000}"/>
    <cellStyle name="Normal 2 5 2 15 3" xfId="3363" xr:uid="{00000000-0005-0000-0000-00005D0F0000}"/>
    <cellStyle name="Normal 2 5 2 16" xfId="3364" xr:uid="{00000000-0005-0000-0000-00005E0F0000}"/>
    <cellStyle name="Normal 2 5 2 16 2" xfId="3365" xr:uid="{00000000-0005-0000-0000-00005F0F0000}"/>
    <cellStyle name="Normal 2 5 2 16 2 2" xfId="3366" xr:uid="{00000000-0005-0000-0000-0000600F0000}"/>
    <cellStyle name="Normal 2 5 2 16 3" xfId="3367" xr:uid="{00000000-0005-0000-0000-0000610F0000}"/>
    <cellStyle name="Normal 2 5 2 17" xfId="3368" xr:uid="{00000000-0005-0000-0000-0000620F0000}"/>
    <cellStyle name="Normal 2 5 2 17 2" xfId="3369" xr:uid="{00000000-0005-0000-0000-0000630F0000}"/>
    <cellStyle name="Normal 2 5 2 17 2 2" xfId="3370" xr:uid="{00000000-0005-0000-0000-0000640F0000}"/>
    <cellStyle name="Normal 2 5 2 17 3" xfId="3371" xr:uid="{00000000-0005-0000-0000-0000650F0000}"/>
    <cellStyle name="Normal 2 5 2 18" xfId="3372" xr:uid="{00000000-0005-0000-0000-0000660F0000}"/>
    <cellStyle name="Normal 2 5 2 18 2" xfId="3373" xr:uid="{00000000-0005-0000-0000-0000670F0000}"/>
    <cellStyle name="Normal 2 5 2 18 2 2" xfId="3374" xr:uid="{00000000-0005-0000-0000-0000680F0000}"/>
    <cellStyle name="Normal 2 5 2 18 3" xfId="3375" xr:uid="{00000000-0005-0000-0000-0000690F0000}"/>
    <cellStyle name="Normal 2 5 2 19" xfId="3376" xr:uid="{00000000-0005-0000-0000-00006A0F0000}"/>
    <cellStyle name="Normal 2 5 2 19 2" xfId="3377" xr:uid="{00000000-0005-0000-0000-00006B0F0000}"/>
    <cellStyle name="Normal 2 5 2 19 2 2" xfId="3378" xr:uid="{00000000-0005-0000-0000-00006C0F0000}"/>
    <cellStyle name="Normal 2 5 2 19 3" xfId="3379" xr:uid="{00000000-0005-0000-0000-00006D0F0000}"/>
    <cellStyle name="Normal 2 5 2 2" xfId="3380" xr:uid="{00000000-0005-0000-0000-00006E0F0000}"/>
    <cellStyle name="Normal 2 5 2 2 10" xfId="3381" xr:uid="{00000000-0005-0000-0000-00006F0F0000}"/>
    <cellStyle name="Normal 2 5 2 2 10 2" xfId="3382" xr:uid="{00000000-0005-0000-0000-0000700F0000}"/>
    <cellStyle name="Normal 2 5 2 2 10 2 2" xfId="3383" xr:uid="{00000000-0005-0000-0000-0000710F0000}"/>
    <cellStyle name="Normal 2 5 2 2 10 3" xfId="3384" xr:uid="{00000000-0005-0000-0000-0000720F0000}"/>
    <cellStyle name="Normal 2 5 2 2 11" xfId="3385" xr:uid="{00000000-0005-0000-0000-0000730F0000}"/>
    <cellStyle name="Normal 2 5 2 2 11 2" xfId="3386" xr:uid="{00000000-0005-0000-0000-0000740F0000}"/>
    <cellStyle name="Normal 2 5 2 2 11 2 2" xfId="3387" xr:uid="{00000000-0005-0000-0000-0000750F0000}"/>
    <cellStyle name="Normal 2 5 2 2 11 3" xfId="3388" xr:uid="{00000000-0005-0000-0000-0000760F0000}"/>
    <cellStyle name="Normal 2 5 2 2 12" xfId="3389" xr:uid="{00000000-0005-0000-0000-0000770F0000}"/>
    <cellStyle name="Normal 2 5 2 2 12 2" xfId="3390" xr:uid="{00000000-0005-0000-0000-0000780F0000}"/>
    <cellStyle name="Normal 2 5 2 2 12 2 2" xfId="3391" xr:uid="{00000000-0005-0000-0000-0000790F0000}"/>
    <cellStyle name="Normal 2 5 2 2 12 3" xfId="3392" xr:uid="{00000000-0005-0000-0000-00007A0F0000}"/>
    <cellStyle name="Normal 2 5 2 2 13" xfId="3393" xr:uid="{00000000-0005-0000-0000-00007B0F0000}"/>
    <cellStyle name="Normal 2 5 2 2 13 2" xfId="3394" xr:uid="{00000000-0005-0000-0000-00007C0F0000}"/>
    <cellStyle name="Normal 2 5 2 2 13 2 2" xfId="3395" xr:uid="{00000000-0005-0000-0000-00007D0F0000}"/>
    <cellStyle name="Normal 2 5 2 2 13 3" xfId="3396" xr:uid="{00000000-0005-0000-0000-00007E0F0000}"/>
    <cellStyle name="Normal 2 5 2 2 14" xfId="3397" xr:uid="{00000000-0005-0000-0000-00007F0F0000}"/>
    <cellStyle name="Normal 2 5 2 2 14 2" xfId="3398" xr:uid="{00000000-0005-0000-0000-0000800F0000}"/>
    <cellStyle name="Normal 2 5 2 2 14 2 2" xfId="3399" xr:uid="{00000000-0005-0000-0000-0000810F0000}"/>
    <cellStyle name="Normal 2 5 2 2 14 3" xfId="3400" xr:uid="{00000000-0005-0000-0000-0000820F0000}"/>
    <cellStyle name="Normal 2 5 2 2 15" xfId="3401" xr:uid="{00000000-0005-0000-0000-0000830F0000}"/>
    <cellStyle name="Normal 2 5 2 2 15 2" xfId="3402" xr:uid="{00000000-0005-0000-0000-0000840F0000}"/>
    <cellStyle name="Normal 2 5 2 2 15 2 2" xfId="3403" xr:uid="{00000000-0005-0000-0000-0000850F0000}"/>
    <cellStyle name="Normal 2 5 2 2 15 3" xfId="3404" xr:uid="{00000000-0005-0000-0000-0000860F0000}"/>
    <cellStyle name="Normal 2 5 2 2 16" xfId="3405" xr:uid="{00000000-0005-0000-0000-0000870F0000}"/>
    <cellStyle name="Normal 2 5 2 2 16 2" xfId="3406" xr:uid="{00000000-0005-0000-0000-0000880F0000}"/>
    <cellStyle name="Normal 2 5 2 2 16 2 2" xfId="3407" xr:uid="{00000000-0005-0000-0000-0000890F0000}"/>
    <cellStyle name="Normal 2 5 2 2 16 3" xfId="3408" xr:uid="{00000000-0005-0000-0000-00008A0F0000}"/>
    <cellStyle name="Normal 2 5 2 2 17" xfId="3409" xr:uid="{00000000-0005-0000-0000-00008B0F0000}"/>
    <cellStyle name="Normal 2 5 2 2 17 2" xfId="3410" xr:uid="{00000000-0005-0000-0000-00008C0F0000}"/>
    <cellStyle name="Normal 2 5 2 2 17 2 2" xfId="3411" xr:uid="{00000000-0005-0000-0000-00008D0F0000}"/>
    <cellStyle name="Normal 2 5 2 2 17 3" xfId="3412" xr:uid="{00000000-0005-0000-0000-00008E0F0000}"/>
    <cellStyle name="Normal 2 5 2 2 18" xfId="3413" xr:uid="{00000000-0005-0000-0000-00008F0F0000}"/>
    <cellStyle name="Normal 2 5 2 2 18 2" xfId="3414" xr:uid="{00000000-0005-0000-0000-0000900F0000}"/>
    <cellStyle name="Normal 2 5 2 2 18 2 2" xfId="3415" xr:uid="{00000000-0005-0000-0000-0000910F0000}"/>
    <cellStyle name="Normal 2 5 2 2 18 3" xfId="3416" xr:uid="{00000000-0005-0000-0000-0000920F0000}"/>
    <cellStyle name="Normal 2 5 2 2 19" xfId="3417" xr:uid="{00000000-0005-0000-0000-0000930F0000}"/>
    <cellStyle name="Normal 2 5 2 2 19 2" xfId="3418" xr:uid="{00000000-0005-0000-0000-0000940F0000}"/>
    <cellStyle name="Normal 2 5 2 2 19 2 2" xfId="3419" xr:uid="{00000000-0005-0000-0000-0000950F0000}"/>
    <cellStyle name="Normal 2 5 2 2 19 3" xfId="3420" xr:uid="{00000000-0005-0000-0000-0000960F0000}"/>
    <cellStyle name="Normal 2 5 2 2 2" xfId="3421" xr:uid="{00000000-0005-0000-0000-0000970F0000}"/>
    <cellStyle name="Normal 2 5 2 2 2 2" xfId="3422" xr:uid="{00000000-0005-0000-0000-0000980F0000}"/>
    <cellStyle name="Normal 2 5 2 2 2 2 2" xfId="3423" xr:uid="{00000000-0005-0000-0000-0000990F0000}"/>
    <cellStyle name="Normal 2 5 2 2 2 3" xfId="3424" xr:uid="{00000000-0005-0000-0000-00009A0F0000}"/>
    <cellStyle name="Normal 2 5 2 2 20" xfId="3425" xr:uid="{00000000-0005-0000-0000-00009B0F0000}"/>
    <cellStyle name="Normal 2 5 2 2 20 2" xfId="3426" xr:uid="{00000000-0005-0000-0000-00009C0F0000}"/>
    <cellStyle name="Normal 2 5 2 2 20 2 2" xfId="3427" xr:uid="{00000000-0005-0000-0000-00009D0F0000}"/>
    <cellStyle name="Normal 2 5 2 2 20 3" xfId="3428" xr:uid="{00000000-0005-0000-0000-00009E0F0000}"/>
    <cellStyle name="Normal 2 5 2 2 21" xfId="3429" xr:uid="{00000000-0005-0000-0000-00009F0F0000}"/>
    <cellStyle name="Normal 2 5 2 2 21 2" xfId="3430" xr:uid="{00000000-0005-0000-0000-0000A00F0000}"/>
    <cellStyle name="Normal 2 5 2 2 21 2 2" xfId="3431" xr:uid="{00000000-0005-0000-0000-0000A10F0000}"/>
    <cellStyle name="Normal 2 5 2 2 21 3" xfId="3432" xr:uid="{00000000-0005-0000-0000-0000A20F0000}"/>
    <cellStyle name="Normal 2 5 2 2 22" xfId="3433" xr:uid="{00000000-0005-0000-0000-0000A30F0000}"/>
    <cellStyle name="Normal 2 5 2 2 22 2" xfId="3434" xr:uid="{00000000-0005-0000-0000-0000A40F0000}"/>
    <cellStyle name="Normal 2 5 2 2 22 2 2" xfId="3435" xr:uid="{00000000-0005-0000-0000-0000A50F0000}"/>
    <cellStyle name="Normal 2 5 2 2 22 3" xfId="3436" xr:uid="{00000000-0005-0000-0000-0000A60F0000}"/>
    <cellStyle name="Normal 2 5 2 2 23" xfId="3437" xr:uid="{00000000-0005-0000-0000-0000A70F0000}"/>
    <cellStyle name="Normal 2 5 2 2 23 2" xfId="3438" xr:uid="{00000000-0005-0000-0000-0000A80F0000}"/>
    <cellStyle name="Normal 2 5 2 2 23 2 2" xfId="3439" xr:uid="{00000000-0005-0000-0000-0000A90F0000}"/>
    <cellStyle name="Normal 2 5 2 2 23 3" xfId="3440" xr:uid="{00000000-0005-0000-0000-0000AA0F0000}"/>
    <cellStyle name="Normal 2 5 2 2 24" xfId="3441" xr:uid="{00000000-0005-0000-0000-0000AB0F0000}"/>
    <cellStyle name="Normal 2 5 2 2 24 2" xfId="3442" xr:uid="{00000000-0005-0000-0000-0000AC0F0000}"/>
    <cellStyle name="Normal 2 5 2 2 24 2 2" xfId="3443" xr:uid="{00000000-0005-0000-0000-0000AD0F0000}"/>
    <cellStyle name="Normal 2 5 2 2 24 3" xfId="3444" xr:uid="{00000000-0005-0000-0000-0000AE0F0000}"/>
    <cellStyle name="Normal 2 5 2 2 25" xfId="3445" xr:uid="{00000000-0005-0000-0000-0000AF0F0000}"/>
    <cellStyle name="Normal 2 5 2 2 25 2" xfId="3446" xr:uid="{00000000-0005-0000-0000-0000B00F0000}"/>
    <cellStyle name="Normal 2 5 2 2 25 2 2" xfId="3447" xr:uid="{00000000-0005-0000-0000-0000B10F0000}"/>
    <cellStyle name="Normal 2 5 2 2 25 3" xfId="3448" xr:uid="{00000000-0005-0000-0000-0000B20F0000}"/>
    <cellStyle name="Normal 2 5 2 2 26" xfId="3449" xr:uid="{00000000-0005-0000-0000-0000B30F0000}"/>
    <cellStyle name="Normal 2 5 2 2 26 2" xfId="3450" xr:uid="{00000000-0005-0000-0000-0000B40F0000}"/>
    <cellStyle name="Normal 2 5 2 2 26 2 2" xfId="3451" xr:uid="{00000000-0005-0000-0000-0000B50F0000}"/>
    <cellStyle name="Normal 2 5 2 2 26 3" xfId="3452" xr:uid="{00000000-0005-0000-0000-0000B60F0000}"/>
    <cellStyle name="Normal 2 5 2 2 27" xfId="3453" xr:uid="{00000000-0005-0000-0000-0000B70F0000}"/>
    <cellStyle name="Normal 2 5 2 2 27 2" xfId="3454" xr:uid="{00000000-0005-0000-0000-0000B80F0000}"/>
    <cellStyle name="Normal 2 5 2 2 27 2 2" xfId="3455" xr:uid="{00000000-0005-0000-0000-0000B90F0000}"/>
    <cellStyle name="Normal 2 5 2 2 27 3" xfId="3456" xr:uid="{00000000-0005-0000-0000-0000BA0F0000}"/>
    <cellStyle name="Normal 2 5 2 2 28" xfId="3457" xr:uid="{00000000-0005-0000-0000-0000BB0F0000}"/>
    <cellStyle name="Normal 2 5 2 2 28 2" xfId="3458" xr:uid="{00000000-0005-0000-0000-0000BC0F0000}"/>
    <cellStyle name="Normal 2 5 2 2 28 2 2" xfId="3459" xr:uid="{00000000-0005-0000-0000-0000BD0F0000}"/>
    <cellStyle name="Normal 2 5 2 2 28 3" xfId="3460" xr:uid="{00000000-0005-0000-0000-0000BE0F0000}"/>
    <cellStyle name="Normal 2 5 2 2 29" xfId="3461" xr:uid="{00000000-0005-0000-0000-0000BF0F0000}"/>
    <cellStyle name="Normal 2 5 2 2 29 2" xfId="3462" xr:uid="{00000000-0005-0000-0000-0000C00F0000}"/>
    <cellStyle name="Normal 2 5 2 2 29 2 2" xfId="3463" xr:uid="{00000000-0005-0000-0000-0000C10F0000}"/>
    <cellStyle name="Normal 2 5 2 2 29 3" xfId="3464" xr:uid="{00000000-0005-0000-0000-0000C20F0000}"/>
    <cellStyle name="Normal 2 5 2 2 3" xfId="3465" xr:uid="{00000000-0005-0000-0000-0000C30F0000}"/>
    <cellStyle name="Normal 2 5 2 2 3 2" xfId="3466" xr:uid="{00000000-0005-0000-0000-0000C40F0000}"/>
    <cellStyle name="Normal 2 5 2 2 3 2 2" xfId="3467" xr:uid="{00000000-0005-0000-0000-0000C50F0000}"/>
    <cellStyle name="Normal 2 5 2 2 3 3" xfId="3468" xr:uid="{00000000-0005-0000-0000-0000C60F0000}"/>
    <cellStyle name="Normal 2 5 2 2 30" xfId="3469" xr:uid="{00000000-0005-0000-0000-0000C70F0000}"/>
    <cellStyle name="Normal 2 5 2 2 30 2" xfId="3470" xr:uid="{00000000-0005-0000-0000-0000C80F0000}"/>
    <cellStyle name="Normal 2 5 2 2 30 2 2" xfId="3471" xr:uid="{00000000-0005-0000-0000-0000C90F0000}"/>
    <cellStyle name="Normal 2 5 2 2 30 3" xfId="3472" xr:uid="{00000000-0005-0000-0000-0000CA0F0000}"/>
    <cellStyle name="Normal 2 5 2 2 31" xfId="3473" xr:uid="{00000000-0005-0000-0000-0000CB0F0000}"/>
    <cellStyle name="Normal 2 5 2 2 31 2" xfId="3474" xr:uid="{00000000-0005-0000-0000-0000CC0F0000}"/>
    <cellStyle name="Normal 2 5 2 2 31 2 2" xfId="3475" xr:uid="{00000000-0005-0000-0000-0000CD0F0000}"/>
    <cellStyle name="Normal 2 5 2 2 31 3" xfId="3476" xr:uid="{00000000-0005-0000-0000-0000CE0F0000}"/>
    <cellStyle name="Normal 2 5 2 2 32" xfId="3477" xr:uid="{00000000-0005-0000-0000-0000CF0F0000}"/>
    <cellStyle name="Normal 2 5 2 2 32 2" xfId="3478" xr:uid="{00000000-0005-0000-0000-0000D00F0000}"/>
    <cellStyle name="Normal 2 5 2 2 32 2 2" xfId="3479" xr:uid="{00000000-0005-0000-0000-0000D10F0000}"/>
    <cellStyle name="Normal 2 5 2 2 32 3" xfId="3480" xr:uid="{00000000-0005-0000-0000-0000D20F0000}"/>
    <cellStyle name="Normal 2 5 2 2 33" xfId="3481" xr:uid="{00000000-0005-0000-0000-0000D30F0000}"/>
    <cellStyle name="Normal 2 5 2 2 33 2" xfId="3482" xr:uid="{00000000-0005-0000-0000-0000D40F0000}"/>
    <cellStyle name="Normal 2 5 2 2 33 2 2" xfId="3483" xr:uid="{00000000-0005-0000-0000-0000D50F0000}"/>
    <cellStyle name="Normal 2 5 2 2 33 3" xfId="3484" xr:uid="{00000000-0005-0000-0000-0000D60F0000}"/>
    <cellStyle name="Normal 2 5 2 2 34" xfId="3485" xr:uid="{00000000-0005-0000-0000-0000D70F0000}"/>
    <cellStyle name="Normal 2 5 2 2 34 2" xfId="3486" xr:uid="{00000000-0005-0000-0000-0000D80F0000}"/>
    <cellStyle name="Normal 2 5 2 2 34 2 2" xfId="3487" xr:uid="{00000000-0005-0000-0000-0000D90F0000}"/>
    <cellStyle name="Normal 2 5 2 2 34 3" xfId="3488" xr:uid="{00000000-0005-0000-0000-0000DA0F0000}"/>
    <cellStyle name="Normal 2 5 2 2 35" xfId="3489" xr:uid="{00000000-0005-0000-0000-0000DB0F0000}"/>
    <cellStyle name="Normal 2 5 2 2 35 2" xfId="3490" xr:uid="{00000000-0005-0000-0000-0000DC0F0000}"/>
    <cellStyle name="Normal 2 5 2 2 35 2 2" xfId="3491" xr:uid="{00000000-0005-0000-0000-0000DD0F0000}"/>
    <cellStyle name="Normal 2 5 2 2 35 3" xfId="3492" xr:uid="{00000000-0005-0000-0000-0000DE0F0000}"/>
    <cellStyle name="Normal 2 5 2 2 36" xfId="3493" xr:uid="{00000000-0005-0000-0000-0000DF0F0000}"/>
    <cellStyle name="Normal 2 5 2 2 36 2" xfId="3494" xr:uid="{00000000-0005-0000-0000-0000E00F0000}"/>
    <cellStyle name="Normal 2 5 2 2 36 2 2" xfId="3495" xr:uid="{00000000-0005-0000-0000-0000E10F0000}"/>
    <cellStyle name="Normal 2 5 2 2 36 3" xfId="3496" xr:uid="{00000000-0005-0000-0000-0000E20F0000}"/>
    <cellStyle name="Normal 2 5 2 2 37" xfId="3497" xr:uid="{00000000-0005-0000-0000-0000E30F0000}"/>
    <cellStyle name="Normal 2 5 2 2 37 2" xfId="3498" xr:uid="{00000000-0005-0000-0000-0000E40F0000}"/>
    <cellStyle name="Normal 2 5 2 2 37 2 2" xfId="3499" xr:uid="{00000000-0005-0000-0000-0000E50F0000}"/>
    <cellStyle name="Normal 2 5 2 2 37 3" xfId="3500" xr:uid="{00000000-0005-0000-0000-0000E60F0000}"/>
    <cellStyle name="Normal 2 5 2 2 38" xfId="3501" xr:uid="{00000000-0005-0000-0000-0000E70F0000}"/>
    <cellStyle name="Normal 2 5 2 2 38 2" xfId="3502" xr:uid="{00000000-0005-0000-0000-0000E80F0000}"/>
    <cellStyle name="Normal 2 5 2 2 38 2 2" xfId="3503" xr:uid="{00000000-0005-0000-0000-0000E90F0000}"/>
    <cellStyle name="Normal 2 5 2 2 38 3" xfId="3504" xr:uid="{00000000-0005-0000-0000-0000EA0F0000}"/>
    <cellStyle name="Normal 2 5 2 2 39" xfId="3505" xr:uid="{00000000-0005-0000-0000-0000EB0F0000}"/>
    <cellStyle name="Normal 2 5 2 2 39 2" xfId="3506" xr:uid="{00000000-0005-0000-0000-0000EC0F0000}"/>
    <cellStyle name="Normal 2 5 2 2 39 2 2" xfId="3507" xr:uid="{00000000-0005-0000-0000-0000ED0F0000}"/>
    <cellStyle name="Normal 2 5 2 2 39 3" xfId="3508" xr:uid="{00000000-0005-0000-0000-0000EE0F0000}"/>
    <cellStyle name="Normal 2 5 2 2 4" xfId="3509" xr:uid="{00000000-0005-0000-0000-0000EF0F0000}"/>
    <cellStyle name="Normal 2 5 2 2 4 2" xfId="3510" xr:uid="{00000000-0005-0000-0000-0000F00F0000}"/>
    <cellStyle name="Normal 2 5 2 2 4 2 2" xfId="3511" xr:uid="{00000000-0005-0000-0000-0000F10F0000}"/>
    <cellStyle name="Normal 2 5 2 2 4 3" xfId="3512" xr:uid="{00000000-0005-0000-0000-0000F20F0000}"/>
    <cellStyle name="Normal 2 5 2 2 40" xfId="3513" xr:uid="{00000000-0005-0000-0000-0000F30F0000}"/>
    <cellStyle name="Normal 2 5 2 2 40 2" xfId="3514" xr:uid="{00000000-0005-0000-0000-0000F40F0000}"/>
    <cellStyle name="Normal 2 5 2 2 40 2 2" xfId="3515" xr:uid="{00000000-0005-0000-0000-0000F50F0000}"/>
    <cellStyle name="Normal 2 5 2 2 40 3" xfId="3516" xr:uid="{00000000-0005-0000-0000-0000F60F0000}"/>
    <cellStyle name="Normal 2 5 2 2 41" xfId="3517" xr:uid="{00000000-0005-0000-0000-0000F70F0000}"/>
    <cellStyle name="Normal 2 5 2 2 41 2" xfId="3518" xr:uid="{00000000-0005-0000-0000-0000F80F0000}"/>
    <cellStyle name="Normal 2 5 2 2 41 2 2" xfId="3519" xr:uid="{00000000-0005-0000-0000-0000F90F0000}"/>
    <cellStyle name="Normal 2 5 2 2 41 3" xfId="3520" xr:uid="{00000000-0005-0000-0000-0000FA0F0000}"/>
    <cellStyle name="Normal 2 5 2 2 42" xfId="3521" xr:uid="{00000000-0005-0000-0000-0000FB0F0000}"/>
    <cellStyle name="Normal 2 5 2 2 42 2" xfId="3522" xr:uid="{00000000-0005-0000-0000-0000FC0F0000}"/>
    <cellStyle name="Normal 2 5 2 2 42 2 2" xfId="3523" xr:uid="{00000000-0005-0000-0000-0000FD0F0000}"/>
    <cellStyle name="Normal 2 5 2 2 42 3" xfId="3524" xr:uid="{00000000-0005-0000-0000-0000FE0F0000}"/>
    <cellStyle name="Normal 2 5 2 2 43" xfId="3525" xr:uid="{00000000-0005-0000-0000-0000FF0F0000}"/>
    <cellStyle name="Normal 2 5 2 2 43 2" xfId="3526" xr:uid="{00000000-0005-0000-0000-000000100000}"/>
    <cellStyle name="Normal 2 5 2 2 43 2 2" xfId="3527" xr:uid="{00000000-0005-0000-0000-000001100000}"/>
    <cellStyle name="Normal 2 5 2 2 43 3" xfId="3528" xr:uid="{00000000-0005-0000-0000-000002100000}"/>
    <cellStyle name="Normal 2 5 2 2 44" xfId="3529" xr:uid="{00000000-0005-0000-0000-000003100000}"/>
    <cellStyle name="Normal 2 5 2 2 44 2" xfId="3530" xr:uid="{00000000-0005-0000-0000-000004100000}"/>
    <cellStyle name="Normal 2 5 2 2 44 2 2" xfId="3531" xr:uid="{00000000-0005-0000-0000-000005100000}"/>
    <cellStyle name="Normal 2 5 2 2 44 3" xfId="3532" xr:uid="{00000000-0005-0000-0000-000006100000}"/>
    <cellStyle name="Normal 2 5 2 2 45" xfId="3533" xr:uid="{00000000-0005-0000-0000-000007100000}"/>
    <cellStyle name="Normal 2 5 2 2 45 2" xfId="3534" xr:uid="{00000000-0005-0000-0000-000008100000}"/>
    <cellStyle name="Normal 2 5 2 2 45 2 2" xfId="3535" xr:uid="{00000000-0005-0000-0000-000009100000}"/>
    <cellStyle name="Normal 2 5 2 2 45 3" xfId="3536" xr:uid="{00000000-0005-0000-0000-00000A100000}"/>
    <cellStyle name="Normal 2 5 2 2 46" xfId="3537" xr:uid="{00000000-0005-0000-0000-00000B100000}"/>
    <cellStyle name="Normal 2 5 2 2 46 2" xfId="3538" xr:uid="{00000000-0005-0000-0000-00000C100000}"/>
    <cellStyle name="Normal 2 5 2 2 46 2 2" xfId="3539" xr:uid="{00000000-0005-0000-0000-00000D100000}"/>
    <cellStyle name="Normal 2 5 2 2 46 3" xfId="3540" xr:uid="{00000000-0005-0000-0000-00000E100000}"/>
    <cellStyle name="Normal 2 5 2 2 47" xfId="3541" xr:uid="{00000000-0005-0000-0000-00000F100000}"/>
    <cellStyle name="Normal 2 5 2 2 47 2" xfId="3542" xr:uid="{00000000-0005-0000-0000-000010100000}"/>
    <cellStyle name="Normal 2 5 2 2 47 2 2" xfId="3543" xr:uid="{00000000-0005-0000-0000-000011100000}"/>
    <cellStyle name="Normal 2 5 2 2 47 3" xfId="3544" xr:uid="{00000000-0005-0000-0000-000012100000}"/>
    <cellStyle name="Normal 2 5 2 2 48" xfId="3545" xr:uid="{00000000-0005-0000-0000-000013100000}"/>
    <cellStyle name="Normal 2 5 2 2 48 2" xfId="3546" xr:uid="{00000000-0005-0000-0000-000014100000}"/>
    <cellStyle name="Normal 2 5 2 2 48 2 2" xfId="3547" xr:uid="{00000000-0005-0000-0000-000015100000}"/>
    <cellStyle name="Normal 2 5 2 2 48 3" xfId="3548" xr:uid="{00000000-0005-0000-0000-000016100000}"/>
    <cellStyle name="Normal 2 5 2 2 49" xfId="3549" xr:uid="{00000000-0005-0000-0000-000017100000}"/>
    <cellStyle name="Normal 2 5 2 2 49 2" xfId="3550" xr:uid="{00000000-0005-0000-0000-000018100000}"/>
    <cellStyle name="Normal 2 5 2 2 49 2 2" xfId="3551" xr:uid="{00000000-0005-0000-0000-000019100000}"/>
    <cellStyle name="Normal 2 5 2 2 49 3" xfId="3552" xr:uid="{00000000-0005-0000-0000-00001A100000}"/>
    <cellStyle name="Normal 2 5 2 2 5" xfId="3553" xr:uid="{00000000-0005-0000-0000-00001B100000}"/>
    <cellStyle name="Normal 2 5 2 2 5 2" xfId="3554" xr:uid="{00000000-0005-0000-0000-00001C100000}"/>
    <cellStyle name="Normal 2 5 2 2 5 2 2" xfId="3555" xr:uid="{00000000-0005-0000-0000-00001D100000}"/>
    <cellStyle name="Normal 2 5 2 2 5 3" xfId="3556" xr:uid="{00000000-0005-0000-0000-00001E100000}"/>
    <cellStyle name="Normal 2 5 2 2 50" xfId="3557" xr:uid="{00000000-0005-0000-0000-00001F100000}"/>
    <cellStyle name="Normal 2 5 2 2 50 2" xfId="3558" xr:uid="{00000000-0005-0000-0000-000020100000}"/>
    <cellStyle name="Normal 2 5 2 2 50 2 2" xfId="3559" xr:uid="{00000000-0005-0000-0000-000021100000}"/>
    <cellStyle name="Normal 2 5 2 2 50 3" xfId="3560" xr:uid="{00000000-0005-0000-0000-000022100000}"/>
    <cellStyle name="Normal 2 5 2 2 51" xfId="3561" xr:uid="{00000000-0005-0000-0000-000023100000}"/>
    <cellStyle name="Normal 2 5 2 2 51 2" xfId="3562" xr:uid="{00000000-0005-0000-0000-000024100000}"/>
    <cellStyle name="Normal 2 5 2 2 51 2 2" xfId="3563" xr:uid="{00000000-0005-0000-0000-000025100000}"/>
    <cellStyle name="Normal 2 5 2 2 51 3" xfId="3564" xr:uid="{00000000-0005-0000-0000-000026100000}"/>
    <cellStyle name="Normal 2 5 2 2 52" xfId="3565" xr:uid="{00000000-0005-0000-0000-000027100000}"/>
    <cellStyle name="Normal 2 5 2 2 52 2" xfId="3566" xr:uid="{00000000-0005-0000-0000-000028100000}"/>
    <cellStyle name="Normal 2 5 2 2 52 2 2" xfId="3567" xr:uid="{00000000-0005-0000-0000-000029100000}"/>
    <cellStyle name="Normal 2 5 2 2 52 3" xfId="3568" xr:uid="{00000000-0005-0000-0000-00002A100000}"/>
    <cellStyle name="Normal 2 5 2 2 53" xfId="3569" xr:uid="{00000000-0005-0000-0000-00002B100000}"/>
    <cellStyle name="Normal 2 5 2 2 53 2" xfId="3570" xr:uid="{00000000-0005-0000-0000-00002C100000}"/>
    <cellStyle name="Normal 2 5 2 2 53 2 2" xfId="3571" xr:uid="{00000000-0005-0000-0000-00002D100000}"/>
    <cellStyle name="Normal 2 5 2 2 53 3" xfId="3572" xr:uid="{00000000-0005-0000-0000-00002E100000}"/>
    <cellStyle name="Normal 2 5 2 2 54" xfId="3573" xr:uid="{00000000-0005-0000-0000-00002F100000}"/>
    <cellStyle name="Normal 2 5 2 2 54 2" xfId="3574" xr:uid="{00000000-0005-0000-0000-000030100000}"/>
    <cellStyle name="Normal 2 5 2 2 54 2 2" xfId="3575" xr:uid="{00000000-0005-0000-0000-000031100000}"/>
    <cellStyle name="Normal 2 5 2 2 54 3" xfId="3576" xr:uid="{00000000-0005-0000-0000-000032100000}"/>
    <cellStyle name="Normal 2 5 2 2 55" xfId="3577" xr:uid="{00000000-0005-0000-0000-000033100000}"/>
    <cellStyle name="Normal 2 5 2 2 55 2" xfId="3578" xr:uid="{00000000-0005-0000-0000-000034100000}"/>
    <cellStyle name="Normal 2 5 2 2 55 2 2" xfId="3579" xr:uid="{00000000-0005-0000-0000-000035100000}"/>
    <cellStyle name="Normal 2 5 2 2 55 3" xfId="3580" xr:uid="{00000000-0005-0000-0000-000036100000}"/>
    <cellStyle name="Normal 2 5 2 2 56" xfId="3581" xr:uid="{00000000-0005-0000-0000-000037100000}"/>
    <cellStyle name="Normal 2 5 2 2 56 2" xfId="3582" xr:uid="{00000000-0005-0000-0000-000038100000}"/>
    <cellStyle name="Normal 2 5 2 2 57" xfId="3583" xr:uid="{00000000-0005-0000-0000-000039100000}"/>
    <cellStyle name="Normal 2 5 2 2 6" xfId="3584" xr:uid="{00000000-0005-0000-0000-00003A100000}"/>
    <cellStyle name="Normal 2 5 2 2 6 2" xfId="3585" xr:uid="{00000000-0005-0000-0000-00003B100000}"/>
    <cellStyle name="Normal 2 5 2 2 6 2 2" xfId="3586" xr:uid="{00000000-0005-0000-0000-00003C100000}"/>
    <cellStyle name="Normal 2 5 2 2 6 3" xfId="3587" xr:uid="{00000000-0005-0000-0000-00003D100000}"/>
    <cellStyle name="Normal 2 5 2 2 7" xfId="3588" xr:uid="{00000000-0005-0000-0000-00003E100000}"/>
    <cellStyle name="Normal 2 5 2 2 7 2" xfId="3589" xr:uid="{00000000-0005-0000-0000-00003F100000}"/>
    <cellStyle name="Normal 2 5 2 2 7 2 2" xfId="3590" xr:uid="{00000000-0005-0000-0000-000040100000}"/>
    <cellStyle name="Normal 2 5 2 2 7 3" xfId="3591" xr:uid="{00000000-0005-0000-0000-000041100000}"/>
    <cellStyle name="Normal 2 5 2 2 8" xfId="3592" xr:uid="{00000000-0005-0000-0000-000042100000}"/>
    <cellStyle name="Normal 2 5 2 2 8 2" xfId="3593" xr:uid="{00000000-0005-0000-0000-000043100000}"/>
    <cellStyle name="Normal 2 5 2 2 8 2 2" xfId="3594" xr:uid="{00000000-0005-0000-0000-000044100000}"/>
    <cellStyle name="Normal 2 5 2 2 8 3" xfId="3595" xr:uid="{00000000-0005-0000-0000-000045100000}"/>
    <cellStyle name="Normal 2 5 2 2 9" xfId="3596" xr:uid="{00000000-0005-0000-0000-000046100000}"/>
    <cellStyle name="Normal 2 5 2 2 9 2" xfId="3597" xr:uid="{00000000-0005-0000-0000-000047100000}"/>
    <cellStyle name="Normal 2 5 2 2 9 2 2" xfId="3598" xr:uid="{00000000-0005-0000-0000-000048100000}"/>
    <cellStyle name="Normal 2 5 2 2 9 3" xfId="3599" xr:uid="{00000000-0005-0000-0000-000049100000}"/>
    <cellStyle name="Normal 2 5 2 20" xfId="3600" xr:uid="{00000000-0005-0000-0000-00004A100000}"/>
    <cellStyle name="Normal 2 5 2 20 2" xfId="3601" xr:uid="{00000000-0005-0000-0000-00004B100000}"/>
    <cellStyle name="Normal 2 5 2 20 2 2" xfId="3602" xr:uid="{00000000-0005-0000-0000-00004C100000}"/>
    <cellStyle name="Normal 2 5 2 20 3" xfId="3603" xr:uid="{00000000-0005-0000-0000-00004D100000}"/>
    <cellStyle name="Normal 2 5 2 21" xfId="3604" xr:uid="{00000000-0005-0000-0000-00004E100000}"/>
    <cellStyle name="Normal 2 5 2 21 2" xfId="3605" xr:uid="{00000000-0005-0000-0000-00004F100000}"/>
    <cellStyle name="Normal 2 5 2 21 2 2" xfId="3606" xr:uid="{00000000-0005-0000-0000-000050100000}"/>
    <cellStyle name="Normal 2 5 2 21 3" xfId="3607" xr:uid="{00000000-0005-0000-0000-000051100000}"/>
    <cellStyle name="Normal 2 5 2 22" xfId="3608" xr:uid="{00000000-0005-0000-0000-000052100000}"/>
    <cellStyle name="Normal 2 5 2 22 2" xfId="3609" xr:uid="{00000000-0005-0000-0000-000053100000}"/>
    <cellStyle name="Normal 2 5 2 22 2 2" xfId="3610" xr:uid="{00000000-0005-0000-0000-000054100000}"/>
    <cellStyle name="Normal 2 5 2 22 3" xfId="3611" xr:uid="{00000000-0005-0000-0000-000055100000}"/>
    <cellStyle name="Normal 2 5 2 23" xfId="3612" xr:uid="{00000000-0005-0000-0000-000056100000}"/>
    <cellStyle name="Normal 2 5 2 23 2" xfId="3613" xr:uid="{00000000-0005-0000-0000-000057100000}"/>
    <cellStyle name="Normal 2 5 2 23 2 2" xfId="3614" xr:uid="{00000000-0005-0000-0000-000058100000}"/>
    <cellStyle name="Normal 2 5 2 23 3" xfId="3615" xr:uid="{00000000-0005-0000-0000-000059100000}"/>
    <cellStyle name="Normal 2 5 2 24" xfId="3616" xr:uid="{00000000-0005-0000-0000-00005A100000}"/>
    <cellStyle name="Normal 2 5 2 24 2" xfId="3617" xr:uid="{00000000-0005-0000-0000-00005B100000}"/>
    <cellStyle name="Normal 2 5 2 24 2 2" xfId="3618" xr:uid="{00000000-0005-0000-0000-00005C100000}"/>
    <cellStyle name="Normal 2 5 2 24 3" xfId="3619" xr:uid="{00000000-0005-0000-0000-00005D100000}"/>
    <cellStyle name="Normal 2 5 2 25" xfId="3620" xr:uid="{00000000-0005-0000-0000-00005E100000}"/>
    <cellStyle name="Normal 2 5 2 25 2" xfId="3621" xr:uid="{00000000-0005-0000-0000-00005F100000}"/>
    <cellStyle name="Normal 2 5 2 25 2 2" xfId="3622" xr:uid="{00000000-0005-0000-0000-000060100000}"/>
    <cellStyle name="Normal 2 5 2 25 3" xfId="3623" xr:uid="{00000000-0005-0000-0000-000061100000}"/>
    <cellStyle name="Normal 2 5 2 26" xfId="3624" xr:uid="{00000000-0005-0000-0000-000062100000}"/>
    <cellStyle name="Normal 2 5 2 26 2" xfId="3625" xr:uid="{00000000-0005-0000-0000-000063100000}"/>
    <cellStyle name="Normal 2 5 2 26 2 2" xfId="3626" xr:uid="{00000000-0005-0000-0000-000064100000}"/>
    <cellStyle name="Normal 2 5 2 26 3" xfId="3627" xr:uid="{00000000-0005-0000-0000-000065100000}"/>
    <cellStyle name="Normal 2 5 2 27" xfId="3628" xr:uid="{00000000-0005-0000-0000-000066100000}"/>
    <cellStyle name="Normal 2 5 2 27 2" xfId="3629" xr:uid="{00000000-0005-0000-0000-000067100000}"/>
    <cellStyle name="Normal 2 5 2 27 2 2" xfId="3630" xr:uid="{00000000-0005-0000-0000-000068100000}"/>
    <cellStyle name="Normal 2 5 2 27 3" xfId="3631" xr:uid="{00000000-0005-0000-0000-000069100000}"/>
    <cellStyle name="Normal 2 5 2 28" xfId="3632" xr:uid="{00000000-0005-0000-0000-00006A100000}"/>
    <cellStyle name="Normal 2 5 2 28 2" xfId="3633" xr:uid="{00000000-0005-0000-0000-00006B100000}"/>
    <cellStyle name="Normal 2 5 2 28 2 2" xfId="3634" xr:uid="{00000000-0005-0000-0000-00006C100000}"/>
    <cellStyle name="Normal 2 5 2 28 3" xfId="3635" xr:uid="{00000000-0005-0000-0000-00006D100000}"/>
    <cellStyle name="Normal 2 5 2 29" xfId="3636" xr:uid="{00000000-0005-0000-0000-00006E100000}"/>
    <cellStyle name="Normal 2 5 2 29 2" xfId="3637" xr:uid="{00000000-0005-0000-0000-00006F100000}"/>
    <cellStyle name="Normal 2 5 2 29 2 2" xfId="3638" xr:uid="{00000000-0005-0000-0000-000070100000}"/>
    <cellStyle name="Normal 2 5 2 29 3" xfId="3639" xr:uid="{00000000-0005-0000-0000-000071100000}"/>
    <cellStyle name="Normal 2 5 2 3" xfId="3640" xr:uid="{00000000-0005-0000-0000-000072100000}"/>
    <cellStyle name="Normal 2 5 2 3 2" xfId="3641" xr:uid="{00000000-0005-0000-0000-000073100000}"/>
    <cellStyle name="Normal 2 5 2 3 2 2" xfId="3642" xr:uid="{00000000-0005-0000-0000-000074100000}"/>
    <cellStyle name="Normal 2 5 2 3 3" xfId="3643" xr:uid="{00000000-0005-0000-0000-000075100000}"/>
    <cellStyle name="Normal 2 5 2 30" xfId="3644" xr:uid="{00000000-0005-0000-0000-000076100000}"/>
    <cellStyle name="Normal 2 5 2 30 2" xfId="3645" xr:uid="{00000000-0005-0000-0000-000077100000}"/>
    <cellStyle name="Normal 2 5 2 30 2 2" xfId="3646" xr:uid="{00000000-0005-0000-0000-000078100000}"/>
    <cellStyle name="Normal 2 5 2 30 3" xfId="3647" xr:uid="{00000000-0005-0000-0000-000079100000}"/>
    <cellStyle name="Normal 2 5 2 31" xfId="3648" xr:uid="{00000000-0005-0000-0000-00007A100000}"/>
    <cellStyle name="Normal 2 5 2 31 2" xfId="3649" xr:uid="{00000000-0005-0000-0000-00007B100000}"/>
    <cellStyle name="Normal 2 5 2 31 2 2" xfId="3650" xr:uid="{00000000-0005-0000-0000-00007C100000}"/>
    <cellStyle name="Normal 2 5 2 31 3" xfId="3651" xr:uid="{00000000-0005-0000-0000-00007D100000}"/>
    <cellStyle name="Normal 2 5 2 32" xfId="3652" xr:uid="{00000000-0005-0000-0000-00007E100000}"/>
    <cellStyle name="Normal 2 5 2 32 2" xfId="3653" xr:uid="{00000000-0005-0000-0000-00007F100000}"/>
    <cellStyle name="Normal 2 5 2 32 2 2" xfId="3654" xr:uid="{00000000-0005-0000-0000-000080100000}"/>
    <cellStyle name="Normal 2 5 2 32 3" xfId="3655" xr:uid="{00000000-0005-0000-0000-000081100000}"/>
    <cellStyle name="Normal 2 5 2 33" xfId="3656" xr:uid="{00000000-0005-0000-0000-000082100000}"/>
    <cellStyle name="Normal 2 5 2 33 2" xfId="3657" xr:uid="{00000000-0005-0000-0000-000083100000}"/>
    <cellStyle name="Normal 2 5 2 33 2 2" xfId="3658" xr:uid="{00000000-0005-0000-0000-000084100000}"/>
    <cellStyle name="Normal 2 5 2 33 3" xfId="3659" xr:uid="{00000000-0005-0000-0000-000085100000}"/>
    <cellStyle name="Normal 2 5 2 34" xfId="3660" xr:uid="{00000000-0005-0000-0000-000086100000}"/>
    <cellStyle name="Normal 2 5 2 34 2" xfId="3661" xr:uid="{00000000-0005-0000-0000-000087100000}"/>
    <cellStyle name="Normal 2 5 2 35" xfId="3662" xr:uid="{00000000-0005-0000-0000-000088100000}"/>
    <cellStyle name="Normal 2 5 2 36" xfId="9149" xr:uid="{00000000-0005-0000-0000-000089100000}"/>
    <cellStyle name="Normal 2 5 2 36 2" xfId="12065" xr:uid="{29A61CE1-5466-4B90-B6DE-544CBC550DDC}"/>
    <cellStyle name="Normal 2 5 2 36 3" xfId="10330" xr:uid="{9EF81F55-DCAD-40F8-83FB-68F5A2737A52}"/>
    <cellStyle name="Normal 2 5 2 4" xfId="3663" xr:uid="{00000000-0005-0000-0000-00008A100000}"/>
    <cellStyle name="Normal 2 5 2 4 2" xfId="3664" xr:uid="{00000000-0005-0000-0000-00008B100000}"/>
    <cellStyle name="Normal 2 5 2 4 2 2" xfId="3665" xr:uid="{00000000-0005-0000-0000-00008C100000}"/>
    <cellStyle name="Normal 2 5 2 4 3" xfId="3666" xr:uid="{00000000-0005-0000-0000-00008D100000}"/>
    <cellStyle name="Normal 2 5 2 5" xfId="3667" xr:uid="{00000000-0005-0000-0000-00008E100000}"/>
    <cellStyle name="Normal 2 5 2 5 2" xfId="3668" xr:uid="{00000000-0005-0000-0000-00008F100000}"/>
    <cellStyle name="Normal 2 5 2 5 2 2" xfId="3669" xr:uid="{00000000-0005-0000-0000-000090100000}"/>
    <cellStyle name="Normal 2 5 2 5 3" xfId="3670" xr:uid="{00000000-0005-0000-0000-000091100000}"/>
    <cellStyle name="Normal 2 5 2 6" xfId="3671" xr:uid="{00000000-0005-0000-0000-000092100000}"/>
    <cellStyle name="Normal 2 5 2 6 2" xfId="3672" xr:uid="{00000000-0005-0000-0000-000093100000}"/>
    <cellStyle name="Normal 2 5 2 6 2 2" xfId="3673" xr:uid="{00000000-0005-0000-0000-000094100000}"/>
    <cellStyle name="Normal 2 5 2 6 3" xfId="3674" xr:uid="{00000000-0005-0000-0000-000095100000}"/>
    <cellStyle name="Normal 2 5 2 7" xfId="3675" xr:uid="{00000000-0005-0000-0000-000096100000}"/>
    <cellStyle name="Normal 2 5 2 7 2" xfId="3676" xr:uid="{00000000-0005-0000-0000-000097100000}"/>
    <cellStyle name="Normal 2 5 2 7 2 2" xfId="3677" xr:uid="{00000000-0005-0000-0000-000098100000}"/>
    <cellStyle name="Normal 2 5 2 7 3" xfId="3678" xr:uid="{00000000-0005-0000-0000-000099100000}"/>
    <cellStyle name="Normal 2 5 2 8" xfId="3679" xr:uid="{00000000-0005-0000-0000-00009A100000}"/>
    <cellStyle name="Normal 2 5 2 8 2" xfId="3680" xr:uid="{00000000-0005-0000-0000-00009B100000}"/>
    <cellStyle name="Normal 2 5 2 8 2 2" xfId="3681" xr:uid="{00000000-0005-0000-0000-00009C100000}"/>
    <cellStyle name="Normal 2 5 2 8 3" xfId="3682" xr:uid="{00000000-0005-0000-0000-00009D100000}"/>
    <cellStyle name="Normal 2 5 2 9" xfId="3683" xr:uid="{00000000-0005-0000-0000-00009E100000}"/>
    <cellStyle name="Normal 2 5 2 9 2" xfId="3684" xr:uid="{00000000-0005-0000-0000-00009F100000}"/>
    <cellStyle name="Normal 2 5 2 9 2 2" xfId="3685" xr:uid="{00000000-0005-0000-0000-0000A0100000}"/>
    <cellStyle name="Normal 2 5 2 9 3" xfId="3686" xr:uid="{00000000-0005-0000-0000-0000A1100000}"/>
    <cellStyle name="Normal 2 5 20" xfId="3687" xr:uid="{00000000-0005-0000-0000-0000A2100000}"/>
    <cellStyle name="Normal 2 5 20 2" xfId="3688" xr:uid="{00000000-0005-0000-0000-0000A3100000}"/>
    <cellStyle name="Normal 2 5 20 2 2" xfId="3689" xr:uid="{00000000-0005-0000-0000-0000A4100000}"/>
    <cellStyle name="Normal 2 5 20 3" xfId="3690" xr:uid="{00000000-0005-0000-0000-0000A5100000}"/>
    <cellStyle name="Normal 2 5 21" xfId="3691" xr:uid="{00000000-0005-0000-0000-0000A6100000}"/>
    <cellStyle name="Normal 2 5 21 2" xfId="3692" xr:uid="{00000000-0005-0000-0000-0000A7100000}"/>
    <cellStyle name="Normal 2 5 21 2 2" xfId="3693" xr:uid="{00000000-0005-0000-0000-0000A8100000}"/>
    <cellStyle name="Normal 2 5 21 3" xfId="3694" xr:uid="{00000000-0005-0000-0000-0000A9100000}"/>
    <cellStyle name="Normal 2 5 22" xfId="3695" xr:uid="{00000000-0005-0000-0000-0000AA100000}"/>
    <cellStyle name="Normal 2 5 22 2" xfId="3696" xr:uid="{00000000-0005-0000-0000-0000AB100000}"/>
    <cellStyle name="Normal 2 5 22 2 2" xfId="3697" xr:uid="{00000000-0005-0000-0000-0000AC100000}"/>
    <cellStyle name="Normal 2 5 22 3" xfId="3698" xr:uid="{00000000-0005-0000-0000-0000AD100000}"/>
    <cellStyle name="Normal 2 5 23" xfId="3699" xr:uid="{00000000-0005-0000-0000-0000AE100000}"/>
    <cellStyle name="Normal 2 5 23 2" xfId="3700" xr:uid="{00000000-0005-0000-0000-0000AF100000}"/>
    <cellStyle name="Normal 2 5 23 2 2" xfId="3701" xr:uid="{00000000-0005-0000-0000-0000B0100000}"/>
    <cellStyle name="Normal 2 5 23 3" xfId="3702" xr:uid="{00000000-0005-0000-0000-0000B1100000}"/>
    <cellStyle name="Normal 2 5 24" xfId="3703" xr:uid="{00000000-0005-0000-0000-0000B2100000}"/>
    <cellStyle name="Normal 2 5 24 2" xfId="3704" xr:uid="{00000000-0005-0000-0000-0000B3100000}"/>
    <cellStyle name="Normal 2 5 24 2 2" xfId="3705" xr:uid="{00000000-0005-0000-0000-0000B4100000}"/>
    <cellStyle name="Normal 2 5 24 3" xfId="3706" xr:uid="{00000000-0005-0000-0000-0000B5100000}"/>
    <cellStyle name="Normal 2 5 25" xfId="3707" xr:uid="{00000000-0005-0000-0000-0000B6100000}"/>
    <cellStyle name="Normal 2 5 25 2" xfId="3708" xr:uid="{00000000-0005-0000-0000-0000B7100000}"/>
    <cellStyle name="Normal 2 5 25 2 2" xfId="3709" xr:uid="{00000000-0005-0000-0000-0000B8100000}"/>
    <cellStyle name="Normal 2 5 25 3" xfId="3710" xr:uid="{00000000-0005-0000-0000-0000B9100000}"/>
    <cellStyle name="Normal 2 5 26" xfId="3711" xr:uid="{00000000-0005-0000-0000-0000BA100000}"/>
    <cellStyle name="Normal 2 5 26 2" xfId="3712" xr:uid="{00000000-0005-0000-0000-0000BB100000}"/>
    <cellStyle name="Normal 2 5 26 2 2" xfId="3713" xr:uid="{00000000-0005-0000-0000-0000BC100000}"/>
    <cellStyle name="Normal 2 5 26 3" xfId="3714" xr:uid="{00000000-0005-0000-0000-0000BD100000}"/>
    <cellStyle name="Normal 2 5 27" xfId="3715" xr:uid="{00000000-0005-0000-0000-0000BE100000}"/>
    <cellStyle name="Normal 2 5 27 2" xfId="3716" xr:uid="{00000000-0005-0000-0000-0000BF100000}"/>
    <cellStyle name="Normal 2 5 27 2 2" xfId="3717" xr:uid="{00000000-0005-0000-0000-0000C0100000}"/>
    <cellStyle name="Normal 2 5 27 3" xfId="3718" xr:uid="{00000000-0005-0000-0000-0000C1100000}"/>
    <cellStyle name="Normal 2 5 28" xfId="3719" xr:uid="{00000000-0005-0000-0000-0000C2100000}"/>
    <cellStyle name="Normal 2 5 28 2" xfId="3720" xr:uid="{00000000-0005-0000-0000-0000C3100000}"/>
    <cellStyle name="Normal 2 5 28 2 2" xfId="3721" xr:uid="{00000000-0005-0000-0000-0000C4100000}"/>
    <cellStyle name="Normal 2 5 28 3" xfId="3722" xr:uid="{00000000-0005-0000-0000-0000C5100000}"/>
    <cellStyle name="Normal 2 5 29" xfId="3723" xr:uid="{00000000-0005-0000-0000-0000C6100000}"/>
    <cellStyle name="Normal 2 5 29 2" xfId="3724" xr:uid="{00000000-0005-0000-0000-0000C7100000}"/>
    <cellStyle name="Normal 2 5 29 2 2" xfId="3725" xr:uid="{00000000-0005-0000-0000-0000C8100000}"/>
    <cellStyle name="Normal 2 5 29 3" xfId="3726" xr:uid="{00000000-0005-0000-0000-0000C9100000}"/>
    <cellStyle name="Normal 2 5 3" xfId="3727" xr:uid="{00000000-0005-0000-0000-0000CA100000}"/>
    <cellStyle name="Normal 2 5 3 2" xfId="3728" xr:uid="{00000000-0005-0000-0000-0000CB100000}"/>
    <cellStyle name="Normal 2 5 3 2 2" xfId="3729" xr:uid="{00000000-0005-0000-0000-0000CC100000}"/>
    <cellStyle name="Normal 2 5 3 3" xfId="3730" xr:uid="{00000000-0005-0000-0000-0000CD100000}"/>
    <cellStyle name="Normal 2 5 3 4" xfId="9752" xr:uid="{C579C9BB-6E65-4A6D-9D68-492256254731}"/>
    <cellStyle name="Normal 2 5 3 5" xfId="9751" xr:uid="{18FBB4F2-709F-4285-9B6B-91D9D7AAB24C}"/>
    <cellStyle name="Normal 2 5 30" xfId="3731" xr:uid="{00000000-0005-0000-0000-0000CE100000}"/>
    <cellStyle name="Normal 2 5 30 2" xfId="3732" xr:uid="{00000000-0005-0000-0000-0000CF100000}"/>
    <cellStyle name="Normal 2 5 30 2 2" xfId="3733" xr:uid="{00000000-0005-0000-0000-0000D0100000}"/>
    <cellStyle name="Normal 2 5 30 3" xfId="3734" xr:uid="{00000000-0005-0000-0000-0000D1100000}"/>
    <cellStyle name="Normal 2 5 31" xfId="3735" xr:uid="{00000000-0005-0000-0000-0000D2100000}"/>
    <cellStyle name="Normal 2 5 31 2" xfId="3736" xr:uid="{00000000-0005-0000-0000-0000D3100000}"/>
    <cellStyle name="Normal 2 5 31 2 2" xfId="3737" xr:uid="{00000000-0005-0000-0000-0000D4100000}"/>
    <cellStyle name="Normal 2 5 31 3" xfId="3738" xr:uid="{00000000-0005-0000-0000-0000D5100000}"/>
    <cellStyle name="Normal 2 5 32" xfId="3739" xr:uid="{00000000-0005-0000-0000-0000D6100000}"/>
    <cellStyle name="Normal 2 5 32 2" xfId="3740" xr:uid="{00000000-0005-0000-0000-0000D7100000}"/>
    <cellStyle name="Normal 2 5 32 2 2" xfId="3741" xr:uid="{00000000-0005-0000-0000-0000D8100000}"/>
    <cellStyle name="Normal 2 5 32 3" xfId="3742" xr:uid="{00000000-0005-0000-0000-0000D9100000}"/>
    <cellStyle name="Normal 2 5 33" xfId="3743" xr:uid="{00000000-0005-0000-0000-0000DA100000}"/>
    <cellStyle name="Normal 2 5 33 2" xfId="3744" xr:uid="{00000000-0005-0000-0000-0000DB100000}"/>
    <cellStyle name="Normal 2 5 33 2 2" xfId="3745" xr:uid="{00000000-0005-0000-0000-0000DC100000}"/>
    <cellStyle name="Normal 2 5 33 3" xfId="3746" xr:uid="{00000000-0005-0000-0000-0000DD100000}"/>
    <cellStyle name="Normal 2 5 34" xfId="3747" xr:uid="{00000000-0005-0000-0000-0000DE100000}"/>
    <cellStyle name="Normal 2 5 34 2" xfId="3748" xr:uid="{00000000-0005-0000-0000-0000DF100000}"/>
    <cellStyle name="Normal 2 5 34 2 2" xfId="3749" xr:uid="{00000000-0005-0000-0000-0000E0100000}"/>
    <cellStyle name="Normal 2 5 34 3" xfId="3750" xr:uid="{00000000-0005-0000-0000-0000E1100000}"/>
    <cellStyle name="Normal 2 5 35" xfId="3751" xr:uid="{00000000-0005-0000-0000-0000E2100000}"/>
    <cellStyle name="Normal 2 5 35 2" xfId="3752" xr:uid="{00000000-0005-0000-0000-0000E3100000}"/>
    <cellStyle name="Normal 2 5 35 2 2" xfId="3753" xr:uid="{00000000-0005-0000-0000-0000E4100000}"/>
    <cellStyle name="Normal 2 5 35 3" xfId="3754" xr:uid="{00000000-0005-0000-0000-0000E5100000}"/>
    <cellStyle name="Normal 2 5 36" xfId="3755" xr:uid="{00000000-0005-0000-0000-0000E6100000}"/>
    <cellStyle name="Normal 2 5 36 2" xfId="3756" xr:uid="{00000000-0005-0000-0000-0000E7100000}"/>
    <cellStyle name="Normal 2 5 36 2 2" xfId="3757" xr:uid="{00000000-0005-0000-0000-0000E8100000}"/>
    <cellStyle name="Normal 2 5 36 3" xfId="3758" xr:uid="{00000000-0005-0000-0000-0000E9100000}"/>
    <cellStyle name="Normal 2 5 37" xfId="3759" xr:uid="{00000000-0005-0000-0000-0000EA100000}"/>
    <cellStyle name="Normal 2 5 37 2" xfId="3760" xr:uid="{00000000-0005-0000-0000-0000EB100000}"/>
    <cellStyle name="Normal 2 5 37 2 2" xfId="3761" xr:uid="{00000000-0005-0000-0000-0000EC100000}"/>
    <cellStyle name="Normal 2 5 37 3" xfId="3762" xr:uid="{00000000-0005-0000-0000-0000ED100000}"/>
    <cellStyle name="Normal 2 5 38" xfId="3763" xr:uid="{00000000-0005-0000-0000-0000EE100000}"/>
    <cellStyle name="Normal 2 5 38 2" xfId="3764" xr:uid="{00000000-0005-0000-0000-0000EF100000}"/>
    <cellStyle name="Normal 2 5 38 2 2" xfId="3765" xr:uid="{00000000-0005-0000-0000-0000F0100000}"/>
    <cellStyle name="Normal 2 5 38 3" xfId="3766" xr:uid="{00000000-0005-0000-0000-0000F1100000}"/>
    <cellStyle name="Normal 2 5 39" xfId="3767" xr:uid="{00000000-0005-0000-0000-0000F2100000}"/>
    <cellStyle name="Normal 2 5 39 2" xfId="3768" xr:uid="{00000000-0005-0000-0000-0000F3100000}"/>
    <cellStyle name="Normal 2 5 39 2 2" xfId="3769" xr:uid="{00000000-0005-0000-0000-0000F4100000}"/>
    <cellStyle name="Normal 2 5 39 3" xfId="3770" xr:uid="{00000000-0005-0000-0000-0000F5100000}"/>
    <cellStyle name="Normal 2 5 4" xfId="3771" xr:uid="{00000000-0005-0000-0000-0000F6100000}"/>
    <cellStyle name="Normal 2 5 4 2" xfId="3772" xr:uid="{00000000-0005-0000-0000-0000F7100000}"/>
    <cellStyle name="Normal 2 5 4 2 2" xfId="3773" xr:uid="{00000000-0005-0000-0000-0000F8100000}"/>
    <cellStyle name="Normal 2 5 4 3" xfId="3774" xr:uid="{00000000-0005-0000-0000-0000F9100000}"/>
    <cellStyle name="Normal 2 5 4 4" xfId="9754" xr:uid="{AE3D8E6B-6D73-437B-8B7C-049D7CDE30C5}"/>
    <cellStyle name="Normal 2 5 4 5" xfId="9753" xr:uid="{EFF9096B-F607-413D-90D8-9D1B7009B27A}"/>
    <cellStyle name="Normal 2 5 40" xfId="3775" xr:uid="{00000000-0005-0000-0000-0000FA100000}"/>
    <cellStyle name="Normal 2 5 40 2" xfId="3776" xr:uid="{00000000-0005-0000-0000-0000FB100000}"/>
    <cellStyle name="Normal 2 5 40 2 2" xfId="3777" xr:uid="{00000000-0005-0000-0000-0000FC100000}"/>
    <cellStyle name="Normal 2 5 40 3" xfId="3778" xr:uid="{00000000-0005-0000-0000-0000FD100000}"/>
    <cellStyle name="Normal 2 5 41" xfId="3779" xr:uid="{00000000-0005-0000-0000-0000FE100000}"/>
    <cellStyle name="Normal 2 5 41 2" xfId="3780" xr:uid="{00000000-0005-0000-0000-0000FF100000}"/>
    <cellStyle name="Normal 2 5 41 2 2" xfId="3781" xr:uid="{00000000-0005-0000-0000-000000110000}"/>
    <cellStyle name="Normal 2 5 41 3" xfId="3782" xr:uid="{00000000-0005-0000-0000-000001110000}"/>
    <cellStyle name="Normal 2 5 42" xfId="3783" xr:uid="{00000000-0005-0000-0000-000002110000}"/>
    <cellStyle name="Normal 2 5 42 2" xfId="3784" xr:uid="{00000000-0005-0000-0000-000003110000}"/>
    <cellStyle name="Normal 2 5 42 2 2" xfId="3785" xr:uid="{00000000-0005-0000-0000-000004110000}"/>
    <cellStyle name="Normal 2 5 42 3" xfId="3786" xr:uid="{00000000-0005-0000-0000-000005110000}"/>
    <cellStyle name="Normal 2 5 43" xfId="3787" xr:uid="{00000000-0005-0000-0000-000006110000}"/>
    <cellStyle name="Normal 2 5 43 2" xfId="3788" xr:uid="{00000000-0005-0000-0000-000007110000}"/>
    <cellStyle name="Normal 2 5 43 2 2" xfId="3789" xr:uid="{00000000-0005-0000-0000-000008110000}"/>
    <cellStyle name="Normal 2 5 43 3" xfId="3790" xr:uid="{00000000-0005-0000-0000-000009110000}"/>
    <cellStyle name="Normal 2 5 44" xfId="3791" xr:uid="{00000000-0005-0000-0000-00000A110000}"/>
    <cellStyle name="Normal 2 5 44 2" xfId="3792" xr:uid="{00000000-0005-0000-0000-00000B110000}"/>
    <cellStyle name="Normal 2 5 44 2 2" xfId="3793" xr:uid="{00000000-0005-0000-0000-00000C110000}"/>
    <cellStyle name="Normal 2 5 44 3" xfId="3794" xr:uid="{00000000-0005-0000-0000-00000D110000}"/>
    <cellStyle name="Normal 2 5 45" xfId="3795" xr:uid="{00000000-0005-0000-0000-00000E110000}"/>
    <cellStyle name="Normal 2 5 45 2" xfId="3796" xr:uid="{00000000-0005-0000-0000-00000F110000}"/>
    <cellStyle name="Normal 2 5 45 2 2" xfId="3797" xr:uid="{00000000-0005-0000-0000-000010110000}"/>
    <cellStyle name="Normal 2 5 45 3" xfId="3798" xr:uid="{00000000-0005-0000-0000-000011110000}"/>
    <cellStyle name="Normal 2 5 46" xfId="3799" xr:uid="{00000000-0005-0000-0000-000012110000}"/>
    <cellStyle name="Normal 2 5 46 2" xfId="3800" xr:uid="{00000000-0005-0000-0000-000013110000}"/>
    <cellStyle name="Normal 2 5 46 2 2" xfId="3801" xr:uid="{00000000-0005-0000-0000-000014110000}"/>
    <cellStyle name="Normal 2 5 46 3" xfId="3802" xr:uid="{00000000-0005-0000-0000-000015110000}"/>
    <cellStyle name="Normal 2 5 47" xfId="3803" xr:uid="{00000000-0005-0000-0000-000016110000}"/>
    <cellStyle name="Normal 2 5 47 2" xfId="3804" xr:uid="{00000000-0005-0000-0000-000017110000}"/>
    <cellStyle name="Normal 2 5 47 2 2" xfId="3805" xr:uid="{00000000-0005-0000-0000-000018110000}"/>
    <cellStyle name="Normal 2 5 47 3" xfId="3806" xr:uid="{00000000-0005-0000-0000-000019110000}"/>
    <cellStyle name="Normal 2 5 48" xfId="3807" xr:uid="{00000000-0005-0000-0000-00001A110000}"/>
    <cellStyle name="Normal 2 5 48 2" xfId="3808" xr:uid="{00000000-0005-0000-0000-00001B110000}"/>
    <cellStyle name="Normal 2 5 48 2 2" xfId="3809" xr:uid="{00000000-0005-0000-0000-00001C110000}"/>
    <cellStyle name="Normal 2 5 48 3" xfId="3810" xr:uid="{00000000-0005-0000-0000-00001D110000}"/>
    <cellStyle name="Normal 2 5 49" xfId="3811" xr:uid="{00000000-0005-0000-0000-00001E110000}"/>
    <cellStyle name="Normal 2 5 49 2" xfId="3812" xr:uid="{00000000-0005-0000-0000-00001F110000}"/>
    <cellStyle name="Normal 2 5 49 2 2" xfId="3813" xr:uid="{00000000-0005-0000-0000-000020110000}"/>
    <cellStyle name="Normal 2 5 49 3" xfId="3814" xr:uid="{00000000-0005-0000-0000-000021110000}"/>
    <cellStyle name="Normal 2 5 5" xfId="3815" xr:uid="{00000000-0005-0000-0000-000022110000}"/>
    <cellStyle name="Normal 2 5 5 2" xfId="3816" xr:uid="{00000000-0005-0000-0000-000023110000}"/>
    <cellStyle name="Normal 2 5 5 2 2" xfId="3817" xr:uid="{00000000-0005-0000-0000-000024110000}"/>
    <cellStyle name="Normal 2 5 5 3" xfId="3818" xr:uid="{00000000-0005-0000-0000-000025110000}"/>
    <cellStyle name="Normal 2 5 50" xfId="3819" xr:uid="{00000000-0005-0000-0000-000026110000}"/>
    <cellStyle name="Normal 2 5 50 2" xfId="3820" xr:uid="{00000000-0005-0000-0000-000027110000}"/>
    <cellStyle name="Normal 2 5 50 2 2" xfId="3821" xr:uid="{00000000-0005-0000-0000-000028110000}"/>
    <cellStyle name="Normal 2 5 50 3" xfId="3822" xr:uid="{00000000-0005-0000-0000-000029110000}"/>
    <cellStyle name="Normal 2 5 51" xfId="3823" xr:uid="{00000000-0005-0000-0000-00002A110000}"/>
    <cellStyle name="Normal 2 5 51 2" xfId="3824" xr:uid="{00000000-0005-0000-0000-00002B110000}"/>
    <cellStyle name="Normal 2 5 51 2 2" xfId="3825" xr:uid="{00000000-0005-0000-0000-00002C110000}"/>
    <cellStyle name="Normal 2 5 51 3" xfId="3826" xr:uid="{00000000-0005-0000-0000-00002D110000}"/>
    <cellStyle name="Normal 2 5 52" xfId="3827" xr:uid="{00000000-0005-0000-0000-00002E110000}"/>
    <cellStyle name="Normal 2 5 52 2" xfId="3828" xr:uid="{00000000-0005-0000-0000-00002F110000}"/>
    <cellStyle name="Normal 2 5 52 2 2" xfId="3829" xr:uid="{00000000-0005-0000-0000-000030110000}"/>
    <cellStyle name="Normal 2 5 52 3" xfId="3830" xr:uid="{00000000-0005-0000-0000-000031110000}"/>
    <cellStyle name="Normal 2 5 53" xfId="3831" xr:uid="{00000000-0005-0000-0000-000032110000}"/>
    <cellStyle name="Normal 2 5 53 2" xfId="3832" xr:uid="{00000000-0005-0000-0000-000033110000}"/>
    <cellStyle name="Normal 2 5 53 2 2" xfId="3833" xr:uid="{00000000-0005-0000-0000-000034110000}"/>
    <cellStyle name="Normal 2 5 53 3" xfId="3834" xr:uid="{00000000-0005-0000-0000-000035110000}"/>
    <cellStyle name="Normal 2 5 54" xfId="3835" xr:uid="{00000000-0005-0000-0000-000036110000}"/>
    <cellStyle name="Normal 2 5 54 2" xfId="3836" xr:uid="{00000000-0005-0000-0000-000037110000}"/>
    <cellStyle name="Normal 2 5 54 2 2" xfId="3837" xr:uid="{00000000-0005-0000-0000-000038110000}"/>
    <cellStyle name="Normal 2 5 54 3" xfId="3838" xr:uid="{00000000-0005-0000-0000-000039110000}"/>
    <cellStyle name="Normal 2 5 55" xfId="3839" xr:uid="{00000000-0005-0000-0000-00003A110000}"/>
    <cellStyle name="Normal 2 5 55 2" xfId="3840" xr:uid="{00000000-0005-0000-0000-00003B110000}"/>
    <cellStyle name="Normal 2 5 55 2 2" xfId="3841" xr:uid="{00000000-0005-0000-0000-00003C110000}"/>
    <cellStyle name="Normal 2 5 55 3" xfId="3842" xr:uid="{00000000-0005-0000-0000-00003D110000}"/>
    <cellStyle name="Normal 2 5 56" xfId="3843" xr:uid="{00000000-0005-0000-0000-00003E110000}"/>
    <cellStyle name="Normal 2 5 56 2" xfId="3844" xr:uid="{00000000-0005-0000-0000-00003F110000}"/>
    <cellStyle name="Normal 2 5 56 2 2" xfId="3845" xr:uid="{00000000-0005-0000-0000-000040110000}"/>
    <cellStyle name="Normal 2 5 56 3" xfId="3846" xr:uid="{00000000-0005-0000-0000-000041110000}"/>
    <cellStyle name="Normal 2 5 57" xfId="3847" xr:uid="{00000000-0005-0000-0000-000042110000}"/>
    <cellStyle name="Normal 2 5 57 2" xfId="3848" xr:uid="{00000000-0005-0000-0000-000043110000}"/>
    <cellStyle name="Normal 2 5 57 2 2" xfId="3849" xr:uid="{00000000-0005-0000-0000-000044110000}"/>
    <cellStyle name="Normal 2 5 57 3" xfId="3850" xr:uid="{00000000-0005-0000-0000-000045110000}"/>
    <cellStyle name="Normal 2 5 58" xfId="3851" xr:uid="{00000000-0005-0000-0000-000046110000}"/>
    <cellStyle name="Normal 2 5 58 2" xfId="3852" xr:uid="{00000000-0005-0000-0000-000047110000}"/>
    <cellStyle name="Normal 2 5 58 2 2" xfId="3853" xr:uid="{00000000-0005-0000-0000-000048110000}"/>
    <cellStyle name="Normal 2 5 58 3" xfId="3854" xr:uid="{00000000-0005-0000-0000-000049110000}"/>
    <cellStyle name="Normal 2 5 59" xfId="3855" xr:uid="{00000000-0005-0000-0000-00004A110000}"/>
    <cellStyle name="Normal 2 5 59 2" xfId="3856" xr:uid="{00000000-0005-0000-0000-00004B110000}"/>
    <cellStyle name="Normal 2 5 59 2 2" xfId="3857" xr:uid="{00000000-0005-0000-0000-00004C110000}"/>
    <cellStyle name="Normal 2 5 59 3" xfId="3858" xr:uid="{00000000-0005-0000-0000-00004D110000}"/>
    <cellStyle name="Normal 2 5 6" xfId="3859" xr:uid="{00000000-0005-0000-0000-00004E110000}"/>
    <cellStyle name="Normal 2 5 6 2" xfId="3860" xr:uid="{00000000-0005-0000-0000-00004F110000}"/>
    <cellStyle name="Normal 2 5 6 2 2" xfId="3861" xr:uid="{00000000-0005-0000-0000-000050110000}"/>
    <cellStyle name="Normal 2 5 6 3" xfId="3862" xr:uid="{00000000-0005-0000-0000-000051110000}"/>
    <cellStyle name="Normal 2 5 60" xfId="3863" xr:uid="{00000000-0005-0000-0000-000052110000}"/>
    <cellStyle name="Normal 2 5 60 2" xfId="3864" xr:uid="{00000000-0005-0000-0000-000053110000}"/>
    <cellStyle name="Normal 2 5 60 2 2" xfId="3865" xr:uid="{00000000-0005-0000-0000-000054110000}"/>
    <cellStyle name="Normal 2 5 60 3" xfId="3866" xr:uid="{00000000-0005-0000-0000-000055110000}"/>
    <cellStyle name="Normal 2 5 61" xfId="3867" xr:uid="{00000000-0005-0000-0000-000056110000}"/>
    <cellStyle name="Normal 2 5 61 2" xfId="3868" xr:uid="{00000000-0005-0000-0000-000057110000}"/>
    <cellStyle name="Normal 2 5 61 2 2" xfId="3869" xr:uid="{00000000-0005-0000-0000-000058110000}"/>
    <cellStyle name="Normal 2 5 61 3" xfId="3870" xr:uid="{00000000-0005-0000-0000-000059110000}"/>
    <cellStyle name="Normal 2 5 62" xfId="3871" xr:uid="{00000000-0005-0000-0000-00005A110000}"/>
    <cellStyle name="Normal 2 5 62 2" xfId="3872" xr:uid="{00000000-0005-0000-0000-00005B110000}"/>
    <cellStyle name="Normal 2 5 62 2 2" xfId="3873" xr:uid="{00000000-0005-0000-0000-00005C110000}"/>
    <cellStyle name="Normal 2 5 62 3" xfId="3874" xr:uid="{00000000-0005-0000-0000-00005D110000}"/>
    <cellStyle name="Normal 2 5 63" xfId="3875" xr:uid="{00000000-0005-0000-0000-00005E110000}"/>
    <cellStyle name="Normal 2 5 63 2" xfId="3876" xr:uid="{00000000-0005-0000-0000-00005F110000}"/>
    <cellStyle name="Normal 2 5 63 2 2" xfId="3877" xr:uid="{00000000-0005-0000-0000-000060110000}"/>
    <cellStyle name="Normal 2 5 63 3" xfId="3878" xr:uid="{00000000-0005-0000-0000-000061110000}"/>
    <cellStyle name="Normal 2 5 64" xfId="3879" xr:uid="{00000000-0005-0000-0000-000062110000}"/>
    <cellStyle name="Normal 2 5 64 2" xfId="3880" xr:uid="{00000000-0005-0000-0000-000063110000}"/>
    <cellStyle name="Normal 2 5 64 2 2" xfId="3881" xr:uid="{00000000-0005-0000-0000-000064110000}"/>
    <cellStyle name="Normal 2 5 64 3" xfId="3882" xr:uid="{00000000-0005-0000-0000-000065110000}"/>
    <cellStyle name="Normal 2 5 65" xfId="3883" xr:uid="{00000000-0005-0000-0000-000066110000}"/>
    <cellStyle name="Normal 2 5 65 2" xfId="3884" xr:uid="{00000000-0005-0000-0000-000067110000}"/>
    <cellStyle name="Normal 2 5 65 2 2" xfId="3885" xr:uid="{00000000-0005-0000-0000-000068110000}"/>
    <cellStyle name="Normal 2 5 65 3" xfId="3886" xr:uid="{00000000-0005-0000-0000-000069110000}"/>
    <cellStyle name="Normal 2 5 66" xfId="3887" xr:uid="{00000000-0005-0000-0000-00006A110000}"/>
    <cellStyle name="Normal 2 5 66 2" xfId="3888" xr:uid="{00000000-0005-0000-0000-00006B110000}"/>
    <cellStyle name="Normal 2 5 66 2 2" xfId="3889" xr:uid="{00000000-0005-0000-0000-00006C110000}"/>
    <cellStyle name="Normal 2 5 66 3" xfId="3890" xr:uid="{00000000-0005-0000-0000-00006D110000}"/>
    <cellStyle name="Normal 2 5 67" xfId="3891" xr:uid="{00000000-0005-0000-0000-00006E110000}"/>
    <cellStyle name="Normal 2 5 67 2" xfId="3892" xr:uid="{00000000-0005-0000-0000-00006F110000}"/>
    <cellStyle name="Normal 2 5 67 2 2" xfId="3893" xr:uid="{00000000-0005-0000-0000-000070110000}"/>
    <cellStyle name="Normal 2 5 67 3" xfId="3894" xr:uid="{00000000-0005-0000-0000-000071110000}"/>
    <cellStyle name="Normal 2 5 68" xfId="3895" xr:uid="{00000000-0005-0000-0000-000072110000}"/>
    <cellStyle name="Normal 2 5 68 2" xfId="3896" xr:uid="{00000000-0005-0000-0000-000073110000}"/>
    <cellStyle name="Normal 2 5 68 2 2" xfId="3897" xr:uid="{00000000-0005-0000-0000-000074110000}"/>
    <cellStyle name="Normal 2 5 68 3" xfId="3898" xr:uid="{00000000-0005-0000-0000-000075110000}"/>
    <cellStyle name="Normal 2 5 69" xfId="3899" xr:uid="{00000000-0005-0000-0000-000076110000}"/>
    <cellStyle name="Normal 2 5 69 2" xfId="3900" xr:uid="{00000000-0005-0000-0000-000077110000}"/>
    <cellStyle name="Normal 2 5 69 2 2" xfId="3901" xr:uid="{00000000-0005-0000-0000-000078110000}"/>
    <cellStyle name="Normal 2 5 69 3" xfId="3902" xr:uid="{00000000-0005-0000-0000-000079110000}"/>
    <cellStyle name="Normal 2 5 7" xfId="3903" xr:uid="{00000000-0005-0000-0000-00007A110000}"/>
    <cellStyle name="Normal 2 5 7 2" xfId="3904" xr:uid="{00000000-0005-0000-0000-00007B110000}"/>
    <cellStyle name="Normal 2 5 7 2 2" xfId="3905" xr:uid="{00000000-0005-0000-0000-00007C110000}"/>
    <cellStyle name="Normal 2 5 7 3" xfId="3906" xr:uid="{00000000-0005-0000-0000-00007D110000}"/>
    <cellStyle name="Normal 2 5 70" xfId="3907" xr:uid="{00000000-0005-0000-0000-00007E110000}"/>
    <cellStyle name="Normal 2 5 70 2" xfId="3908" xr:uid="{00000000-0005-0000-0000-00007F110000}"/>
    <cellStyle name="Normal 2 5 70 2 2" xfId="3909" xr:uid="{00000000-0005-0000-0000-000080110000}"/>
    <cellStyle name="Normal 2 5 70 3" xfId="3910" xr:uid="{00000000-0005-0000-0000-000081110000}"/>
    <cellStyle name="Normal 2 5 71" xfId="3911" xr:uid="{00000000-0005-0000-0000-000082110000}"/>
    <cellStyle name="Normal 2 5 71 2" xfId="3912" xr:uid="{00000000-0005-0000-0000-000083110000}"/>
    <cellStyle name="Normal 2 5 71 2 2" xfId="3913" xr:uid="{00000000-0005-0000-0000-000084110000}"/>
    <cellStyle name="Normal 2 5 71 3" xfId="3914" xr:uid="{00000000-0005-0000-0000-000085110000}"/>
    <cellStyle name="Normal 2 5 72" xfId="3915" xr:uid="{00000000-0005-0000-0000-000086110000}"/>
    <cellStyle name="Normal 2 5 72 2" xfId="3916" xr:uid="{00000000-0005-0000-0000-000087110000}"/>
    <cellStyle name="Normal 2 5 72 2 2" xfId="3917" xr:uid="{00000000-0005-0000-0000-000088110000}"/>
    <cellStyle name="Normal 2 5 72 3" xfId="3918" xr:uid="{00000000-0005-0000-0000-000089110000}"/>
    <cellStyle name="Normal 2 5 73" xfId="3919" xr:uid="{00000000-0005-0000-0000-00008A110000}"/>
    <cellStyle name="Normal 2 5 73 2" xfId="3920" xr:uid="{00000000-0005-0000-0000-00008B110000}"/>
    <cellStyle name="Normal 2 5 73 2 2" xfId="3921" xr:uid="{00000000-0005-0000-0000-00008C110000}"/>
    <cellStyle name="Normal 2 5 73 3" xfId="3922" xr:uid="{00000000-0005-0000-0000-00008D110000}"/>
    <cellStyle name="Normal 2 5 74" xfId="3923" xr:uid="{00000000-0005-0000-0000-00008E110000}"/>
    <cellStyle name="Normal 2 5 74 2" xfId="3924" xr:uid="{00000000-0005-0000-0000-00008F110000}"/>
    <cellStyle name="Normal 2 5 74 2 2" xfId="3925" xr:uid="{00000000-0005-0000-0000-000090110000}"/>
    <cellStyle name="Normal 2 5 74 3" xfId="3926" xr:uid="{00000000-0005-0000-0000-000091110000}"/>
    <cellStyle name="Normal 2 5 75" xfId="3927" xr:uid="{00000000-0005-0000-0000-000092110000}"/>
    <cellStyle name="Normal 2 5 75 2" xfId="3928" xr:uid="{00000000-0005-0000-0000-000093110000}"/>
    <cellStyle name="Normal 2 5 75 2 2" xfId="3929" xr:uid="{00000000-0005-0000-0000-000094110000}"/>
    <cellStyle name="Normal 2 5 75 3" xfId="3930" xr:uid="{00000000-0005-0000-0000-000095110000}"/>
    <cellStyle name="Normal 2 5 76" xfId="3931" xr:uid="{00000000-0005-0000-0000-000096110000}"/>
    <cellStyle name="Normal 2 5 76 2" xfId="3932" xr:uid="{00000000-0005-0000-0000-000097110000}"/>
    <cellStyle name="Normal 2 5 76 2 2" xfId="3933" xr:uid="{00000000-0005-0000-0000-000098110000}"/>
    <cellStyle name="Normal 2 5 76 3" xfId="3934" xr:uid="{00000000-0005-0000-0000-000099110000}"/>
    <cellStyle name="Normal 2 5 77" xfId="3935" xr:uid="{00000000-0005-0000-0000-00009A110000}"/>
    <cellStyle name="Normal 2 5 77 2" xfId="3936" xr:uid="{00000000-0005-0000-0000-00009B110000}"/>
    <cellStyle name="Normal 2 5 77 2 2" xfId="3937" xr:uid="{00000000-0005-0000-0000-00009C110000}"/>
    <cellStyle name="Normal 2 5 77 3" xfId="3938" xr:uid="{00000000-0005-0000-0000-00009D110000}"/>
    <cellStyle name="Normal 2 5 78" xfId="3939" xr:uid="{00000000-0005-0000-0000-00009E110000}"/>
    <cellStyle name="Normal 2 5 78 2" xfId="3940" xr:uid="{00000000-0005-0000-0000-00009F110000}"/>
    <cellStyle name="Normal 2 5 78 2 2" xfId="3941" xr:uid="{00000000-0005-0000-0000-0000A0110000}"/>
    <cellStyle name="Normal 2 5 78 3" xfId="3942" xr:uid="{00000000-0005-0000-0000-0000A1110000}"/>
    <cellStyle name="Normal 2 5 79" xfId="3943" xr:uid="{00000000-0005-0000-0000-0000A2110000}"/>
    <cellStyle name="Normal 2 5 79 2" xfId="3944" xr:uid="{00000000-0005-0000-0000-0000A3110000}"/>
    <cellStyle name="Normal 2 5 79 2 2" xfId="3945" xr:uid="{00000000-0005-0000-0000-0000A4110000}"/>
    <cellStyle name="Normal 2 5 79 3" xfId="3946" xr:uid="{00000000-0005-0000-0000-0000A5110000}"/>
    <cellStyle name="Normal 2 5 8" xfId="3947" xr:uid="{00000000-0005-0000-0000-0000A6110000}"/>
    <cellStyle name="Normal 2 5 8 2" xfId="3948" xr:uid="{00000000-0005-0000-0000-0000A7110000}"/>
    <cellStyle name="Normal 2 5 8 2 2" xfId="3949" xr:uid="{00000000-0005-0000-0000-0000A8110000}"/>
    <cellStyle name="Normal 2 5 8 3" xfId="3950" xr:uid="{00000000-0005-0000-0000-0000A9110000}"/>
    <cellStyle name="Normal 2 5 80" xfId="3951" xr:uid="{00000000-0005-0000-0000-0000AA110000}"/>
    <cellStyle name="Normal 2 5 80 2" xfId="3952" xr:uid="{00000000-0005-0000-0000-0000AB110000}"/>
    <cellStyle name="Normal 2 5 80 2 2" xfId="3953" xr:uid="{00000000-0005-0000-0000-0000AC110000}"/>
    <cellStyle name="Normal 2 5 80 3" xfId="3954" xr:uid="{00000000-0005-0000-0000-0000AD110000}"/>
    <cellStyle name="Normal 2 5 81" xfId="3955" xr:uid="{00000000-0005-0000-0000-0000AE110000}"/>
    <cellStyle name="Normal 2 5 81 2" xfId="3956" xr:uid="{00000000-0005-0000-0000-0000AF110000}"/>
    <cellStyle name="Normal 2 5 81 2 2" xfId="3957" xr:uid="{00000000-0005-0000-0000-0000B0110000}"/>
    <cellStyle name="Normal 2 5 81 3" xfId="3958" xr:uid="{00000000-0005-0000-0000-0000B1110000}"/>
    <cellStyle name="Normal 2 5 82" xfId="3959" xr:uid="{00000000-0005-0000-0000-0000B2110000}"/>
    <cellStyle name="Normal 2 5 82 2" xfId="3960" xr:uid="{00000000-0005-0000-0000-0000B3110000}"/>
    <cellStyle name="Normal 2 5 82 2 2" xfId="3961" xr:uid="{00000000-0005-0000-0000-0000B4110000}"/>
    <cellStyle name="Normal 2 5 82 3" xfId="3962" xr:uid="{00000000-0005-0000-0000-0000B5110000}"/>
    <cellStyle name="Normal 2 5 83" xfId="3963" xr:uid="{00000000-0005-0000-0000-0000B6110000}"/>
    <cellStyle name="Normal 2 5 83 2" xfId="3964" xr:uid="{00000000-0005-0000-0000-0000B7110000}"/>
    <cellStyle name="Normal 2 5 83 2 2" xfId="3965" xr:uid="{00000000-0005-0000-0000-0000B8110000}"/>
    <cellStyle name="Normal 2 5 83 3" xfId="3966" xr:uid="{00000000-0005-0000-0000-0000B9110000}"/>
    <cellStyle name="Normal 2 5 84" xfId="3967" xr:uid="{00000000-0005-0000-0000-0000BA110000}"/>
    <cellStyle name="Normal 2 5 84 2" xfId="3968" xr:uid="{00000000-0005-0000-0000-0000BB110000}"/>
    <cellStyle name="Normal 2 5 84 2 2" xfId="3969" xr:uid="{00000000-0005-0000-0000-0000BC110000}"/>
    <cellStyle name="Normal 2 5 84 3" xfId="3970" xr:uid="{00000000-0005-0000-0000-0000BD110000}"/>
    <cellStyle name="Normal 2 5 85" xfId="3971" xr:uid="{00000000-0005-0000-0000-0000BE110000}"/>
    <cellStyle name="Normal 2 5 85 2" xfId="3972" xr:uid="{00000000-0005-0000-0000-0000BF110000}"/>
    <cellStyle name="Normal 2 5 85 2 2" xfId="3973" xr:uid="{00000000-0005-0000-0000-0000C0110000}"/>
    <cellStyle name="Normal 2 5 85 3" xfId="3974" xr:uid="{00000000-0005-0000-0000-0000C1110000}"/>
    <cellStyle name="Normal 2 5 86" xfId="3975" xr:uid="{00000000-0005-0000-0000-0000C2110000}"/>
    <cellStyle name="Normal 2 5 86 2" xfId="3976" xr:uid="{00000000-0005-0000-0000-0000C3110000}"/>
    <cellStyle name="Normal 2 5 86 2 2" xfId="3977" xr:uid="{00000000-0005-0000-0000-0000C4110000}"/>
    <cellStyle name="Normal 2 5 86 3" xfId="3978" xr:uid="{00000000-0005-0000-0000-0000C5110000}"/>
    <cellStyle name="Normal 2 5 87" xfId="3979" xr:uid="{00000000-0005-0000-0000-0000C6110000}"/>
    <cellStyle name="Normal 2 5 87 2" xfId="3980" xr:uid="{00000000-0005-0000-0000-0000C7110000}"/>
    <cellStyle name="Normal 2 5 87 2 2" xfId="3981" xr:uid="{00000000-0005-0000-0000-0000C8110000}"/>
    <cellStyle name="Normal 2 5 87 3" xfId="3982" xr:uid="{00000000-0005-0000-0000-0000C9110000}"/>
    <cellStyle name="Normal 2 5 88" xfId="3983" xr:uid="{00000000-0005-0000-0000-0000CA110000}"/>
    <cellStyle name="Normal 2 5 89" xfId="3984" xr:uid="{00000000-0005-0000-0000-0000CB110000}"/>
    <cellStyle name="Normal 2 5 89 2" xfId="3985" xr:uid="{00000000-0005-0000-0000-0000CC110000}"/>
    <cellStyle name="Normal 2 5 9" xfId="3986" xr:uid="{00000000-0005-0000-0000-0000CD110000}"/>
    <cellStyle name="Normal 2 5 9 2" xfId="3987" xr:uid="{00000000-0005-0000-0000-0000CE110000}"/>
    <cellStyle name="Normal 2 5 9 2 2" xfId="3988" xr:uid="{00000000-0005-0000-0000-0000CF110000}"/>
    <cellStyle name="Normal 2 5 9 3" xfId="3989" xr:uid="{00000000-0005-0000-0000-0000D0110000}"/>
    <cellStyle name="Normal 2 5 90" xfId="3990" xr:uid="{00000000-0005-0000-0000-0000D1110000}"/>
    <cellStyle name="Normal 2 5 91" xfId="9127" xr:uid="{00000000-0005-0000-0000-0000D2110000}"/>
    <cellStyle name="Normal 2 5 91 2" xfId="10329" xr:uid="{6829FC48-7777-4F21-847E-C367D3C3777F}"/>
    <cellStyle name="Normal 2 5 92" xfId="9220" xr:uid="{2B8EA820-7BF5-4F9E-A426-16DC9F5A95EA}"/>
    <cellStyle name="Normal 2 5 93" xfId="9280" xr:uid="{D9E87CB7-2049-41EA-8F4F-A4BDAFA0E9BE}"/>
    <cellStyle name="Normal 2 5_DEER 032008 Cost Summary Delivery - Rev 4 (2)" xfId="3991" xr:uid="{00000000-0005-0000-0000-0000D3110000}"/>
    <cellStyle name="Normal 2 50" xfId="3992" xr:uid="{00000000-0005-0000-0000-0000D4110000}"/>
    <cellStyle name="Normal 2 50 2" xfId="3993" xr:uid="{00000000-0005-0000-0000-0000D5110000}"/>
    <cellStyle name="Normal 2 50 2 2" xfId="3994" xr:uid="{00000000-0005-0000-0000-0000D6110000}"/>
    <cellStyle name="Normal 2 50 3" xfId="3995" xr:uid="{00000000-0005-0000-0000-0000D7110000}"/>
    <cellStyle name="Normal 2 51" xfId="3996" xr:uid="{00000000-0005-0000-0000-0000D8110000}"/>
    <cellStyle name="Normal 2 51 2" xfId="3997" xr:uid="{00000000-0005-0000-0000-0000D9110000}"/>
    <cellStyle name="Normal 2 51 2 2" xfId="3998" xr:uid="{00000000-0005-0000-0000-0000DA110000}"/>
    <cellStyle name="Normal 2 51 3" xfId="3999" xr:uid="{00000000-0005-0000-0000-0000DB110000}"/>
    <cellStyle name="Normal 2 52" xfId="4000" xr:uid="{00000000-0005-0000-0000-0000DC110000}"/>
    <cellStyle name="Normal 2 52 2" xfId="4001" xr:uid="{00000000-0005-0000-0000-0000DD110000}"/>
    <cellStyle name="Normal 2 52 2 2" xfId="4002" xr:uid="{00000000-0005-0000-0000-0000DE110000}"/>
    <cellStyle name="Normal 2 52 3" xfId="4003" xr:uid="{00000000-0005-0000-0000-0000DF110000}"/>
    <cellStyle name="Normal 2 53" xfId="4004" xr:uid="{00000000-0005-0000-0000-0000E0110000}"/>
    <cellStyle name="Normal 2 53 2" xfId="4005" xr:uid="{00000000-0005-0000-0000-0000E1110000}"/>
    <cellStyle name="Normal 2 53 2 2" xfId="4006" xr:uid="{00000000-0005-0000-0000-0000E2110000}"/>
    <cellStyle name="Normal 2 53 3" xfId="4007" xr:uid="{00000000-0005-0000-0000-0000E3110000}"/>
    <cellStyle name="Normal 2 54" xfId="4008" xr:uid="{00000000-0005-0000-0000-0000E4110000}"/>
    <cellStyle name="Normal 2 54 2" xfId="4009" xr:uid="{00000000-0005-0000-0000-0000E5110000}"/>
    <cellStyle name="Normal 2 54 2 2" xfId="4010" xr:uid="{00000000-0005-0000-0000-0000E6110000}"/>
    <cellStyle name="Normal 2 54 3" xfId="4011" xr:uid="{00000000-0005-0000-0000-0000E7110000}"/>
    <cellStyle name="Normal 2 55" xfId="4012" xr:uid="{00000000-0005-0000-0000-0000E8110000}"/>
    <cellStyle name="Normal 2 55 2" xfId="4013" xr:uid="{00000000-0005-0000-0000-0000E9110000}"/>
    <cellStyle name="Normal 2 55 2 2" xfId="4014" xr:uid="{00000000-0005-0000-0000-0000EA110000}"/>
    <cellStyle name="Normal 2 55 3" xfId="4015" xr:uid="{00000000-0005-0000-0000-0000EB110000}"/>
    <cellStyle name="Normal 2 56" xfId="4016" xr:uid="{00000000-0005-0000-0000-0000EC110000}"/>
    <cellStyle name="Normal 2 56 2" xfId="4017" xr:uid="{00000000-0005-0000-0000-0000ED110000}"/>
    <cellStyle name="Normal 2 56 2 2" xfId="4018" xr:uid="{00000000-0005-0000-0000-0000EE110000}"/>
    <cellStyle name="Normal 2 56 3" xfId="4019" xr:uid="{00000000-0005-0000-0000-0000EF110000}"/>
    <cellStyle name="Normal 2 57" xfId="4020" xr:uid="{00000000-0005-0000-0000-0000F0110000}"/>
    <cellStyle name="Normal 2 57 2" xfId="4021" xr:uid="{00000000-0005-0000-0000-0000F1110000}"/>
    <cellStyle name="Normal 2 57 2 2" xfId="4022" xr:uid="{00000000-0005-0000-0000-0000F2110000}"/>
    <cellStyle name="Normal 2 57 3" xfId="4023" xr:uid="{00000000-0005-0000-0000-0000F3110000}"/>
    <cellStyle name="Normal 2 58" xfId="4024" xr:uid="{00000000-0005-0000-0000-0000F4110000}"/>
    <cellStyle name="Normal 2 58 2" xfId="4025" xr:uid="{00000000-0005-0000-0000-0000F5110000}"/>
    <cellStyle name="Normal 2 58 2 2" xfId="4026" xr:uid="{00000000-0005-0000-0000-0000F6110000}"/>
    <cellStyle name="Normal 2 58 3" xfId="4027" xr:uid="{00000000-0005-0000-0000-0000F7110000}"/>
    <cellStyle name="Normal 2 59" xfId="4028" xr:uid="{00000000-0005-0000-0000-0000F8110000}"/>
    <cellStyle name="Normal 2 59 2" xfId="4029" xr:uid="{00000000-0005-0000-0000-0000F9110000}"/>
    <cellStyle name="Normal 2 59 2 2" xfId="4030" xr:uid="{00000000-0005-0000-0000-0000FA110000}"/>
    <cellStyle name="Normal 2 59 3" xfId="4031" xr:uid="{00000000-0005-0000-0000-0000FB110000}"/>
    <cellStyle name="Normal 2 6" xfId="167" xr:uid="{00000000-0005-0000-0000-0000FC110000}"/>
    <cellStyle name="Normal 2 6 2" xfId="20" xr:uid="{00000000-0005-0000-0000-0000FD110000}"/>
    <cellStyle name="Normal 2 6 2 2" xfId="168" xr:uid="{00000000-0005-0000-0000-0000FE110000}"/>
    <cellStyle name="Normal 2 6 2 2 2" xfId="8816" xr:uid="{00000000-0005-0000-0000-0000FF110000}"/>
    <cellStyle name="Normal 2 6 2 2 2 2" xfId="11330" xr:uid="{F634E9E3-DAD3-4AC7-ADD9-51AE1F63CAF5}"/>
    <cellStyle name="Normal 2 6 2 2 2 3" xfId="11966" xr:uid="{BB8F1B0C-C36E-4CDF-9CB6-08FDF543B183}"/>
    <cellStyle name="Normal 2 6 2 2 3" xfId="8817" xr:uid="{00000000-0005-0000-0000-000000120000}"/>
    <cellStyle name="Normal 2 6 2 2 3 2" xfId="11331" xr:uid="{58D0AC31-F4B4-4FB4-A153-B275E48E559D}"/>
    <cellStyle name="Normal 2 6 2 2 4" xfId="10490" xr:uid="{5817BFCA-5BB6-475D-A6E9-F506A9546071}"/>
    <cellStyle name="Normal 2 6 2 2 5" xfId="11329" xr:uid="{E56DFEC8-FB56-441A-B8FD-4487583B24A9}"/>
    <cellStyle name="Normal 2 6 2 3" xfId="169" xr:uid="{00000000-0005-0000-0000-000001120000}"/>
    <cellStyle name="Normal 2 6 2 3 2" xfId="8818" xr:uid="{00000000-0005-0000-0000-000002120000}"/>
    <cellStyle name="Normal 2 6 2 3 2 2" xfId="11332" xr:uid="{9485506A-BCCB-46FA-9DEE-3C7CA7D3233B}"/>
    <cellStyle name="Normal 2 6 2 4" xfId="8819" xr:uid="{00000000-0005-0000-0000-000003120000}"/>
    <cellStyle name="Normal 2 6 2 4 2" xfId="11965" xr:uid="{D7F7FFB5-2441-4E29-A43C-1D1DDAE7CAD6}"/>
    <cellStyle name="Normal 2 6 2 5" xfId="8820" xr:uid="{00000000-0005-0000-0000-000004120000}"/>
    <cellStyle name="Normal 2 6 2 5 2" xfId="11333" xr:uid="{CF4E9710-57BC-40EF-8E6B-A3D1DAE342C4}"/>
    <cellStyle name="Normal 2 6 2 6" xfId="10450" xr:uid="{3743F944-5CE3-4D2A-A577-FF3D6B880490}"/>
    <cellStyle name="Normal 2 6 2 7" xfId="11328" xr:uid="{50CEFC30-59ED-4892-BC20-E9DA759D1535}"/>
    <cellStyle name="Normal 2 6 3" xfId="170" xr:uid="{00000000-0005-0000-0000-000005120000}"/>
    <cellStyle name="Normal 2 6 3 2" xfId="171" xr:uid="{00000000-0005-0000-0000-000006120000}"/>
    <cellStyle name="Normal 2 6 3 2 2" xfId="8821" xr:uid="{00000000-0005-0000-0000-000007120000}"/>
    <cellStyle name="Normal 2 6 3 2 2 2" xfId="11336" xr:uid="{44D2164E-D116-446A-BD98-5EA8FA035155}"/>
    <cellStyle name="Normal 2 6 3 2 3" xfId="11335" xr:uid="{2A502F71-8B65-446D-8056-6F86AC32A447}"/>
    <cellStyle name="Normal 2 6 3 2 4" xfId="11968" xr:uid="{AD365999-C79A-44DC-98FB-44EF4A998FAF}"/>
    <cellStyle name="Normal 2 6 3 3" xfId="8822" xr:uid="{00000000-0005-0000-0000-000008120000}"/>
    <cellStyle name="Normal 2 6 3 3 2" xfId="8823" xr:uid="{00000000-0005-0000-0000-000009120000}"/>
    <cellStyle name="Normal 2 6 3 3 2 2" xfId="11338" xr:uid="{166A7E0E-18F5-4C04-A840-697684EDC3F6}"/>
    <cellStyle name="Normal 2 6 3 3 3" xfId="11337" xr:uid="{3EEB6144-E0E0-47AC-9E83-0D4F14D9C0BB}"/>
    <cellStyle name="Normal 2 6 3 3 4" xfId="11967" xr:uid="{35582880-BD39-4DC8-8648-59D0466A8233}"/>
    <cellStyle name="Normal 2 6 3 4" xfId="8824" xr:uid="{00000000-0005-0000-0000-00000A120000}"/>
    <cellStyle name="Normal 2 6 3 4 2" xfId="11339" xr:uid="{C9AE2110-780E-468A-BB2E-5CD17484E316}"/>
    <cellStyle name="Normal 2 6 3 5" xfId="10468" xr:uid="{6A9C5FA0-ABED-45E9-AA85-0C4147A43C34}"/>
    <cellStyle name="Normal 2 6 3 6" xfId="11334" xr:uid="{0947517F-EDE7-461B-BBEA-5B1A17F6DA18}"/>
    <cellStyle name="Normal 2 6 4" xfId="172" xr:uid="{00000000-0005-0000-0000-00000B120000}"/>
    <cellStyle name="Normal 2 6 4 2" xfId="173" xr:uid="{00000000-0005-0000-0000-00000C120000}"/>
    <cellStyle name="Normal 2 6 4 2 2" xfId="11341" xr:uid="{EE3C7B4E-B893-426A-8B2B-839D5F5E779B}"/>
    <cellStyle name="Normal 2 6 4 2 3" xfId="11970" xr:uid="{EB68D21C-D86A-4F89-8E2B-1992EBC32F73}"/>
    <cellStyle name="Normal 2 6 4 3" xfId="10426" xr:uid="{F227722E-50A2-40C1-AD9C-F4D6F37D42CA}"/>
    <cellStyle name="Normal 2 6 4 3 2" xfId="11969" xr:uid="{1AE64D87-0ADB-482A-A8BB-FB86B81E3332}"/>
    <cellStyle name="Normal 2 6 4 4" xfId="11340" xr:uid="{B5B1B642-EF05-4FD3-AA61-32F302467556}"/>
    <cellStyle name="Normal 2 6 5" xfId="174" xr:uid="{00000000-0005-0000-0000-00000D120000}"/>
    <cellStyle name="Normal 2 6 5 2" xfId="10394" xr:uid="{1709F645-9EFA-4D63-B080-3374031FC70A}"/>
    <cellStyle name="Normal 2 6 5 2 2" xfId="11781" xr:uid="{95885BB7-5F8D-4492-BC5D-832FCE409922}"/>
    <cellStyle name="Normal 2 6 5 3" xfId="11342" xr:uid="{A4EF2103-D52A-47EA-B905-519574AB4991}"/>
    <cellStyle name="Normal 2 6 5 4" xfId="11853" xr:uid="{45F8A1B8-7FA4-455D-B46E-637D685B7C28}"/>
    <cellStyle name="Normal 2 6 6" xfId="175" xr:uid="{00000000-0005-0000-0000-00000E120000}"/>
    <cellStyle name="Normal 2 6 6 2" xfId="10387" xr:uid="{10FBCFA1-9C41-4595-8429-06FF95B47F55}"/>
    <cellStyle name="Normal 2 6 6 2 2" xfId="11778" xr:uid="{CCBB0BD8-A6FB-46A7-A192-15177AFD2B6F}"/>
    <cellStyle name="Normal 2 6 6 3" xfId="11343" xr:uid="{E5860AE3-7C96-4CFC-BD8A-663DF362753E}"/>
    <cellStyle name="Normal 2 6 6 4" xfId="11850" xr:uid="{F88555D2-12F8-455C-BADA-C2B867D5FFA9}"/>
    <cellStyle name="Normal 2 6 7" xfId="9442" xr:uid="{0A7641FE-4802-4B10-A097-319DD039E2BB}"/>
    <cellStyle name="Normal 2 60" xfId="4032" xr:uid="{00000000-0005-0000-0000-00000F120000}"/>
    <cellStyle name="Normal 2 60 2" xfId="4033" xr:uid="{00000000-0005-0000-0000-000010120000}"/>
    <cellStyle name="Normal 2 60 2 2" xfId="4034" xr:uid="{00000000-0005-0000-0000-000011120000}"/>
    <cellStyle name="Normal 2 60 3" xfId="4035" xr:uid="{00000000-0005-0000-0000-000012120000}"/>
    <cellStyle name="Normal 2 61" xfId="4036" xr:uid="{00000000-0005-0000-0000-000013120000}"/>
    <cellStyle name="Normal 2 61 2" xfId="4037" xr:uid="{00000000-0005-0000-0000-000014120000}"/>
    <cellStyle name="Normal 2 61 2 2" xfId="4038" xr:uid="{00000000-0005-0000-0000-000015120000}"/>
    <cellStyle name="Normal 2 61 3" xfId="4039" xr:uid="{00000000-0005-0000-0000-000016120000}"/>
    <cellStyle name="Normal 2 62" xfId="4040" xr:uid="{00000000-0005-0000-0000-000017120000}"/>
    <cellStyle name="Normal 2 62 2" xfId="4041" xr:uid="{00000000-0005-0000-0000-000018120000}"/>
    <cellStyle name="Normal 2 62 2 2" xfId="4042" xr:uid="{00000000-0005-0000-0000-000019120000}"/>
    <cellStyle name="Normal 2 62 3" xfId="4043" xr:uid="{00000000-0005-0000-0000-00001A120000}"/>
    <cellStyle name="Normal 2 63" xfId="4044" xr:uid="{00000000-0005-0000-0000-00001B120000}"/>
    <cellStyle name="Normal 2 63 2" xfId="4045" xr:uid="{00000000-0005-0000-0000-00001C120000}"/>
    <cellStyle name="Normal 2 63 2 2" xfId="4046" xr:uid="{00000000-0005-0000-0000-00001D120000}"/>
    <cellStyle name="Normal 2 63 3" xfId="4047" xr:uid="{00000000-0005-0000-0000-00001E120000}"/>
    <cellStyle name="Normal 2 64" xfId="4048" xr:uid="{00000000-0005-0000-0000-00001F120000}"/>
    <cellStyle name="Normal 2 64 2" xfId="4049" xr:uid="{00000000-0005-0000-0000-000020120000}"/>
    <cellStyle name="Normal 2 64 2 2" xfId="4050" xr:uid="{00000000-0005-0000-0000-000021120000}"/>
    <cellStyle name="Normal 2 64 3" xfId="4051" xr:uid="{00000000-0005-0000-0000-000022120000}"/>
    <cellStyle name="Normal 2 65" xfId="4052" xr:uid="{00000000-0005-0000-0000-000023120000}"/>
    <cellStyle name="Normal 2 65 2" xfId="4053" xr:uid="{00000000-0005-0000-0000-000024120000}"/>
    <cellStyle name="Normal 2 65 2 2" xfId="4054" xr:uid="{00000000-0005-0000-0000-000025120000}"/>
    <cellStyle name="Normal 2 65 3" xfId="4055" xr:uid="{00000000-0005-0000-0000-000026120000}"/>
    <cellStyle name="Normal 2 66" xfId="4056" xr:uid="{00000000-0005-0000-0000-000027120000}"/>
    <cellStyle name="Normal 2 66 2" xfId="4057" xr:uid="{00000000-0005-0000-0000-000028120000}"/>
    <cellStyle name="Normal 2 66 2 2" xfId="4058" xr:uid="{00000000-0005-0000-0000-000029120000}"/>
    <cellStyle name="Normal 2 66 3" xfId="4059" xr:uid="{00000000-0005-0000-0000-00002A120000}"/>
    <cellStyle name="Normal 2 67" xfId="4060" xr:uid="{00000000-0005-0000-0000-00002B120000}"/>
    <cellStyle name="Normal 2 67 2" xfId="4061" xr:uid="{00000000-0005-0000-0000-00002C120000}"/>
    <cellStyle name="Normal 2 67 2 2" xfId="4062" xr:uid="{00000000-0005-0000-0000-00002D120000}"/>
    <cellStyle name="Normal 2 67 3" xfId="4063" xr:uid="{00000000-0005-0000-0000-00002E120000}"/>
    <cellStyle name="Normal 2 68" xfId="4064" xr:uid="{00000000-0005-0000-0000-00002F120000}"/>
    <cellStyle name="Normal 2 68 2" xfId="4065" xr:uid="{00000000-0005-0000-0000-000030120000}"/>
    <cellStyle name="Normal 2 68 2 2" xfId="4066" xr:uid="{00000000-0005-0000-0000-000031120000}"/>
    <cellStyle name="Normal 2 68 3" xfId="4067" xr:uid="{00000000-0005-0000-0000-000032120000}"/>
    <cellStyle name="Normal 2 69" xfId="4068" xr:uid="{00000000-0005-0000-0000-000033120000}"/>
    <cellStyle name="Normal 2 69 2" xfId="4069" xr:uid="{00000000-0005-0000-0000-000034120000}"/>
    <cellStyle name="Normal 2 69 2 2" xfId="4070" xr:uid="{00000000-0005-0000-0000-000035120000}"/>
    <cellStyle name="Normal 2 69 3" xfId="4071" xr:uid="{00000000-0005-0000-0000-000036120000}"/>
    <cellStyle name="Normal 2 7" xfId="176" xr:uid="{00000000-0005-0000-0000-000037120000}"/>
    <cellStyle name="Normal 2 7 2" xfId="177" xr:uid="{00000000-0005-0000-0000-000038120000}"/>
    <cellStyle name="Normal 2 7 2 2" xfId="178" xr:uid="{00000000-0005-0000-0000-000039120000}"/>
    <cellStyle name="Normal 2 7 2 2 2" xfId="8825" xr:uid="{00000000-0005-0000-0000-00003A120000}"/>
    <cellStyle name="Normal 2 7 2 2 2 2" xfId="11347" xr:uid="{55DE3DEB-57B4-4249-B42D-794765AD28A1}"/>
    <cellStyle name="Normal 2 7 2 2 2 3" xfId="11972" xr:uid="{38675D01-8086-4954-8AD7-39853190C28C}"/>
    <cellStyle name="Normal 2 7 2 2 3" xfId="10489" xr:uid="{FA7B67F6-A84D-439F-A351-A09DAA983A12}"/>
    <cellStyle name="Normal 2 7 2 2 4" xfId="11346" xr:uid="{BE2CE4C4-C573-4179-92D5-FFF30656EB76}"/>
    <cellStyle name="Normal 2 7 2 3" xfId="8826" xr:uid="{00000000-0005-0000-0000-00003B120000}"/>
    <cellStyle name="Normal 2 7 2 3 2" xfId="8827" xr:uid="{00000000-0005-0000-0000-00003C120000}"/>
    <cellStyle name="Normal 2 7 2 3 2 2" xfId="11349" xr:uid="{00193663-84E1-40A5-9F94-A8817CA774A8}"/>
    <cellStyle name="Normal 2 7 2 3 3" xfId="11348" xr:uid="{C3542257-54D2-4A3F-B32F-F77B963AF65C}"/>
    <cellStyle name="Normal 2 7 2 3 4" xfId="11971" xr:uid="{AA7C0E1E-8961-4855-9C08-275EC2C079A5}"/>
    <cellStyle name="Normal 2 7 2 4" xfId="8828" xr:uid="{00000000-0005-0000-0000-00003D120000}"/>
    <cellStyle name="Normal 2 7 2 4 2" xfId="11350" xr:uid="{0DA83828-59B1-48ED-A088-676390279AEB}"/>
    <cellStyle name="Normal 2 7 2 5" xfId="10449" xr:uid="{19FEAA20-90BE-4485-AC7F-A5F7A4BFD676}"/>
    <cellStyle name="Normal 2 7 2 6" xfId="11345" xr:uid="{0C64D38F-A2D8-449B-8B42-6EF81827EE64}"/>
    <cellStyle name="Normal 2 7 3" xfId="179" xr:uid="{00000000-0005-0000-0000-00003E120000}"/>
    <cellStyle name="Normal 2 7 3 2" xfId="10469" xr:uid="{80DEDD07-FE1D-4266-8C83-1887B13EC65E}"/>
    <cellStyle name="Normal 2 7 3 2 2" xfId="11973" xr:uid="{D96BB75A-1E49-409D-B4EF-6C4FAEAB8E62}"/>
    <cellStyle name="Normal 2 7 3 3" xfId="11351" xr:uid="{E54C3876-D539-4B55-A51A-74C5D2371E78}"/>
    <cellStyle name="Normal 2 7 4" xfId="4072" xr:uid="{00000000-0005-0000-0000-00003F120000}"/>
    <cellStyle name="Normal 2 7 5" xfId="4073" xr:uid="{00000000-0005-0000-0000-000040120000}"/>
    <cellStyle name="Normal 2 7 5 2" xfId="10396" xr:uid="{63A5B6F7-1DFE-465E-862F-036DC42D2E46}"/>
    <cellStyle name="Normal 2 7 5 2 2" xfId="11782" xr:uid="{FFF9AE4E-6A9C-4818-B52B-28C5FE32E23B}"/>
    <cellStyle name="Normal 2 7 5 3" xfId="11352" xr:uid="{21707DFE-8432-4C2E-8C12-B6904332763F}"/>
    <cellStyle name="Normal 2 7 5 4" xfId="11854" xr:uid="{6674A3C0-130A-42CB-9DEF-09E834885078}"/>
    <cellStyle name="Normal 2 7 6" xfId="10331" xr:uid="{F64A249D-34E5-44C7-9713-EF5540AC5B99}"/>
    <cellStyle name="Normal 2 7 7" xfId="10388" xr:uid="{B4475F30-0DB9-41CD-AD74-8CE0987414FE}"/>
    <cellStyle name="Normal 2 7 7 2" xfId="11779" xr:uid="{0B309443-3A99-4A4E-9D4C-4E3D1A5C0C2D}"/>
    <cellStyle name="Normal 2 7 8" xfId="11344" xr:uid="{E2BE5CB1-4FEF-41A0-A6BD-7EAE8B7D2401}"/>
    <cellStyle name="Normal 2 7 9" xfId="11851" xr:uid="{644902A1-9F4C-49A9-B15C-A8EF43CF3AF9}"/>
    <cellStyle name="Normal 2 70" xfId="4074" xr:uid="{00000000-0005-0000-0000-000041120000}"/>
    <cellStyle name="Normal 2 70 2" xfId="4075" xr:uid="{00000000-0005-0000-0000-000042120000}"/>
    <cellStyle name="Normal 2 70 2 2" xfId="4076" xr:uid="{00000000-0005-0000-0000-000043120000}"/>
    <cellStyle name="Normal 2 70 3" xfId="4077" xr:uid="{00000000-0005-0000-0000-000044120000}"/>
    <cellStyle name="Normal 2 71" xfId="4078" xr:uid="{00000000-0005-0000-0000-000045120000}"/>
    <cellStyle name="Normal 2 71 2" xfId="4079" xr:uid="{00000000-0005-0000-0000-000046120000}"/>
    <cellStyle name="Normal 2 71 2 2" xfId="4080" xr:uid="{00000000-0005-0000-0000-000047120000}"/>
    <cellStyle name="Normal 2 71 3" xfId="4081" xr:uid="{00000000-0005-0000-0000-000048120000}"/>
    <cellStyle name="Normal 2 72" xfId="4082" xr:uid="{00000000-0005-0000-0000-000049120000}"/>
    <cellStyle name="Normal 2 72 2" xfId="4083" xr:uid="{00000000-0005-0000-0000-00004A120000}"/>
    <cellStyle name="Normal 2 72 2 2" xfId="4084" xr:uid="{00000000-0005-0000-0000-00004B120000}"/>
    <cellStyle name="Normal 2 72 3" xfId="4085" xr:uid="{00000000-0005-0000-0000-00004C120000}"/>
    <cellStyle name="Normal 2 73" xfId="4086" xr:uid="{00000000-0005-0000-0000-00004D120000}"/>
    <cellStyle name="Normal 2 73 2" xfId="4087" xr:uid="{00000000-0005-0000-0000-00004E120000}"/>
    <cellStyle name="Normal 2 73 2 2" xfId="4088" xr:uid="{00000000-0005-0000-0000-00004F120000}"/>
    <cellStyle name="Normal 2 73 3" xfId="4089" xr:uid="{00000000-0005-0000-0000-000050120000}"/>
    <cellStyle name="Normal 2 74" xfId="4090" xr:uid="{00000000-0005-0000-0000-000051120000}"/>
    <cellStyle name="Normal 2 74 2" xfId="4091" xr:uid="{00000000-0005-0000-0000-000052120000}"/>
    <cellStyle name="Normal 2 74 2 2" xfId="4092" xr:uid="{00000000-0005-0000-0000-000053120000}"/>
    <cellStyle name="Normal 2 74 3" xfId="4093" xr:uid="{00000000-0005-0000-0000-000054120000}"/>
    <cellStyle name="Normal 2 75" xfId="4094" xr:uid="{00000000-0005-0000-0000-000055120000}"/>
    <cellStyle name="Normal 2 75 2" xfId="4095" xr:uid="{00000000-0005-0000-0000-000056120000}"/>
    <cellStyle name="Normal 2 75 2 2" xfId="4096" xr:uid="{00000000-0005-0000-0000-000057120000}"/>
    <cellStyle name="Normal 2 75 3" xfId="4097" xr:uid="{00000000-0005-0000-0000-000058120000}"/>
    <cellStyle name="Normal 2 76" xfId="4098" xr:uid="{00000000-0005-0000-0000-000059120000}"/>
    <cellStyle name="Normal 2 76 2" xfId="4099" xr:uid="{00000000-0005-0000-0000-00005A120000}"/>
    <cellStyle name="Normal 2 76 2 2" xfId="4100" xr:uid="{00000000-0005-0000-0000-00005B120000}"/>
    <cellStyle name="Normal 2 76 3" xfId="4101" xr:uid="{00000000-0005-0000-0000-00005C120000}"/>
    <cellStyle name="Normal 2 77" xfId="4102" xr:uid="{00000000-0005-0000-0000-00005D120000}"/>
    <cellStyle name="Normal 2 77 2" xfId="4103" xr:uid="{00000000-0005-0000-0000-00005E120000}"/>
    <cellStyle name="Normal 2 77 2 2" xfId="4104" xr:uid="{00000000-0005-0000-0000-00005F120000}"/>
    <cellStyle name="Normal 2 77 3" xfId="4105" xr:uid="{00000000-0005-0000-0000-000060120000}"/>
    <cellStyle name="Normal 2 78" xfId="4106" xr:uid="{00000000-0005-0000-0000-000061120000}"/>
    <cellStyle name="Normal 2 78 2" xfId="4107" xr:uid="{00000000-0005-0000-0000-000062120000}"/>
    <cellStyle name="Normal 2 78 2 2" xfId="4108" xr:uid="{00000000-0005-0000-0000-000063120000}"/>
    <cellStyle name="Normal 2 78 3" xfId="4109" xr:uid="{00000000-0005-0000-0000-000064120000}"/>
    <cellStyle name="Normal 2 79" xfId="4110" xr:uid="{00000000-0005-0000-0000-000065120000}"/>
    <cellStyle name="Normal 2 79 2" xfId="4111" xr:uid="{00000000-0005-0000-0000-000066120000}"/>
    <cellStyle name="Normal 2 79 2 2" xfId="4112" xr:uid="{00000000-0005-0000-0000-000067120000}"/>
    <cellStyle name="Normal 2 79 3" xfId="4113" xr:uid="{00000000-0005-0000-0000-000068120000}"/>
    <cellStyle name="Normal 2 8" xfId="180" xr:uid="{00000000-0005-0000-0000-000069120000}"/>
    <cellStyle name="Normal 2 8 10" xfId="4114" xr:uid="{00000000-0005-0000-0000-00006A120000}"/>
    <cellStyle name="Normal 2 8 10 2" xfId="4115" xr:uid="{00000000-0005-0000-0000-00006B120000}"/>
    <cellStyle name="Normal 2 8 10 2 2" xfId="4116" xr:uid="{00000000-0005-0000-0000-00006C120000}"/>
    <cellStyle name="Normal 2 8 10 3" xfId="4117" xr:uid="{00000000-0005-0000-0000-00006D120000}"/>
    <cellStyle name="Normal 2 8 11" xfId="4118" xr:uid="{00000000-0005-0000-0000-00006E120000}"/>
    <cellStyle name="Normal 2 8 11 2" xfId="4119" xr:uid="{00000000-0005-0000-0000-00006F120000}"/>
    <cellStyle name="Normal 2 8 11 2 2" xfId="4120" xr:uid="{00000000-0005-0000-0000-000070120000}"/>
    <cellStyle name="Normal 2 8 11 3" xfId="4121" xr:uid="{00000000-0005-0000-0000-000071120000}"/>
    <cellStyle name="Normal 2 8 12" xfId="4122" xr:uid="{00000000-0005-0000-0000-000072120000}"/>
    <cellStyle name="Normal 2 8 12 2" xfId="4123" xr:uid="{00000000-0005-0000-0000-000073120000}"/>
    <cellStyle name="Normal 2 8 12 2 2" xfId="4124" xr:uid="{00000000-0005-0000-0000-000074120000}"/>
    <cellStyle name="Normal 2 8 12 3" xfId="4125" xr:uid="{00000000-0005-0000-0000-000075120000}"/>
    <cellStyle name="Normal 2 8 13" xfId="4126" xr:uid="{00000000-0005-0000-0000-000076120000}"/>
    <cellStyle name="Normal 2 8 13 2" xfId="4127" xr:uid="{00000000-0005-0000-0000-000077120000}"/>
    <cellStyle name="Normal 2 8 13 2 2" xfId="4128" xr:uid="{00000000-0005-0000-0000-000078120000}"/>
    <cellStyle name="Normal 2 8 13 3" xfId="4129" xr:uid="{00000000-0005-0000-0000-000079120000}"/>
    <cellStyle name="Normal 2 8 14" xfId="4130" xr:uid="{00000000-0005-0000-0000-00007A120000}"/>
    <cellStyle name="Normal 2 8 14 2" xfId="4131" xr:uid="{00000000-0005-0000-0000-00007B120000}"/>
    <cellStyle name="Normal 2 8 14 2 2" xfId="4132" xr:uid="{00000000-0005-0000-0000-00007C120000}"/>
    <cellStyle name="Normal 2 8 14 3" xfId="4133" xr:uid="{00000000-0005-0000-0000-00007D120000}"/>
    <cellStyle name="Normal 2 8 15" xfId="4134" xr:uid="{00000000-0005-0000-0000-00007E120000}"/>
    <cellStyle name="Normal 2 8 15 2" xfId="4135" xr:uid="{00000000-0005-0000-0000-00007F120000}"/>
    <cellStyle name="Normal 2 8 15 2 2" xfId="4136" xr:uid="{00000000-0005-0000-0000-000080120000}"/>
    <cellStyle name="Normal 2 8 15 3" xfId="4137" xr:uid="{00000000-0005-0000-0000-000081120000}"/>
    <cellStyle name="Normal 2 8 16" xfId="4138" xr:uid="{00000000-0005-0000-0000-000082120000}"/>
    <cellStyle name="Normal 2 8 16 2" xfId="4139" xr:uid="{00000000-0005-0000-0000-000083120000}"/>
    <cellStyle name="Normal 2 8 16 2 2" xfId="4140" xr:uid="{00000000-0005-0000-0000-000084120000}"/>
    <cellStyle name="Normal 2 8 16 3" xfId="4141" xr:uid="{00000000-0005-0000-0000-000085120000}"/>
    <cellStyle name="Normal 2 8 17" xfId="4142" xr:uid="{00000000-0005-0000-0000-000086120000}"/>
    <cellStyle name="Normal 2 8 17 2" xfId="4143" xr:uid="{00000000-0005-0000-0000-000087120000}"/>
    <cellStyle name="Normal 2 8 17 2 2" xfId="4144" xr:uid="{00000000-0005-0000-0000-000088120000}"/>
    <cellStyle name="Normal 2 8 17 3" xfId="4145" xr:uid="{00000000-0005-0000-0000-000089120000}"/>
    <cellStyle name="Normal 2 8 18" xfId="4146" xr:uid="{00000000-0005-0000-0000-00008A120000}"/>
    <cellStyle name="Normal 2 8 18 2" xfId="4147" xr:uid="{00000000-0005-0000-0000-00008B120000}"/>
    <cellStyle name="Normal 2 8 18 2 2" xfId="4148" xr:uid="{00000000-0005-0000-0000-00008C120000}"/>
    <cellStyle name="Normal 2 8 18 3" xfId="4149" xr:uid="{00000000-0005-0000-0000-00008D120000}"/>
    <cellStyle name="Normal 2 8 19" xfId="4150" xr:uid="{00000000-0005-0000-0000-00008E120000}"/>
    <cellStyle name="Normal 2 8 19 2" xfId="4151" xr:uid="{00000000-0005-0000-0000-00008F120000}"/>
    <cellStyle name="Normal 2 8 19 2 2" xfId="4152" xr:uid="{00000000-0005-0000-0000-000090120000}"/>
    <cellStyle name="Normal 2 8 19 3" xfId="4153" xr:uid="{00000000-0005-0000-0000-000091120000}"/>
    <cellStyle name="Normal 2 8 2" xfId="4154" xr:uid="{00000000-0005-0000-0000-000092120000}"/>
    <cellStyle name="Normal 2 8 2 2" xfId="4155" xr:uid="{00000000-0005-0000-0000-000093120000}"/>
    <cellStyle name="Normal 2 8 2 2 2" xfId="4156" xr:uid="{00000000-0005-0000-0000-000094120000}"/>
    <cellStyle name="Normal 2 8 2 2 2 2" xfId="8830" xr:uid="{00000000-0005-0000-0000-000095120000}"/>
    <cellStyle name="Normal 2 8 2 2 2 2 2" xfId="10488" xr:uid="{D0689FC8-EF6A-4032-B01F-0CF0593D6895}"/>
    <cellStyle name="Normal 2 8 2 2 2 3" xfId="11355" xr:uid="{6872CDE3-AB87-4FC7-9799-8B2ED565A8BD}"/>
    <cellStyle name="Normal 2 8 2 2 3" xfId="8829" xr:uid="{00000000-0005-0000-0000-000096120000}"/>
    <cellStyle name="Normal 2 8 2 2 3 2" xfId="10447" xr:uid="{FCA99225-F9EE-498F-B943-45F3BD666209}"/>
    <cellStyle name="Normal 2 8 2 2 4" xfId="11354" xr:uid="{F311DDE1-5F7F-4578-9D0A-035C0A5BD37F}"/>
    <cellStyle name="Normal 2 8 2 3" xfId="4157" xr:uid="{00000000-0005-0000-0000-000097120000}"/>
    <cellStyle name="Normal 2 8 2 3 2" xfId="8832" xr:uid="{00000000-0005-0000-0000-000098120000}"/>
    <cellStyle name="Normal 2 8 2 3 2 2" xfId="11357" xr:uid="{BFC6F7F5-64E4-4B2D-BF8D-AB75A1C90B9C}"/>
    <cellStyle name="Normal 2 8 2 3 3" xfId="8831" xr:uid="{00000000-0005-0000-0000-000099120000}"/>
    <cellStyle name="Normal 2 8 2 3 3 2" xfId="10470" xr:uid="{27806788-CE06-43D7-9060-FAB8E3965630}"/>
    <cellStyle name="Normal 2 8 2 3 4" xfId="11356" xr:uid="{C8CA93EE-DAF5-4FD5-B6DE-D29FF45FF318}"/>
    <cellStyle name="Normal 2 8 2 4" xfId="8833" xr:uid="{00000000-0005-0000-0000-00009A120000}"/>
    <cellStyle name="Normal 2 8 2 4 2" xfId="11358" xr:uid="{BBA9AD0B-70B3-4C33-BE84-811FCE91F102}"/>
    <cellStyle name="Normal 2 8 2 4 3" xfId="12066" xr:uid="{0AC4301E-D78C-43E3-BD32-982B92BE10CE}"/>
    <cellStyle name="Normal 2 8 2 5" xfId="10427" xr:uid="{FF3F7EF8-DFE5-4DBD-8D90-B508BB5496F7}"/>
    <cellStyle name="Normal 2 8 2 6" xfId="11353" xr:uid="{7C84EB11-D27E-45EC-8F9B-662FC6E43D2B}"/>
    <cellStyle name="Normal 2 8 20" xfId="4158" xr:uid="{00000000-0005-0000-0000-00009B120000}"/>
    <cellStyle name="Normal 2 8 20 2" xfId="4159" xr:uid="{00000000-0005-0000-0000-00009C120000}"/>
    <cellStyle name="Normal 2 8 20 2 2" xfId="4160" xr:uid="{00000000-0005-0000-0000-00009D120000}"/>
    <cellStyle name="Normal 2 8 20 3" xfId="4161" xr:uid="{00000000-0005-0000-0000-00009E120000}"/>
    <cellStyle name="Normal 2 8 21" xfId="4162" xr:uid="{00000000-0005-0000-0000-00009F120000}"/>
    <cellStyle name="Normal 2 8 21 2" xfId="4163" xr:uid="{00000000-0005-0000-0000-0000A0120000}"/>
    <cellStyle name="Normal 2 8 21 2 2" xfId="4164" xr:uid="{00000000-0005-0000-0000-0000A1120000}"/>
    <cellStyle name="Normal 2 8 21 3" xfId="4165" xr:uid="{00000000-0005-0000-0000-0000A2120000}"/>
    <cellStyle name="Normal 2 8 22" xfId="4166" xr:uid="{00000000-0005-0000-0000-0000A3120000}"/>
    <cellStyle name="Normal 2 8 22 2" xfId="4167" xr:uid="{00000000-0005-0000-0000-0000A4120000}"/>
    <cellStyle name="Normal 2 8 22 2 2" xfId="4168" xr:uid="{00000000-0005-0000-0000-0000A5120000}"/>
    <cellStyle name="Normal 2 8 22 3" xfId="4169" xr:uid="{00000000-0005-0000-0000-0000A6120000}"/>
    <cellStyle name="Normal 2 8 23" xfId="4170" xr:uid="{00000000-0005-0000-0000-0000A7120000}"/>
    <cellStyle name="Normal 2 8 23 2" xfId="4171" xr:uid="{00000000-0005-0000-0000-0000A8120000}"/>
    <cellStyle name="Normal 2 8 23 2 2" xfId="4172" xr:uid="{00000000-0005-0000-0000-0000A9120000}"/>
    <cellStyle name="Normal 2 8 23 3" xfId="4173" xr:uid="{00000000-0005-0000-0000-0000AA120000}"/>
    <cellStyle name="Normal 2 8 24" xfId="4174" xr:uid="{00000000-0005-0000-0000-0000AB120000}"/>
    <cellStyle name="Normal 2 8 24 2" xfId="4175" xr:uid="{00000000-0005-0000-0000-0000AC120000}"/>
    <cellStyle name="Normal 2 8 25" xfId="4176" xr:uid="{00000000-0005-0000-0000-0000AD120000}"/>
    <cellStyle name="Normal 2 8 26" xfId="10332" xr:uid="{0C21C5D3-99FA-4BF8-92D6-7CD93241FCBB}"/>
    <cellStyle name="Normal 2 8 26 2" xfId="11974" xr:uid="{4E70C0E1-F2E9-421E-A2BA-2DA80D86BC45}"/>
    <cellStyle name="Normal 2 8 3" xfId="4177" xr:uid="{00000000-0005-0000-0000-0000AE120000}"/>
    <cellStyle name="Normal 2 8 3 2" xfId="4178" xr:uid="{00000000-0005-0000-0000-0000AF120000}"/>
    <cellStyle name="Normal 2 8 3 2 2" xfId="4179" xr:uid="{00000000-0005-0000-0000-0000B0120000}"/>
    <cellStyle name="Normal 2 8 3 2 3" xfId="8835" xr:uid="{00000000-0005-0000-0000-0000B1120000}"/>
    <cellStyle name="Normal 2 8 3 3" xfId="4180" xr:uid="{00000000-0005-0000-0000-0000B2120000}"/>
    <cellStyle name="Normal 2 8 3 4" xfId="8834" xr:uid="{00000000-0005-0000-0000-0000B3120000}"/>
    <cellStyle name="Normal 2 8 4" xfId="4181" xr:uid="{00000000-0005-0000-0000-0000B4120000}"/>
    <cellStyle name="Normal 2 8 4 2" xfId="4182" xr:uid="{00000000-0005-0000-0000-0000B5120000}"/>
    <cellStyle name="Normal 2 8 4 2 2" xfId="4183" xr:uid="{00000000-0005-0000-0000-0000B6120000}"/>
    <cellStyle name="Normal 2 8 4 2 3" xfId="8837" xr:uid="{00000000-0005-0000-0000-0000B7120000}"/>
    <cellStyle name="Normal 2 8 4 3" xfId="4184" xr:uid="{00000000-0005-0000-0000-0000B8120000}"/>
    <cellStyle name="Normal 2 8 4 4" xfId="8836" xr:uid="{00000000-0005-0000-0000-0000B9120000}"/>
    <cellStyle name="Normal 2 8 5" xfId="4185" xr:uid="{00000000-0005-0000-0000-0000BA120000}"/>
    <cellStyle name="Normal 2 8 5 2" xfId="4186" xr:uid="{00000000-0005-0000-0000-0000BB120000}"/>
    <cellStyle name="Normal 2 8 5 2 2" xfId="4187" xr:uid="{00000000-0005-0000-0000-0000BC120000}"/>
    <cellStyle name="Normal 2 8 5 3" xfId="4188" xr:uid="{00000000-0005-0000-0000-0000BD120000}"/>
    <cellStyle name="Normal 2 8 5 4" xfId="8838" xr:uid="{00000000-0005-0000-0000-0000BE120000}"/>
    <cellStyle name="Normal 2 8 6" xfId="4189" xr:uid="{00000000-0005-0000-0000-0000BF120000}"/>
    <cellStyle name="Normal 2 8 6 2" xfId="4190" xr:uid="{00000000-0005-0000-0000-0000C0120000}"/>
    <cellStyle name="Normal 2 8 6 2 2" xfId="4191" xr:uid="{00000000-0005-0000-0000-0000C1120000}"/>
    <cellStyle name="Normal 2 8 6 3" xfId="4192" xr:uid="{00000000-0005-0000-0000-0000C2120000}"/>
    <cellStyle name="Normal 2 8 6 4" xfId="8839" xr:uid="{00000000-0005-0000-0000-0000C3120000}"/>
    <cellStyle name="Normal 2 8 7" xfId="4193" xr:uid="{00000000-0005-0000-0000-0000C4120000}"/>
    <cellStyle name="Normal 2 8 7 2" xfId="4194" xr:uid="{00000000-0005-0000-0000-0000C5120000}"/>
    <cellStyle name="Normal 2 8 7 2 2" xfId="4195" xr:uid="{00000000-0005-0000-0000-0000C6120000}"/>
    <cellStyle name="Normal 2 8 7 3" xfId="4196" xr:uid="{00000000-0005-0000-0000-0000C7120000}"/>
    <cellStyle name="Normal 2 8 8" xfId="4197" xr:uid="{00000000-0005-0000-0000-0000C8120000}"/>
    <cellStyle name="Normal 2 8 8 2" xfId="4198" xr:uid="{00000000-0005-0000-0000-0000C9120000}"/>
    <cellStyle name="Normal 2 8 8 2 2" xfId="4199" xr:uid="{00000000-0005-0000-0000-0000CA120000}"/>
    <cellStyle name="Normal 2 8 8 3" xfId="4200" xr:uid="{00000000-0005-0000-0000-0000CB120000}"/>
    <cellStyle name="Normal 2 8 9" xfId="4201" xr:uid="{00000000-0005-0000-0000-0000CC120000}"/>
    <cellStyle name="Normal 2 8 9 2" xfId="4202" xr:uid="{00000000-0005-0000-0000-0000CD120000}"/>
    <cellStyle name="Normal 2 8 9 2 2" xfId="4203" xr:uid="{00000000-0005-0000-0000-0000CE120000}"/>
    <cellStyle name="Normal 2 8 9 3" xfId="4204" xr:uid="{00000000-0005-0000-0000-0000CF120000}"/>
    <cellStyle name="Normal 2 80" xfId="4205" xr:uid="{00000000-0005-0000-0000-0000D0120000}"/>
    <cellStyle name="Normal 2 80 2" xfId="4206" xr:uid="{00000000-0005-0000-0000-0000D1120000}"/>
    <cellStyle name="Normal 2 80 2 2" xfId="4207" xr:uid="{00000000-0005-0000-0000-0000D2120000}"/>
    <cellStyle name="Normal 2 80 3" xfId="4208" xr:uid="{00000000-0005-0000-0000-0000D3120000}"/>
    <cellStyle name="Normal 2 81" xfId="4209" xr:uid="{00000000-0005-0000-0000-0000D4120000}"/>
    <cellStyle name="Normal 2 81 2" xfId="4210" xr:uid="{00000000-0005-0000-0000-0000D5120000}"/>
    <cellStyle name="Normal 2 81 2 2" xfId="4211" xr:uid="{00000000-0005-0000-0000-0000D6120000}"/>
    <cellStyle name="Normal 2 81 3" xfId="4212" xr:uid="{00000000-0005-0000-0000-0000D7120000}"/>
    <cellStyle name="Normal 2 82" xfId="4213" xr:uid="{00000000-0005-0000-0000-0000D8120000}"/>
    <cellStyle name="Normal 2 82 2" xfId="4214" xr:uid="{00000000-0005-0000-0000-0000D9120000}"/>
    <cellStyle name="Normal 2 82 2 2" xfId="4215" xr:uid="{00000000-0005-0000-0000-0000DA120000}"/>
    <cellStyle name="Normal 2 82 3" xfId="4216" xr:uid="{00000000-0005-0000-0000-0000DB120000}"/>
    <cellStyle name="Normal 2 83" xfId="4217" xr:uid="{00000000-0005-0000-0000-0000DC120000}"/>
    <cellStyle name="Normal 2 83 2" xfId="4218" xr:uid="{00000000-0005-0000-0000-0000DD120000}"/>
    <cellStyle name="Normal 2 83 2 2" xfId="4219" xr:uid="{00000000-0005-0000-0000-0000DE120000}"/>
    <cellStyle name="Normal 2 83 3" xfId="4220" xr:uid="{00000000-0005-0000-0000-0000DF120000}"/>
    <cellStyle name="Normal 2 84" xfId="4221" xr:uid="{00000000-0005-0000-0000-0000E0120000}"/>
    <cellStyle name="Normal 2 84 2" xfId="4222" xr:uid="{00000000-0005-0000-0000-0000E1120000}"/>
    <cellStyle name="Normal 2 84 2 2" xfId="4223" xr:uid="{00000000-0005-0000-0000-0000E2120000}"/>
    <cellStyle name="Normal 2 84 3" xfId="4224" xr:uid="{00000000-0005-0000-0000-0000E3120000}"/>
    <cellStyle name="Normal 2 85" xfId="4225" xr:uid="{00000000-0005-0000-0000-0000E4120000}"/>
    <cellStyle name="Normal 2 85 2" xfId="4226" xr:uid="{00000000-0005-0000-0000-0000E5120000}"/>
    <cellStyle name="Normal 2 85 2 2" xfId="4227" xr:uid="{00000000-0005-0000-0000-0000E6120000}"/>
    <cellStyle name="Normal 2 85 3" xfId="4228" xr:uid="{00000000-0005-0000-0000-0000E7120000}"/>
    <cellStyle name="Normal 2 86" xfId="4229" xr:uid="{00000000-0005-0000-0000-0000E8120000}"/>
    <cellStyle name="Normal 2 86 2" xfId="4230" xr:uid="{00000000-0005-0000-0000-0000E9120000}"/>
    <cellStyle name="Normal 2 86 2 2" xfId="4231" xr:uid="{00000000-0005-0000-0000-0000EA120000}"/>
    <cellStyle name="Normal 2 86 3" xfId="4232" xr:uid="{00000000-0005-0000-0000-0000EB120000}"/>
    <cellStyle name="Normal 2 87" xfId="4233" xr:uid="{00000000-0005-0000-0000-0000EC120000}"/>
    <cellStyle name="Normal 2 87 2" xfId="4234" xr:uid="{00000000-0005-0000-0000-0000ED120000}"/>
    <cellStyle name="Normal 2 87 2 2" xfId="4235" xr:uid="{00000000-0005-0000-0000-0000EE120000}"/>
    <cellStyle name="Normal 2 87 3" xfId="4236" xr:uid="{00000000-0005-0000-0000-0000EF120000}"/>
    <cellStyle name="Normal 2 88" xfId="4237" xr:uid="{00000000-0005-0000-0000-0000F0120000}"/>
    <cellStyle name="Normal 2 88 2" xfId="4238" xr:uid="{00000000-0005-0000-0000-0000F1120000}"/>
    <cellStyle name="Normal 2 88 2 2" xfId="4239" xr:uid="{00000000-0005-0000-0000-0000F2120000}"/>
    <cellStyle name="Normal 2 88 3" xfId="4240" xr:uid="{00000000-0005-0000-0000-0000F3120000}"/>
    <cellStyle name="Normal 2 89" xfId="4241" xr:uid="{00000000-0005-0000-0000-0000F4120000}"/>
    <cellStyle name="Normal 2 89 2" xfId="4242" xr:uid="{00000000-0005-0000-0000-0000F5120000}"/>
    <cellStyle name="Normal 2 89 2 2" xfId="4243" xr:uid="{00000000-0005-0000-0000-0000F6120000}"/>
    <cellStyle name="Normal 2 89 3" xfId="4244" xr:uid="{00000000-0005-0000-0000-0000F7120000}"/>
    <cellStyle name="Normal 2 9" xfId="181" xr:uid="{00000000-0005-0000-0000-0000F8120000}"/>
    <cellStyle name="Normal 2 9 10" xfId="4245" xr:uid="{00000000-0005-0000-0000-0000F9120000}"/>
    <cellStyle name="Normal 2 9 10 2" xfId="4246" xr:uid="{00000000-0005-0000-0000-0000FA120000}"/>
    <cellStyle name="Normal 2 9 10 2 2" xfId="4247" xr:uid="{00000000-0005-0000-0000-0000FB120000}"/>
    <cellStyle name="Normal 2 9 10 3" xfId="4248" xr:uid="{00000000-0005-0000-0000-0000FC120000}"/>
    <cellStyle name="Normal 2 9 11" xfId="4249" xr:uid="{00000000-0005-0000-0000-0000FD120000}"/>
    <cellStyle name="Normal 2 9 11 2" xfId="4250" xr:uid="{00000000-0005-0000-0000-0000FE120000}"/>
    <cellStyle name="Normal 2 9 11 2 2" xfId="4251" xr:uid="{00000000-0005-0000-0000-0000FF120000}"/>
    <cellStyle name="Normal 2 9 11 3" xfId="4252" xr:uid="{00000000-0005-0000-0000-000000130000}"/>
    <cellStyle name="Normal 2 9 12" xfId="4253" xr:uid="{00000000-0005-0000-0000-000001130000}"/>
    <cellStyle name="Normal 2 9 12 2" xfId="4254" xr:uid="{00000000-0005-0000-0000-000002130000}"/>
    <cellStyle name="Normal 2 9 12 2 2" xfId="4255" xr:uid="{00000000-0005-0000-0000-000003130000}"/>
    <cellStyle name="Normal 2 9 12 3" xfId="4256" xr:uid="{00000000-0005-0000-0000-000004130000}"/>
    <cellStyle name="Normal 2 9 13" xfId="4257" xr:uid="{00000000-0005-0000-0000-000005130000}"/>
    <cellStyle name="Normal 2 9 13 2" xfId="4258" xr:uid="{00000000-0005-0000-0000-000006130000}"/>
    <cellStyle name="Normal 2 9 13 2 2" xfId="4259" xr:uid="{00000000-0005-0000-0000-000007130000}"/>
    <cellStyle name="Normal 2 9 13 3" xfId="4260" xr:uid="{00000000-0005-0000-0000-000008130000}"/>
    <cellStyle name="Normal 2 9 14" xfId="4261" xr:uid="{00000000-0005-0000-0000-000009130000}"/>
    <cellStyle name="Normal 2 9 14 2" xfId="4262" xr:uid="{00000000-0005-0000-0000-00000A130000}"/>
    <cellStyle name="Normal 2 9 14 2 2" xfId="4263" xr:uid="{00000000-0005-0000-0000-00000B130000}"/>
    <cellStyle name="Normal 2 9 14 3" xfId="4264" xr:uid="{00000000-0005-0000-0000-00000C130000}"/>
    <cellStyle name="Normal 2 9 15" xfId="4265" xr:uid="{00000000-0005-0000-0000-00000D130000}"/>
    <cellStyle name="Normal 2 9 15 2" xfId="4266" xr:uid="{00000000-0005-0000-0000-00000E130000}"/>
    <cellStyle name="Normal 2 9 15 2 2" xfId="4267" xr:uid="{00000000-0005-0000-0000-00000F130000}"/>
    <cellStyle name="Normal 2 9 15 3" xfId="4268" xr:uid="{00000000-0005-0000-0000-000010130000}"/>
    <cellStyle name="Normal 2 9 16" xfId="4269" xr:uid="{00000000-0005-0000-0000-000011130000}"/>
    <cellStyle name="Normal 2 9 16 2" xfId="4270" xr:uid="{00000000-0005-0000-0000-000012130000}"/>
    <cellStyle name="Normal 2 9 16 2 2" xfId="4271" xr:uid="{00000000-0005-0000-0000-000013130000}"/>
    <cellStyle name="Normal 2 9 16 3" xfId="4272" xr:uid="{00000000-0005-0000-0000-000014130000}"/>
    <cellStyle name="Normal 2 9 17" xfId="4273" xr:uid="{00000000-0005-0000-0000-000015130000}"/>
    <cellStyle name="Normal 2 9 17 2" xfId="4274" xr:uid="{00000000-0005-0000-0000-000016130000}"/>
    <cellStyle name="Normal 2 9 17 2 2" xfId="4275" xr:uid="{00000000-0005-0000-0000-000017130000}"/>
    <cellStyle name="Normal 2 9 17 3" xfId="4276" xr:uid="{00000000-0005-0000-0000-000018130000}"/>
    <cellStyle name="Normal 2 9 18" xfId="4277" xr:uid="{00000000-0005-0000-0000-000019130000}"/>
    <cellStyle name="Normal 2 9 18 2" xfId="4278" xr:uid="{00000000-0005-0000-0000-00001A130000}"/>
    <cellStyle name="Normal 2 9 18 2 2" xfId="4279" xr:uid="{00000000-0005-0000-0000-00001B130000}"/>
    <cellStyle name="Normal 2 9 18 3" xfId="4280" xr:uid="{00000000-0005-0000-0000-00001C130000}"/>
    <cellStyle name="Normal 2 9 19" xfId="4281" xr:uid="{00000000-0005-0000-0000-00001D130000}"/>
    <cellStyle name="Normal 2 9 19 2" xfId="4282" xr:uid="{00000000-0005-0000-0000-00001E130000}"/>
    <cellStyle name="Normal 2 9 19 2 2" xfId="4283" xr:uid="{00000000-0005-0000-0000-00001F130000}"/>
    <cellStyle name="Normal 2 9 19 3" xfId="4284" xr:uid="{00000000-0005-0000-0000-000020130000}"/>
    <cellStyle name="Normal 2 9 2" xfId="4285" xr:uid="{00000000-0005-0000-0000-000021130000}"/>
    <cellStyle name="Normal 2 9 2 2" xfId="4286" xr:uid="{00000000-0005-0000-0000-000022130000}"/>
    <cellStyle name="Normal 2 9 2 2 2" xfId="4287" xr:uid="{00000000-0005-0000-0000-000023130000}"/>
    <cellStyle name="Normal 2 9 2 2 2 2" xfId="8841" xr:uid="{00000000-0005-0000-0000-000024130000}"/>
    <cellStyle name="Normal 2 9 2 2 2 2 2" xfId="10487" xr:uid="{501C4703-2413-43D6-AFFF-62C842A7F737}"/>
    <cellStyle name="Normal 2 9 2 2 2 3" xfId="11361" xr:uid="{2875293A-7492-4C37-87F7-2AADFCABBCCD}"/>
    <cellStyle name="Normal 2 9 2 2 3" xfId="8840" xr:uid="{00000000-0005-0000-0000-000025130000}"/>
    <cellStyle name="Normal 2 9 2 2 3 2" xfId="10446" xr:uid="{0EE9F473-1EC1-49E2-B9E3-A0017F1FA173}"/>
    <cellStyle name="Normal 2 9 2 2 4" xfId="11360" xr:uid="{70AF27E4-5BE1-4E8A-AF54-9E704C367CE8}"/>
    <cellStyle name="Normal 2 9 2 3" xfId="4288" xr:uid="{00000000-0005-0000-0000-000026130000}"/>
    <cellStyle name="Normal 2 9 2 3 2" xfId="8843" xr:uid="{00000000-0005-0000-0000-000027130000}"/>
    <cellStyle name="Normal 2 9 2 3 2 2" xfId="11363" xr:uid="{40BCA906-CB1E-4331-9F53-0ABCCD882717}"/>
    <cellStyle name="Normal 2 9 2 3 3" xfId="8842" xr:uid="{00000000-0005-0000-0000-000028130000}"/>
    <cellStyle name="Normal 2 9 2 3 3 2" xfId="10471" xr:uid="{992FD554-A626-49EA-B5BF-E9F7D817417D}"/>
    <cellStyle name="Normal 2 9 2 3 4" xfId="11362" xr:uid="{6D7015A6-7285-4216-BBEF-FDE5850F11C1}"/>
    <cellStyle name="Normal 2 9 2 4" xfId="8844" xr:uid="{00000000-0005-0000-0000-000029130000}"/>
    <cellStyle name="Normal 2 9 2 4 2" xfId="11364" xr:uid="{6506CC89-E997-43AD-AB51-9B60CC45E363}"/>
    <cellStyle name="Normal 2 9 2 4 3" xfId="12067" xr:uid="{F0E2FCBB-9A8E-4BA8-A5AA-B850741A7886}"/>
    <cellStyle name="Normal 2 9 2 5" xfId="10428" xr:uid="{AB32AEDB-1E5D-4372-8C03-AE5833F51C58}"/>
    <cellStyle name="Normal 2 9 2 6" xfId="11359" xr:uid="{5F4740D2-97F8-4DD8-B571-6D1092B251BB}"/>
    <cellStyle name="Normal 2 9 20" xfId="4289" xr:uid="{00000000-0005-0000-0000-00002A130000}"/>
    <cellStyle name="Normal 2 9 20 2" xfId="4290" xr:uid="{00000000-0005-0000-0000-00002B130000}"/>
    <cellStyle name="Normal 2 9 20 2 2" xfId="4291" xr:uid="{00000000-0005-0000-0000-00002C130000}"/>
    <cellStyle name="Normal 2 9 20 3" xfId="4292" xr:uid="{00000000-0005-0000-0000-00002D130000}"/>
    <cellStyle name="Normal 2 9 21" xfId="4293" xr:uid="{00000000-0005-0000-0000-00002E130000}"/>
    <cellStyle name="Normal 2 9 21 2" xfId="4294" xr:uid="{00000000-0005-0000-0000-00002F130000}"/>
    <cellStyle name="Normal 2 9 21 2 2" xfId="4295" xr:uid="{00000000-0005-0000-0000-000030130000}"/>
    <cellStyle name="Normal 2 9 21 3" xfId="4296" xr:uid="{00000000-0005-0000-0000-000031130000}"/>
    <cellStyle name="Normal 2 9 22" xfId="4297" xr:uid="{00000000-0005-0000-0000-000032130000}"/>
    <cellStyle name="Normal 2 9 22 2" xfId="4298" xr:uid="{00000000-0005-0000-0000-000033130000}"/>
    <cellStyle name="Normal 2 9 22 2 2" xfId="4299" xr:uid="{00000000-0005-0000-0000-000034130000}"/>
    <cellStyle name="Normal 2 9 22 3" xfId="4300" xr:uid="{00000000-0005-0000-0000-000035130000}"/>
    <cellStyle name="Normal 2 9 23" xfId="4301" xr:uid="{00000000-0005-0000-0000-000036130000}"/>
    <cellStyle name="Normal 2 9 23 2" xfId="4302" xr:uid="{00000000-0005-0000-0000-000037130000}"/>
    <cellStyle name="Normal 2 9 23 2 2" xfId="4303" xr:uid="{00000000-0005-0000-0000-000038130000}"/>
    <cellStyle name="Normal 2 9 23 3" xfId="4304" xr:uid="{00000000-0005-0000-0000-000039130000}"/>
    <cellStyle name="Normal 2 9 24" xfId="4305" xr:uid="{00000000-0005-0000-0000-00003A130000}"/>
    <cellStyle name="Normal 2 9 24 2" xfId="4306" xr:uid="{00000000-0005-0000-0000-00003B130000}"/>
    <cellStyle name="Normal 2 9 25" xfId="4307" xr:uid="{00000000-0005-0000-0000-00003C130000}"/>
    <cellStyle name="Normal 2 9 3" xfId="4308" xr:uid="{00000000-0005-0000-0000-00003D130000}"/>
    <cellStyle name="Normal 2 9 3 2" xfId="4309" xr:uid="{00000000-0005-0000-0000-00003E130000}"/>
    <cellStyle name="Normal 2 9 3 2 2" xfId="4310" xr:uid="{00000000-0005-0000-0000-00003F130000}"/>
    <cellStyle name="Normal 2 9 3 2 3" xfId="8846" xr:uid="{00000000-0005-0000-0000-000040130000}"/>
    <cellStyle name="Normal 2 9 3 3" xfId="4311" xr:uid="{00000000-0005-0000-0000-000041130000}"/>
    <cellStyle name="Normal 2 9 3 4" xfId="8845" xr:uid="{00000000-0005-0000-0000-000042130000}"/>
    <cellStyle name="Normal 2 9 4" xfId="4312" xr:uid="{00000000-0005-0000-0000-000043130000}"/>
    <cellStyle name="Normal 2 9 4 2" xfId="4313" xr:uid="{00000000-0005-0000-0000-000044130000}"/>
    <cellStyle name="Normal 2 9 4 2 2" xfId="4314" xr:uid="{00000000-0005-0000-0000-000045130000}"/>
    <cellStyle name="Normal 2 9 4 2 3" xfId="8848" xr:uid="{00000000-0005-0000-0000-000046130000}"/>
    <cellStyle name="Normal 2 9 4 3" xfId="4315" xr:uid="{00000000-0005-0000-0000-000047130000}"/>
    <cellStyle name="Normal 2 9 4 4" xfId="8847" xr:uid="{00000000-0005-0000-0000-000048130000}"/>
    <cellStyle name="Normal 2 9 5" xfId="4316" xr:uid="{00000000-0005-0000-0000-000049130000}"/>
    <cellStyle name="Normal 2 9 5 2" xfId="4317" xr:uid="{00000000-0005-0000-0000-00004A130000}"/>
    <cellStyle name="Normal 2 9 5 2 2" xfId="4318" xr:uid="{00000000-0005-0000-0000-00004B130000}"/>
    <cellStyle name="Normal 2 9 5 3" xfId="4319" xr:uid="{00000000-0005-0000-0000-00004C130000}"/>
    <cellStyle name="Normal 2 9 5 4" xfId="8849" xr:uid="{00000000-0005-0000-0000-00004D130000}"/>
    <cellStyle name="Normal 2 9 6" xfId="4320" xr:uid="{00000000-0005-0000-0000-00004E130000}"/>
    <cellStyle name="Normal 2 9 6 2" xfId="4321" xr:uid="{00000000-0005-0000-0000-00004F130000}"/>
    <cellStyle name="Normal 2 9 6 2 2" xfId="4322" xr:uid="{00000000-0005-0000-0000-000050130000}"/>
    <cellStyle name="Normal 2 9 6 3" xfId="4323" xr:uid="{00000000-0005-0000-0000-000051130000}"/>
    <cellStyle name="Normal 2 9 7" xfId="4324" xr:uid="{00000000-0005-0000-0000-000052130000}"/>
    <cellStyle name="Normal 2 9 7 2" xfId="4325" xr:uid="{00000000-0005-0000-0000-000053130000}"/>
    <cellStyle name="Normal 2 9 7 2 2" xfId="4326" xr:uid="{00000000-0005-0000-0000-000054130000}"/>
    <cellStyle name="Normal 2 9 7 3" xfId="4327" xr:uid="{00000000-0005-0000-0000-000055130000}"/>
    <cellStyle name="Normal 2 9 8" xfId="4328" xr:uid="{00000000-0005-0000-0000-000056130000}"/>
    <cellStyle name="Normal 2 9 8 2" xfId="4329" xr:uid="{00000000-0005-0000-0000-000057130000}"/>
    <cellStyle name="Normal 2 9 8 2 2" xfId="4330" xr:uid="{00000000-0005-0000-0000-000058130000}"/>
    <cellStyle name="Normal 2 9 8 3" xfId="4331" xr:uid="{00000000-0005-0000-0000-000059130000}"/>
    <cellStyle name="Normal 2 9 9" xfId="4332" xr:uid="{00000000-0005-0000-0000-00005A130000}"/>
    <cellStyle name="Normal 2 9 9 2" xfId="4333" xr:uid="{00000000-0005-0000-0000-00005B130000}"/>
    <cellStyle name="Normal 2 9 9 2 2" xfId="4334" xr:uid="{00000000-0005-0000-0000-00005C130000}"/>
    <cellStyle name="Normal 2 9 9 3" xfId="4335" xr:uid="{00000000-0005-0000-0000-00005D130000}"/>
    <cellStyle name="Normal 2 90" xfId="4336" xr:uid="{00000000-0005-0000-0000-00005E130000}"/>
    <cellStyle name="Normal 2 90 2" xfId="4337" xr:uid="{00000000-0005-0000-0000-00005F130000}"/>
    <cellStyle name="Normal 2 90 2 2" xfId="4338" xr:uid="{00000000-0005-0000-0000-000060130000}"/>
    <cellStyle name="Normal 2 90 3" xfId="4339" xr:uid="{00000000-0005-0000-0000-000061130000}"/>
    <cellStyle name="Normal 2 91" xfId="4340" xr:uid="{00000000-0005-0000-0000-000062130000}"/>
    <cellStyle name="Normal 2 91 2" xfId="4341" xr:uid="{00000000-0005-0000-0000-000063130000}"/>
    <cellStyle name="Normal 2 91 2 2" xfId="4342" xr:uid="{00000000-0005-0000-0000-000064130000}"/>
    <cellStyle name="Normal 2 91 3" xfId="4343" xr:uid="{00000000-0005-0000-0000-000065130000}"/>
    <cellStyle name="Normal 2 92" xfId="4344" xr:uid="{00000000-0005-0000-0000-000066130000}"/>
    <cellStyle name="Normal 2 92 2" xfId="4345" xr:uid="{00000000-0005-0000-0000-000067130000}"/>
    <cellStyle name="Normal 2 92 2 2" xfId="4346" xr:uid="{00000000-0005-0000-0000-000068130000}"/>
    <cellStyle name="Normal 2 92 3" xfId="4347" xr:uid="{00000000-0005-0000-0000-000069130000}"/>
    <cellStyle name="Normal 2 93" xfId="4348" xr:uid="{00000000-0005-0000-0000-00006A130000}"/>
    <cellStyle name="Normal 2 93 2" xfId="4349" xr:uid="{00000000-0005-0000-0000-00006B130000}"/>
    <cellStyle name="Normal 2 93 2 2" xfId="4350" xr:uid="{00000000-0005-0000-0000-00006C130000}"/>
    <cellStyle name="Normal 2 93 3" xfId="4351" xr:uid="{00000000-0005-0000-0000-00006D130000}"/>
    <cellStyle name="Normal 2 94" xfId="4352" xr:uid="{00000000-0005-0000-0000-00006E130000}"/>
    <cellStyle name="Normal 2 94 2" xfId="4353" xr:uid="{00000000-0005-0000-0000-00006F130000}"/>
    <cellStyle name="Normal 2 94 2 2" xfId="10481" xr:uid="{B532FD1F-FEF1-47E0-972E-C16249FD4EDF}"/>
    <cellStyle name="Normal 2 94 2 2 2" xfId="11799" xr:uid="{59672D1E-0E6F-4E85-A1E5-46152EAE2D7D}"/>
    <cellStyle name="Normal 2 94 2 3" xfId="11366" xr:uid="{42544265-5447-4E31-9AEE-962C1596F7FE}"/>
    <cellStyle name="Normal 2 94 2 4" xfId="11873" xr:uid="{1F782ABC-DEBC-4605-87A1-DBDB98004DF5}"/>
    <cellStyle name="Normal 2 94 3" xfId="4354" xr:uid="{00000000-0005-0000-0000-000070130000}"/>
    <cellStyle name="Normal 2 94 3 2" xfId="10511" xr:uid="{7988F471-4D41-440E-B3A7-2249D4BED609}"/>
    <cellStyle name="Normal 2 94 3 2 2" xfId="11813" xr:uid="{EA329E1D-F0DD-4738-9989-48CC716E79FA}"/>
    <cellStyle name="Normal 2 94 3 3" xfId="11367" xr:uid="{C60C88B4-E2A8-4674-8E81-094CBEA3E0A3}"/>
    <cellStyle name="Normal 2 94 3 4" xfId="11887" xr:uid="{CDB188C6-DF66-42B5-A263-F9DEC1130A33}"/>
    <cellStyle name="Normal 2 94 4" xfId="10423" xr:uid="{E1EEFD07-8925-465D-8FAA-49CEC01850AE}"/>
    <cellStyle name="Normal 2 94 4 2" xfId="11784" xr:uid="{DB0D03A4-6F3F-4A1A-AA40-57C1F73F22EF}"/>
    <cellStyle name="Normal 2 94 5" xfId="11365" xr:uid="{7104EDA8-EC45-4D0F-AFA1-DC8250DE8124}"/>
    <cellStyle name="Normal 2 94 6" xfId="11857" xr:uid="{5B39F74F-0D31-4D93-AB39-C81330E3D8BA}"/>
    <cellStyle name="Normal 2 95" xfId="4355" xr:uid="{00000000-0005-0000-0000-000071130000}"/>
    <cellStyle name="Normal 2 95 2" xfId="4356" xr:uid="{00000000-0005-0000-0000-000072130000}"/>
    <cellStyle name="Normal 2 95 2 2" xfId="10486" xr:uid="{0BBF93EC-45F3-4CB5-B1E2-6EF3D8CCA621}"/>
    <cellStyle name="Normal 2 95 2 2 2" xfId="11803" xr:uid="{AFD6923A-98C1-46D0-8C6C-CBD0B7883608}"/>
    <cellStyle name="Normal 2 95 2 3" xfId="11369" xr:uid="{4176FD03-63BF-4B0E-9C31-FB372BD2F84C}"/>
    <cellStyle name="Normal 2 95 2 4" xfId="11877" xr:uid="{D1686660-2EA9-4293-8469-62EC6C1D20D9}"/>
    <cellStyle name="Normal 2 95 3" xfId="4357" xr:uid="{00000000-0005-0000-0000-000073130000}"/>
    <cellStyle name="Normal 2 95 3 2" xfId="10515" xr:uid="{E9EDEC72-486E-4E4F-B59A-4BECFF391248}"/>
    <cellStyle name="Normal 2 95 3 2 2" xfId="11817" xr:uid="{2C8028B4-97E2-44AB-9F7B-6AE608D2425B}"/>
    <cellStyle name="Normal 2 95 3 3" xfId="11370" xr:uid="{016E2AD0-2F76-4D5F-8340-4F56E79836D6}"/>
    <cellStyle name="Normal 2 95 3 4" xfId="11891" xr:uid="{701C0DC3-B7B5-45C7-8FD1-61B1CEE04188}"/>
    <cellStyle name="Normal 2 95 4" xfId="10445" xr:uid="{AD846641-CB13-48B8-9E6C-BA0E775D134E}"/>
    <cellStyle name="Normal 2 95 4 2" xfId="11788" xr:uid="{9E9C8211-5E10-4B7E-9686-5172EED9F413}"/>
    <cellStyle name="Normal 2 95 5" xfId="11368" xr:uid="{687849BC-E447-44D4-903B-112B80AAA067}"/>
    <cellStyle name="Normal 2 95 6" xfId="11862" xr:uid="{0CE89095-F74B-4E60-A980-33ED1A735D47}"/>
    <cellStyle name="Normal 2 96" xfId="4358" xr:uid="{00000000-0005-0000-0000-000074130000}"/>
    <cellStyle name="Normal 2 96 2" xfId="4359" xr:uid="{00000000-0005-0000-0000-000075130000}"/>
    <cellStyle name="Normal 2 96 2 2" xfId="10497" xr:uid="{035A0594-0801-4884-904A-B9AB3BF49557}"/>
    <cellStyle name="Normal 2 96 2 2 2" xfId="11806" xr:uid="{419AE56A-058F-4091-8B2C-D06D9CE6921B}"/>
    <cellStyle name="Normal 2 96 2 3" xfId="11372" xr:uid="{4475DA29-C28D-4B44-B0AA-4B5118619013}"/>
    <cellStyle name="Normal 2 96 2 4" xfId="11880" xr:uid="{97D0DE29-1893-448D-8EEC-37BB4ABEF978}"/>
    <cellStyle name="Normal 2 96 3" xfId="4360" xr:uid="{00000000-0005-0000-0000-000076130000}"/>
    <cellStyle name="Normal 2 96 3 2" xfId="10518" xr:uid="{272957AD-17E8-4D64-9787-281930E2F9BE}"/>
    <cellStyle name="Normal 2 96 3 2 2" xfId="11820" xr:uid="{74AEEAA6-E82F-4FFF-BA10-9E14B1A656EE}"/>
    <cellStyle name="Normal 2 96 3 3" xfId="11373" xr:uid="{1DD53951-9C3B-4AF0-A752-C1C83B12130A}"/>
    <cellStyle name="Normal 2 96 3 4" xfId="11894" xr:uid="{021EE5F1-7425-4B7E-BB42-AE3FF402D652}"/>
    <cellStyle name="Normal 2 96 4" xfId="10455" xr:uid="{36A2C061-2B39-4899-8161-88BEF12C1FF1}"/>
    <cellStyle name="Normal 2 96 4 2" xfId="11791" xr:uid="{7D1B3403-9142-41D8-ACF2-E4E76F45F044}"/>
    <cellStyle name="Normal 2 96 5" xfId="11371" xr:uid="{7AC60344-F074-4D45-8A9E-464071C500DE}"/>
    <cellStyle name="Normal 2 96 6" xfId="11865" xr:uid="{AF3B158B-9403-4F35-8D41-D75E59743B37}"/>
    <cellStyle name="Normal 2 97" xfId="4361" xr:uid="{00000000-0005-0000-0000-000077130000}"/>
    <cellStyle name="Normal 2 97 2" xfId="4362" xr:uid="{00000000-0005-0000-0000-000078130000}"/>
    <cellStyle name="Normal 2 97 2 2" xfId="10485" xr:uid="{FBD57982-F1A1-4C54-B55D-09617EE80FC4}"/>
    <cellStyle name="Normal 2 97 2 2 2" xfId="11802" xr:uid="{D2AB846D-BFC7-4F44-8810-906DA3604D00}"/>
    <cellStyle name="Normal 2 97 2 3" xfId="11375" xr:uid="{D3D7E0F1-10E2-4E5C-8556-021E698C1CEC}"/>
    <cellStyle name="Normal 2 97 2 4" xfId="11876" xr:uid="{0F682F31-EC4F-47D9-8639-31D22D3C0948}"/>
    <cellStyle name="Normal 2 97 3" xfId="4363" xr:uid="{00000000-0005-0000-0000-000079130000}"/>
    <cellStyle name="Normal 2 97 3 2" xfId="10514" xr:uid="{3AD16838-D178-4355-841B-305410D5FE1F}"/>
    <cellStyle name="Normal 2 97 3 2 2" xfId="11816" xr:uid="{5BD21D5D-C566-4586-9CEF-5B5840BD3D83}"/>
    <cellStyle name="Normal 2 97 3 3" xfId="11376" xr:uid="{1F7D3C74-A9F9-42DD-B294-FA0BFEC04BAB}"/>
    <cellStyle name="Normal 2 97 3 4" xfId="11890" xr:uid="{8A7DFD29-9625-4EBF-993D-951B1D0890AC}"/>
    <cellStyle name="Normal 2 97 4" xfId="10444" xr:uid="{46D8C3A3-749A-4A64-8472-AC962E55CB43}"/>
    <cellStyle name="Normal 2 97 4 2" xfId="11787" xr:uid="{81FBAB53-B742-4A29-8215-D577BE755DDE}"/>
    <cellStyle name="Normal 2 97 5" xfId="11374" xr:uid="{361BAEA6-18D6-44D6-BF1A-F3C6B1387602}"/>
    <cellStyle name="Normal 2 97 6" xfId="11861" xr:uid="{50FAB490-B54B-4E55-AD40-F2F4B78DE493}"/>
    <cellStyle name="Normal 2 98" xfId="4364" xr:uid="{00000000-0005-0000-0000-00007A130000}"/>
    <cellStyle name="Normal 2 98 2" xfId="4365" xr:uid="{00000000-0005-0000-0000-00007B130000}"/>
    <cellStyle name="Normal 2 98 2 2" xfId="10492" xr:uid="{C859FED3-297D-473F-A585-0ED7571CD2D1}"/>
    <cellStyle name="Normal 2 98 2 2 2" xfId="11804" xr:uid="{53195D51-F315-4D55-B4FC-0D512773A6C9}"/>
    <cellStyle name="Normal 2 98 2 3" xfId="11378" xr:uid="{DFCF0664-C3E8-4A83-9340-9AA6F5969540}"/>
    <cellStyle name="Normal 2 98 2 4" xfId="11878" xr:uid="{85920C93-7A88-48EF-A43D-26F310109CAD}"/>
    <cellStyle name="Normal 2 98 3" xfId="4366" xr:uid="{00000000-0005-0000-0000-00007C130000}"/>
    <cellStyle name="Normal 2 98 3 2" xfId="10516" xr:uid="{851AC685-DA44-43C9-8111-CE70456EAA3E}"/>
    <cellStyle name="Normal 2 98 3 2 2" xfId="11818" xr:uid="{5F5121FE-1FBC-4EBB-9816-417349F4CB79}"/>
    <cellStyle name="Normal 2 98 3 3" xfId="11379" xr:uid="{083FC03D-0634-4415-A4DD-95A64793F8E0}"/>
    <cellStyle name="Normal 2 98 3 4" xfId="11892" xr:uid="{12EFC10A-D151-4B66-8994-1F9C7473BAD7}"/>
    <cellStyle name="Normal 2 98 4" xfId="10452" xr:uid="{556D2A02-1661-487B-AF2E-123BECA82B8C}"/>
    <cellStyle name="Normal 2 98 4 2" xfId="11789" xr:uid="{80C21080-5580-4DA5-8816-FFAB530032D5}"/>
    <cellStyle name="Normal 2 98 5" xfId="11377" xr:uid="{482390F7-9557-439A-A85C-464CB1897D0C}"/>
    <cellStyle name="Normal 2 98 6" xfId="11863" xr:uid="{FAB955E3-EC2C-484F-9940-CE80E1E177B6}"/>
    <cellStyle name="Normal 2 99" xfId="4367" xr:uid="{00000000-0005-0000-0000-00007D130000}"/>
    <cellStyle name="Normal 2 99 2" xfId="4368" xr:uid="{00000000-0005-0000-0000-00007E130000}"/>
    <cellStyle name="Normal 2 99 2 2" xfId="10483" xr:uid="{3084AC7C-4AF4-4807-9BD1-90D6E68D0263}"/>
    <cellStyle name="Normal 2 99 2 2 2" xfId="11801" xr:uid="{2E850EDF-FF63-478F-B6D0-E826C3D2F885}"/>
    <cellStyle name="Normal 2 99 2 3" xfId="11381" xr:uid="{5E562995-B647-4B40-A078-CEAE26050771}"/>
    <cellStyle name="Normal 2 99 2 4" xfId="11875" xr:uid="{7A91A487-E447-4EEC-A5D3-4E934F4AF004}"/>
    <cellStyle name="Normal 2 99 3" xfId="4369" xr:uid="{00000000-0005-0000-0000-00007F130000}"/>
    <cellStyle name="Normal 2 99 3 2" xfId="10513" xr:uid="{89010E50-FFA4-4554-BAF2-8FF3C8FD5CE6}"/>
    <cellStyle name="Normal 2 99 3 2 2" xfId="11815" xr:uid="{140E7A1D-BB44-4E6F-A91A-2AB20C75A789}"/>
    <cellStyle name="Normal 2 99 3 3" xfId="11382" xr:uid="{CD60AA9E-A2AB-4225-A605-DDB559121D2E}"/>
    <cellStyle name="Normal 2 99 3 4" xfId="11889" xr:uid="{9B503E90-B5F1-4315-9CA4-1AC58126F6F2}"/>
    <cellStyle name="Normal 2 99 4" xfId="10442" xr:uid="{3A745344-D63D-4620-BCD6-A135B7C4111F}"/>
    <cellStyle name="Normal 2 99 4 2" xfId="11786" xr:uid="{3537621A-8260-4798-B427-542812E6E75D}"/>
    <cellStyle name="Normal 2 99 5" xfId="11380" xr:uid="{F5D9EF3C-007A-401B-B483-4760DF876343}"/>
    <cellStyle name="Normal 2 99 6" xfId="11860" xr:uid="{FA4A2111-5540-4CCF-8D16-22884B5EBC8A}"/>
    <cellStyle name="Normal 2_BPAControls" xfId="9211" xr:uid="{97FBB0B7-F188-454E-AA51-B86C32A85B6A}"/>
    <cellStyle name="Normal 20" xfId="313" xr:uid="{00000000-0005-0000-0000-000081130000}"/>
    <cellStyle name="Normal 20 2" xfId="9755" xr:uid="{890F6699-B72D-46A8-8708-508A43070207}"/>
    <cellStyle name="Normal 20 2 2" xfId="11383" xr:uid="{4B6B694E-72AE-4D46-A52B-B3E554C25FFA}"/>
    <cellStyle name="Normal 20 2 3" xfId="11975" xr:uid="{0A1C7EA0-D276-46D2-8DCA-4F8CC9368F01}"/>
    <cellStyle name="Normal 20 3" xfId="10397" xr:uid="{A96C1B96-2A78-491F-8D29-1786EB30F4F5}"/>
    <cellStyle name="Normal 20 4" xfId="10631" xr:uid="{C518A2F9-3759-4638-8618-7647693A8E87}"/>
    <cellStyle name="Normal 20 5" xfId="9455" xr:uid="{98DC8E05-5F9A-4D33-8B88-CB78872EA98C}"/>
    <cellStyle name="Normal 21" xfId="314" xr:uid="{00000000-0005-0000-0000-000082130000}"/>
    <cellStyle name="Normal 21 2" xfId="9756" xr:uid="{E1A08516-D5AD-4E00-BEF4-033A338047B4}"/>
    <cellStyle name="Normal 21 2 2" xfId="11384" xr:uid="{915F9251-6F94-402B-974F-809A3A1D7CED}"/>
    <cellStyle name="Normal 21 2 3" xfId="11976" xr:uid="{254BBE12-AC72-4158-A0C9-E5E47F17B603}"/>
    <cellStyle name="Normal 21 3" xfId="10398" xr:uid="{875A7E6B-9508-4211-AF23-DBF6D24AB71B}"/>
    <cellStyle name="Normal 22" xfId="315" xr:uid="{00000000-0005-0000-0000-000083130000}"/>
    <cellStyle name="Normal 22 2" xfId="9757" xr:uid="{1EE5B13A-00AC-48C5-8AE8-819F46BD54B1}"/>
    <cellStyle name="Normal 22 2 2" xfId="11977" xr:uid="{71AB4E7E-2877-42E0-B566-9BE16312EEDE}"/>
    <cellStyle name="Normal 22 3" xfId="10389" xr:uid="{9F6E28C4-8EEC-4713-A7BD-05B7F09AF10A}"/>
    <cellStyle name="Normal 22 4" xfId="10625" xr:uid="{9D715F06-7A9B-4C0A-A4F9-05DCFC00252B}"/>
    <cellStyle name="Normal 22 5" xfId="9443" xr:uid="{DECA559A-E29F-4793-A101-FF63495A6364}"/>
    <cellStyle name="Normal 23" xfId="316" xr:uid="{00000000-0005-0000-0000-000084130000}"/>
    <cellStyle name="Normal 23 2" xfId="9758" xr:uid="{53BFC22D-C1E9-4540-B069-A9CDEDE78D0B}"/>
    <cellStyle name="Normal 23 2 2" xfId="11978" xr:uid="{2349A0E0-2397-42F2-92A9-49AB69CB3CFE}"/>
    <cellStyle name="Normal 23 3" xfId="10528" xr:uid="{713223A8-787F-4004-BCAE-029E20BA5237}"/>
    <cellStyle name="Normal 23 4" xfId="10626" xr:uid="{916F4A88-65B4-4F06-B523-7B38A1503F17}"/>
    <cellStyle name="Normal 23 5" xfId="9444" xr:uid="{016D25A2-A6D1-4A5B-9656-0C80BF07FFA5}"/>
    <cellStyle name="Normal 24" xfId="317" xr:uid="{00000000-0005-0000-0000-000085130000}"/>
    <cellStyle name="Normal 24 2" xfId="4370" xr:uid="{00000000-0005-0000-0000-000086130000}"/>
    <cellStyle name="Normal 24 3" xfId="10627" xr:uid="{1FC49C55-3179-49C9-8612-80BF50867F29}"/>
    <cellStyle name="Normal 24 3 2" xfId="11979" xr:uid="{3217896C-A801-4ABB-8C01-A9C2FDF0FD80}"/>
    <cellStyle name="Normal 24 4" xfId="9445" xr:uid="{3D4FA27E-B55A-4F3A-A551-94FF93D269AD}"/>
    <cellStyle name="Normal 25" xfId="318" xr:uid="{00000000-0005-0000-0000-000087130000}"/>
    <cellStyle name="Normal 26" xfId="319" xr:uid="{00000000-0005-0000-0000-000088130000}"/>
    <cellStyle name="Normal 27" xfId="320" xr:uid="{00000000-0005-0000-0000-000089130000}"/>
    <cellStyle name="Normal 28" xfId="321" xr:uid="{00000000-0005-0000-0000-00008A130000}"/>
    <cellStyle name="Normal 29" xfId="322" xr:uid="{00000000-0005-0000-0000-00008B130000}"/>
    <cellStyle name="Normal 3" xfId="182" xr:uid="{00000000-0005-0000-0000-00008C130000}"/>
    <cellStyle name="Normal 3 10" xfId="4371" xr:uid="{00000000-0005-0000-0000-00008D130000}"/>
    <cellStyle name="Normal 3 10 10" xfId="4372" xr:uid="{00000000-0005-0000-0000-00008E130000}"/>
    <cellStyle name="Normal 3 10 10 2" xfId="4373" xr:uid="{00000000-0005-0000-0000-00008F130000}"/>
    <cellStyle name="Normal 3 10 10 2 2" xfId="4374" xr:uid="{00000000-0005-0000-0000-000090130000}"/>
    <cellStyle name="Normal 3 10 10 3" xfId="4375" xr:uid="{00000000-0005-0000-0000-000091130000}"/>
    <cellStyle name="Normal 3 10 11" xfId="4376" xr:uid="{00000000-0005-0000-0000-000092130000}"/>
    <cellStyle name="Normal 3 10 11 2" xfId="4377" xr:uid="{00000000-0005-0000-0000-000093130000}"/>
    <cellStyle name="Normal 3 10 11 2 2" xfId="4378" xr:uid="{00000000-0005-0000-0000-000094130000}"/>
    <cellStyle name="Normal 3 10 11 3" xfId="4379" xr:uid="{00000000-0005-0000-0000-000095130000}"/>
    <cellStyle name="Normal 3 10 12" xfId="4380" xr:uid="{00000000-0005-0000-0000-000096130000}"/>
    <cellStyle name="Normal 3 10 12 2" xfId="4381" xr:uid="{00000000-0005-0000-0000-000097130000}"/>
    <cellStyle name="Normal 3 10 12 2 2" xfId="4382" xr:uid="{00000000-0005-0000-0000-000098130000}"/>
    <cellStyle name="Normal 3 10 12 3" xfId="4383" xr:uid="{00000000-0005-0000-0000-000099130000}"/>
    <cellStyle name="Normal 3 10 13" xfId="4384" xr:uid="{00000000-0005-0000-0000-00009A130000}"/>
    <cellStyle name="Normal 3 10 13 2" xfId="4385" xr:uid="{00000000-0005-0000-0000-00009B130000}"/>
    <cellStyle name="Normal 3 10 13 2 2" xfId="4386" xr:uid="{00000000-0005-0000-0000-00009C130000}"/>
    <cellStyle name="Normal 3 10 13 3" xfId="4387" xr:uid="{00000000-0005-0000-0000-00009D130000}"/>
    <cellStyle name="Normal 3 10 14" xfId="4388" xr:uid="{00000000-0005-0000-0000-00009E130000}"/>
    <cellStyle name="Normal 3 10 14 2" xfId="4389" xr:uid="{00000000-0005-0000-0000-00009F130000}"/>
    <cellStyle name="Normal 3 10 14 2 2" xfId="4390" xr:uid="{00000000-0005-0000-0000-0000A0130000}"/>
    <cellStyle name="Normal 3 10 14 3" xfId="4391" xr:uid="{00000000-0005-0000-0000-0000A1130000}"/>
    <cellStyle name="Normal 3 10 15" xfId="4392" xr:uid="{00000000-0005-0000-0000-0000A2130000}"/>
    <cellStyle name="Normal 3 10 15 2" xfId="4393" xr:uid="{00000000-0005-0000-0000-0000A3130000}"/>
    <cellStyle name="Normal 3 10 15 2 2" xfId="4394" xr:uid="{00000000-0005-0000-0000-0000A4130000}"/>
    <cellStyle name="Normal 3 10 15 3" xfId="4395" xr:uid="{00000000-0005-0000-0000-0000A5130000}"/>
    <cellStyle name="Normal 3 10 16" xfId="4396" xr:uid="{00000000-0005-0000-0000-0000A6130000}"/>
    <cellStyle name="Normal 3 10 16 2" xfId="4397" xr:uid="{00000000-0005-0000-0000-0000A7130000}"/>
    <cellStyle name="Normal 3 10 16 2 2" xfId="4398" xr:uid="{00000000-0005-0000-0000-0000A8130000}"/>
    <cellStyle name="Normal 3 10 16 3" xfId="4399" xr:uid="{00000000-0005-0000-0000-0000A9130000}"/>
    <cellStyle name="Normal 3 10 17" xfId="4400" xr:uid="{00000000-0005-0000-0000-0000AA130000}"/>
    <cellStyle name="Normal 3 10 17 2" xfId="4401" xr:uid="{00000000-0005-0000-0000-0000AB130000}"/>
    <cellStyle name="Normal 3 10 17 2 2" xfId="4402" xr:uid="{00000000-0005-0000-0000-0000AC130000}"/>
    <cellStyle name="Normal 3 10 17 3" xfId="4403" xr:uid="{00000000-0005-0000-0000-0000AD130000}"/>
    <cellStyle name="Normal 3 10 18" xfId="4404" xr:uid="{00000000-0005-0000-0000-0000AE130000}"/>
    <cellStyle name="Normal 3 10 18 2" xfId="4405" xr:uid="{00000000-0005-0000-0000-0000AF130000}"/>
    <cellStyle name="Normal 3 10 18 2 2" xfId="4406" xr:uid="{00000000-0005-0000-0000-0000B0130000}"/>
    <cellStyle name="Normal 3 10 18 3" xfId="4407" xr:uid="{00000000-0005-0000-0000-0000B1130000}"/>
    <cellStyle name="Normal 3 10 19" xfId="4408" xr:uid="{00000000-0005-0000-0000-0000B2130000}"/>
    <cellStyle name="Normal 3 10 19 2" xfId="4409" xr:uid="{00000000-0005-0000-0000-0000B3130000}"/>
    <cellStyle name="Normal 3 10 19 2 2" xfId="4410" xr:uid="{00000000-0005-0000-0000-0000B4130000}"/>
    <cellStyle name="Normal 3 10 19 3" xfId="4411" xr:uid="{00000000-0005-0000-0000-0000B5130000}"/>
    <cellStyle name="Normal 3 10 2" xfId="4412" xr:uid="{00000000-0005-0000-0000-0000B6130000}"/>
    <cellStyle name="Normal 3 10 2 2" xfId="4413" xr:uid="{00000000-0005-0000-0000-0000B7130000}"/>
    <cellStyle name="Normal 3 10 2 2 2" xfId="4414" xr:uid="{00000000-0005-0000-0000-0000B8130000}"/>
    <cellStyle name="Normal 3 10 2 3" xfId="4415" xr:uid="{00000000-0005-0000-0000-0000B9130000}"/>
    <cellStyle name="Normal 3 10 20" xfId="4416" xr:uid="{00000000-0005-0000-0000-0000BA130000}"/>
    <cellStyle name="Normal 3 10 20 2" xfId="4417" xr:uid="{00000000-0005-0000-0000-0000BB130000}"/>
    <cellStyle name="Normal 3 10 20 2 2" xfId="4418" xr:uid="{00000000-0005-0000-0000-0000BC130000}"/>
    <cellStyle name="Normal 3 10 20 3" xfId="4419" xr:uid="{00000000-0005-0000-0000-0000BD130000}"/>
    <cellStyle name="Normal 3 10 21" xfId="4420" xr:uid="{00000000-0005-0000-0000-0000BE130000}"/>
    <cellStyle name="Normal 3 10 21 2" xfId="4421" xr:uid="{00000000-0005-0000-0000-0000BF130000}"/>
    <cellStyle name="Normal 3 10 21 2 2" xfId="4422" xr:uid="{00000000-0005-0000-0000-0000C0130000}"/>
    <cellStyle name="Normal 3 10 21 3" xfId="4423" xr:uid="{00000000-0005-0000-0000-0000C1130000}"/>
    <cellStyle name="Normal 3 10 22" xfId="4424" xr:uid="{00000000-0005-0000-0000-0000C2130000}"/>
    <cellStyle name="Normal 3 10 22 2" xfId="4425" xr:uid="{00000000-0005-0000-0000-0000C3130000}"/>
    <cellStyle name="Normal 3 10 22 2 2" xfId="4426" xr:uid="{00000000-0005-0000-0000-0000C4130000}"/>
    <cellStyle name="Normal 3 10 22 3" xfId="4427" xr:uid="{00000000-0005-0000-0000-0000C5130000}"/>
    <cellStyle name="Normal 3 10 23" xfId="4428" xr:uid="{00000000-0005-0000-0000-0000C6130000}"/>
    <cellStyle name="Normal 3 10 23 2" xfId="4429" xr:uid="{00000000-0005-0000-0000-0000C7130000}"/>
    <cellStyle name="Normal 3 10 23 2 2" xfId="4430" xr:uid="{00000000-0005-0000-0000-0000C8130000}"/>
    <cellStyle name="Normal 3 10 23 3" xfId="4431" xr:uid="{00000000-0005-0000-0000-0000C9130000}"/>
    <cellStyle name="Normal 3 10 24" xfId="4432" xr:uid="{00000000-0005-0000-0000-0000CA130000}"/>
    <cellStyle name="Normal 3 10 24 2" xfId="4433" xr:uid="{00000000-0005-0000-0000-0000CB130000}"/>
    <cellStyle name="Normal 3 10 25" xfId="4434" xr:uid="{00000000-0005-0000-0000-0000CC130000}"/>
    <cellStyle name="Normal 3 10 3" xfId="4435" xr:uid="{00000000-0005-0000-0000-0000CD130000}"/>
    <cellStyle name="Normal 3 10 3 2" xfId="4436" xr:uid="{00000000-0005-0000-0000-0000CE130000}"/>
    <cellStyle name="Normal 3 10 3 2 2" xfId="4437" xr:uid="{00000000-0005-0000-0000-0000CF130000}"/>
    <cellStyle name="Normal 3 10 3 3" xfId="4438" xr:uid="{00000000-0005-0000-0000-0000D0130000}"/>
    <cellStyle name="Normal 3 10 4" xfId="4439" xr:uid="{00000000-0005-0000-0000-0000D1130000}"/>
    <cellStyle name="Normal 3 10 4 2" xfId="4440" xr:uid="{00000000-0005-0000-0000-0000D2130000}"/>
    <cellStyle name="Normal 3 10 4 2 2" xfId="4441" xr:uid="{00000000-0005-0000-0000-0000D3130000}"/>
    <cellStyle name="Normal 3 10 4 3" xfId="4442" xr:uid="{00000000-0005-0000-0000-0000D4130000}"/>
    <cellStyle name="Normal 3 10 5" xfId="4443" xr:uid="{00000000-0005-0000-0000-0000D5130000}"/>
    <cellStyle name="Normal 3 10 5 2" xfId="4444" xr:uid="{00000000-0005-0000-0000-0000D6130000}"/>
    <cellStyle name="Normal 3 10 5 2 2" xfId="4445" xr:uid="{00000000-0005-0000-0000-0000D7130000}"/>
    <cellStyle name="Normal 3 10 5 3" xfId="4446" xr:uid="{00000000-0005-0000-0000-0000D8130000}"/>
    <cellStyle name="Normal 3 10 6" xfId="4447" xr:uid="{00000000-0005-0000-0000-0000D9130000}"/>
    <cellStyle name="Normal 3 10 6 2" xfId="4448" xr:uid="{00000000-0005-0000-0000-0000DA130000}"/>
    <cellStyle name="Normal 3 10 6 2 2" xfId="4449" xr:uid="{00000000-0005-0000-0000-0000DB130000}"/>
    <cellStyle name="Normal 3 10 6 3" xfId="4450" xr:uid="{00000000-0005-0000-0000-0000DC130000}"/>
    <cellStyle name="Normal 3 10 7" xfId="4451" xr:uid="{00000000-0005-0000-0000-0000DD130000}"/>
    <cellStyle name="Normal 3 10 7 2" xfId="4452" xr:uid="{00000000-0005-0000-0000-0000DE130000}"/>
    <cellStyle name="Normal 3 10 7 2 2" xfId="4453" xr:uid="{00000000-0005-0000-0000-0000DF130000}"/>
    <cellStyle name="Normal 3 10 7 3" xfId="4454" xr:uid="{00000000-0005-0000-0000-0000E0130000}"/>
    <cellStyle name="Normal 3 10 8" xfId="4455" xr:uid="{00000000-0005-0000-0000-0000E1130000}"/>
    <cellStyle name="Normal 3 10 8 2" xfId="4456" xr:uid="{00000000-0005-0000-0000-0000E2130000}"/>
    <cellStyle name="Normal 3 10 8 2 2" xfId="4457" xr:uid="{00000000-0005-0000-0000-0000E3130000}"/>
    <cellStyle name="Normal 3 10 8 3" xfId="4458" xr:uid="{00000000-0005-0000-0000-0000E4130000}"/>
    <cellStyle name="Normal 3 10 9" xfId="4459" xr:uid="{00000000-0005-0000-0000-0000E5130000}"/>
    <cellStyle name="Normal 3 10 9 2" xfId="4460" xr:uid="{00000000-0005-0000-0000-0000E6130000}"/>
    <cellStyle name="Normal 3 10 9 2 2" xfId="4461" xr:uid="{00000000-0005-0000-0000-0000E7130000}"/>
    <cellStyle name="Normal 3 10 9 3" xfId="4462" xr:uid="{00000000-0005-0000-0000-0000E8130000}"/>
    <cellStyle name="Normal 3 11" xfId="4463" xr:uid="{00000000-0005-0000-0000-0000E9130000}"/>
    <cellStyle name="Normal 3 11 10" xfId="4464" xr:uid="{00000000-0005-0000-0000-0000EA130000}"/>
    <cellStyle name="Normal 3 11 10 2" xfId="4465" xr:uid="{00000000-0005-0000-0000-0000EB130000}"/>
    <cellStyle name="Normal 3 11 10 2 2" xfId="4466" xr:uid="{00000000-0005-0000-0000-0000EC130000}"/>
    <cellStyle name="Normal 3 11 10 3" xfId="4467" xr:uid="{00000000-0005-0000-0000-0000ED130000}"/>
    <cellStyle name="Normal 3 11 11" xfId="4468" xr:uid="{00000000-0005-0000-0000-0000EE130000}"/>
    <cellStyle name="Normal 3 11 11 2" xfId="4469" xr:uid="{00000000-0005-0000-0000-0000EF130000}"/>
    <cellStyle name="Normal 3 11 11 2 2" xfId="4470" xr:uid="{00000000-0005-0000-0000-0000F0130000}"/>
    <cellStyle name="Normal 3 11 11 3" xfId="4471" xr:uid="{00000000-0005-0000-0000-0000F1130000}"/>
    <cellStyle name="Normal 3 11 12" xfId="4472" xr:uid="{00000000-0005-0000-0000-0000F2130000}"/>
    <cellStyle name="Normal 3 11 12 2" xfId="4473" xr:uid="{00000000-0005-0000-0000-0000F3130000}"/>
    <cellStyle name="Normal 3 11 12 2 2" xfId="4474" xr:uid="{00000000-0005-0000-0000-0000F4130000}"/>
    <cellStyle name="Normal 3 11 12 3" xfId="4475" xr:uid="{00000000-0005-0000-0000-0000F5130000}"/>
    <cellStyle name="Normal 3 11 13" xfId="4476" xr:uid="{00000000-0005-0000-0000-0000F6130000}"/>
    <cellStyle name="Normal 3 11 13 2" xfId="4477" xr:uid="{00000000-0005-0000-0000-0000F7130000}"/>
    <cellStyle name="Normal 3 11 13 2 2" xfId="4478" xr:uid="{00000000-0005-0000-0000-0000F8130000}"/>
    <cellStyle name="Normal 3 11 13 3" xfId="4479" xr:uid="{00000000-0005-0000-0000-0000F9130000}"/>
    <cellStyle name="Normal 3 11 14" xfId="4480" xr:uid="{00000000-0005-0000-0000-0000FA130000}"/>
    <cellStyle name="Normal 3 11 14 2" xfId="4481" xr:uid="{00000000-0005-0000-0000-0000FB130000}"/>
    <cellStyle name="Normal 3 11 14 2 2" xfId="4482" xr:uid="{00000000-0005-0000-0000-0000FC130000}"/>
    <cellStyle name="Normal 3 11 14 3" xfId="4483" xr:uid="{00000000-0005-0000-0000-0000FD130000}"/>
    <cellStyle name="Normal 3 11 15" xfId="4484" xr:uid="{00000000-0005-0000-0000-0000FE130000}"/>
    <cellStyle name="Normal 3 11 15 2" xfId="4485" xr:uid="{00000000-0005-0000-0000-0000FF130000}"/>
    <cellStyle name="Normal 3 11 15 2 2" xfId="4486" xr:uid="{00000000-0005-0000-0000-000000140000}"/>
    <cellStyle name="Normal 3 11 15 3" xfId="4487" xr:uid="{00000000-0005-0000-0000-000001140000}"/>
    <cellStyle name="Normal 3 11 16" xfId="4488" xr:uid="{00000000-0005-0000-0000-000002140000}"/>
    <cellStyle name="Normal 3 11 16 2" xfId="4489" xr:uid="{00000000-0005-0000-0000-000003140000}"/>
    <cellStyle name="Normal 3 11 16 2 2" xfId="4490" xr:uid="{00000000-0005-0000-0000-000004140000}"/>
    <cellStyle name="Normal 3 11 16 3" xfId="4491" xr:uid="{00000000-0005-0000-0000-000005140000}"/>
    <cellStyle name="Normal 3 11 17" xfId="4492" xr:uid="{00000000-0005-0000-0000-000006140000}"/>
    <cellStyle name="Normal 3 11 17 2" xfId="4493" xr:uid="{00000000-0005-0000-0000-000007140000}"/>
    <cellStyle name="Normal 3 11 17 2 2" xfId="4494" xr:uid="{00000000-0005-0000-0000-000008140000}"/>
    <cellStyle name="Normal 3 11 17 3" xfId="4495" xr:uid="{00000000-0005-0000-0000-000009140000}"/>
    <cellStyle name="Normal 3 11 18" xfId="4496" xr:uid="{00000000-0005-0000-0000-00000A140000}"/>
    <cellStyle name="Normal 3 11 18 2" xfId="4497" xr:uid="{00000000-0005-0000-0000-00000B140000}"/>
    <cellStyle name="Normal 3 11 18 2 2" xfId="4498" xr:uid="{00000000-0005-0000-0000-00000C140000}"/>
    <cellStyle name="Normal 3 11 18 3" xfId="4499" xr:uid="{00000000-0005-0000-0000-00000D140000}"/>
    <cellStyle name="Normal 3 11 19" xfId="4500" xr:uid="{00000000-0005-0000-0000-00000E140000}"/>
    <cellStyle name="Normal 3 11 19 2" xfId="4501" xr:uid="{00000000-0005-0000-0000-00000F140000}"/>
    <cellStyle name="Normal 3 11 19 2 2" xfId="4502" xr:uid="{00000000-0005-0000-0000-000010140000}"/>
    <cellStyle name="Normal 3 11 19 3" xfId="4503" xr:uid="{00000000-0005-0000-0000-000011140000}"/>
    <cellStyle name="Normal 3 11 2" xfId="4504" xr:uid="{00000000-0005-0000-0000-000012140000}"/>
    <cellStyle name="Normal 3 11 2 2" xfId="4505" xr:uid="{00000000-0005-0000-0000-000013140000}"/>
    <cellStyle name="Normal 3 11 2 2 2" xfId="4506" xr:uid="{00000000-0005-0000-0000-000014140000}"/>
    <cellStyle name="Normal 3 11 2 3" xfId="4507" xr:uid="{00000000-0005-0000-0000-000015140000}"/>
    <cellStyle name="Normal 3 11 20" xfId="4508" xr:uid="{00000000-0005-0000-0000-000016140000}"/>
    <cellStyle name="Normal 3 11 20 2" xfId="4509" xr:uid="{00000000-0005-0000-0000-000017140000}"/>
    <cellStyle name="Normal 3 11 20 2 2" xfId="4510" xr:uid="{00000000-0005-0000-0000-000018140000}"/>
    <cellStyle name="Normal 3 11 20 3" xfId="4511" xr:uid="{00000000-0005-0000-0000-000019140000}"/>
    <cellStyle name="Normal 3 11 21" xfId="4512" xr:uid="{00000000-0005-0000-0000-00001A140000}"/>
    <cellStyle name="Normal 3 11 21 2" xfId="4513" xr:uid="{00000000-0005-0000-0000-00001B140000}"/>
    <cellStyle name="Normal 3 11 21 2 2" xfId="4514" xr:uid="{00000000-0005-0000-0000-00001C140000}"/>
    <cellStyle name="Normal 3 11 21 3" xfId="4515" xr:uid="{00000000-0005-0000-0000-00001D140000}"/>
    <cellStyle name="Normal 3 11 22" xfId="4516" xr:uid="{00000000-0005-0000-0000-00001E140000}"/>
    <cellStyle name="Normal 3 11 22 2" xfId="4517" xr:uid="{00000000-0005-0000-0000-00001F140000}"/>
    <cellStyle name="Normal 3 11 22 2 2" xfId="4518" xr:uid="{00000000-0005-0000-0000-000020140000}"/>
    <cellStyle name="Normal 3 11 22 3" xfId="4519" xr:uid="{00000000-0005-0000-0000-000021140000}"/>
    <cellStyle name="Normal 3 11 23" xfId="4520" xr:uid="{00000000-0005-0000-0000-000022140000}"/>
    <cellStyle name="Normal 3 11 23 2" xfId="4521" xr:uid="{00000000-0005-0000-0000-000023140000}"/>
    <cellStyle name="Normal 3 11 23 2 2" xfId="4522" xr:uid="{00000000-0005-0000-0000-000024140000}"/>
    <cellStyle name="Normal 3 11 23 3" xfId="4523" xr:uid="{00000000-0005-0000-0000-000025140000}"/>
    <cellStyle name="Normal 3 11 24" xfId="4524" xr:uid="{00000000-0005-0000-0000-000026140000}"/>
    <cellStyle name="Normal 3 11 24 2" xfId="4525" xr:uid="{00000000-0005-0000-0000-000027140000}"/>
    <cellStyle name="Normal 3 11 25" xfId="4526" xr:uid="{00000000-0005-0000-0000-000028140000}"/>
    <cellStyle name="Normal 3 11 3" xfId="4527" xr:uid="{00000000-0005-0000-0000-000029140000}"/>
    <cellStyle name="Normal 3 11 3 2" xfId="4528" xr:uid="{00000000-0005-0000-0000-00002A140000}"/>
    <cellStyle name="Normal 3 11 3 2 2" xfId="4529" xr:uid="{00000000-0005-0000-0000-00002B140000}"/>
    <cellStyle name="Normal 3 11 3 3" xfId="4530" xr:uid="{00000000-0005-0000-0000-00002C140000}"/>
    <cellStyle name="Normal 3 11 4" xfId="4531" xr:uid="{00000000-0005-0000-0000-00002D140000}"/>
    <cellStyle name="Normal 3 11 4 2" xfId="4532" xr:uid="{00000000-0005-0000-0000-00002E140000}"/>
    <cellStyle name="Normal 3 11 4 2 2" xfId="4533" xr:uid="{00000000-0005-0000-0000-00002F140000}"/>
    <cellStyle name="Normal 3 11 4 3" xfId="4534" xr:uid="{00000000-0005-0000-0000-000030140000}"/>
    <cellStyle name="Normal 3 11 5" xfId="4535" xr:uid="{00000000-0005-0000-0000-000031140000}"/>
    <cellStyle name="Normal 3 11 5 2" xfId="4536" xr:uid="{00000000-0005-0000-0000-000032140000}"/>
    <cellStyle name="Normal 3 11 5 2 2" xfId="4537" xr:uid="{00000000-0005-0000-0000-000033140000}"/>
    <cellStyle name="Normal 3 11 5 3" xfId="4538" xr:uid="{00000000-0005-0000-0000-000034140000}"/>
    <cellStyle name="Normal 3 11 6" xfId="4539" xr:uid="{00000000-0005-0000-0000-000035140000}"/>
    <cellStyle name="Normal 3 11 6 2" xfId="4540" xr:uid="{00000000-0005-0000-0000-000036140000}"/>
    <cellStyle name="Normal 3 11 6 2 2" xfId="4541" xr:uid="{00000000-0005-0000-0000-000037140000}"/>
    <cellStyle name="Normal 3 11 6 3" xfId="4542" xr:uid="{00000000-0005-0000-0000-000038140000}"/>
    <cellStyle name="Normal 3 11 7" xfId="4543" xr:uid="{00000000-0005-0000-0000-000039140000}"/>
    <cellStyle name="Normal 3 11 7 2" xfId="4544" xr:uid="{00000000-0005-0000-0000-00003A140000}"/>
    <cellStyle name="Normal 3 11 7 2 2" xfId="4545" xr:uid="{00000000-0005-0000-0000-00003B140000}"/>
    <cellStyle name="Normal 3 11 7 3" xfId="4546" xr:uid="{00000000-0005-0000-0000-00003C140000}"/>
    <cellStyle name="Normal 3 11 8" xfId="4547" xr:uid="{00000000-0005-0000-0000-00003D140000}"/>
    <cellStyle name="Normal 3 11 8 2" xfId="4548" xr:uid="{00000000-0005-0000-0000-00003E140000}"/>
    <cellStyle name="Normal 3 11 8 2 2" xfId="4549" xr:uid="{00000000-0005-0000-0000-00003F140000}"/>
    <cellStyle name="Normal 3 11 8 3" xfId="4550" xr:uid="{00000000-0005-0000-0000-000040140000}"/>
    <cellStyle name="Normal 3 11 9" xfId="4551" xr:uid="{00000000-0005-0000-0000-000041140000}"/>
    <cellStyle name="Normal 3 11 9 2" xfId="4552" xr:uid="{00000000-0005-0000-0000-000042140000}"/>
    <cellStyle name="Normal 3 11 9 2 2" xfId="4553" xr:uid="{00000000-0005-0000-0000-000043140000}"/>
    <cellStyle name="Normal 3 11 9 3" xfId="4554" xr:uid="{00000000-0005-0000-0000-000044140000}"/>
    <cellStyle name="Normal 3 12" xfId="4555" xr:uid="{00000000-0005-0000-0000-000045140000}"/>
    <cellStyle name="Normal 3 12 10" xfId="4556" xr:uid="{00000000-0005-0000-0000-000046140000}"/>
    <cellStyle name="Normal 3 12 10 2" xfId="4557" xr:uid="{00000000-0005-0000-0000-000047140000}"/>
    <cellStyle name="Normal 3 12 10 2 2" xfId="4558" xr:uid="{00000000-0005-0000-0000-000048140000}"/>
    <cellStyle name="Normal 3 12 10 3" xfId="4559" xr:uid="{00000000-0005-0000-0000-000049140000}"/>
    <cellStyle name="Normal 3 12 11" xfId="4560" xr:uid="{00000000-0005-0000-0000-00004A140000}"/>
    <cellStyle name="Normal 3 12 11 2" xfId="4561" xr:uid="{00000000-0005-0000-0000-00004B140000}"/>
    <cellStyle name="Normal 3 12 11 2 2" xfId="4562" xr:uid="{00000000-0005-0000-0000-00004C140000}"/>
    <cellStyle name="Normal 3 12 11 3" xfId="4563" xr:uid="{00000000-0005-0000-0000-00004D140000}"/>
    <cellStyle name="Normal 3 12 12" xfId="4564" xr:uid="{00000000-0005-0000-0000-00004E140000}"/>
    <cellStyle name="Normal 3 12 12 2" xfId="4565" xr:uid="{00000000-0005-0000-0000-00004F140000}"/>
    <cellStyle name="Normal 3 12 12 2 2" xfId="4566" xr:uid="{00000000-0005-0000-0000-000050140000}"/>
    <cellStyle name="Normal 3 12 12 3" xfId="4567" xr:uid="{00000000-0005-0000-0000-000051140000}"/>
    <cellStyle name="Normal 3 12 13" xfId="4568" xr:uid="{00000000-0005-0000-0000-000052140000}"/>
    <cellStyle name="Normal 3 12 13 2" xfId="4569" xr:uid="{00000000-0005-0000-0000-000053140000}"/>
    <cellStyle name="Normal 3 12 13 2 2" xfId="4570" xr:uid="{00000000-0005-0000-0000-000054140000}"/>
    <cellStyle name="Normal 3 12 13 3" xfId="4571" xr:uid="{00000000-0005-0000-0000-000055140000}"/>
    <cellStyle name="Normal 3 12 14" xfId="4572" xr:uid="{00000000-0005-0000-0000-000056140000}"/>
    <cellStyle name="Normal 3 12 14 2" xfId="4573" xr:uid="{00000000-0005-0000-0000-000057140000}"/>
    <cellStyle name="Normal 3 12 14 2 2" xfId="4574" xr:uid="{00000000-0005-0000-0000-000058140000}"/>
    <cellStyle name="Normal 3 12 14 3" xfId="4575" xr:uid="{00000000-0005-0000-0000-000059140000}"/>
    <cellStyle name="Normal 3 12 15" xfId="4576" xr:uid="{00000000-0005-0000-0000-00005A140000}"/>
    <cellStyle name="Normal 3 12 15 2" xfId="4577" xr:uid="{00000000-0005-0000-0000-00005B140000}"/>
    <cellStyle name="Normal 3 12 15 2 2" xfId="4578" xr:uid="{00000000-0005-0000-0000-00005C140000}"/>
    <cellStyle name="Normal 3 12 15 3" xfId="4579" xr:uid="{00000000-0005-0000-0000-00005D140000}"/>
    <cellStyle name="Normal 3 12 16" xfId="4580" xr:uid="{00000000-0005-0000-0000-00005E140000}"/>
    <cellStyle name="Normal 3 12 16 2" xfId="4581" xr:uid="{00000000-0005-0000-0000-00005F140000}"/>
    <cellStyle name="Normal 3 12 16 2 2" xfId="4582" xr:uid="{00000000-0005-0000-0000-000060140000}"/>
    <cellStyle name="Normal 3 12 16 3" xfId="4583" xr:uid="{00000000-0005-0000-0000-000061140000}"/>
    <cellStyle name="Normal 3 12 17" xfId="4584" xr:uid="{00000000-0005-0000-0000-000062140000}"/>
    <cellStyle name="Normal 3 12 17 2" xfId="4585" xr:uid="{00000000-0005-0000-0000-000063140000}"/>
    <cellStyle name="Normal 3 12 17 2 2" xfId="4586" xr:uid="{00000000-0005-0000-0000-000064140000}"/>
    <cellStyle name="Normal 3 12 17 3" xfId="4587" xr:uid="{00000000-0005-0000-0000-000065140000}"/>
    <cellStyle name="Normal 3 12 18" xfId="4588" xr:uid="{00000000-0005-0000-0000-000066140000}"/>
    <cellStyle name="Normal 3 12 18 2" xfId="4589" xr:uid="{00000000-0005-0000-0000-000067140000}"/>
    <cellStyle name="Normal 3 12 18 2 2" xfId="4590" xr:uid="{00000000-0005-0000-0000-000068140000}"/>
    <cellStyle name="Normal 3 12 18 3" xfId="4591" xr:uid="{00000000-0005-0000-0000-000069140000}"/>
    <cellStyle name="Normal 3 12 19" xfId="4592" xr:uid="{00000000-0005-0000-0000-00006A140000}"/>
    <cellStyle name="Normal 3 12 19 2" xfId="4593" xr:uid="{00000000-0005-0000-0000-00006B140000}"/>
    <cellStyle name="Normal 3 12 19 2 2" xfId="4594" xr:uid="{00000000-0005-0000-0000-00006C140000}"/>
    <cellStyle name="Normal 3 12 19 3" xfId="4595" xr:uid="{00000000-0005-0000-0000-00006D140000}"/>
    <cellStyle name="Normal 3 12 2" xfId="4596" xr:uid="{00000000-0005-0000-0000-00006E140000}"/>
    <cellStyle name="Normal 3 12 2 2" xfId="4597" xr:uid="{00000000-0005-0000-0000-00006F140000}"/>
    <cellStyle name="Normal 3 12 2 2 2" xfId="4598" xr:uid="{00000000-0005-0000-0000-000070140000}"/>
    <cellStyle name="Normal 3 12 2 3" xfId="4599" xr:uid="{00000000-0005-0000-0000-000071140000}"/>
    <cellStyle name="Normal 3 12 20" xfId="4600" xr:uid="{00000000-0005-0000-0000-000072140000}"/>
    <cellStyle name="Normal 3 12 20 2" xfId="4601" xr:uid="{00000000-0005-0000-0000-000073140000}"/>
    <cellStyle name="Normal 3 12 20 2 2" xfId="4602" xr:uid="{00000000-0005-0000-0000-000074140000}"/>
    <cellStyle name="Normal 3 12 20 3" xfId="4603" xr:uid="{00000000-0005-0000-0000-000075140000}"/>
    <cellStyle name="Normal 3 12 21" xfId="4604" xr:uid="{00000000-0005-0000-0000-000076140000}"/>
    <cellStyle name="Normal 3 12 21 2" xfId="4605" xr:uid="{00000000-0005-0000-0000-000077140000}"/>
    <cellStyle name="Normal 3 12 21 2 2" xfId="4606" xr:uid="{00000000-0005-0000-0000-000078140000}"/>
    <cellStyle name="Normal 3 12 21 3" xfId="4607" xr:uid="{00000000-0005-0000-0000-000079140000}"/>
    <cellStyle name="Normal 3 12 22" xfId="4608" xr:uid="{00000000-0005-0000-0000-00007A140000}"/>
    <cellStyle name="Normal 3 12 22 2" xfId="4609" xr:uid="{00000000-0005-0000-0000-00007B140000}"/>
    <cellStyle name="Normal 3 12 22 2 2" xfId="4610" xr:uid="{00000000-0005-0000-0000-00007C140000}"/>
    <cellStyle name="Normal 3 12 22 3" xfId="4611" xr:uid="{00000000-0005-0000-0000-00007D140000}"/>
    <cellStyle name="Normal 3 12 23" xfId="4612" xr:uid="{00000000-0005-0000-0000-00007E140000}"/>
    <cellStyle name="Normal 3 12 23 2" xfId="4613" xr:uid="{00000000-0005-0000-0000-00007F140000}"/>
    <cellStyle name="Normal 3 12 23 2 2" xfId="4614" xr:uid="{00000000-0005-0000-0000-000080140000}"/>
    <cellStyle name="Normal 3 12 23 3" xfId="4615" xr:uid="{00000000-0005-0000-0000-000081140000}"/>
    <cellStyle name="Normal 3 12 24" xfId="4616" xr:uid="{00000000-0005-0000-0000-000082140000}"/>
    <cellStyle name="Normal 3 12 24 2" xfId="4617" xr:uid="{00000000-0005-0000-0000-000083140000}"/>
    <cellStyle name="Normal 3 12 25" xfId="4618" xr:uid="{00000000-0005-0000-0000-000084140000}"/>
    <cellStyle name="Normal 3 12 3" xfId="4619" xr:uid="{00000000-0005-0000-0000-000085140000}"/>
    <cellStyle name="Normal 3 12 3 2" xfId="4620" xr:uid="{00000000-0005-0000-0000-000086140000}"/>
    <cellStyle name="Normal 3 12 3 2 2" xfId="4621" xr:uid="{00000000-0005-0000-0000-000087140000}"/>
    <cellStyle name="Normal 3 12 3 3" xfId="4622" xr:uid="{00000000-0005-0000-0000-000088140000}"/>
    <cellStyle name="Normal 3 12 4" xfId="4623" xr:uid="{00000000-0005-0000-0000-000089140000}"/>
    <cellStyle name="Normal 3 12 4 2" xfId="4624" xr:uid="{00000000-0005-0000-0000-00008A140000}"/>
    <cellStyle name="Normal 3 12 4 2 2" xfId="4625" xr:uid="{00000000-0005-0000-0000-00008B140000}"/>
    <cellStyle name="Normal 3 12 4 3" xfId="4626" xr:uid="{00000000-0005-0000-0000-00008C140000}"/>
    <cellStyle name="Normal 3 12 5" xfId="4627" xr:uid="{00000000-0005-0000-0000-00008D140000}"/>
    <cellStyle name="Normal 3 12 5 2" xfId="4628" xr:uid="{00000000-0005-0000-0000-00008E140000}"/>
    <cellStyle name="Normal 3 12 5 2 2" xfId="4629" xr:uid="{00000000-0005-0000-0000-00008F140000}"/>
    <cellStyle name="Normal 3 12 5 3" xfId="4630" xr:uid="{00000000-0005-0000-0000-000090140000}"/>
    <cellStyle name="Normal 3 12 6" xfId="4631" xr:uid="{00000000-0005-0000-0000-000091140000}"/>
    <cellStyle name="Normal 3 12 6 2" xfId="4632" xr:uid="{00000000-0005-0000-0000-000092140000}"/>
    <cellStyle name="Normal 3 12 6 2 2" xfId="4633" xr:uid="{00000000-0005-0000-0000-000093140000}"/>
    <cellStyle name="Normal 3 12 6 3" xfId="4634" xr:uid="{00000000-0005-0000-0000-000094140000}"/>
    <cellStyle name="Normal 3 12 7" xfId="4635" xr:uid="{00000000-0005-0000-0000-000095140000}"/>
    <cellStyle name="Normal 3 12 7 2" xfId="4636" xr:uid="{00000000-0005-0000-0000-000096140000}"/>
    <cellStyle name="Normal 3 12 7 2 2" xfId="4637" xr:uid="{00000000-0005-0000-0000-000097140000}"/>
    <cellStyle name="Normal 3 12 7 3" xfId="4638" xr:uid="{00000000-0005-0000-0000-000098140000}"/>
    <cellStyle name="Normal 3 12 8" xfId="4639" xr:uid="{00000000-0005-0000-0000-000099140000}"/>
    <cellStyle name="Normal 3 12 8 2" xfId="4640" xr:uid="{00000000-0005-0000-0000-00009A140000}"/>
    <cellStyle name="Normal 3 12 8 2 2" xfId="4641" xr:uid="{00000000-0005-0000-0000-00009B140000}"/>
    <cellStyle name="Normal 3 12 8 3" xfId="4642" xr:uid="{00000000-0005-0000-0000-00009C140000}"/>
    <cellStyle name="Normal 3 12 9" xfId="4643" xr:uid="{00000000-0005-0000-0000-00009D140000}"/>
    <cellStyle name="Normal 3 12 9 2" xfId="4644" xr:uid="{00000000-0005-0000-0000-00009E140000}"/>
    <cellStyle name="Normal 3 12 9 2 2" xfId="4645" xr:uid="{00000000-0005-0000-0000-00009F140000}"/>
    <cellStyle name="Normal 3 12 9 3" xfId="4646" xr:uid="{00000000-0005-0000-0000-0000A0140000}"/>
    <cellStyle name="Normal 3 13" xfId="4647" xr:uid="{00000000-0005-0000-0000-0000A1140000}"/>
    <cellStyle name="Normal 3 13 10" xfId="4648" xr:uid="{00000000-0005-0000-0000-0000A2140000}"/>
    <cellStyle name="Normal 3 13 10 2" xfId="4649" xr:uid="{00000000-0005-0000-0000-0000A3140000}"/>
    <cellStyle name="Normal 3 13 10 2 2" xfId="4650" xr:uid="{00000000-0005-0000-0000-0000A4140000}"/>
    <cellStyle name="Normal 3 13 10 3" xfId="4651" xr:uid="{00000000-0005-0000-0000-0000A5140000}"/>
    <cellStyle name="Normal 3 13 11" xfId="4652" xr:uid="{00000000-0005-0000-0000-0000A6140000}"/>
    <cellStyle name="Normal 3 13 11 2" xfId="4653" xr:uid="{00000000-0005-0000-0000-0000A7140000}"/>
    <cellStyle name="Normal 3 13 11 2 2" xfId="4654" xr:uid="{00000000-0005-0000-0000-0000A8140000}"/>
    <cellStyle name="Normal 3 13 11 3" xfId="4655" xr:uid="{00000000-0005-0000-0000-0000A9140000}"/>
    <cellStyle name="Normal 3 13 12" xfId="4656" xr:uid="{00000000-0005-0000-0000-0000AA140000}"/>
    <cellStyle name="Normal 3 13 12 2" xfId="4657" xr:uid="{00000000-0005-0000-0000-0000AB140000}"/>
    <cellStyle name="Normal 3 13 12 2 2" xfId="4658" xr:uid="{00000000-0005-0000-0000-0000AC140000}"/>
    <cellStyle name="Normal 3 13 12 3" xfId="4659" xr:uid="{00000000-0005-0000-0000-0000AD140000}"/>
    <cellStyle name="Normal 3 13 13" xfId="4660" xr:uid="{00000000-0005-0000-0000-0000AE140000}"/>
    <cellStyle name="Normal 3 13 13 2" xfId="4661" xr:uid="{00000000-0005-0000-0000-0000AF140000}"/>
    <cellStyle name="Normal 3 13 13 2 2" xfId="4662" xr:uid="{00000000-0005-0000-0000-0000B0140000}"/>
    <cellStyle name="Normal 3 13 13 3" xfId="4663" xr:uid="{00000000-0005-0000-0000-0000B1140000}"/>
    <cellStyle name="Normal 3 13 14" xfId="4664" xr:uid="{00000000-0005-0000-0000-0000B2140000}"/>
    <cellStyle name="Normal 3 13 14 2" xfId="4665" xr:uid="{00000000-0005-0000-0000-0000B3140000}"/>
    <cellStyle name="Normal 3 13 14 2 2" xfId="4666" xr:uid="{00000000-0005-0000-0000-0000B4140000}"/>
    <cellStyle name="Normal 3 13 14 3" xfId="4667" xr:uid="{00000000-0005-0000-0000-0000B5140000}"/>
    <cellStyle name="Normal 3 13 15" xfId="4668" xr:uid="{00000000-0005-0000-0000-0000B6140000}"/>
    <cellStyle name="Normal 3 13 15 2" xfId="4669" xr:uid="{00000000-0005-0000-0000-0000B7140000}"/>
    <cellStyle name="Normal 3 13 15 2 2" xfId="4670" xr:uid="{00000000-0005-0000-0000-0000B8140000}"/>
    <cellStyle name="Normal 3 13 15 3" xfId="4671" xr:uid="{00000000-0005-0000-0000-0000B9140000}"/>
    <cellStyle name="Normal 3 13 16" xfId="4672" xr:uid="{00000000-0005-0000-0000-0000BA140000}"/>
    <cellStyle name="Normal 3 13 16 2" xfId="4673" xr:uid="{00000000-0005-0000-0000-0000BB140000}"/>
    <cellStyle name="Normal 3 13 16 2 2" xfId="4674" xr:uid="{00000000-0005-0000-0000-0000BC140000}"/>
    <cellStyle name="Normal 3 13 16 3" xfId="4675" xr:uid="{00000000-0005-0000-0000-0000BD140000}"/>
    <cellStyle name="Normal 3 13 17" xfId="4676" xr:uid="{00000000-0005-0000-0000-0000BE140000}"/>
    <cellStyle name="Normal 3 13 17 2" xfId="4677" xr:uid="{00000000-0005-0000-0000-0000BF140000}"/>
    <cellStyle name="Normal 3 13 17 2 2" xfId="4678" xr:uid="{00000000-0005-0000-0000-0000C0140000}"/>
    <cellStyle name="Normal 3 13 17 3" xfId="4679" xr:uid="{00000000-0005-0000-0000-0000C1140000}"/>
    <cellStyle name="Normal 3 13 18" xfId="4680" xr:uid="{00000000-0005-0000-0000-0000C2140000}"/>
    <cellStyle name="Normal 3 13 18 2" xfId="4681" xr:uid="{00000000-0005-0000-0000-0000C3140000}"/>
    <cellStyle name="Normal 3 13 18 2 2" xfId="4682" xr:uid="{00000000-0005-0000-0000-0000C4140000}"/>
    <cellStyle name="Normal 3 13 18 3" xfId="4683" xr:uid="{00000000-0005-0000-0000-0000C5140000}"/>
    <cellStyle name="Normal 3 13 19" xfId="4684" xr:uid="{00000000-0005-0000-0000-0000C6140000}"/>
    <cellStyle name="Normal 3 13 19 2" xfId="4685" xr:uid="{00000000-0005-0000-0000-0000C7140000}"/>
    <cellStyle name="Normal 3 13 19 2 2" xfId="4686" xr:uid="{00000000-0005-0000-0000-0000C8140000}"/>
    <cellStyle name="Normal 3 13 19 3" xfId="4687" xr:uid="{00000000-0005-0000-0000-0000C9140000}"/>
    <cellStyle name="Normal 3 13 2" xfId="4688" xr:uid="{00000000-0005-0000-0000-0000CA140000}"/>
    <cellStyle name="Normal 3 13 2 2" xfId="4689" xr:uid="{00000000-0005-0000-0000-0000CB140000}"/>
    <cellStyle name="Normal 3 13 2 2 2" xfId="4690" xr:uid="{00000000-0005-0000-0000-0000CC140000}"/>
    <cellStyle name="Normal 3 13 2 3" xfId="4691" xr:uid="{00000000-0005-0000-0000-0000CD140000}"/>
    <cellStyle name="Normal 3 13 20" xfId="4692" xr:uid="{00000000-0005-0000-0000-0000CE140000}"/>
    <cellStyle name="Normal 3 13 20 2" xfId="4693" xr:uid="{00000000-0005-0000-0000-0000CF140000}"/>
    <cellStyle name="Normal 3 13 20 2 2" xfId="4694" xr:uid="{00000000-0005-0000-0000-0000D0140000}"/>
    <cellStyle name="Normal 3 13 20 3" xfId="4695" xr:uid="{00000000-0005-0000-0000-0000D1140000}"/>
    <cellStyle name="Normal 3 13 21" xfId="4696" xr:uid="{00000000-0005-0000-0000-0000D2140000}"/>
    <cellStyle name="Normal 3 13 21 2" xfId="4697" xr:uid="{00000000-0005-0000-0000-0000D3140000}"/>
    <cellStyle name="Normal 3 13 21 2 2" xfId="4698" xr:uid="{00000000-0005-0000-0000-0000D4140000}"/>
    <cellStyle name="Normal 3 13 21 3" xfId="4699" xr:uid="{00000000-0005-0000-0000-0000D5140000}"/>
    <cellStyle name="Normal 3 13 22" xfId="4700" xr:uid="{00000000-0005-0000-0000-0000D6140000}"/>
    <cellStyle name="Normal 3 13 22 2" xfId="4701" xr:uid="{00000000-0005-0000-0000-0000D7140000}"/>
    <cellStyle name="Normal 3 13 22 2 2" xfId="4702" xr:uid="{00000000-0005-0000-0000-0000D8140000}"/>
    <cellStyle name="Normal 3 13 22 3" xfId="4703" xr:uid="{00000000-0005-0000-0000-0000D9140000}"/>
    <cellStyle name="Normal 3 13 23" xfId="4704" xr:uid="{00000000-0005-0000-0000-0000DA140000}"/>
    <cellStyle name="Normal 3 13 23 2" xfId="4705" xr:uid="{00000000-0005-0000-0000-0000DB140000}"/>
    <cellStyle name="Normal 3 13 23 2 2" xfId="4706" xr:uid="{00000000-0005-0000-0000-0000DC140000}"/>
    <cellStyle name="Normal 3 13 23 3" xfId="4707" xr:uid="{00000000-0005-0000-0000-0000DD140000}"/>
    <cellStyle name="Normal 3 13 24" xfId="4708" xr:uid="{00000000-0005-0000-0000-0000DE140000}"/>
    <cellStyle name="Normal 3 13 24 2" xfId="4709" xr:uid="{00000000-0005-0000-0000-0000DF140000}"/>
    <cellStyle name="Normal 3 13 25" xfId="4710" xr:uid="{00000000-0005-0000-0000-0000E0140000}"/>
    <cellStyle name="Normal 3 13 3" xfId="4711" xr:uid="{00000000-0005-0000-0000-0000E1140000}"/>
    <cellStyle name="Normal 3 13 3 2" xfId="4712" xr:uid="{00000000-0005-0000-0000-0000E2140000}"/>
    <cellStyle name="Normal 3 13 3 2 2" xfId="4713" xr:uid="{00000000-0005-0000-0000-0000E3140000}"/>
    <cellStyle name="Normal 3 13 3 3" xfId="4714" xr:uid="{00000000-0005-0000-0000-0000E4140000}"/>
    <cellStyle name="Normal 3 13 4" xfId="4715" xr:uid="{00000000-0005-0000-0000-0000E5140000}"/>
    <cellStyle name="Normal 3 13 4 2" xfId="4716" xr:uid="{00000000-0005-0000-0000-0000E6140000}"/>
    <cellStyle name="Normal 3 13 4 2 2" xfId="4717" xr:uid="{00000000-0005-0000-0000-0000E7140000}"/>
    <cellStyle name="Normal 3 13 4 3" xfId="4718" xr:uid="{00000000-0005-0000-0000-0000E8140000}"/>
    <cellStyle name="Normal 3 13 5" xfId="4719" xr:uid="{00000000-0005-0000-0000-0000E9140000}"/>
    <cellStyle name="Normal 3 13 5 2" xfId="4720" xr:uid="{00000000-0005-0000-0000-0000EA140000}"/>
    <cellStyle name="Normal 3 13 5 2 2" xfId="4721" xr:uid="{00000000-0005-0000-0000-0000EB140000}"/>
    <cellStyle name="Normal 3 13 5 3" xfId="4722" xr:uid="{00000000-0005-0000-0000-0000EC140000}"/>
    <cellStyle name="Normal 3 13 6" xfId="4723" xr:uid="{00000000-0005-0000-0000-0000ED140000}"/>
    <cellStyle name="Normal 3 13 6 2" xfId="4724" xr:uid="{00000000-0005-0000-0000-0000EE140000}"/>
    <cellStyle name="Normal 3 13 6 2 2" xfId="4725" xr:uid="{00000000-0005-0000-0000-0000EF140000}"/>
    <cellStyle name="Normal 3 13 6 3" xfId="4726" xr:uid="{00000000-0005-0000-0000-0000F0140000}"/>
    <cellStyle name="Normal 3 13 7" xfId="4727" xr:uid="{00000000-0005-0000-0000-0000F1140000}"/>
    <cellStyle name="Normal 3 13 7 2" xfId="4728" xr:uid="{00000000-0005-0000-0000-0000F2140000}"/>
    <cellStyle name="Normal 3 13 7 2 2" xfId="4729" xr:uid="{00000000-0005-0000-0000-0000F3140000}"/>
    <cellStyle name="Normal 3 13 7 3" xfId="4730" xr:uid="{00000000-0005-0000-0000-0000F4140000}"/>
    <cellStyle name="Normal 3 13 8" xfId="4731" xr:uid="{00000000-0005-0000-0000-0000F5140000}"/>
    <cellStyle name="Normal 3 13 8 2" xfId="4732" xr:uid="{00000000-0005-0000-0000-0000F6140000}"/>
    <cellStyle name="Normal 3 13 8 2 2" xfId="4733" xr:uid="{00000000-0005-0000-0000-0000F7140000}"/>
    <cellStyle name="Normal 3 13 8 3" xfId="4734" xr:uid="{00000000-0005-0000-0000-0000F8140000}"/>
    <cellStyle name="Normal 3 13 9" xfId="4735" xr:uid="{00000000-0005-0000-0000-0000F9140000}"/>
    <cellStyle name="Normal 3 13 9 2" xfId="4736" xr:uid="{00000000-0005-0000-0000-0000FA140000}"/>
    <cellStyle name="Normal 3 13 9 2 2" xfId="4737" xr:uid="{00000000-0005-0000-0000-0000FB140000}"/>
    <cellStyle name="Normal 3 13 9 3" xfId="4738" xr:uid="{00000000-0005-0000-0000-0000FC140000}"/>
    <cellStyle name="Normal 3 14" xfId="4739" xr:uid="{00000000-0005-0000-0000-0000FD140000}"/>
    <cellStyle name="Normal 3 14 10" xfId="4740" xr:uid="{00000000-0005-0000-0000-0000FE140000}"/>
    <cellStyle name="Normal 3 14 10 2" xfId="4741" xr:uid="{00000000-0005-0000-0000-0000FF140000}"/>
    <cellStyle name="Normal 3 14 10 2 2" xfId="4742" xr:uid="{00000000-0005-0000-0000-000000150000}"/>
    <cellStyle name="Normal 3 14 10 3" xfId="4743" xr:uid="{00000000-0005-0000-0000-000001150000}"/>
    <cellStyle name="Normal 3 14 11" xfId="4744" xr:uid="{00000000-0005-0000-0000-000002150000}"/>
    <cellStyle name="Normal 3 14 11 2" xfId="4745" xr:uid="{00000000-0005-0000-0000-000003150000}"/>
    <cellStyle name="Normal 3 14 11 2 2" xfId="4746" xr:uid="{00000000-0005-0000-0000-000004150000}"/>
    <cellStyle name="Normal 3 14 11 3" xfId="4747" xr:uid="{00000000-0005-0000-0000-000005150000}"/>
    <cellStyle name="Normal 3 14 12" xfId="4748" xr:uid="{00000000-0005-0000-0000-000006150000}"/>
    <cellStyle name="Normal 3 14 12 2" xfId="4749" xr:uid="{00000000-0005-0000-0000-000007150000}"/>
    <cellStyle name="Normal 3 14 12 2 2" xfId="4750" xr:uid="{00000000-0005-0000-0000-000008150000}"/>
    <cellStyle name="Normal 3 14 12 3" xfId="4751" xr:uid="{00000000-0005-0000-0000-000009150000}"/>
    <cellStyle name="Normal 3 14 13" xfId="4752" xr:uid="{00000000-0005-0000-0000-00000A150000}"/>
    <cellStyle name="Normal 3 14 13 2" xfId="4753" xr:uid="{00000000-0005-0000-0000-00000B150000}"/>
    <cellStyle name="Normal 3 14 13 2 2" xfId="4754" xr:uid="{00000000-0005-0000-0000-00000C150000}"/>
    <cellStyle name="Normal 3 14 13 3" xfId="4755" xr:uid="{00000000-0005-0000-0000-00000D150000}"/>
    <cellStyle name="Normal 3 14 14" xfId="4756" xr:uid="{00000000-0005-0000-0000-00000E150000}"/>
    <cellStyle name="Normal 3 14 14 2" xfId="4757" xr:uid="{00000000-0005-0000-0000-00000F150000}"/>
    <cellStyle name="Normal 3 14 14 2 2" xfId="4758" xr:uid="{00000000-0005-0000-0000-000010150000}"/>
    <cellStyle name="Normal 3 14 14 3" xfId="4759" xr:uid="{00000000-0005-0000-0000-000011150000}"/>
    <cellStyle name="Normal 3 14 15" xfId="4760" xr:uid="{00000000-0005-0000-0000-000012150000}"/>
    <cellStyle name="Normal 3 14 15 2" xfId="4761" xr:uid="{00000000-0005-0000-0000-000013150000}"/>
    <cellStyle name="Normal 3 14 15 2 2" xfId="4762" xr:uid="{00000000-0005-0000-0000-000014150000}"/>
    <cellStyle name="Normal 3 14 15 3" xfId="4763" xr:uid="{00000000-0005-0000-0000-000015150000}"/>
    <cellStyle name="Normal 3 14 16" xfId="4764" xr:uid="{00000000-0005-0000-0000-000016150000}"/>
    <cellStyle name="Normal 3 14 16 2" xfId="4765" xr:uid="{00000000-0005-0000-0000-000017150000}"/>
    <cellStyle name="Normal 3 14 16 2 2" xfId="4766" xr:uid="{00000000-0005-0000-0000-000018150000}"/>
    <cellStyle name="Normal 3 14 16 3" xfId="4767" xr:uid="{00000000-0005-0000-0000-000019150000}"/>
    <cellStyle name="Normal 3 14 17" xfId="4768" xr:uid="{00000000-0005-0000-0000-00001A150000}"/>
    <cellStyle name="Normal 3 14 17 2" xfId="4769" xr:uid="{00000000-0005-0000-0000-00001B150000}"/>
    <cellStyle name="Normal 3 14 17 2 2" xfId="4770" xr:uid="{00000000-0005-0000-0000-00001C150000}"/>
    <cellStyle name="Normal 3 14 17 3" xfId="4771" xr:uid="{00000000-0005-0000-0000-00001D150000}"/>
    <cellStyle name="Normal 3 14 18" xfId="4772" xr:uid="{00000000-0005-0000-0000-00001E150000}"/>
    <cellStyle name="Normal 3 14 18 2" xfId="4773" xr:uid="{00000000-0005-0000-0000-00001F150000}"/>
    <cellStyle name="Normal 3 14 18 2 2" xfId="4774" xr:uid="{00000000-0005-0000-0000-000020150000}"/>
    <cellStyle name="Normal 3 14 18 3" xfId="4775" xr:uid="{00000000-0005-0000-0000-000021150000}"/>
    <cellStyle name="Normal 3 14 19" xfId="4776" xr:uid="{00000000-0005-0000-0000-000022150000}"/>
    <cellStyle name="Normal 3 14 19 2" xfId="4777" xr:uid="{00000000-0005-0000-0000-000023150000}"/>
    <cellStyle name="Normal 3 14 19 2 2" xfId="4778" xr:uid="{00000000-0005-0000-0000-000024150000}"/>
    <cellStyle name="Normal 3 14 19 3" xfId="4779" xr:uid="{00000000-0005-0000-0000-000025150000}"/>
    <cellStyle name="Normal 3 14 2" xfId="4780" xr:uid="{00000000-0005-0000-0000-000026150000}"/>
    <cellStyle name="Normal 3 14 2 2" xfId="4781" xr:uid="{00000000-0005-0000-0000-000027150000}"/>
    <cellStyle name="Normal 3 14 2 2 2" xfId="4782" xr:uid="{00000000-0005-0000-0000-000028150000}"/>
    <cellStyle name="Normal 3 14 2 3" xfId="4783" xr:uid="{00000000-0005-0000-0000-000029150000}"/>
    <cellStyle name="Normal 3 14 20" xfId="4784" xr:uid="{00000000-0005-0000-0000-00002A150000}"/>
    <cellStyle name="Normal 3 14 20 2" xfId="4785" xr:uid="{00000000-0005-0000-0000-00002B150000}"/>
    <cellStyle name="Normal 3 14 20 2 2" xfId="4786" xr:uid="{00000000-0005-0000-0000-00002C150000}"/>
    <cellStyle name="Normal 3 14 20 3" xfId="4787" xr:uid="{00000000-0005-0000-0000-00002D150000}"/>
    <cellStyle name="Normal 3 14 21" xfId="4788" xr:uid="{00000000-0005-0000-0000-00002E150000}"/>
    <cellStyle name="Normal 3 14 21 2" xfId="4789" xr:uid="{00000000-0005-0000-0000-00002F150000}"/>
    <cellStyle name="Normal 3 14 21 2 2" xfId="4790" xr:uid="{00000000-0005-0000-0000-000030150000}"/>
    <cellStyle name="Normal 3 14 21 3" xfId="4791" xr:uid="{00000000-0005-0000-0000-000031150000}"/>
    <cellStyle name="Normal 3 14 22" xfId="4792" xr:uid="{00000000-0005-0000-0000-000032150000}"/>
    <cellStyle name="Normal 3 14 22 2" xfId="4793" xr:uid="{00000000-0005-0000-0000-000033150000}"/>
    <cellStyle name="Normal 3 14 22 2 2" xfId="4794" xr:uid="{00000000-0005-0000-0000-000034150000}"/>
    <cellStyle name="Normal 3 14 22 3" xfId="4795" xr:uid="{00000000-0005-0000-0000-000035150000}"/>
    <cellStyle name="Normal 3 14 23" xfId="4796" xr:uid="{00000000-0005-0000-0000-000036150000}"/>
    <cellStyle name="Normal 3 14 23 2" xfId="4797" xr:uid="{00000000-0005-0000-0000-000037150000}"/>
    <cellStyle name="Normal 3 14 23 2 2" xfId="4798" xr:uid="{00000000-0005-0000-0000-000038150000}"/>
    <cellStyle name="Normal 3 14 23 3" xfId="4799" xr:uid="{00000000-0005-0000-0000-000039150000}"/>
    <cellStyle name="Normal 3 14 24" xfId="4800" xr:uid="{00000000-0005-0000-0000-00003A150000}"/>
    <cellStyle name="Normal 3 14 24 2" xfId="4801" xr:uid="{00000000-0005-0000-0000-00003B150000}"/>
    <cellStyle name="Normal 3 14 25" xfId="4802" xr:uid="{00000000-0005-0000-0000-00003C150000}"/>
    <cellStyle name="Normal 3 14 3" xfId="4803" xr:uid="{00000000-0005-0000-0000-00003D150000}"/>
    <cellStyle name="Normal 3 14 3 2" xfId="4804" xr:uid="{00000000-0005-0000-0000-00003E150000}"/>
    <cellStyle name="Normal 3 14 3 2 2" xfId="4805" xr:uid="{00000000-0005-0000-0000-00003F150000}"/>
    <cellStyle name="Normal 3 14 3 3" xfId="4806" xr:uid="{00000000-0005-0000-0000-000040150000}"/>
    <cellStyle name="Normal 3 14 4" xfId="4807" xr:uid="{00000000-0005-0000-0000-000041150000}"/>
    <cellStyle name="Normal 3 14 4 2" xfId="4808" xr:uid="{00000000-0005-0000-0000-000042150000}"/>
    <cellStyle name="Normal 3 14 4 2 2" xfId="4809" xr:uid="{00000000-0005-0000-0000-000043150000}"/>
    <cellStyle name="Normal 3 14 4 3" xfId="4810" xr:uid="{00000000-0005-0000-0000-000044150000}"/>
    <cellStyle name="Normal 3 14 5" xfId="4811" xr:uid="{00000000-0005-0000-0000-000045150000}"/>
    <cellStyle name="Normal 3 14 5 2" xfId="4812" xr:uid="{00000000-0005-0000-0000-000046150000}"/>
    <cellStyle name="Normal 3 14 5 2 2" xfId="4813" xr:uid="{00000000-0005-0000-0000-000047150000}"/>
    <cellStyle name="Normal 3 14 5 3" xfId="4814" xr:uid="{00000000-0005-0000-0000-000048150000}"/>
    <cellStyle name="Normal 3 14 6" xfId="4815" xr:uid="{00000000-0005-0000-0000-000049150000}"/>
    <cellStyle name="Normal 3 14 6 2" xfId="4816" xr:uid="{00000000-0005-0000-0000-00004A150000}"/>
    <cellStyle name="Normal 3 14 6 2 2" xfId="4817" xr:uid="{00000000-0005-0000-0000-00004B150000}"/>
    <cellStyle name="Normal 3 14 6 3" xfId="4818" xr:uid="{00000000-0005-0000-0000-00004C150000}"/>
    <cellStyle name="Normal 3 14 7" xfId="4819" xr:uid="{00000000-0005-0000-0000-00004D150000}"/>
    <cellStyle name="Normal 3 14 7 2" xfId="4820" xr:uid="{00000000-0005-0000-0000-00004E150000}"/>
    <cellStyle name="Normal 3 14 7 2 2" xfId="4821" xr:uid="{00000000-0005-0000-0000-00004F150000}"/>
    <cellStyle name="Normal 3 14 7 3" xfId="4822" xr:uid="{00000000-0005-0000-0000-000050150000}"/>
    <cellStyle name="Normal 3 14 8" xfId="4823" xr:uid="{00000000-0005-0000-0000-000051150000}"/>
    <cellStyle name="Normal 3 14 8 2" xfId="4824" xr:uid="{00000000-0005-0000-0000-000052150000}"/>
    <cellStyle name="Normal 3 14 8 2 2" xfId="4825" xr:uid="{00000000-0005-0000-0000-000053150000}"/>
    <cellStyle name="Normal 3 14 8 3" xfId="4826" xr:uid="{00000000-0005-0000-0000-000054150000}"/>
    <cellStyle name="Normal 3 14 9" xfId="4827" xr:uid="{00000000-0005-0000-0000-000055150000}"/>
    <cellStyle name="Normal 3 14 9 2" xfId="4828" xr:uid="{00000000-0005-0000-0000-000056150000}"/>
    <cellStyle name="Normal 3 14 9 2 2" xfId="4829" xr:uid="{00000000-0005-0000-0000-000057150000}"/>
    <cellStyle name="Normal 3 14 9 3" xfId="4830" xr:uid="{00000000-0005-0000-0000-000058150000}"/>
    <cellStyle name="Normal 3 15" xfId="4831" xr:uid="{00000000-0005-0000-0000-000059150000}"/>
    <cellStyle name="Normal 3 15 10" xfId="4832" xr:uid="{00000000-0005-0000-0000-00005A150000}"/>
    <cellStyle name="Normal 3 15 10 2" xfId="4833" xr:uid="{00000000-0005-0000-0000-00005B150000}"/>
    <cellStyle name="Normal 3 15 10 2 2" xfId="4834" xr:uid="{00000000-0005-0000-0000-00005C150000}"/>
    <cellStyle name="Normal 3 15 10 3" xfId="4835" xr:uid="{00000000-0005-0000-0000-00005D150000}"/>
    <cellStyle name="Normal 3 15 11" xfId="4836" xr:uid="{00000000-0005-0000-0000-00005E150000}"/>
    <cellStyle name="Normal 3 15 11 2" xfId="4837" xr:uid="{00000000-0005-0000-0000-00005F150000}"/>
    <cellStyle name="Normal 3 15 11 2 2" xfId="4838" xr:uid="{00000000-0005-0000-0000-000060150000}"/>
    <cellStyle name="Normal 3 15 11 3" xfId="4839" xr:uid="{00000000-0005-0000-0000-000061150000}"/>
    <cellStyle name="Normal 3 15 12" xfId="4840" xr:uid="{00000000-0005-0000-0000-000062150000}"/>
    <cellStyle name="Normal 3 15 12 2" xfId="4841" xr:uid="{00000000-0005-0000-0000-000063150000}"/>
    <cellStyle name="Normal 3 15 12 2 2" xfId="4842" xr:uid="{00000000-0005-0000-0000-000064150000}"/>
    <cellStyle name="Normal 3 15 12 3" xfId="4843" xr:uid="{00000000-0005-0000-0000-000065150000}"/>
    <cellStyle name="Normal 3 15 13" xfId="4844" xr:uid="{00000000-0005-0000-0000-000066150000}"/>
    <cellStyle name="Normal 3 15 13 2" xfId="4845" xr:uid="{00000000-0005-0000-0000-000067150000}"/>
    <cellStyle name="Normal 3 15 13 2 2" xfId="4846" xr:uid="{00000000-0005-0000-0000-000068150000}"/>
    <cellStyle name="Normal 3 15 13 3" xfId="4847" xr:uid="{00000000-0005-0000-0000-000069150000}"/>
    <cellStyle name="Normal 3 15 14" xfId="4848" xr:uid="{00000000-0005-0000-0000-00006A150000}"/>
    <cellStyle name="Normal 3 15 14 2" xfId="4849" xr:uid="{00000000-0005-0000-0000-00006B150000}"/>
    <cellStyle name="Normal 3 15 14 2 2" xfId="4850" xr:uid="{00000000-0005-0000-0000-00006C150000}"/>
    <cellStyle name="Normal 3 15 14 3" xfId="4851" xr:uid="{00000000-0005-0000-0000-00006D150000}"/>
    <cellStyle name="Normal 3 15 15" xfId="4852" xr:uid="{00000000-0005-0000-0000-00006E150000}"/>
    <cellStyle name="Normal 3 15 15 2" xfId="4853" xr:uid="{00000000-0005-0000-0000-00006F150000}"/>
    <cellStyle name="Normal 3 15 15 2 2" xfId="4854" xr:uid="{00000000-0005-0000-0000-000070150000}"/>
    <cellStyle name="Normal 3 15 15 3" xfId="4855" xr:uid="{00000000-0005-0000-0000-000071150000}"/>
    <cellStyle name="Normal 3 15 16" xfId="4856" xr:uid="{00000000-0005-0000-0000-000072150000}"/>
    <cellStyle name="Normal 3 15 16 2" xfId="4857" xr:uid="{00000000-0005-0000-0000-000073150000}"/>
    <cellStyle name="Normal 3 15 16 2 2" xfId="4858" xr:uid="{00000000-0005-0000-0000-000074150000}"/>
    <cellStyle name="Normal 3 15 16 3" xfId="4859" xr:uid="{00000000-0005-0000-0000-000075150000}"/>
    <cellStyle name="Normal 3 15 17" xfId="4860" xr:uid="{00000000-0005-0000-0000-000076150000}"/>
    <cellStyle name="Normal 3 15 17 2" xfId="4861" xr:uid="{00000000-0005-0000-0000-000077150000}"/>
    <cellStyle name="Normal 3 15 17 2 2" xfId="4862" xr:uid="{00000000-0005-0000-0000-000078150000}"/>
    <cellStyle name="Normal 3 15 17 3" xfId="4863" xr:uid="{00000000-0005-0000-0000-000079150000}"/>
    <cellStyle name="Normal 3 15 18" xfId="4864" xr:uid="{00000000-0005-0000-0000-00007A150000}"/>
    <cellStyle name="Normal 3 15 18 2" xfId="4865" xr:uid="{00000000-0005-0000-0000-00007B150000}"/>
    <cellStyle name="Normal 3 15 18 2 2" xfId="4866" xr:uid="{00000000-0005-0000-0000-00007C150000}"/>
    <cellStyle name="Normal 3 15 18 3" xfId="4867" xr:uid="{00000000-0005-0000-0000-00007D150000}"/>
    <cellStyle name="Normal 3 15 19" xfId="4868" xr:uid="{00000000-0005-0000-0000-00007E150000}"/>
    <cellStyle name="Normal 3 15 19 2" xfId="4869" xr:uid="{00000000-0005-0000-0000-00007F150000}"/>
    <cellStyle name="Normal 3 15 19 2 2" xfId="4870" xr:uid="{00000000-0005-0000-0000-000080150000}"/>
    <cellStyle name="Normal 3 15 19 3" xfId="4871" xr:uid="{00000000-0005-0000-0000-000081150000}"/>
    <cellStyle name="Normal 3 15 2" xfId="4872" xr:uid="{00000000-0005-0000-0000-000082150000}"/>
    <cellStyle name="Normal 3 15 2 2" xfId="4873" xr:uid="{00000000-0005-0000-0000-000083150000}"/>
    <cellStyle name="Normal 3 15 2 2 2" xfId="4874" xr:uid="{00000000-0005-0000-0000-000084150000}"/>
    <cellStyle name="Normal 3 15 2 3" xfId="4875" xr:uid="{00000000-0005-0000-0000-000085150000}"/>
    <cellStyle name="Normal 3 15 20" xfId="4876" xr:uid="{00000000-0005-0000-0000-000086150000}"/>
    <cellStyle name="Normal 3 15 20 2" xfId="4877" xr:uid="{00000000-0005-0000-0000-000087150000}"/>
    <cellStyle name="Normal 3 15 20 2 2" xfId="4878" xr:uid="{00000000-0005-0000-0000-000088150000}"/>
    <cellStyle name="Normal 3 15 20 3" xfId="4879" xr:uid="{00000000-0005-0000-0000-000089150000}"/>
    <cellStyle name="Normal 3 15 21" xfId="4880" xr:uid="{00000000-0005-0000-0000-00008A150000}"/>
    <cellStyle name="Normal 3 15 21 2" xfId="4881" xr:uid="{00000000-0005-0000-0000-00008B150000}"/>
    <cellStyle name="Normal 3 15 21 2 2" xfId="4882" xr:uid="{00000000-0005-0000-0000-00008C150000}"/>
    <cellStyle name="Normal 3 15 21 3" xfId="4883" xr:uid="{00000000-0005-0000-0000-00008D150000}"/>
    <cellStyle name="Normal 3 15 22" xfId="4884" xr:uid="{00000000-0005-0000-0000-00008E150000}"/>
    <cellStyle name="Normal 3 15 22 2" xfId="4885" xr:uid="{00000000-0005-0000-0000-00008F150000}"/>
    <cellStyle name="Normal 3 15 22 2 2" xfId="4886" xr:uid="{00000000-0005-0000-0000-000090150000}"/>
    <cellStyle name="Normal 3 15 22 3" xfId="4887" xr:uid="{00000000-0005-0000-0000-000091150000}"/>
    <cellStyle name="Normal 3 15 23" xfId="4888" xr:uid="{00000000-0005-0000-0000-000092150000}"/>
    <cellStyle name="Normal 3 15 23 2" xfId="4889" xr:uid="{00000000-0005-0000-0000-000093150000}"/>
    <cellStyle name="Normal 3 15 23 2 2" xfId="4890" xr:uid="{00000000-0005-0000-0000-000094150000}"/>
    <cellStyle name="Normal 3 15 23 3" xfId="4891" xr:uid="{00000000-0005-0000-0000-000095150000}"/>
    <cellStyle name="Normal 3 15 24" xfId="4892" xr:uid="{00000000-0005-0000-0000-000096150000}"/>
    <cellStyle name="Normal 3 15 24 2" xfId="4893" xr:uid="{00000000-0005-0000-0000-000097150000}"/>
    <cellStyle name="Normal 3 15 25" xfId="4894" xr:uid="{00000000-0005-0000-0000-000098150000}"/>
    <cellStyle name="Normal 3 15 3" xfId="4895" xr:uid="{00000000-0005-0000-0000-000099150000}"/>
    <cellStyle name="Normal 3 15 3 2" xfId="4896" xr:uid="{00000000-0005-0000-0000-00009A150000}"/>
    <cellStyle name="Normal 3 15 3 2 2" xfId="4897" xr:uid="{00000000-0005-0000-0000-00009B150000}"/>
    <cellStyle name="Normal 3 15 3 3" xfId="4898" xr:uid="{00000000-0005-0000-0000-00009C150000}"/>
    <cellStyle name="Normal 3 15 4" xfId="4899" xr:uid="{00000000-0005-0000-0000-00009D150000}"/>
    <cellStyle name="Normal 3 15 4 2" xfId="4900" xr:uid="{00000000-0005-0000-0000-00009E150000}"/>
    <cellStyle name="Normal 3 15 4 2 2" xfId="4901" xr:uid="{00000000-0005-0000-0000-00009F150000}"/>
    <cellStyle name="Normal 3 15 4 3" xfId="4902" xr:uid="{00000000-0005-0000-0000-0000A0150000}"/>
    <cellStyle name="Normal 3 15 5" xfId="4903" xr:uid="{00000000-0005-0000-0000-0000A1150000}"/>
    <cellStyle name="Normal 3 15 5 2" xfId="4904" xr:uid="{00000000-0005-0000-0000-0000A2150000}"/>
    <cellStyle name="Normal 3 15 5 2 2" xfId="4905" xr:uid="{00000000-0005-0000-0000-0000A3150000}"/>
    <cellStyle name="Normal 3 15 5 3" xfId="4906" xr:uid="{00000000-0005-0000-0000-0000A4150000}"/>
    <cellStyle name="Normal 3 15 6" xfId="4907" xr:uid="{00000000-0005-0000-0000-0000A5150000}"/>
    <cellStyle name="Normal 3 15 6 2" xfId="4908" xr:uid="{00000000-0005-0000-0000-0000A6150000}"/>
    <cellStyle name="Normal 3 15 6 2 2" xfId="4909" xr:uid="{00000000-0005-0000-0000-0000A7150000}"/>
    <cellStyle name="Normal 3 15 6 3" xfId="4910" xr:uid="{00000000-0005-0000-0000-0000A8150000}"/>
    <cellStyle name="Normal 3 15 7" xfId="4911" xr:uid="{00000000-0005-0000-0000-0000A9150000}"/>
    <cellStyle name="Normal 3 15 7 2" xfId="4912" xr:uid="{00000000-0005-0000-0000-0000AA150000}"/>
    <cellStyle name="Normal 3 15 7 2 2" xfId="4913" xr:uid="{00000000-0005-0000-0000-0000AB150000}"/>
    <cellStyle name="Normal 3 15 7 3" xfId="4914" xr:uid="{00000000-0005-0000-0000-0000AC150000}"/>
    <cellStyle name="Normal 3 15 8" xfId="4915" xr:uid="{00000000-0005-0000-0000-0000AD150000}"/>
    <cellStyle name="Normal 3 15 8 2" xfId="4916" xr:uid="{00000000-0005-0000-0000-0000AE150000}"/>
    <cellStyle name="Normal 3 15 8 2 2" xfId="4917" xr:uid="{00000000-0005-0000-0000-0000AF150000}"/>
    <cellStyle name="Normal 3 15 8 3" xfId="4918" xr:uid="{00000000-0005-0000-0000-0000B0150000}"/>
    <cellStyle name="Normal 3 15 9" xfId="4919" xr:uid="{00000000-0005-0000-0000-0000B1150000}"/>
    <cellStyle name="Normal 3 15 9 2" xfId="4920" xr:uid="{00000000-0005-0000-0000-0000B2150000}"/>
    <cellStyle name="Normal 3 15 9 2 2" xfId="4921" xr:uid="{00000000-0005-0000-0000-0000B3150000}"/>
    <cellStyle name="Normal 3 15 9 3" xfId="4922" xr:uid="{00000000-0005-0000-0000-0000B4150000}"/>
    <cellStyle name="Normal 3 16" xfId="4923" xr:uid="{00000000-0005-0000-0000-0000B5150000}"/>
    <cellStyle name="Normal 3 16 10" xfId="4924" xr:uid="{00000000-0005-0000-0000-0000B6150000}"/>
    <cellStyle name="Normal 3 16 10 2" xfId="4925" xr:uid="{00000000-0005-0000-0000-0000B7150000}"/>
    <cellStyle name="Normal 3 16 10 2 2" xfId="4926" xr:uid="{00000000-0005-0000-0000-0000B8150000}"/>
    <cellStyle name="Normal 3 16 10 3" xfId="4927" xr:uid="{00000000-0005-0000-0000-0000B9150000}"/>
    <cellStyle name="Normal 3 16 11" xfId="4928" xr:uid="{00000000-0005-0000-0000-0000BA150000}"/>
    <cellStyle name="Normal 3 16 11 2" xfId="4929" xr:uid="{00000000-0005-0000-0000-0000BB150000}"/>
    <cellStyle name="Normal 3 16 11 2 2" xfId="4930" xr:uid="{00000000-0005-0000-0000-0000BC150000}"/>
    <cellStyle name="Normal 3 16 11 3" xfId="4931" xr:uid="{00000000-0005-0000-0000-0000BD150000}"/>
    <cellStyle name="Normal 3 16 12" xfId="4932" xr:uid="{00000000-0005-0000-0000-0000BE150000}"/>
    <cellStyle name="Normal 3 16 12 2" xfId="4933" xr:uid="{00000000-0005-0000-0000-0000BF150000}"/>
    <cellStyle name="Normal 3 16 12 2 2" xfId="4934" xr:uid="{00000000-0005-0000-0000-0000C0150000}"/>
    <cellStyle name="Normal 3 16 12 3" xfId="4935" xr:uid="{00000000-0005-0000-0000-0000C1150000}"/>
    <cellStyle name="Normal 3 16 13" xfId="4936" xr:uid="{00000000-0005-0000-0000-0000C2150000}"/>
    <cellStyle name="Normal 3 16 13 2" xfId="4937" xr:uid="{00000000-0005-0000-0000-0000C3150000}"/>
    <cellStyle name="Normal 3 16 13 2 2" xfId="4938" xr:uid="{00000000-0005-0000-0000-0000C4150000}"/>
    <cellStyle name="Normal 3 16 13 3" xfId="4939" xr:uid="{00000000-0005-0000-0000-0000C5150000}"/>
    <cellStyle name="Normal 3 16 14" xfId="4940" xr:uid="{00000000-0005-0000-0000-0000C6150000}"/>
    <cellStyle name="Normal 3 16 14 2" xfId="4941" xr:uid="{00000000-0005-0000-0000-0000C7150000}"/>
    <cellStyle name="Normal 3 16 14 2 2" xfId="4942" xr:uid="{00000000-0005-0000-0000-0000C8150000}"/>
    <cellStyle name="Normal 3 16 14 3" xfId="4943" xr:uid="{00000000-0005-0000-0000-0000C9150000}"/>
    <cellStyle name="Normal 3 16 15" xfId="4944" xr:uid="{00000000-0005-0000-0000-0000CA150000}"/>
    <cellStyle name="Normal 3 16 15 2" xfId="4945" xr:uid="{00000000-0005-0000-0000-0000CB150000}"/>
    <cellStyle name="Normal 3 16 15 2 2" xfId="4946" xr:uid="{00000000-0005-0000-0000-0000CC150000}"/>
    <cellStyle name="Normal 3 16 15 3" xfId="4947" xr:uid="{00000000-0005-0000-0000-0000CD150000}"/>
    <cellStyle name="Normal 3 16 16" xfId="4948" xr:uid="{00000000-0005-0000-0000-0000CE150000}"/>
    <cellStyle name="Normal 3 16 16 2" xfId="4949" xr:uid="{00000000-0005-0000-0000-0000CF150000}"/>
    <cellStyle name="Normal 3 16 16 2 2" xfId="4950" xr:uid="{00000000-0005-0000-0000-0000D0150000}"/>
    <cellStyle name="Normal 3 16 16 3" xfId="4951" xr:uid="{00000000-0005-0000-0000-0000D1150000}"/>
    <cellStyle name="Normal 3 16 17" xfId="4952" xr:uid="{00000000-0005-0000-0000-0000D2150000}"/>
    <cellStyle name="Normal 3 16 17 2" xfId="4953" xr:uid="{00000000-0005-0000-0000-0000D3150000}"/>
    <cellStyle name="Normal 3 16 17 2 2" xfId="4954" xr:uid="{00000000-0005-0000-0000-0000D4150000}"/>
    <cellStyle name="Normal 3 16 17 3" xfId="4955" xr:uid="{00000000-0005-0000-0000-0000D5150000}"/>
    <cellStyle name="Normal 3 16 18" xfId="4956" xr:uid="{00000000-0005-0000-0000-0000D6150000}"/>
    <cellStyle name="Normal 3 16 18 2" xfId="4957" xr:uid="{00000000-0005-0000-0000-0000D7150000}"/>
    <cellStyle name="Normal 3 16 18 2 2" xfId="4958" xr:uid="{00000000-0005-0000-0000-0000D8150000}"/>
    <cellStyle name="Normal 3 16 18 3" xfId="4959" xr:uid="{00000000-0005-0000-0000-0000D9150000}"/>
    <cellStyle name="Normal 3 16 19" xfId="4960" xr:uid="{00000000-0005-0000-0000-0000DA150000}"/>
    <cellStyle name="Normal 3 16 19 2" xfId="4961" xr:uid="{00000000-0005-0000-0000-0000DB150000}"/>
    <cellStyle name="Normal 3 16 19 2 2" xfId="4962" xr:uid="{00000000-0005-0000-0000-0000DC150000}"/>
    <cellStyle name="Normal 3 16 19 3" xfId="4963" xr:uid="{00000000-0005-0000-0000-0000DD150000}"/>
    <cellStyle name="Normal 3 16 2" xfId="4964" xr:uid="{00000000-0005-0000-0000-0000DE150000}"/>
    <cellStyle name="Normal 3 16 2 2" xfId="4965" xr:uid="{00000000-0005-0000-0000-0000DF150000}"/>
    <cellStyle name="Normal 3 16 2 2 2" xfId="4966" xr:uid="{00000000-0005-0000-0000-0000E0150000}"/>
    <cellStyle name="Normal 3 16 2 3" xfId="4967" xr:uid="{00000000-0005-0000-0000-0000E1150000}"/>
    <cellStyle name="Normal 3 16 20" xfId="4968" xr:uid="{00000000-0005-0000-0000-0000E2150000}"/>
    <cellStyle name="Normal 3 16 20 2" xfId="4969" xr:uid="{00000000-0005-0000-0000-0000E3150000}"/>
    <cellStyle name="Normal 3 16 20 2 2" xfId="4970" xr:uid="{00000000-0005-0000-0000-0000E4150000}"/>
    <cellStyle name="Normal 3 16 20 3" xfId="4971" xr:uid="{00000000-0005-0000-0000-0000E5150000}"/>
    <cellStyle name="Normal 3 16 21" xfId="4972" xr:uid="{00000000-0005-0000-0000-0000E6150000}"/>
    <cellStyle name="Normal 3 16 21 2" xfId="4973" xr:uid="{00000000-0005-0000-0000-0000E7150000}"/>
    <cellStyle name="Normal 3 16 21 2 2" xfId="4974" xr:uid="{00000000-0005-0000-0000-0000E8150000}"/>
    <cellStyle name="Normal 3 16 21 3" xfId="4975" xr:uid="{00000000-0005-0000-0000-0000E9150000}"/>
    <cellStyle name="Normal 3 16 22" xfId="4976" xr:uid="{00000000-0005-0000-0000-0000EA150000}"/>
    <cellStyle name="Normal 3 16 22 2" xfId="4977" xr:uid="{00000000-0005-0000-0000-0000EB150000}"/>
    <cellStyle name="Normal 3 16 22 2 2" xfId="4978" xr:uid="{00000000-0005-0000-0000-0000EC150000}"/>
    <cellStyle name="Normal 3 16 22 3" xfId="4979" xr:uid="{00000000-0005-0000-0000-0000ED150000}"/>
    <cellStyle name="Normal 3 16 23" xfId="4980" xr:uid="{00000000-0005-0000-0000-0000EE150000}"/>
    <cellStyle name="Normal 3 16 23 2" xfId="4981" xr:uid="{00000000-0005-0000-0000-0000EF150000}"/>
    <cellStyle name="Normal 3 16 23 2 2" xfId="4982" xr:uid="{00000000-0005-0000-0000-0000F0150000}"/>
    <cellStyle name="Normal 3 16 23 3" xfId="4983" xr:uid="{00000000-0005-0000-0000-0000F1150000}"/>
    <cellStyle name="Normal 3 16 24" xfId="4984" xr:uid="{00000000-0005-0000-0000-0000F2150000}"/>
    <cellStyle name="Normal 3 16 24 2" xfId="4985" xr:uid="{00000000-0005-0000-0000-0000F3150000}"/>
    <cellStyle name="Normal 3 16 25" xfId="4986" xr:uid="{00000000-0005-0000-0000-0000F4150000}"/>
    <cellStyle name="Normal 3 16 3" xfId="4987" xr:uid="{00000000-0005-0000-0000-0000F5150000}"/>
    <cellStyle name="Normal 3 16 3 2" xfId="4988" xr:uid="{00000000-0005-0000-0000-0000F6150000}"/>
    <cellStyle name="Normal 3 16 3 2 2" xfId="4989" xr:uid="{00000000-0005-0000-0000-0000F7150000}"/>
    <cellStyle name="Normal 3 16 3 3" xfId="4990" xr:uid="{00000000-0005-0000-0000-0000F8150000}"/>
    <cellStyle name="Normal 3 16 4" xfId="4991" xr:uid="{00000000-0005-0000-0000-0000F9150000}"/>
    <cellStyle name="Normal 3 16 4 2" xfId="4992" xr:uid="{00000000-0005-0000-0000-0000FA150000}"/>
    <cellStyle name="Normal 3 16 4 2 2" xfId="4993" xr:uid="{00000000-0005-0000-0000-0000FB150000}"/>
    <cellStyle name="Normal 3 16 4 3" xfId="4994" xr:uid="{00000000-0005-0000-0000-0000FC150000}"/>
    <cellStyle name="Normal 3 16 5" xfId="4995" xr:uid="{00000000-0005-0000-0000-0000FD150000}"/>
    <cellStyle name="Normal 3 16 5 2" xfId="4996" xr:uid="{00000000-0005-0000-0000-0000FE150000}"/>
    <cellStyle name="Normal 3 16 5 2 2" xfId="4997" xr:uid="{00000000-0005-0000-0000-0000FF150000}"/>
    <cellStyle name="Normal 3 16 5 3" xfId="4998" xr:uid="{00000000-0005-0000-0000-000000160000}"/>
    <cellStyle name="Normal 3 16 6" xfId="4999" xr:uid="{00000000-0005-0000-0000-000001160000}"/>
    <cellStyle name="Normal 3 16 6 2" xfId="5000" xr:uid="{00000000-0005-0000-0000-000002160000}"/>
    <cellStyle name="Normal 3 16 6 2 2" xfId="5001" xr:uid="{00000000-0005-0000-0000-000003160000}"/>
    <cellStyle name="Normal 3 16 6 3" xfId="5002" xr:uid="{00000000-0005-0000-0000-000004160000}"/>
    <cellStyle name="Normal 3 16 7" xfId="5003" xr:uid="{00000000-0005-0000-0000-000005160000}"/>
    <cellStyle name="Normal 3 16 7 2" xfId="5004" xr:uid="{00000000-0005-0000-0000-000006160000}"/>
    <cellStyle name="Normal 3 16 7 2 2" xfId="5005" xr:uid="{00000000-0005-0000-0000-000007160000}"/>
    <cellStyle name="Normal 3 16 7 3" xfId="5006" xr:uid="{00000000-0005-0000-0000-000008160000}"/>
    <cellStyle name="Normal 3 16 8" xfId="5007" xr:uid="{00000000-0005-0000-0000-000009160000}"/>
    <cellStyle name="Normal 3 16 8 2" xfId="5008" xr:uid="{00000000-0005-0000-0000-00000A160000}"/>
    <cellStyle name="Normal 3 16 8 2 2" xfId="5009" xr:uid="{00000000-0005-0000-0000-00000B160000}"/>
    <cellStyle name="Normal 3 16 8 3" xfId="5010" xr:uid="{00000000-0005-0000-0000-00000C160000}"/>
    <cellStyle name="Normal 3 16 9" xfId="5011" xr:uid="{00000000-0005-0000-0000-00000D160000}"/>
    <cellStyle name="Normal 3 16 9 2" xfId="5012" xr:uid="{00000000-0005-0000-0000-00000E160000}"/>
    <cellStyle name="Normal 3 16 9 2 2" xfId="5013" xr:uid="{00000000-0005-0000-0000-00000F160000}"/>
    <cellStyle name="Normal 3 16 9 3" xfId="5014" xr:uid="{00000000-0005-0000-0000-000010160000}"/>
    <cellStyle name="Normal 3 17" xfId="5015" xr:uid="{00000000-0005-0000-0000-000011160000}"/>
    <cellStyle name="Normal 3 17 10" xfId="5016" xr:uid="{00000000-0005-0000-0000-000012160000}"/>
    <cellStyle name="Normal 3 17 10 2" xfId="5017" xr:uid="{00000000-0005-0000-0000-000013160000}"/>
    <cellStyle name="Normal 3 17 10 2 2" xfId="5018" xr:uid="{00000000-0005-0000-0000-000014160000}"/>
    <cellStyle name="Normal 3 17 10 3" xfId="5019" xr:uid="{00000000-0005-0000-0000-000015160000}"/>
    <cellStyle name="Normal 3 17 11" xfId="5020" xr:uid="{00000000-0005-0000-0000-000016160000}"/>
    <cellStyle name="Normal 3 17 11 2" xfId="5021" xr:uid="{00000000-0005-0000-0000-000017160000}"/>
    <cellStyle name="Normal 3 17 11 2 2" xfId="5022" xr:uid="{00000000-0005-0000-0000-000018160000}"/>
    <cellStyle name="Normal 3 17 11 3" xfId="5023" xr:uid="{00000000-0005-0000-0000-000019160000}"/>
    <cellStyle name="Normal 3 17 12" xfId="5024" xr:uid="{00000000-0005-0000-0000-00001A160000}"/>
    <cellStyle name="Normal 3 17 12 2" xfId="5025" xr:uid="{00000000-0005-0000-0000-00001B160000}"/>
    <cellStyle name="Normal 3 17 12 2 2" xfId="5026" xr:uid="{00000000-0005-0000-0000-00001C160000}"/>
    <cellStyle name="Normal 3 17 12 3" xfId="5027" xr:uid="{00000000-0005-0000-0000-00001D160000}"/>
    <cellStyle name="Normal 3 17 13" xfId="5028" xr:uid="{00000000-0005-0000-0000-00001E160000}"/>
    <cellStyle name="Normal 3 17 13 2" xfId="5029" xr:uid="{00000000-0005-0000-0000-00001F160000}"/>
    <cellStyle name="Normal 3 17 13 2 2" xfId="5030" xr:uid="{00000000-0005-0000-0000-000020160000}"/>
    <cellStyle name="Normal 3 17 13 3" xfId="5031" xr:uid="{00000000-0005-0000-0000-000021160000}"/>
    <cellStyle name="Normal 3 17 14" xfId="5032" xr:uid="{00000000-0005-0000-0000-000022160000}"/>
    <cellStyle name="Normal 3 17 14 2" xfId="5033" xr:uid="{00000000-0005-0000-0000-000023160000}"/>
    <cellStyle name="Normal 3 17 14 2 2" xfId="5034" xr:uid="{00000000-0005-0000-0000-000024160000}"/>
    <cellStyle name="Normal 3 17 14 3" xfId="5035" xr:uid="{00000000-0005-0000-0000-000025160000}"/>
    <cellStyle name="Normal 3 17 15" xfId="5036" xr:uid="{00000000-0005-0000-0000-000026160000}"/>
    <cellStyle name="Normal 3 17 15 2" xfId="5037" xr:uid="{00000000-0005-0000-0000-000027160000}"/>
    <cellStyle name="Normal 3 17 15 2 2" xfId="5038" xr:uid="{00000000-0005-0000-0000-000028160000}"/>
    <cellStyle name="Normal 3 17 15 3" xfId="5039" xr:uid="{00000000-0005-0000-0000-000029160000}"/>
    <cellStyle name="Normal 3 17 16" xfId="5040" xr:uid="{00000000-0005-0000-0000-00002A160000}"/>
    <cellStyle name="Normal 3 17 16 2" xfId="5041" xr:uid="{00000000-0005-0000-0000-00002B160000}"/>
    <cellStyle name="Normal 3 17 16 2 2" xfId="5042" xr:uid="{00000000-0005-0000-0000-00002C160000}"/>
    <cellStyle name="Normal 3 17 16 3" xfId="5043" xr:uid="{00000000-0005-0000-0000-00002D160000}"/>
    <cellStyle name="Normal 3 17 17" xfId="5044" xr:uid="{00000000-0005-0000-0000-00002E160000}"/>
    <cellStyle name="Normal 3 17 17 2" xfId="5045" xr:uid="{00000000-0005-0000-0000-00002F160000}"/>
    <cellStyle name="Normal 3 17 17 2 2" xfId="5046" xr:uid="{00000000-0005-0000-0000-000030160000}"/>
    <cellStyle name="Normal 3 17 17 3" xfId="5047" xr:uid="{00000000-0005-0000-0000-000031160000}"/>
    <cellStyle name="Normal 3 17 18" xfId="5048" xr:uid="{00000000-0005-0000-0000-000032160000}"/>
    <cellStyle name="Normal 3 17 18 2" xfId="5049" xr:uid="{00000000-0005-0000-0000-000033160000}"/>
    <cellStyle name="Normal 3 17 18 2 2" xfId="5050" xr:uid="{00000000-0005-0000-0000-000034160000}"/>
    <cellStyle name="Normal 3 17 18 3" xfId="5051" xr:uid="{00000000-0005-0000-0000-000035160000}"/>
    <cellStyle name="Normal 3 17 19" xfId="5052" xr:uid="{00000000-0005-0000-0000-000036160000}"/>
    <cellStyle name="Normal 3 17 19 2" xfId="5053" xr:uid="{00000000-0005-0000-0000-000037160000}"/>
    <cellStyle name="Normal 3 17 19 2 2" xfId="5054" xr:uid="{00000000-0005-0000-0000-000038160000}"/>
    <cellStyle name="Normal 3 17 19 3" xfId="5055" xr:uid="{00000000-0005-0000-0000-000039160000}"/>
    <cellStyle name="Normal 3 17 2" xfId="5056" xr:uid="{00000000-0005-0000-0000-00003A160000}"/>
    <cellStyle name="Normal 3 17 2 2" xfId="5057" xr:uid="{00000000-0005-0000-0000-00003B160000}"/>
    <cellStyle name="Normal 3 17 2 2 2" xfId="5058" xr:uid="{00000000-0005-0000-0000-00003C160000}"/>
    <cellStyle name="Normal 3 17 2 3" xfId="5059" xr:uid="{00000000-0005-0000-0000-00003D160000}"/>
    <cellStyle name="Normal 3 17 20" xfId="5060" xr:uid="{00000000-0005-0000-0000-00003E160000}"/>
    <cellStyle name="Normal 3 17 20 2" xfId="5061" xr:uid="{00000000-0005-0000-0000-00003F160000}"/>
    <cellStyle name="Normal 3 17 20 2 2" xfId="5062" xr:uid="{00000000-0005-0000-0000-000040160000}"/>
    <cellStyle name="Normal 3 17 20 3" xfId="5063" xr:uid="{00000000-0005-0000-0000-000041160000}"/>
    <cellStyle name="Normal 3 17 21" xfId="5064" xr:uid="{00000000-0005-0000-0000-000042160000}"/>
    <cellStyle name="Normal 3 17 21 2" xfId="5065" xr:uid="{00000000-0005-0000-0000-000043160000}"/>
    <cellStyle name="Normal 3 17 21 2 2" xfId="5066" xr:uid="{00000000-0005-0000-0000-000044160000}"/>
    <cellStyle name="Normal 3 17 21 3" xfId="5067" xr:uid="{00000000-0005-0000-0000-000045160000}"/>
    <cellStyle name="Normal 3 17 22" xfId="5068" xr:uid="{00000000-0005-0000-0000-000046160000}"/>
    <cellStyle name="Normal 3 17 22 2" xfId="5069" xr:uid="{00000000-0005-0000-0000-000047160000}"/>
    <cellStyle name="Normal 3 17 22 2 2" xfId="5070" xr:uid="{00000000-0005-0000-0000-000048160000}"/>
    <cellStyle name="Normal 3 17 22 3" xfId="5071" xr:uid="{00000000-0005-0000-0000-000049160000}"/>
    <cellStyle name="Normal 3 17 23" xfId="5072" xr:uid="{00000000-0005-0000-0000-00004A160000}"/>
    <cellStyle name="Normal 3 17 23 2" xfId="5073" xr:uid="{00000000-0005-0000-0000-00004B160000}"/>
    <cellStyle name="Normal 3 17 23 2 2" xfId="5074" xr:uid="{00000000-0005-0000-0000-00004C160000}"/>
    <cellStyle name="Normal 3 17 23 3" xfId="5075" xr:uid="{00000000-0005-0000-0000-00004D160000}"/>
    <cellStyle name="Normal 3 17 24" xfId="5076" xr:uid="{00000000-0005-0000-0000-00004E160000}"/>
    <cellStyle name="Normal 3 17 24 2" xfId="5077" xr:uid="{00000000-0005-0000-0000-00004F160000}"/>
    <cellStyle name="Normal 3 17 25" xfId="5078" xr:uid="{00000000-0005-0000-0000-000050160000}"/>
    <cellStyle name="Normal 3 17 3" xfId="5079" xr:uid="{00000000-0005-0000-0000-000051160000}"/>
    <cellStyle name="Normal 3 17 3 2" xfId="5080" xr:uid="{00000000-0005-0000-0000-000052160000}"/>
    <cellStyle name="Normal 3 17 3 2 2" xfId="5081" xr:uid="{00000000-0005-0000-0000-000053160000}"/>
    <cellStyle name="Normal 3 17 3 3" xfId="5082" xr:uid="{00000000-0005-0000-0000-000054160000}"/>
    <cellStyle name="Normal 3 17 4" xfId="5083" xr:uid="{00000000-0005-0000-0000-000055160000}"/>
    <cellStyle name="Normal 3 17 4 2" xfId="5084" xr:uid="{00000000-0005-0000-0000-000056160000}"/>
    <cellStyle name="Normal 3 17 4 2 2" xfId="5085" xr:uid="{00000000-0005-0000-0000-000057160000}"/>
    <cellStyle name="Normal 3 17 4 3" xfId="5086" xr:uid="{00000000-0005-0000-0000-000058160000}"/>
    <cellStyle name="Normal 3 17 5" xfId="5087" xr:uid="{00000000-0005-0000-0000-000059160000}"/>
    <cellStyle name="Normal 3 17 5 2" xfId="5088" xr:uid="{00000000-0005-0000-0000-00005A160000}"/>
    <cellStyle name="Normal 3 17 5 2 2" xfId="5089" xr:uid="{00000000-0005-0000-0000-00005B160000}"/>
    <cellStyle name="Normal 3 17 5 3" xfId="5090" xr:uid="{00000000-0005-0000-0000-00005C160000}"/>
    <cellStyle name="Normal 3 17 6" xfId="5091" xr:uid="{00000000-0005-0000-0000-00005D160000}"/>
    <cellStyle name="Normal 3 17 6 2" xfId="5092" xr:uid="{00000000-0005-0000-0000-00005E160000}"/>
    <cellStyle name="Normal 3 17 6 2 2" xfId="5093" xr:uid="{00000000-0005-0000-0000-00005F160000}"/>
    <cellStyle name="Normal 3 17 6 3" xfId="5094" xr:uid="{00000000-0005-0000-0000-000060160000}"/>
    <cellStyle name="Normal 3 17 7" xfId="5095" xr:uid="{00000000-0005-0000-0000-000061160000}"/>
    <cellStyle name="Normal 3 17 7 2" xfId="5096" xr:uid="{00000000-0005-0000-0000-000062160000}"/>
    <cellStyle name="Normal 3 17 7 2 2" xfId="5097" xr:uid="{00000000-0005-0000-0000-000063160000}"/>
    <cellStyle name="Normal 3 17 7 3" xfId="5098" xr:uid="{00000000-0005-0000-0000-000064160000}"/>
    <cellStyle name="Normal 3 17 8" xfId="5099" xr:uid="{00000000-0005-0000-0000-000065160000}"/>
    <cellStyle name="Normal 3 17 8 2" xfId="5100" xr:uid="{00000000-0005-0000-0000-000066160000}"/>
    <cellStyle name="Normal 3 17 8 2 2" xfId="5101" xr:uid="{00000000-0005-0000-0000-000067160000}"/>
    <cellStyle name="Normal 3 17 8 3" xfId="5102" xr:uid="{00000000-0005-0000-0000-000068160000}"/>
    <cellStyle name="Normal 3 17 9" xfId="5103" xr:uid="{00000000-0005-0000-0000-000069160000}"/>
    <cellStyle name="Normal 3 17 9 2" xfId="5104" xr:uid="{00000000-0005-0000-0000-00006A160000}"/>
    <cellStyle name="Normal 3 17 9 2 2" xfId="5105" xr:uid="{00000000-0005-0000-0000-00006B160000}"/>
    <cellStyle name="Normal 3 17 9 3" xfId="5106" xr:uid="{00000000-0005-0000-0000-00006C160000}"/>
    <cellStyle name="Normal 3 18" xfId="5107" xr:uid="{00000000-0005-0000-0000-00006D160000}"/>
    <cellStyle name="Normal 3 18 10" xfId="5108" xr:uid="{00000000-0005-0000-0000-00006E160000}"/>
    <cellStyle name="Normal 3 18 10 2" xfId="5109" xr:uid="{00000000-0005-0000-0000-00006F160000}"/>
    <cellStyle name="Normal 3 18 10 2 2" xfId="5110" xr:uid="{00000000-0005-0000-0000-000070160000}"/>
    <cellStyle name="Normal 3 18 10 3" xfId="5111" xr:uid="{00000000-0005-0000-0000-000071160000}"/>
    <cellStyle name="Normal 3 18 11" xfId="5112" xr:uid="{00000000-0005-0000-0000-000072160000}"/>
    <cellStyle name="Normal 3 18 11 2" xfId="5113" xr:uid="{00000000-0005-0000-0000-000073160000}"/>
    <cellStyle name="Normal 3 18 11 2 2" xfId="5114" xr:uid="{00000000-0005-0000-0000-000074160000}"/>
    <cellStyle name="Normal 3 18 11 3" xfId="5115" xr:uid="{00000000-0005-0000-0000-000075160000}"/>
    <cellStyle name="Normal 3 18 12" xfId="5116" xr:uid="{00000000-0005-0000-0000-000076160000}"/>
    <cellStyle name="Normal 3 18 12 2" xfId="5117" xr:uid="{00000000-0005-0000-0000-000077160000}"/>
    <cellStyle name="Normal 3 18 12 2 2" xfId="5118" xr:uid="{00000000-0005-0000-0000-000078160000}"/>
    <cellStyle name="Normal 3 18 12 3" xfId="5119" xr:uid="{00000000-0005-0000-0000-000079160000}"/>
    <cellStyle name="Normal 3 18 13" xfId="5120" xr:uid="{00000000-0005-0000-0000-00007A160000}"/>
    <cellStyle name="Normal 3 18 13 2" xfId="5121" xr:uid="{00000000-0005-0000-0000-00007B160000}"/>
    <cellStyle name="Normal 3 18 13 2 2" xfId="5122" xr:uid="{00000000-0005-0000-0000-00007C160000}"/>
    <cellStyle name="Normal 3 18 13 3" xfId="5123" xr:uid="{00000000-0005-0000-0000-00007D160000}"/>
    <cellStyle name="Normal 3 18 14" xfId="5124" xr:uid="{00000000-0005-0000-0000-00007E160000}"/>
    <cellStyle name="Normal 3 18 14 2" xfId="5125" xr:uid="{00000000-0005-0000-0000-00007F160000}"/>
    <cellStyle name="Normal 3 18 14 2 2" xfId="5126" xr:uid="{00000000-0005-0000-0000-000080160000}"/>
    <cellStyle name="Normal 3 18 14 3" xfId="5127" xr:uid="{00000000-0005-0000-0000-000081160000}"/>
    <cellStyle name="Normal 3 18 15" xfId="5128" xr:uid="{00000000-0005-0000-0000-000082160000}"/>
    <cellStyle name="Normal 3 18 15 2" xfId="5129" xr:uid="{00000000-0005-0000-0000-000083160000}"/>
    <cellStyle name="Normal 3 18 15 2 2" xfId="5130" xr:uid="{00000000-0005-0000-0000-000084160000}"/>
    <cellStyle name="Normal 3 18 15 3" xfId="5131" xr:uid="{00000000-0005-0000-0000-000085160000}"/>
    <cellStyle name="Normal 3 18 16" xfId="5132" xr:uid="{00000000-0005-0000-0000-000086160000}"/>
    <cellStyle name="Normal 3 18 16 2" xfId="5133" xr:uid="{00000000-0005-0000-0000-000087160000}"/>
    <cellStyle name="Normal 3 18 16 2 2" xfId="5134" xr:uid="{00000000-0005-0000-0000-000088160000}"/>
    <cellStyle name="Normal 3 18 16 3" xfId="5135" xr:uid="{00000000-0005-0000-0000-000089160000}"/>
    <cellStyle name="Normal 3 18 17" xfId="5136" xr:uid="{00000000-0005-0000-0000-00008A160000}"/>
    <cellStyle name="Normal 3 18 17 2" xfId="5137" xr:uid="{00000000-0005-0000-0000-00008B160000}"/>
    <cellStyle name="Normal 3 18 17 2 2" xfId="5138" xr:uid="{00000000-0005-0000-0000-00008C160000}"/>
    <cellStyle name="Normal 3 18 17 3" xfId="5139" xr:uid="{00000000-0005-0000-0000-00008D160000}"/>
    <cellStyle name="Normal 3 18 18" xfId="5140" xr:uid="{00000000-0005-0000-0000-00008E160000}"/>
    <cellStyle name="Normal 3 18 18 2" xfId="5141" xr:uid="{00000000-0005-0000-0000-00008F160000}"/>
    <cellStyle name="Normal 3 18 18 2 2" xfId="5142" xr:uid="{00000000-0005-0000-0000-000090160000}"/>
    <cellStyle name="Normal 3 18 18 3" xfId="5143" xr:uid="{00000000-0005-0000-0000-000091160000}"/>
    <cellStyle name="Normal 3 18 19" xfId="5144" xr:uid="{00000000-0005-0000-0000-000092160000}"/>
    <cellStyle name="Normal 3 18 19 2" xfId="5145" xr:uid="{00000000-0005-0000-0000-000093160000}"/>
    <cellStyle name="Normal 3 18 19 2 2" xfId="5146" xr:uid="{00000000-0005-0000-0000-000094160000}"/>
    <cellStyle name="Normal 3 18 19 3" xfId="5147" xr:uid="{00000000-0005-0000-0000-000095160000}"/>
    <cellStyle name="Normal 3 18 2" xfId="5148" xr:uid="{00000000-0005-0000-0000-000096160000}"/>
    <cellStyle name="Normal 3 18 2 2" xfId="5149" xr:uid="{00000000-0005-0000-0000-000097160000}"/>
    <cellStyle name="Normal 3 18 2 2 2" xfId="5150" xr:uid="{00000000-0005-0000-0000-000098160000}"/>
    <cellStyle name="Normal 3 18 2 3" xfId="5151" xr:uid="{00000000-0005-0000-0000-000099160000}"/>
    <cellStyle name="Normal 3 18 20" xfId="5152" xr:uid="{00000000-0005-0000-0000-00009A160000}"/>
    <cellStyle name="Normal 3 18 20 2" xfId="5153" xr:uid="{00000000-0005-0000-0000-00009B160000}"/>
    <cellStyle name="Normal 3 18 20 2 2" xfId="5154" xr:uid="{00000000-0005-0000-0000-00009C160000}"/>
    <cellStyle name="Normal 3 18 20 3" xfId="5155" xr:uid="{00000000-0005-0000-0000-00009D160000}"/>
    <cellStyle name="Normal 3 18 21" xfId="5156" xr:uid="{00000000-0005-0000-0000-00009E160000}"/>
    <cellStyle name="Normal 3 18 21 2" xfId="5157" xr:uid="{00000000-0005-0000-0000-00009F160000}"/>
    <cellStyle name="Normal 3 18 21 2 2" xfId="5158" xr:uid="{00000000-0005-0000-0000-0000A0160000}"/>
    <cellStyle name="Normal 3 18 21 3" xfId="5159" xr:uid="{00000000-0005-0000-0000-0000A1160000}"/>
    <cellStyle name="Normal 3 18 22" xfId="5160" xr:uid="{00000000-0005-0000-0000-0000A2160000}"/>
    <cellStyle name="Normal 3 18 22 2" xfId="5161" xr:uid="{00000000-0005-0000-0000-0000A3160000}"/>
    <cellStyle name="Normal 3 18 22 2 2" xfId="5162" xr:uid="{00000000-0005-0000-0000-0000A4160000}"/>
    <cellStyle name="Normal 3 18 22 3" xfId="5163" xr:uid="{00000000-0005-0000-0000-0000A5160000}"/>
    <cellStyle name="Normal 3 18 23" xfId="5164" xr:uid="{00000000-0005-0000-0000-0000A6160000}"/>
    <cellStyle name="Normal 3 18 23 2" xfId="5165" xr:uid="{00000000-0005-0000-0000-0000A7160000}"/>
    <cellStyle name="Normal 3 18 23 2 2" xfId="5166" xr:uid="{00000000-0005-0000-0000-0000A8160000}"/>
    <cellStyle name="Normal 3 18 23 3" xfId="5167" xr:uid="{00000000-0005-0000-0000-0000A9160000}"/>
    <cellStyle name="Normal 3 18 24" xfId="5168" xr:uid="{00000000-0005-0000-0000-0000AA160000}"/>
    <cellStyle name="Normal 3 18 24 2" xfId="5169" xr:uid="{00000000-0005-0000-0000-0000AB160000}"/>
    <cellStyle name="Normal 3 18 25" xfId="5170" xr:uid="{00000000-0005-0000-0000-0000AC160000}"/>
    <cellStyle name="Normal 3 18 3" xfId="5171" xr:uid="{00000000-0005-0000-0000-0000AD160000}"/>
    <cellStyle name="Normal 3 18 3 2" xfId="5172" xr:uid="{00000000-0005-0000-0000-0000AE160000}"/>
    <cellStyle name="Normal 3 18 3 2 2" xfId="5173" xr:uid="{00000000-0005-0000-0000-0000AF160000}"/>
    <cellStyle name="Normal 3 18 3 3" xfId="5174" xr:uid="{00000000-0005-0000-0000-0000B0160000}"/>
    <cellStyle name="Normal 3 18 4" xfId="5175" xr:uid="{00000000-0005-0000-0000-0000B1160000}"/>
    <cellStyle name="Normal 3 18 4 2" xfId="5176" xr:uid="{00000000-0005-0000-0000-0000B2160000}"/>
    <cellStyle name="Normal 3 18 4 2 2" xfId="5177" xr:uid="{00000000-0005-0000-0000-0000B3160000}"/>
    <cellStyle name="Normal 3 18 4 3" xfId="5178" xr:uid="{00000000-0005-0000-0000-0000B4160000}"/>
    <cellStyle name="Normal 3 18 5" xfId="5179" xr:uid="{00000000-0005-0000-0000-0000B5160000}"/>
    <cellStyle name="Normal 3 18 5 2" xfId="5180" xr:uid="{00000000-0005-0000-0000-0000B6160000}"/>
    <cellStyle name="Normal 3 18 5 2 2" xfId="5181" xr:uid="{00000000-0005-0000-0000-0000B7160000}"/>
    <cellStyle name="Normal 3 18 5 3" xfId="5182" xr:uid="{00000000-0005-0000-0000-0000B8160000}"/>
    <cellStyle name="Normal 3 18 6" xfId="5183" xr:uid="{00000000-0005-0000-0000-0000B9160000}"/>
    <cellStyle name="Normal 3 18 6 2" xfId="5184" xr:uid="{00000000-0005-0000-0000-0000BA160000}"/>
    <cellStyle name="Normal 3 18 6 2 2" xfId="5185" xr:uid="{00000000-0005-0000-0000-0000BB160000}"/>
    <cellStyle name="Normal 3 18 6 3" xfId="5186" xr:uid="{00000000-0005-0000-0000-0000BC160000}"/>
    <cellStyle name="Normal 3 18 7" xfId="5187" xr:uid="{00000000-0005-0000-0000-0000BD160000}"/>
    <cellStyle name="Normal 3 18 7 2" xfId="5188" xr:uid="{00000000-0005-0000-0000-0000BE160000}"/>
    <cellStyle name="Normal 3 18 7 2 2" xfId="5189" xr:uid="{00000000-0005-0000-0000-0000BF160000}"/>
    <cellStyle name="Normal 3 18 7 3" xfId="5190" xr:uid="{00000000-0005-0000-0000-0000C0160000}"/>
    <cellStyle name="Normal 3 18 8" xfId="5191" xr:uid="{00000000-0005-0000-0000-0000C1160000}"/>
    <cellStyle name="Normal 3 18 8 2" xfId="5192" xr:uid="{00000000-0005-0000-0000-0000C2160000}"/>
    <cellStyle name="Normal 3 18 8 2 2" xfId="5193" xr:uid="{00000000-0005-0000-0000-0000C3160000}"/>
    <cellStyle name="Normal 3 18 8 3" xfId="5194" xr:uid="{00000000-0005-0000-0000-0000C4160000}"/>
    <cellStyle name="Normal 3 18 9" xfId="5195" xr:uid="{00000000-0005-0000-0000-0000C5160000}"/>
    <cellStyle name="Normal 3 18 9 2" xfId="5196" xr:uid="{00000000-0005-0000-0000-0000C6160000}"/>
    <cellStyle name="Normal 3 18 9 2 2" xfId="5197" xr:uid="{00000000-0005-0000-0000-0000C7160000}"/>
    <cellStyle name="Normal 3 18 9 3" xfId="5198" xr:uid="{00000000-0005-0000-0000-0000C8160000}"/>
    <cellStyle name="Normal 3 19" xfId="5199" xr:uid="{00000000-0005-0000-0000-0000C9160000}"/>
    <cellStyle name="Normal 3 19 10" xfId="5200" xr:uid="{00000000-0005-0000-0000-0000CA160000}"/>
    <cellStyle name="Normal 3 19 10 2" xfId="5201" xr:uid="{00000000-0005-0000-0000-0000CB160000}"/>
    <cellStyle name="Normal 3 19 10 2 2" xfId="5202" xr:uid="{00000000-0005-0000-0000-0000CC160000}"/>
    <cellStyle name="Normal 3 19 10 3" xfId="5203" xr:uid="{00000000-0005-0000-0000-0000CD160000}"/>
    <cellStyle name="Normal 3 19 11" xfId="5204" xr:uid="{00000000-0005-0000-0000-0000CE160000}"/>
    <cellStyle name="Normal 3 19 11 2" xfId="5205" xr:uid="{00000000-0005-0000-0000-0000CF160000}"/>
    <cellStyle name="Normal 3 19 11 2 2" xfId="5206" xr:uid="{00000000-0005-0000-0000-0000D0160000}"/>
    <cellStyle name="Normal 3 19 11 3" xfId="5207" xr:uid="{00000000-0005-0000-0000-0000D1160000}"/>
    <cellStyle name="Normal 3 19 12" xfId="5208" xr:uid="{00000000-0005-0000-0000-0000D2160000}"/>
    <cellStyle name="Normal 3 19 12 2" xfId="5209" xr:uid="{00000000-0005-0000-0000-0000D3160000}"/>
    <cellStyle name="Normal 3 19 12 2 2" xfId="5210" xr:uid="{00000000-0005-0000-0000-0000D4160000}"/>
    <cellStyle name="Normal 3 19 12 3" xfId="5211" xr:uid="{00000000-0005-0000-0000-0000D5160000}"/>
    <cellStyle name="Normal 3 19 13" xfId="5212" xr:uid="{00000000-0005-0000-0000-0000D6160000}"/>
    <cellStyle name="Normal 3 19 13 2" xfId="5213" xr:uid="{00000000-0005-0000-0000-0000D7160000}"/>
    <cellStyle name="Normal 3 19 13 2 2" xfId="5214" xr:uid="{00000000-0005-0000-0000-0000D8160000}"/>
    <cellStyle name="Normal 3 19 13 3" xfId="5215" xr:uid="{00000000-0005-0000-0000-0000D9160000}"/>
    <cellStyle name="Normal 3 19 14" xfId="5216" xr:uid="{00000000-0005-0000-0000-0000DA160000}"/>
    <cellStyle name="Normal 3 19 14 2" xfId="5217" xr:uid="{00000000-0005-0000-0000-0000DB160000}"/>
    <cellStyle name="Normal 3 19 14 2 2" xfId="5218" xr:uid="{00000000-0005-0000-0000-0000DC160000}"/>
    <cellStyle name="Normal 3 19 14 3" xfId="5219" xr:uid="{00000000-0005-0000-0000-0000DD160000}"/>
    <cellStyle name="Normal 3 19 15" xfId="5220" xr:uid="{00000000-0005-0000-0000-0000DE160000}"/>
    <cellStyle name="Normal 3 19 15 2" xfId="5221" xr:uid="{00000000-0005-0000-0000-0000DF160000}"/>
    <cellStyle name="Normal 3 19 15 2 2" xfId="5222" xr:uid="{00000000-0005-0000-0000-0000E0160000}"/>
    <cellStyle name="Normal 3 19 15 3" xfId="5223" xr:uid="{00000000-0005-0000-0000-0000E1160000}"/>
    <cellStyle name="Normal 3 19 16" xfId="5224" xr:uid="{00000000-0005-0000-0000-0000E2160000}"/>
    <cellStyle name="Normal 3 19 16 2" xfId="5225" xr:uid="{00000000-0005-0000-0000-0000E3160000}"/>
    <cellStyle name="Normal 3 19 16 2 2" xfId="5226" xr:uid="{00000000-0005-0000-0000-0000E4160000}"/>
    <cellStyle name="Normal 3 19 16 3" xfId="5227" xr:uid="{00000000-0005-0000-0000-0000E5160000}"/>
    <cellStyle name="Normal 3 19 17" xfId="5228" xr:uid="{00000000-0005-0000-0000-0000E6160000}"/>
    <cellStyle name="Normal 3 19 17 2" xfId="5229" xr:uid="{00000000-0005-0000-0000-0000E7160000}"/>
    <cellStyle name="Normal 3 19 17 2 2" xfId="5230" xr:uid="{00000000-0005-0000-0000-0000E8160000}"/>
    <cellStyle name="Normal 3 19 17 3" xfId="5231" xr:uid="{00000000-0005-0000-0000-0000E9160000}"/>
    <cellStyle name="Normal 3 19 18" xfId="5232" xr:uid="{00000000-0005-0000-0000-0000EA160000}"/>
    <cellStyle name="Normal 3 19 18 2" xfId="5233" xr:uid="{00000000-0005-0000-0000-0000EB160000}"/>
    <cellStyle name="Normal 3 19 18 2 2" xfId="5234" xr:uid="{00000000-0005-0000-0000-0000EC160000}"/>
    <cellStyle name="Normal 3 19 18 3" xfId="5235" xr:uid="{00000000-0005-0000-0000-0000ED160000}"/>
    <cellStyle name="Normal 3 19 19" xfId="5236" xr:uid="{00000000-0005-0000-0000-0000EE160000}"/>
    <cellStyle name="Normal 3 19 19 2" xfId="5237" xr:uid="{00000000-0005-0000-0000-0000EF160000}"/>
    <cellStyle name="Normal 3 19 19 2 2" xfId="5238" xr:uid="{00000000-0005-0000-0000-0000F0160000}"/>
    <cellStyle name="Normal 3 19 19 3" xfId="5239" xr:uid="{00000000-0005-0000-0000-0000F1160000}"/>
    <cellStyle name="Normal 3 19 2" xfId="5240" xr:uid="{00000000-0005-0000-0000-0000F2160000}"/>
    <cellStyle name="Normal 3 19 2 2" xfId="5241" xr:uid="{00000000-0005-0000-0000-0000F3160000}"/>
    <cellStyle name="Normal 3 19 2 2 2" xfId="5242" xr:uid="{00000000-0005-0000-0000-0000F4160000}"/>
    <cellStyle name="Normal 3 19 2 3" xfId="5243" xr:uid="{00000000-0005-0000-0000-0000F5160000}"/>
    <cellStyle name="Normal 3 19 20" xfId="5244" xr:uid="{00000000-0005-0000-0000-0000F6160000}"/>
    <cellStyle name="Normal 3 19 20 2" xfId="5245" xr:uid="{00000000-0005-0000-0000-0000F7160000}"/>
    <cellStyle name="Normal 3 19 20 2 2" xfId="5246" xr:uid="{00000000-0005-0000-0000-0000F8160000}"/>
    <cellStyle name="Normal 3 19 20 3" xfId="5247" xr:uid="{00000000-0005-0000-0000-0000F9160000}"/>
    <cellStyle name="Normal 3 19 21" xfId="5248" xr:uid="{00000000-0005-0000-0000-0000FA160000}"/>
    <cellStyle name="Normal 3 19 21 2" xfId="5249" xr:uid="{00000000-0005-0000-0000-0000FB160000}"/>
    <cellStyle name="Normal 3 19 21 2 2" xfId="5250" xr:uid="{00000000-0005-0000-0000-0000FC160000}"/>
    <cellStyle name="Normal 3 19 21 3" xfId="5251" xr:uid="{00000000-0005-0000-0000-0000FD160000}"/>
    <cellStyle name="Normal 3 19 22" xfId="5252" xr:uid="{00000000-0005-0000-0000-0000FE160000}"/>
    <cellStyle name="Normal 3 19 22 2" xfId="5253" xr:uid="{00000000-0005-0000-0000-0000FF160000}"/>
    <cellStyle name="Normal 3 19 22 2 2" xfId="5254" xr:uid="{00000000-0005-0000-0000-000000170000}"/>
    <cellStyle name="Normal 3 19 22 3" xfId="5255" xr:uid="{00000000-0005-0000-0000-000001170000}"/>
    <cellStyle name="Normal 3 19 23" xfId="5256" xr:uid="{00000000-0005-0000-0000-000002170000}"/>
    <cellStyle name="Normal 3 19 23 2" xfId="5257" xr:uid="{00000000-0005-0000-0000-000003170000}"/>
    <cellStyle name="Normal 3 19 23 2 2" xfId="5258" xr:uid="{00000000-0005-0000-0000-000004170000}"/>
    <cellStyle name="Normal 3 19 23 3" xfId="5259" xr:uid="{00000000-0005-0000-0000-000005170000}"/>
    <cellStyle name="Normal 3 19 24" xfId="5260" xr:uid="{00000000-0005-0000-0000-000006170000}"/>
    <cellStyle name="Normal 3 19 24 2" xfId="5261" xr:uid="{00000000-0005-0000-0000-000007170000}"/>
    <cellStyle name="Normal 3 19 25" xfId="5262" xr:uid="{00000000-0005-0000-0000-000008170000}"/>
    <cellStyle name="Normal 3 19 3" xfId="5263" xr:uid="{00000000-0005-0000-0000-000009170000}"/>
    <cellStyle name="Normal 3 19 3 2" xfId="5264" xr:uid="{00000000-0005-0000-0000-00000A170000}"/>
    <cellStyle name="Normal 3 19 3 2 2" xfId="5265" xr:uid="{00000000-0005-0000-0000-00000B170000}"/>
    <cellStyle name="Normal 3 19 3 3" xfId="5266" xr:uid="{00000000-0005-0000-0000-00000C170000}"/>
    <cellStyle name="Normal 3 19 4" xfId="5267" xr:uid="{00000000-0005-0000-0000-00000D170000}"/>
    <cellStyle name="Normal 3 19 4 2" xfId="5268" xr:uid="{00000000-0005-0000-0000-00000E170000}"/>
    <cellStyle name="Normal 3 19 4 2 2" xfId="5269" xr:uid="{00000000-0005-0000-0000-00000F170000}"/>
    <cellStyle name="Normal 3 19 4 3" xfId="5270" xr:uid="{00000000-0005-0000-0000-000010170000}"/>
    <cellStyle name="Normal 3 19 5" xfId="5271" xr:uid="{00000000-0005-0000-0000-000011170000}"/>
    <cellStyle name="Normal 3 19 5 2" xfId="5272" xr:uid="{00000000-0005-0000-0000-000012170000}"/>
    <cellStyle name="Normal 3 19 5 2 2" xfId="5273" xr:uid="{00000000-0005-0000-0000-000013170000}"/>
    <cellStyle name="Normal 3 19 5 3" xfId="5274" xr:uid="{00000000-0005-0000-0000-000014170000}"/>
    <cellStyle name="Normal 3 19 6" xfId="5275" xr:uid="{00000000-0005-0000-0000-000015170000}"/>
    <cellStyle name="Normal 3 19 6 2" xfId="5276" xr:uid="{00000000-0005-0000-0000-000016170000}"/>
    <cellStyle name="Normal 3 19 6 2 2" xfId="5277" xr:uid="{00000000-0005-0000-0000-000017170000}"/>
    <cellStyle name="Normal 3 19 6 3" xfId="5278" xr:uid="{00000000-0005-0000-0000-000018170000}"/>
    <cellStyle name="Normal 3 19 7" xfId="5279" xr:uid="{00000000-0005-0000-0000-000019170000}"/>
    <cellStyle name="Normal 3 19 7 2" xfId="5280" xr:uid="{00000000-0005-0000-0000-00001A170000}"/>
    <cellStyle name="Normal 3 19 7 2 2" xfId="5281" xr:uid="{00000000-0005-0000-0000-00001B170000}"/>
    <cellStyle name="Normal 3 19 7 3" xfId="5282" xr:uid="{00000000-0005-0000-0000-00001C170000}"/>
    <cellStyle name="Normal 3 19 8" xfId="5283" xr:uid="{00000000-0005-0000-0000-00001D170000}"/>
    <cellStyle name="Normal 3 19 8 2" xfId="5284" xr:uid="{00000000-0005-0000-0000-00001E170000}"/>
    <cellStyle name="Normal 3 19 8 2 2" xfId="5285" xr:uid="{00000000-0005-0000-0000-00001F170000}"/>
    <cellStyle name="Normal 3 19 8 3" xfId="5286" xr:uid="{00000000-0005-0000-0000-000020170000}"/>
    <cellStyle name="Normal 3 19 9" xfId="5287" xr:uid="{00000000-0005-0000-0000-000021170000}"/>
    <cellStyle name="Normal 3 19 9 2" xfId="5288" xr:uid="{00000000-0005-0000-0000-000022170000}"/>
    <cellStyle name="Normal 3 19 9 2 2" xfId="5289" xr:uid="{00000000-0005-0000-0000-000023170000}"/>
    <cellStyle name="Normal 3 19 9 3" xfId="5290" xr:uid="{00000000-0005-0000-0000-000024170000}"/>
    <cellStyle name="Normal 3 2" xfId="183" xr:uid="{00000000-0005-0000-0000-000025170000}"/>
    <cellStyle name="Normal 3 2 10" xfId="5291" xr:uid="{00000000-0005-0000-0000-000026170000}"/>
    <cellStyle name="Normal 3 2 10 2" xfId="5292" xr:uid="{00000000-0005-0000-0000-000027170000}"/>
    <cellStyle name="Normal 3 2 10 2 2" xfId="5293" xr:uid="{00000000-0005-0000-0000-000028170000}"/>
    <cellStyle name="Normal 3 2 10 3" xfId="5294" xr:uid="{00000000-0005-0000-0000-000029170000}"/>
    <cellStyle name="Normal 3 2 11" xfId="5295" xr:uid="{00000000-0005-0000-0000-00002A170000}"/>
    <cellStyle name="Normal 3 2 11 2" xfId="5296" xr:uid="{00000000-0005-0000-0000-00002B170000}"/>
    <cellStyle name="Normal 3 2 11 2 2" xfId="5297" xr:uid="{00000000-0005-0000-0000-00002C170000}"/>
    <cellStyle name="Normal 3 2 11 3" xfId="5298" xr:uid="{00000000-0005-0000-0000-00002D170000}"/>
    <cellStyle name="Normal 3 2 12" xfId="5299" xr:uid="{00000000-0005-0000-0000-00002E170000}"/>
    <cellStyle name="Normal 3 2 12 2" xfId="5300" xr:uid="{00000000-0005-0000-0000-00002F170000}"/>
    <cellStyle name="Normal 3 2 12 2 2" xfId="5301" xr:uid="{00000000-0005-0000-0000-000030170000}"/>
    <cellStyle name="Normal 3 2 12 3" xfId="5302" xr:uid="{00000000-0005-0000-0000-000031170000}"/>
    <cellStyle name="Normal 3 2 13" xfId="5303" xr:uid="{00000000-0005-0000-0000-000032170000}"/>
    <cellStyle name="Normal 3 2 13 2" xfId="5304" xr:uid="{00000000-0005-0000-0000-000033170000}"/>
    <cellStyle name="Normal 3 2 13 2 2" xfId="5305" xr:uid="{00000000-0005-0000-0000-000034170000}"/>
    <cellStyle name="Normal 3 2 13 3" xfId="5306" xr:uid="{00000000-0005-0000-0000-000035170000}"/>
    <cellStyle name="Normal 3 2 14" xfId="5307" xr:uid="{00000000-0005-0000-0000-000036170000}"/>
    <cellStyle name="Normal 3 2 14 2" xfId="5308" xr:uid="{00000000-0005-0000-0000-000037170000}"/>
    <cellStyle name="Normal 3 2 14 2 2" xfId="5309" xr:uid="{00000000-0005-0000-0000-000038170000}"/>
    <cellStyle name="Normal 3 2 14 3" xfId="5310" xr:uid="{00000000-0005-0000-0000-000039170000}"/>
    <cellStyle name="Normal 3 2 15" xfId="5311" xr:uid="{00000000-0005-0000-0000-00003A170000}"/>
    <cellStyle name="Normal 3 2 15 2" xfId="5312" xr:uid="{00000000-0005-0000-0000-00003B170000}"/>
    <cellStyle name="Normal 3 2 15 2 2" xfId="5313" xr:uid="{00000000-0005-0000-0000-00003C170000}"/>
    <cellStyle name="Normal 3 2 15 3" xfId="5314" xr:uid="{00000000-0005-0000-0000-00003D170000}"/>
    <cellStyle name="Normal 3 2 16" xfId="5315" xr:uid="{00000000-0005-0000-0000-00003E170000}"/>
    <cellStyle name="Normal 3 2 16 2" xfId="5316" xr:uid="{00000000-0005-0000-0000-00003F170000}"/>
    <cellStyle name="Normal 3 2 16 2 2" xfId="5317" xr:uid="{00000000-0005-0000-0000-000040170000}"/>
    <cellStyle name="Normal 3 2 16 3" xfId="5318" xr:uid="{00000000-0005-0000-0000-000041170000}"/>
    <cellStyle name="Normal 3 2 17" xfId="5319" xr:uid="{00000000-0005-0000-0000-000042170000}"/>
    <cellStyle name="Normal 3 2 17 2" xfId="5320" xr:uid="{00000000-0005-0000-0000-000043170000}"/>
    <cellStyle name="Normal 3 2 17 2 2" xfId="5321" xr:uid="{00000000-0005-0000-0000-000044170000}"/>
    <cellStyle name="Normal 3 2 17 3" xfId="5322" xr:uid="{00000000-0005-0000-0000-000045170000}"/>
    <cellStyle name="Normal 3 2 18" xfId="5323" xr:uid="{00000000-0005-0000-0000-000046170000}"/>
    <cellStyle name="Normal 3 2 18 2" xfId="5324" xr:uid="{00000000-0005-0000-0000-000047170000}"/>
    <cellStyle name="Normal 3 2 18 2 2" xfId="5325" xr:uid="{00000000-0005-0000-0000-000048170000}"/>
    <cellStyle name="Normal 3 2 18 3" xfId="5326" xr:uid="{00000000-0005-0000-0000-000049170000}"/>
    <cellStyle name="Normal 3 2 19" xfId="5327" xr:uid="{00000000-0005-0000-0000-00004A170000}"/>
    <cellStyle name="Normal 3 2 19 2" xfId="5328" xr:uid="{00000000-0005-0000-0000-00004B170000}"/>
    <cellStyle name="Normal 3 2 19 2 2" xfId="5329" xr:uid="{00000000-0005-0000-0000-00004C170000}"/>
    <cellStyle name="Normal 3 2 19 3" xfId="5330" xr:uid="{00000000-0005-0000-0000-00004D170000}"/>
    <cellStyle name="Normal 3 2 2" xfId="184" xr:uid="{00000000-0005-0000-0000-00004E170000}"/>
    <cellStyle name="Normal 3 2 2 10" xfId="5331" xr:uid="{00000000-0005-0000-0000-00004F170000}"/>
    <cellStyle name="Normal 3 2 2 10 2" xfId="5332" xr:uid="{00000000-0005-0000-0000-000050170000}"/>
    <cellStyle name="Normal 3 2 2 10 2 2" xfId="5333" xr:uid="{00000000-0005-0000-0000-000051170000}"/>
    <cellStyle name="Normal 3 2 2 10 3" xfId="5334" xr:uid="{00000000-0005-0000-0000-000052170000}"/>
    <cellStyle name="Normal 3 2 2 11" xfId="5335" xr:uid="{00000000-0005-0000-0000-000053170000}"/>
    <cellStyle name="Normal 3 2 2 11 2" xfId="5336" xr:uid="{00000000-0005-0000-0000-000054170000}"/>
    <cellStyle name="Normal 3 2 2 11 2 2" xfId="5337" xr:uid="{00000000-0005-0000-0000-000055170000}"/>
    <cellStyle name="Normal 3 2 2 11 3" xfId="5338" xr:uid="{00000000-0005-0000-0000-000056170000}"/>
    <cellStyle name="Normal 3 2 2 12" xfId="5339" xr:uid="{00000000-0005-0000-0000-000057170000}"/>
    <cellStyle name="Normal 3 2 2 12 2" xfId="5340" xr:uid="{00000000-0005-0000-0000-000058170000}"/>
    <cellStyle name="Normal 3 2 2 12 2 2" xfId="5341" xr:uid="{00000000-0005-0000-0000-000059170000}"/>
    <cellStyle name="Normal 3 2 2 12 3" xfId="5342" xr:uid="{00000000-0005-0000-0000-00005A170000}"/>
    <cellStyle name="Normal 3 2 2 13" xfId="5343" xr:uid="{00000000-0005-0000-0000-00005B170000}"/>
    <cellStyle name="Normal 3 2 2 13 2" xfId="5344" xr:uid="{00000000-0005-0000-0000-00005C170000}"/>
    <cellStyle name="Normal 3 2 2 13 2 2" xfId="5345" xr:uid="{00000000-0005-0000-0000-00005D170000}"/>
    <cellStyle name="Normal 3 2 2 13 3" xfId="5346" xr:uid="{00000000-0005-0000-0000-00005E170000}"/>
    <cellStyle name="Normal 3 2 2 14" xfId="5347" xr:uid="{00000000-0005-0000-0000-00005F170000}"/>
    <cellStyle name="Normal 3 2 2 14 2" xfId="5348" xr:uid="{00000000-0005-0000-0000-000060170000}"/>
    <cellStyle name="Normal 3 2 2 14 2 2" xfId="5349" xr:uid="{00000000-0005-0000-0000-000061170000}"/>
    <cellStyle name="Normal 3 2 2 14 3" xfId="5350" xr:uid="{00000000-0005-0000-0000-000062170000}"/>
    <cellStyle name="Normal 3 2 2 15" xfId="5351" xr:uid="{00000000-0005-0000-0000-000063170000}"/>
    <cellStyle name="Normal 3 2 2 15 2" xfId="5352" xr:uid="{00000000-0005-0000-0000-000064170000}"/>
    <cellStyle name="Normal 3 2 2 15 2 2" xfId="5353" xr:uid="{00000000-0005-0000-0000-000065170000}"/>
    <cellStyle name="Normal 3 2 2 15 3" xfId="5354" xr:uid="{00000000-0005-0000-0000-000066170000}"/>
    <cellStyle name="Normal 3 2 2 16" xfId="5355" xr:uid="{00000000-0005-0000-0000-000067170000}"/>
    <cellStyle name="Normal 3 2 2 16 2" xfId="5356" xr:uid="{00000000-0005-0000-0000-000068170000}"/>
    <cellStyle name="Normal 3 2 2 16 2 2" xfId="5357" xr:uid="{00000000-0005-0000-0000-000069170000}"/>
    <cellStyle name="Normal 3 2 2 16 3" xfId="5358" xr:uid="{00000000-0005-0000-0000-00006A170000}"/>
    <cellStyle name="Normal 3 2 2 17" xfId="5359" xr:uid="{00000000-0005-0000-0000-00006B170000}"/>
    <cellStyle name="Normal 3 2 2 17 2" xfId="5360" xr:uid="{00000000-0005-0000-0000-00006C170000}"/>
    <cellStyle name="Normal 3 2 2 17 2 2" xfId="5361" xr:uid="{00000000-0005-0000-0000-00006D170000}"/>
    <cellStyle name="Normal 3 2 2 17 3" xfId="5362" xr:uid="{00000000-0005-0000-0000-00006E170000}"/>
    <cellStyle name="Normal 3 2 2 18" xfId="5363" xr:uid="{00000000-0005-0000-0000-00006F170000}"/>
    <cellStyle name="Normal 3 2 2 18 2" xfId="5364" xr:uid="{00000000-0005-0000-0000-000070170000}"/>
    <cellStyle name="Normal 3 2 2 18 2 2" xfId="5365" xr:uid="{00000000-0005-0000-0000-000071170000}"/>
    <cellStyle name="Normal 3 2 2 18 3" xfId="5366" xr:uid="{00000000-0005-0000-0000-000072170000}"/>
    <cellStyle name="Normal 3 2 2 19" xfId="5367" xr:uid="{00000000-0005-0000-0000-000073170000}"/>
    <cellStyle name="Normal 3 2 2 19 2" xfId="5368" xr:uid="{00000000-0005-0000-0000-000074170000}"/>
    <cellStyle name="Normal 3 2 2 19 2 2" xfId="5369" xr:uid="{00000000-0005-0000-0000-000075170000}"/>
    <cellStyle name="Normal 3 2 2 19 3" xfId="5370" xr:uid="{00000000-0005-0000-0000-000076170000}"/>
    <cellStyle name="Normal 3 2 2 2" xfId="5371" xr:uid="{00000000-0005-0000-0000-000077170000}"/>
    <cellStyle name="Normal 3 2 2 2 2" xfId="5372" xr:uid="{00000000-0005-0000-0000-000078170000}"/>
    <cellStyle name="Normal 3 2 2 2 2 2" xfId="5373" xr:uid="{00000000-0005-0000-0000-000079170000}"/>
    <cellStyle name="Normal 3 2 2 2 3" xfId="5374" xr:uid="{00000000-0005-0000-0000-00007A170000}"/>
    <cellStyle name="Normal 3 2 2 2 4" xfId="9760" xr:uid="{0F736DB6-7CD8-42F3-AF3A-DD7843C9032E}"/>
    <cellStyle name="Normal 3 2 2 2 5" xfId="11385" xr:uid="{86327F28-C0F5-4BE9-9F40-A3222B277A57}"/>
    <cellStyle name="Normal 3 2 2 2 6" xfId="9759" xr:uid="{5B5F4B38-A2D8-4373-AC3B-8C4359258616}"/>
    <cellStyle name="Normal 3 2 2 20" xfId="5375" xr:uid="{00000000-0005-0000-0000-00007B170000}"/>
    <cellStyle name="Normal 3 2 2 20 2" xfId="5376" xr:uid="{00000000-0005-0000-0000-00007C170000}"/>
    <cellStyle name="Normal 3 2 2 20 2 2" xfId="5377" xr:uid="{00000000-0005-0000-0000-00007D170000}"/>
    <cellStyle name="Normal 3 2 2 20 3" xfId="5378" xr:uid="{00000000-0005-0000-0000-00007E170000}"/>
    <cellStyle name="Normal 3 2 2 21" xfId="5379" xr:uid="{00000000-0005-0000-0000-00007F170000}"/>
    <cellStyle name="Normal 3 2 2 21 2" xfId="5380" xr:uid="{00000000-0005-0000-0000-000080170000}"/>
    <cellStyle name="Normal 3 2 2 21 2 2" xfId="5381" xr:uid="{00000000-0005-0000-0000-000081170000}"/>
    <cellStyle name="Normal 3 2 2 21 3" xfId="5382" xr:uid="{00000000-0005-0000-0000-000082170000}"/>
    <cellStyle name="Normal 3 2 2 22" xfId="5383" xr:uid="{00000000-0005-0000-0000-000083170000}"/>
    <cellStyle name="Normal 3 2 2 22 2" xfId="5384" xr:uid="{00000000-0005-0000-0000-000084170000}"/>
    <cellStyle name="Normal 3 2 2 22 2 2" xfId="5385" xr:uid="{00000000-0005-0000-0000-000085170000}"/>
    <cellStyle name="Normal 3 2 2 22 3" xfId="5386" xr:uid="{00000000-0005-0000-0000-000086170000}"/>
    <cellStyle name="Normal 3 2 2 23" xfId="5387" xr:uid="{00000000-0005-0000-0000-000087170000}"/>
    <cellStyle name="Normal 3 2 2 23 2" xfId="5388" xr:uid="{00000000-0005-0000-0000-000088170000}"/>
    <cellStyle name="Normal 3 2 2 23 2 2" xfId="5389" xr:uid="{00000000-0005-0000-0000-000089170000}"/>
    <cellStyle name="Normal 3 2 2 23 3" xfId="5390" xr:uid="{00000000-0005-0000-0000-00008A170000}"/>
    <cellStyle name="Normal 3 2 2 24" xfId="5391" xr:uid="{00000000-0005-0000-0000-00008B170000}"/>
    <cellStyle name="Normal 3 2 2 24 2" xfId="5392" xr:uid="{00000000-0005-0000-0000-00008C170000}"/>
    <cellStyle name="Normal 3 2 2 24 2 2" xfId="5393" xr:uid="{00000000-0005-0000-0000-00008D170000}"/>
    <cellStyle name="Normal 3 2 2 24 3" xfId="5394" xr:uid="{00000000-0005-0000-0000-00008E170000}"/>
    <cellStyle name="Normal 3 2 2 25" xfId="5395" xr:uid="{00000000-0005-0000-0000-00008F170000}"/>
    <cellStyle name="Normal 3 2 2 25 2" xfId="5396" xr:uid="{00000000-0005-0000-0000-000090170000}"/>
    <cellStyle name="Normal 3 2 2 25 2 2" xfId="5397" xr:uid="{00000000-0005-0000-0000-000091170000}"/>
    <cellStyle name="Normal 3 2 2 25 3" xfId="5398" xr:uid="{00000000-0005-0000-0000-000092170000}"/>
    <cellStyle name="Normal 3 2 2 26" xfId="5399" xr:uid="{00000000-0005-0000-0000-000093170000}"/>
    <cellStyle name="Normal 3 2 2 26 2" xfId="5400" xr:uid="{00000000-0005-0000-0000-000094170000}"/>
    <cellStyle name="Normal 3 2 2 26 2 2" xfId="5401" xr:uid="{00000000-0005-0000-0000-000095170000}"/>
    <cellStyle name="Normal 3 2 2 26 3" xfId="5402" xr:uid="{00000000-0005-0000-0000-000096170000}"/>
    <cellStyle name="Normal 3 2 2 27" xfId="5403" xr:uid="{00000000-0005-0000-0000-000097170000}"/>
    <cellStyle name="Normal 3 2 2 27 2" xfId="5404" xr:uid="{00000000-0005-0000-0000-000098170000}"/>
    <cellStyle name="Normal 3 2 2 27 2 2" xfId="5405" xr:uid="{00000000-0005-0000-0000-000099170000}"/>
    <cellStyle name="Normal 3 2 2 27 3" xfId="5406" xr:uid="{00000000-0005-0000-0000-00009A170000}"/>
    <cellStyle name="Normal 3 2 2 28" xfId="5407" xr:uid="{00000000-0005-0000-0000-00009B170000}"/>
    <cellStyle name="Normal 3 2 2 28 2" xfId="5408" xr:uid="{00000000-0005-0000-0000-00009C170000}"/>
    <cellStyle name="Normal 3 2 2 28 2 2" xfId="5409" xr:uid="{00000000-0005-0000-0000-00009D170000}"/>
    <cellStyle name="Normal 3 2 2 28 3" xfId="5410" xr:uid="{00000000-0005-0000-0000-00009E170000}"/>
    <cellStyle name="Normal 3 2 2 29" xfId="5411" xr:uid="{00000000-0005-0000-0000-00009F170000}"/>
    <cellStyle name="Normal 3 2 2 29 2" xfId="5412" xr:uid="{00000000-0005-0000-0000-0000A0170000}"/>
    <cellStyle name="Normal 3 2 2 29 2 2" xfId="5413" xr:uid="{00000000-0005-0000-0000-0000A1170000}"/>
    <cellStyle name="Normal 3 2 2 29 3" xfId="5414" xr:uid="{00000000-0005-0000-0000-0000A2170000}"/>
    <cellStyle name="Normal 3 2 2 3" xfId="5415" xr:uid="{00000000-0005-0000-0000-0000A3170000}"/>
    <cellStyle name="Normal 3 2 2 3 2" xfId="5416" xr:uid="{00000000-0005-0000-0000-0000A4170000}"/>
    <cellStyle name="Normal 3 2 2 3 2 2" xfId="5417" xr:uid="{00000000-0005-0000-0000-0000A5170000}"/>
    <cellStyle name="Normal 3 2 2 3 3" xfId="5418" xr:uid="{00000000-0005-0000-0000-0000A6170000}"/>
    <cellStyle name="Normal 3 2 2 30" xfId="5419" xr:uid="{00000000-0005-0000-0000-0000A7170000}"/>
    <cellStyle name="Normal 3 2 2 30 2" xfId="5420" xr:uid="{00000000-0005-0000-0000-0000A8170000}"/>
    <cellStyle name="Normal 3 2 2 30 2 2" xfId="5421" xr:uid="{00000000-0005-0000-0000-0000A9170000}"/>
    <cellStyle name="Normal 3 2 2 30 3" xfId="5422" xr:uid="{00000000-0005-0000-0000-0000AA170000}"/>
    <cellStyle name="Normal 3 2 2 31" xfId="5423" xr:uid="{00000000-0005-0000-0000-0000AB170000}"/>
    <cellStyle name="Normal 3 2 2 31 2" xfId="5424" xr:uid="{00000000-0005-0000-0000-0000AC170000}"/>
    <cellStyle name="Normal 3 2 2 31 2 2" xfId="5425" xr:uid="{00000000-0005-0000-0000-0000AD170000}"/>
    <cellStyle name="Normal 3 2 2 31 3" xfId="5426" xr:uid="{00000000-0005-0000-0000-0000AE170000}"/>
    <cellStyle name="Normal 3 2 2 32" xfId="5427" xr:uid="{00000000-0005-0000-0000-0000AF170000}"/>
    <cellStyle name="Normal 3 2 2 32 2" xfId="5428" xr:uid="{00000000-0005-0000-0000-0000B0170000}"/>
    <cellStyle name="Normal 3 2 2 32 2 2" xfId="5429" xr:uid="{00000000-0005-0000-0000-0000B1170000}"/>
    <cellStyle name="Normal 3 2 2 32 3" xfId="5430" xr:uid="{00000000-0005-0000-0000-0000B2170000}"/>
    <cellStyle name="Normal 3 2 2 33" xfId="5431" xr:uid="{00000000-0005-0000-0000-0000B3170000}"/>
    <cellStyle name="Normal 3 2 2 33 2" xfId="5432" xr:uid="{00000000-0005-0000-0000-0000B4170000}"/>
    <cellStyle name="Normal 3 2 2 33 2 2" xfId="5433" xr:uid="{00000000-0005-0000-0000-0000B5170000}"/>
    <cellStyle name="Normal 3 2 2 33 3" xfId="5434" xr:uid="{00000000-0005-0000-0000-0000B6170000}"/>
    <cellStyle name="Normal 3 2 2 34" xfId="5435" xr:uid="{00000000-0005-0000-0000-0000B7170000}"/>
    <cellStyle name="Normal 3 2 2 34 2" xfId="5436" xr:uid="{00000000-0005-0000-0000-0000B8170000}"/>
    <cellStyle name="Normal 3 2 2 35" xfId="5437" xr:uid="{00000000-0005-0000-0000-0000B9170000}"/>
    <cellStyle name="Normal 3 2 2 4" xfId="5438" xr:uid="{00000000-0005-0000-0000-0000BA170000}"/>
    <cellStyle name="Normal 3 2 2 4 2" xfId="5439" xr:uid="{00000000-0005-0000-0000-0000BB170000}"/>
    <cellStyle name="Normal 3 2 2 4 2 2" xfId="5440" xr:uid="{00000000-0005-0000-0000-0000BC170000}"/>
    <cellStyle name="Normal 3 2 2 4 3" xfId="5441" xr:uid="{00000000-0005-0000-0000-0000BD170000}"/>
    <cellStyle name="Normal 3 2 2 5" xfId="5442" xr:uid="{00000000-0005-0000-0000-0000BE170000}"/>
    <cellStyle name="Normal 3 2 2 5 2" xfId="5443" xr:uid="{00000000-0005-0000-0000-0000BF170000}"/>
    <cellStyle name="Normal 3 2 2 5 2 2" xfId="5444" xr:uid="{00000000-0005-0000-0000-0000C0170000}"/>
    <cellStyle name="Normal 3 2 2 5 3" xfId="5445" xr:uid="{00000000-0005-0000-0000-0000C1170000}"/>
    <cellStyle name="Normal 3 2 2 6" xfId="5446" xr:uid="{00000000-0005-0000-0000-0000C2170000}"/>
    <cellStyle name="Normal 3 2 2 6 2" xfId="5447" xr:uid="{00000000-0005-0000-0000-0000C3170000}"/>
    <cellStyle name="Normal 3 2 2 6 2 2" xfId="5448" xr:uid="{00000000-0005-0000-0000-0000C4170000}"/>
    <cellStyle name="Normal 3 2 2 6 3" xfId="5449" xr:uid="{00000000-0005-0000-0000-0000C5170000}"/>
    <cellStyle name="Normal 3 2 2 7" xfId="5450" xr:uid="{00000000-0005-0000-0000-0000C6170000}"/>
    <cellStyle name="Normal 3 2 2 7 2" xfId="5451" xr:uid="{00000000-0005-0000-0000-0000C7170000}"/>
    <cellStyle name="Normal 3 2 2 7 2 2" xfId="5452" xr:uid="{00000000-0005-0000-0000-0000C8170000}"/>
    <cellStyle name="Normal 3 2 2 7 3" xfId="5453" xr:uid="{00000000-0005-0000-0000-0000C9170000}"/>
    <cellStyle name="Normal 3 2 2 8" xfId="5454" xr:uid="{00000000-0005-0000-0000-0000CA170000}"/>
    <cellStyle name="Normal 3 2 2 8 2" xfId="5455" xr:uid="{00000000-0005-0000-0000-0000CB170000}"/>
    <cellStyle name="Normal 3 2 2 8 2 2" xfId="5456" xr:uid="{00000000-0005-0000-0000-0000CC170000}"/>
    <cellStyle name="Normal 3 2 2 8 3" xfId="5457" xr:uid="{00000000-0005-0000-0000-0000CD170000}"/>
    <cellStyle name="Normal 3 2 2 9" xfId="5458" xr:uid="{00000000-0005-0000-0000-0000CE170000}"/>
    <cellStyle name="Normal 3 2 2 9 2" xfId="5459" xr:uid="{00000000-0005-0000-0000-0000CF170000}"/>
    <cellStyle name="Normal 3 2 2 9 2 2" xfId="5460" xr:uid="{00000000-0005-0000-0000-0000D0170000}"/>
    <cellStyle name="Normal 3 2 2 9 3" xfId="5461" xr:uid="{00000000-0005-0000-0000-0000D1170000}"/>
    <cellStyle name="Normal 3 2 20" xfId="5462" xr:uid="{00000000-0005-0000-0000-0000D2170000}"/>
    <cellStyle name="Normal 3 2 20 2" xfId="5463" xr:uid="{00000000-0005-0000-0000-0000D3170000}"/>
    <cellStyle name="Normal 3 2 20 2 2" xfId="5464" xr:uid="{00000000-0005-0000-0000-0000D4170000}"/>
    <cellStyle name="Normal 3 2 20 3" xfId="5465" xr:uid="{00000000-0005-0000-0000-0000D5170000}"/>
    <cellStyle name="Normal 3 2 21" xfId="5466" xr:uid="{00000000-0005-0000-0000-0000D6170000}"/>
    <cellStyle name="Normal 3 2 21 2" xfId="5467" xr:uid="{00000000-0005-0000-0000-0000D7170000}"/>
    <cellStyle name="Normal 3 2 21 2 2" xfId="5468" xr:uid="{00000000-0005-0000-0000-0000D8170000}"/>
    <cellStyle name="Normal 3 2 21 3" xfId="5469" xr:uid="{00000000-0005-0000-0000-0000D9170000}"/>
    <cellStyle name="Normal 3 2 22" xfId="5470" xr:uid="{00000000-0005-0000-0000-0000DA170000}"/>
    <cellStyle name="Normal 3 2 22 2" xfId="5471" xr:uid="{00000000-0005-0000-0000-0000DB170000}"/>
    <cellStyle name="Normal 3 2 22 2 2" xfId="5472" xr:uid="{00000000-0005-0000-0000-0000DC170000}"/>
    <cellStyle name="Normal 3 2 22 3" xfId="5473" xr:uid="{00000000-0005-0000-0000-0000DD170000}"/>
    <cellStyle name="Normal 3 2 23" xfId="5474" xr:uid="{00000000-0005-0000-0000-0000DE170000}"/>
    <cellStyle name="Normal 3 2 23 2" xfId="5475" xr:uid="{00000000-0005-0000-0000-0000DF170000}"/>
    <cellStyle name="Normal 3 2 23 2 2" xfId="5476" xr:uid="{00000000-0005-0000-0000-0000E0170000}"/>
    <cellStyle name="Normal 3 2 23 3" xfId="5477" xr:uid="{00000000-0005-0000-0000-0000E1170000}"/>
    <cellStyle name="Normal 3 2 24" xfId="5478" xr:uid="{00000000-0005-0000-0000-0000E2170000}"/>
    <cellStyle name="Normal 3 2 24 2" xfId="5479" xr:uid="{00000000-0005-0000-0000-0000E3170000}"/>
    <cellStyle name="Normal 3 2 24 2 2" xfId="5480" xr:uid="{00000000-0005-0000-0000-0000E4170000}"/>
    <cellStyle name="Normal 3 2 24 3" xfId="5481" xr:uid="{00000000-0005-0000-0000-0000E5170000}"/>
    <cellStyle name="Normal 3 2 25" xfId="5482" xr:uid="{00000000-0005-0000-0000-0000E6170000}"/>
    <cellStyle name="Normal 3 2 25 2" xfId="5483" xr:uid="{00000000-0005-0000-0000-0000E7170000}"/>
    <cellStyle name="Normal 3 2 25 2 2" xfId="5484" xr:uid="{00000000-0005-0000-0000-0000E8170000}"/>
    <cellStyle name="Normal 3 2 25 3" xfId="5485" xr:uid="{00000000-0005-0000-0000-0000E9170000}"/>
    <cellStyle name="Normal 3 2 26" xfId="5486" xr:uid="{00000000-0005-0000-0000-0000EA170000}"/>
    <cellStyle name="Normal 3 2 26 2" xfId="5487" xr:uid="{00000000-0005-0000-0000-0000EB170000}"/>
    <cellStyle name="Normal 3 2 26 2 2" xfId="5488" xr:uid="{00000000-0005-0000-0000-0000EC170000}"/>
    <cellStyle name="Normal 3 2 26 3" xfId="5489" xr:uid="{00000000-0005-0000-0000-0000ED170000}"/>
    <cellStyle name="Normal 3 2 27" xfId="5490" xr:uid="{00000000-0005-0000-0000-0000EE170000}"/>
    <cellStyle name="Normal 3 2 27 2" xfId="5491" xr:uid="{00000000-0005-0000-0000-0000EF170000}"/>
    <cellStyle name="Normal 3 2 27 2 2" xfId="5492" xr:uid="{00000000-0005-0000-0000-0000F0170000}"/>
    <cellStyle name="Normal 3 2 27 3" xfId="5493" xr:uid="{00000000-0005-0000-0000-0000F1170000}"/>
    <cellStyle name="Normal 3 2 28" xfId="5494" xr:uid="{00000000-0005-0000-0000-0000F2170000}"/>
    <cellStyle name="Normal 3 2 28 2" xfId="5495" xr:uid="{00000000-0005-0000-0000-0000F3170000}"/>
    <cellStyle name="Normal 3 2 28 2 2" xfId="5496" xr:uid="{00000000-0005-0000-0000-0000F4170000}"/>
    <cellStyle name="Normal 3 2 28 3" xfId="5497" xr:uid="{00000000-0005-0000-0000-0000F5170000}"/>
    <cellStyle name="Normal 3 2 29" xfId="5498" xr:uid="{00000000-0005-0000-0000-0000F6170000}"/>
    <cellStyle name="Normal 3 2 29 2" xfId="5499" xr:uid="{00000000-0005-0000-0000-0000F7170000}"/>
    <cellStyle name="Normal 3 2 29 2 2" xfId="5500" xr:uid="{00000000-0005-0000-0000-0000F8170000}"/>
    <cellStyle name="Normal 3 2 29 3" xfId="5501" xr:uid="{00000000-0005-0000-0000-0000F9170000}"/>
    <cellStyle name="Normal 3 2 3" xfId="323" xr:uid="{00000000-0005-0000-0000-0000FA170000}"/>
    <cellStyle name="Normal 3 2 3 2" xfId="5502" xr:uid="{00000000-0005-0000-0000-0000FB170000}"/>
    <cellStyle name="Normal 3 2 3 2 2" xfId="5503" xr:uid="{00000000-0005-0000-0000-0000FC170000}"/>
    <cellStyle name="Normal 3 2 3 2 3" xfId="9762" xr:uid="{EE18E602-350C-4354-A5B8-9361BFE7414A}"/>
    <cellStyle name="Normal 3 2 3 2 4" xfId="9761" xr:uid="{1CCAC419-FD2D-4BE1-87EC-A363B3ED3F4E}"/>
    <cellStyle name="Normal 3 2 3 3" xfId="5504" xr:uid="{00000000-0005-0000-0000-0000FD170000}"/>
    <cellStyle name="Normal 3 2 3 4" xfId="9224" xr:uid="{33609830-069D-450E-8B8E-9C20A34C9FD0}"/>
    <cellStyle name="Normal 3 2 30" xfId="5505" xr:uid="{00000000-0005-0000-0000-0000FE170000}"/>
    <cellStyle name="Normal 3 2 30 2" xfId="5506" xr:uid="{00000000-0005-0000-0000-0000FF170000}"/>
    <cellStyle name="Normal 3 2 30 2 2" xfId="5507" xr:uid="{00000000-0005-0000-0000-000000180000}"/>
    <cellStyle name="Normal 3 2 30 3" xfId="5508" xr:uid="{00000000-0005-0000-0000-000001180000}"/>
    <cellStyle name="Normal 3 2 31" xfId="5509" xr:uid="{00000000-0005-0000-0000-000002180000}"/>
    <cellStyle name="Normal 3 2 31 2" xfId="5510" xr:uid="{00000000-0005-0000-0000-000003180000}"/>
    <cellStyle name="Normal 3 2 31 2 2" xfId="5511" xr:uid="{00000000-0005-0000-0000-000004180000}"/>
    <cellStyle name="Normal 3 2 31 3" xfId="5512" xr:uid="{00000000-0005-0000-0000-000005180000}"/>
    <cellStyle name="Normal 3 2 32" xfId="5513" xr:uid="{00000000-0005-0000-0000-000006180000}"/>
    <cellStyle name="Normal 3 2 32 2" xfId="5514" xr:uid="{00000000-0005-0000-0000-000007180000}"/>
    <cellStyle name="Normal 3 2 32 2 2" xfId="5515" xr:uid="{00000000-0005-0000-0000-000008180000}"/>
    <cellStyle name="Normal 3 2 32 3" xfId="5516" xr:uid="{00000000-0005-0000-0000-000009180000}"/>
    <cellStyle name="Normal 3 2 33" xfId="5517" xr:uid="{00000000-0005-0000-0000-00000A180000}"/>
    <cellStyle name="Normal 3 2 33 2" xfId="5518" xr:uid="{00000000-0005-0000-0000-00000B180000}"/>
    <cellStyle name="Normal 3 2 33 2 2" xfId="5519" xr:uid="{00000000-0005-0000-0000-00000C180000}"/>
    <cellStyle name="Normal 3 2 33 3" xfId="5520" xr:uid="{00000000-0005-0000-0000-00000D180000}"/>
    <cellStyle name="Normal 3 2 34" xfId="5521" xr:uid="{00000000-0005-0000-0000-00000E180000}"/>
    <cellStyle name="Normal 3 2 34 2" xfId="5522" xr:uid="{00000000-0005-0000-0000-00000F180000}"/>
    <cellStyle name="Normal 3 2 34 2 2" xfId="5523" xr:uid="{00000000-0005-0000-0000-000010180000}"/>
    <cellStyle name="Normal 3 2 34 3" xfId="5524" xr:uid="{00000000-0005-0000-0000-000011180000}"/>
    <cellStyle name="Normal 3 2 35" xfId="5525" xr:uid="{00000000-0005-0000-0000-000012180000}"/>
    <cellStyle name="Normal 3 2 35 2" xfId="5526" xr:uid="{00000000-0005-0000-0000-000013180000}"/>
    <cellStyle name="Normal 3 2 35 2 2" xfId="5527" xr:uid="{00000000-0005-0000-0000-000014180000}"/>
    <cellStyle name="Normal 3 2 35 3" xfId="5528" xr:uid="{00000000-0005-0000-0000-000015180000}"/>
    <cellStyle name="Normal 3 2 36" xfId="5529" xr:uid="{00000000-0005-0000-0000-000016180000}"/>
    <cellStyle name="Normal 3 2 36 2" xfId="5530" xr:uid="{00000000-0005-0000-0000-000017180000}"/>
    <cellStyle name="Normal 3 2 36 2 2" xfId="5531" xr:uid="{00000000-0005-0000-0000-000018180000}"/>
    <cellStyle name="Normal 3 2 36 3" xfId="5532" xr:uid="{00000000-0005-0000-0000-000019180000}"/>
    <cellStyle name="Normal 3 2 37" xfId="5533" xr:uid="{00000000-0005-0000-0000-00001A180000}"/>
    <cellStyle name="Normal 3 2 37 2" xfId="5534" xr:uid="{00000000-0005-0000-0000-00001B180000}"/>
    <cellStyle name="Normal 3 2 37 2 2" xfId="5535" xr:uid="{00000000-0005-0000-0000-00001C180000}"/>
    <cellStyle name="Normal 3 2 37 3" xfId="5536" xr:uid="{00000000-0005-0000-0000-00001D180000}"/>
    <cellStyle name="Normal 3 2 38" xfId="5537" xr:uid="{00000000-0005-0000-0000-00001E180000}"/>
    <cellStyle name="Normal 3 2 38 2" xfId="5538" xr:uid="{00000000-0005-0000-0000-00001F180000}"/>
    <cellStyle name="Normal 3 2 38 2 2" xfId="5539" xr:uid="{00000000-0005-0000-0000-000020180000}"/>
    <cellStyle name="Normal 3 2 38 3" xfId="5540" xr:uid="{00000000-0005-0000-0000-000021180000}"/>
    <cellStyle name="Normal 3 2 39" xfId="5541" xr:uid="{00000000-0005-0000-0000-000022180000}"/>
    <cellStyle name="Normal 3 2 39 2" xfId="5542" xr:uid="{00000000-0005-0000-0000-000023180000}"/>
    <cellStyle name="Normal 3 2 39 2 2" xfId="5543" xr:uid="{00000000-0005-0000-0000-000024180000}"/>
    <cellStyle name="Normal 3 2 39 3" xfId="5544" xr:uid="{00000000-0005-0000-0000-000025180000}"/>
    <cellStyle name="Normal 3 2 4" xfId="5545" xr:uid="{00000000-0005-0000-0000-000026180000}"/>
    <cellStyle name="Normal 3 2 4 2" xfId="5546" xr:uid="{00000000-0005-0000-0000-000027180000}"/>
    <cellStyle name="Normal 3 2 4 2 2" xfId="5547" xr:uid="{00000000-0005-0000-0000-000028180000}"/>
    <cellStyle name="Normal 3 2 4 3" xfId="5548" xr:uid="{00000000-0005-0000-0000-000029180000}"/>
    <cellStyle name="Normal 3 2 4 4" xfId="9764" xr:uid="{68A183AC-AA8F-499D-83DA-B74304B392E1}"/>
    <cellStyle name="Normal 3 2 4 5" xfId="9763" xr:uid="{A8B3D4DB-5A96-485C-A64C-D4DEB2BFB301}"/>
    <cellStyle name="Normal 3 2 40" xfId="5549" xr:uid="{00000000-0005-0000-0000-00002A180000}"/>
    <cellStyle name="Normal 3 2 40 2" xfId="5550" xr:uid="{00000000-0005-0000-0000-00002B180000}"/>
    <cellStyle name="Normal 3 2 40 2 2" xfId="5551" xr:uid="{00000000-0005-0000-0000-00002C180000}"/>
    <cellStyle name="Normal 3 2 40 3" xfId="5552" xr:uid="{00000000-0005-0000-0000-00002D180000}"/>
    <cellStyle name="Normal 3 2 41" xfId="5553" xr:uid="{00000000-0005-0000-0000-00002E180000}"/>
    <cellStyle name="Normal 3 2 41 2" xfId="5554" xr:uid="{00000000-0005-0000-0000-00002F180000}"/>
    <cellStyle name="Normal 3 2 41 2 2" xfId="5555" xr:uid="{00000000-0005-0000-0000-000030180000}"/>
    <cellStyle name="Normal 3 2 41 3" xfId="5556" xr:uid="{00000000-0005-0000-0000-000031180000}"/>
    <cellStyle name="Normal 3 2 42" xfId="5557" xr:uid="{00000000-0005-0000-0000-000032180000}"/>
    <cellStyle name="Normal 3 2 42 2" xfId="5558" xr:uid="{00000000-0005-0000-0000-000033180000}"/>
    <cellStyle name="Normal 3 2 42 2 2" xfId="5559" xr:uid="{00000000-0005-0000-0000-000034180000}"/>
    <cellStyle name="Normal 3 2 42 3" xfId="5560" xr:uid="{00000000-0005-0000-0000-000035180000}"/>
    <cellStyle name="Normal 3 2 43" xfId="5561" xr:uid="{00000000-0005-0000-0000-000036180000}"/>
    <cellStyle name="Normal 3 2 43 2" xfId="5562" xr:uid="{00000000-0005-0000-0000-000037180000}"/>
    <cellStyle name="Normal 3 2 43 2 2" xfId="5563" xr:uid="{00000000-0005-0000-0000-000038180000}"/>
    <cellStyle name="Normal 3 2 43 3" xfId="5564" xr:uid="{00000000-0005-0000-0000-000039180000}"/>
    <cellStyle name="Normal 3 2 44" xfId="5565" xr:uid="{00000000-0005-0000-0000-00003A180000}"/>
    <cellStyle name="Normal 3 2 44 2" xfId="5566" xr:uid="{00000000-0005-0000-0000-00003B180000}"/>
    <cellStyle name="Normal 3 2 44 2 2" xfId="5567" xr:uid="{00000000-0005-0000-0000-00003C180000}"/>
    <cellStyle name="Normal 3 2 44 3" xfId="5568" xr:uid="{00000000-0005-0000-0000-00003D180000}"/>
    <cellStyle name="Normal 3 2 45" xfId="5569" xr:uid="{00000000-0005-0000-0000-00003E180000}"/>
    <cellStyle name="Normal 3 2 45 2" xfId="5570" xr:uid="{00000000-0005-0000-0000-00003F180000}"/>
    <cellStyle name="Normal 3 2 45 2 2" xfId="5571" xr:uid="{00000000-0005-0000-0000-000040180000}"/>
    <cellStyle name="Normal 3 2 45 3" xfId="5572" xr:uid="{00000000-0005-0000-0000-000041180000}"/>
    <cellStyle name="Normal 3 2 46" xfId="5573" xr:uid="{00000000-0005-0000-0000-000042180000}"/>
    <cellStyle name="Normal 3 2 46 2" xfId="5574" xr:uid="{00000000-0005-0000-0000-000043180000}"/>
    <cellStyle name="Normal 3 2 46 2 2" xfId="5575" xr:uid="{00000000-0005-0000-0000-000044180000}"/>
    <cellStyle name="Normal 3 2 46 3" xfId="5576" xr:uid="{00000000-0005-0000-0000-000045180000}"/>
    <cellStyle name="Normal 3 2 47" xfId="5577" xr:uid="{00000000-0005-0000-0000-000046180000}"/>
    <cellStyle name="Normal 3 2 47 2" xfId="5578" xr:uid="{00000000-0005-0000-0000-000047180000}"/>
    <cellStyle name="Normal 3 2 47 2 2" xfId="5579" xr:uid="{00000000-0005-0000-0000-000048180000}"/>
    <cellStyle name="Normal 3 2 47 3" xfId="5580" xr:uid="{00000000-0005-0000-0000-000049180000}"/>
    <cellStyle name="Normal 3 2 48" xfId="5581" xr:uid="{00000000-0005-0000-0000-00004A180000}"/>
    <cellStyle name="Normal 3 2 48 2" xfId="5582" xr:uid="{00000000-0005-0000-0000-00004B180000}"/>
    <cellStyle name="Normal 3 2 48 2 2" xfId="5583" xr:uid="{00000000-0005-0000-0000-00004C180000}"/>
    <cellStyle name="Normal 3 2 48 3" xfId="5584" xr:uid="{00000000-0005-0000-0000-00004D180000}"/>
    <cellStyle name="Normal 3 2 49" xfId="5585" xr:uid="{00000000-0005-0000-0000-00004E180000}"/>
    <cellStyle name="Normal 3 2 49 2" xfId="5586" xr:uid="{00000000-0005-0000-0000-00004F180000}"/>
    <cellStyle name="Normal 3 2 49 2 2" xfId="5587" xr:uid="{00000000-0005-0000-0000-000050180000}"/>
    <cellStyle name="Normal 3 2 49 3" xfId="5588" xr:uid="{00000000-0005-0000-0000-000051180000}"/>
    <cellStyle name="Normal 3 2 5" xfId="5589" xr:uid="{00000000-0005-0000-0000-000052180000}"/>
    <cellStyle name="Normal 3 2 5 2" xfId="5590" xr:uid="{00000000-0005-0000-0000-000053180000}"/>
    <cellStyle name="Normal 3 2 5 2 2" xfId="5591" xr:uid="{00000000-0005-0000-0000-000054180000}"/>
    <cellStyle name="Normal 3 2 5 3" xfId="5592" xr:uid="{00000000-0005-0000-0000-000055180000}"/>
    <cellStyle name="Normal 3 2 50" xfId="5593" xr:uid="{00000000-0005-0000-0000-000056180000}"/>
    <cellStyle name="Normal 3 2 50 2" xfId="5594" xr:uid="{00000000-0005-0000-0000-000057180000}"/>
    <cellStyle name="Normal 3 2 50 2 2" xfId="5595" xr:uid="{00000000-0005-0000-0000-000058180000}"/>
    <cellStyle name="Normal 3 2 50 3" xfId="5596" xr:uid="{00000000-0005-0000-0000-000059180000}"/>
    <cellStyle name="Normal 3 2 51" xfId="5597" xr:uid="{00000000-0005-0000-0000-00005A180000}"/>
    <cellStyle name="Normal 3 2 51 2" xfId="5598" xr:uid="{00000000-0005-0000-0000-00005B180000}"/>
    <cellStyle name="Normal 3 2 51 2 2" xfId="5599" xr:uid="{00000000-0005-0000-0000-00005C180000}"/>
    <cellStyle name="Normal 3 2 51 3" xfId="5600" xr:uid="{00000000-0005-0000-0000-00005D180000}"/>
    <cellStyle name="Normal 3 2 52" xfId="5601" xr:uid="{00000000-0005-0000-0000-00005E180000}"/>
    <cellStyle name="Normal 3 2 52 2" xfId="5602" xr:uid="{00000000-0005-0000-0000-00005F180000}"/>
    <cellStyle name="Normal 3 2 52 2 2" xfId="5603" xr:uid="{00000000-0005-0000-0000-000060180000}"/>
    <cellStyle name="Normal 3 2 52 3" xfId="5604" xr:uid="{00000000-0005-0000-0000-000061180000}"/>
    <cellStyle name="Normal 3 2 53" xfId="5605" xr:uid="{00000000-0005-0000-0000-000062180000}"/>
    <cellStyle name="Normal 3 2 53 2" xfId="5606" xr:uid="{00000000-0005-0000-0000-000063180000}"/>
    <cellStyle name="Normal 3 2 53 2 2" xfId="5607" xr:uid="{00000000-0005-0000-0000-000064180000}"/>
    <cellStyle name="Normal 3 2 53 3" xfId="5608" xr:uid="{00000000-0005-0000-0000-000065180000}"/>
    <cellStyle name="Normal 3 2 54" xfId="5609" xr:uid="{00000000-0005-0000-0000-000066180000}"/>
    <cellStyle name="Normal 3 2 54 2" xfId="5610" xr:uid="{00000000-0005-0000-0000-000067180000}"/>
    <cellStyle name="Normal 3 2 54 2 2" xfId="5611" xr:uid="{00000000-0005-0000-0000-000068180000}"/>
    <cellStyle name="Normal 3 2 54 3" xfId="5612" xr:uid="{00000000-0005-0000-0000-000069180000}"/>
    <cellStyle name="Normal 3 2 55" xfId="5613" xr:uid="{00000000-0005-0000-0000-00006A180000}"/>
    <cellStyle name="Normal 3 2 55 2" xfId="5614" xr:uid="{00000000-0005-0000-0000-00006B180000}"/>
    <cellStyle name="Normal 3 2 55 2 2" xfId="5615" xr:uid="{00000000-0005-0000-0000-00006C180000}"/>
    <cellStyle name="Normal 3 2 55 3" xfId="5616" xr:uid="{00000000-0005-0000-0000-00006D180000}"/>
    <cellStyle name="Normal 3 2 56" xfId="5617" xr:uid="{00000000-0005-0000-0000-00006E180000}"/>
    <cellStyle name="Normal 3 2 57" xfId="5618" xr:uid="{00000000-0005-0000-0000-00006F180000}"/>
    <cellStyle name="Normal 3 2 57 2" xfId="5619" xr:uid="{00000000-0005-0000-0000-000070180000}"/>
    <cellStyle name="Normal 3 2 58" xfId="5620" xr:uid="{00000000-0005-0000-0000-000071180000}"/>
    <cellStyle name="Normal 3 2 59" xfId="5621" xr:uid="{00000000-0005-0000-0000-000072180000}"/>
    <cellStyle name="Normal 3 2 6" xfId="5622" xr:uid="{00000000-0005-0000-0000-000073180000}"/>
    <cellStyle name="Normal 3 2 6 2" xfId="5623" xr:uid="{00000000-0005-0000-0000-000074180000}"/>
    <cellStyle name="Normal 3 2 6 2 2" xfId="5624" xr:uid="{00000000-0005-0000-0000-000075180000}"/>
    <cellStyle name="Normal 3 2 6 3" xfId="5625" xr:uid="{00000000-0005-0000-0000-000076180000}"/>
    <cellStyle name="Normal 3 2 60" xfId="5626" xr:uid="{00000000-0005-0000-0000-000077180000}"/>
    <cellStyle name="Normal 3 2 61" xfId="10334" xr:uid="{A7F4974B-F66F-4A6E-A072-8912A2E6039F}"/>
    <cellStyle name="Normal 3 2 7" xfId="5627" xr:uid="{00000000-0005-0000-0000-000078180000}"/>
    <cellStyle name="Normal 3 2 7 2" xfId="5628" xr:uid="{00000000-0005-0000-0000-000079180000}"/>
    <cellStyle name="Normal 3 2 7 2 2" xfId="5629" xr:uid="{00000000-0005-0000-0000-00007A180000}"/>
    <cellStyle name="Normal 3 2 7 3" xfId="5630" xr:uid="{00000000-0005-0000-0000-00007B180000}"/>
    <cellStyle name="Normal 3 2 8" xfId="5631" xr:uid="{00000000-0005-0000-0000-00007C180000}"/>
    <cellStyle name="Normal 3 2 8 2" xfId="5632" xr:uid="{00000000-0005-0000-0000-00007D180000}"/>
    <cellStyle name="Normal 3 2 8 2 2" xfId="5633" xr:uid="{00000000-0005-0000-0000-00007E180000}"/>
    <cellStyle name="Normal 3 2 8 3" xfId="5634" xr:uid="{00000000-0005-0000-0000-00007F180000}"/>
    <cellStyle name="Normal 3 2 9" xfId="5635" xr:uid="{00000000-0005-0000-0000-000080180000}"/>
    <cellStyle name="Normal 3 2 9 2" xfId="5636" xr:uid="{00000000-0005-0000-0000-000081180000}"/>
    <cellStyle name="Normal 3 2 9 2 2" xfId="5637" xr:uid="{00000000-0005-0000-0000-000082180000}"/>
    <cellStyle name="Normal 3 2 9 3" xfId="5638" xr:uid="{00000000-0005-0000-0000-000083180000}"/>
    <cellStyle name="Normal 3 20" xfId="5639" xr:uid="{00000000-0005-0000-0000-000084180000}"/>
    <cellStyle name="Normal 3 20 10" xfId="5640" xr:uid="{00000000-0005-0000-0000-000085180000}"/>
    <cellStyle name="Normal 3 20 10 2" xfId="5641" xr:uid="{00000000-0005-0000-0000-000086180000}"/>
    <cellStyle name="Normal 3 20 10 2 2" xfId="5642" xr:uid="{00000000-0005-0000-0000-000087180000}"/>
    <cellStyle name="Normal 3 20 10 3" xfId="5643" xr:uid="{00000000-0005-0000-0000-000088180000}"/>
    <cellStyle name="Normal 3 20 11" xfId="5644" xr:uid="{00000000-0005-0000-0000-000089180000}"/>
    <cellStyle name="Normal 3 20 11 2" xfId="5645" xr:uid="{00000000-0005-0000-0000-00008A180000}"/>
    <cellStyle name="Normal 3 20 11 2 2" xfId="5646" xr:uid="{00000000-0005-0000-0000-00008B180000}"/>
    <cellStyle name="Normal 3 20 11 3" xfId="5647" xr:uid="{00000000-0005-0000-0000-00008C180000}"/>
    <cellStyle name="Normal 3 20 12" xfId="5648" xr:uid="{00000000-0005-0000-0000-00008D180000}"/>
    <cellStyle name="Normal 3 20 12 2" xfId="5649" xr:uid="{00000000-0005-0000-0000-00008E180000}"/>
    <cellStyle name="Normal 3 20 12 2 2" xfId="5650" xr:uid="{00000000-0005-0000-0000-00008F180000}"/>
    <cellStyle name="Normal 3 20 12 3" xfId="5651" xr:uid="{00000000-0005-0000-0000-000090180000}"/>
    <cellStyle name="Normal 3 20 13" xfId="5652" xr:uid="{00000000-0005-0000-0000-000091180000}"/>
    <cellStyle name="Normal 3 20 13 2" xfId="5653" xr:uid="{00000000-0005-0000-0000-000092180000}"/>
    <cellStyle name="Normal 3 20 13 2 2" xfId="5654" xr:uid="{00000000-0005-0000-0000-000093180000}"/>
    <cellStyle name="Normal 3 20 13 3" xfId="5655" xr:uid="{00000000-0005-0000-0000-000094180000}"/>
    <cellStyle name="Normal 3 20 14" xfId="5656" xr:uid="{00000000-0005-0000-0000-000095180000}"/>
    <cellStyle name="Normal 3 20 14 2" xfId="5657" xr:uid="{00000000-0005-0000-0000-000096180000}"/>
    <cellStyle name="Normal 3 20 14 2 2" xfId="5658" xr:uid="{00000000-0005-0000-0000-000097180000}"/>
    <cellStyle name="Normal 3 20 14 3" xfId="5659" xr:uid="{00000000-0005-0000-0000-000098180000}"/>
    <cellStyle name="Normal 3 20 15" xfId="5660" xr:uid="{00000000-0005-0000-0000-000099180000}"/>
    <cellStyle name="Normal 3 20 15 2" xfId="5661" xr:uid="{00000000-0005-0000-0000-00009A180000}"/>
    <cellStyle name="Normal 3 20 15 2 2" xfId="5662" xr:uid="{00000000-0005-0000-0000-00009B180000}"/>
    <cellStyle name="Normal 3 20 15 3" xfId="5663" xr:uid="{00000000-0005-0000-0000-00009C180000}"/>
    <cellStyle name="Normal 3 20 16" xfId="5664" xr:uid="{00000000-0005-0000-0000-00009D180000}"/>
    <cellStyle name="Normal 3 20 16 2" xfId="5665" xr:uid="{00000000-0005-0000-0000-00009E180000}"/>
    <cellStyle name="Normal 3 20 16 2 2" xfId="5666" xr:uid="{00000000-0005-0000-0000-00009F180000}"/>
    <cellStyle name="Normal 3 20 16 3" xfId="5667" xr:uid="{00000000-0005-0000-0000-0000A0180000}"/>
    <cellStyle name="Normal 3 20 17" xfId="5668" xr:uid="{00000000-0005-0000-0000-0000A1180000}"/>
    <cellStyle name="Normal 3 20 17 2" xfId="5669" xr:uid="{00000000-0005-0000-0000-0000A2180000}"/>
    <cellStyle name="Normal 3 20 17 2 2" xfId="5670" xr:uid="{00000000-0005-0000-0000-0000A3180000}"/>
    <cellStyle name="Normal 3 20 17 3" xfId="5671" xr:uid="{00000000-0005-0000-0000-0000A4180000}"/>
    <cellStyle name="Normal 3 20 18" xfId="5672" xr:uid="{00000000-0005-0000-0000-0000A5180000}"/>
    <cellStyle name="Normal 3 20 18 2" xfId="5673" xr:uid="{00000000-0005-0000-0000-0000A6180000}"/>
    <cellStyle name="Normal 3 20 18 2 2" xfId="5674" xr:uid="{00000000-0005-0000-0000-0000A7180000}"/>
    <cellStyle name="Normal 3 20 18 3" xfId="5675" xr:uid="{00000000-0005-0000-0000-0000A8180000}"/>
    <cellStyle name="Normal 3 20 19" xfId="5676" xr:uid="{00000000-0005-0000-0000-0000A9180000}"/>
    <cellStyle name="Normal 3 20 19 2" xfId="5677" xr:uid="{00000000-0005-0000-0000-0000AA180000}"/>
    <cellStyle name="Normal 3 20 19 2 2" xfId="5678" xr:uid="{00000000-0005-0000-0000-0000AB180000}"/>
    <cellStyle name="Normal 3 20 19 3" xfId="5679" xr:uid="{00000000-0005-0000-0000-0000AC180000}"/>
    <cellStyle name="Normal 3 20 2" xfId="5680" xr:uid="{00000000-0005-0000-0000-0000AD180000}"/>
    <cellStyle name="Normal 3 20 2 2" xfId="5681" xr:uid="{00000000-0005-0000-0000-0000AE180000}"/>
    <cellStyle name="Normal 3 20 2 2 2" xfId="5682" xr:uid="{00000000-0005-0000-0000-0000AF180000}"/>
    <cellStyle name="Normal 3 20 2 3" xfId="5683" xr:uid="{00000000-0005-0000-0000-0000B0180000}"/>
    <cellStyle name="Normal 3 20 20" xfId="5684" xr:uid="{00000000-0005-0000-0000-0000B1180000}"/>
    <cellStyle name="Normal 3 20 20 2" xfId="5685" xr:uid="{00000000-0005-0000-0000-0000B2180000}"/>
    <cellStyle name="Normal 3 20 20 2 2" xfId="5686" xr:uid="{00000000-0005-0000-0000-0000B3180000}"/>
    <cellStyle name="Normal 3 20 20 3" xfId="5687" xr:uid="{00000000-0005-0000-0000-0000B4180000}"/>
    <cellStyle name="Normal 3 20 21" xfId="5688" xr:uid="{00000000-0005-0000-0000-0000B5180000}"/>
    <cellStyle name="Normal 3 20 21 2" xfId="5689" xr:uid="{00000000-0005-0000-0000-0000B6180000}"/>
    <cellStyle name="Normal 3 20 21 2 2" xfId="5690" xr:uid="{00000000-0005-0000-0000-0000B7180000}"/>
    <cellStyle name="Normal 3 20 21 3" xfId="5691" xr:uid="{00000000-0005-0000-0000-0000B8180000}"/>
    <cellStyle name="Normal 3 20 22" xfId="5692" xr:uid="{00000000-0005-0000-0000-0000B9180000}"/>
    <cellStyle name="Normal 3 20 22 2" xfId="5693" xr:uid="{00000000-0005-0000-0000-0000BA180000}"/>
    <cellStyle name="Normal 3 20 22 2 2" xfId="5694" xr:uid="{00000000-0005-0000-0000-0000BB180000}"/>
    <cellStyle name="Normal 3 20 22 3" xfId="5695" xr:uid="{00000000-0005-0000-0000-0000BC180000}"/>
    <cellStyle name="Normal 3 20 23" xfId="5696" xr:uid="{00000000-0005-0000-0000-0000BD180000}"/>
    <cellStyle name="Normal 3 20 23 2" xfId="5697" xr:uid="{00000000-0005-0000-0000-0000BE180000}"/>
    <cellStyle name="Normal 3 20 23 2 2" xfId="5698" xr:uid="{00000000-0005-0000-0000-0000BF180000}"/>
    <cellStyle name="Normal 3 20 23 3" xfId="5699" xr:uid="{00000000-0005-0000-0000-0000C0180000}"/>
    <cellStyle name="Normal 3 20 24" xfId="5700" xr:uid="{00000000-0005-0000-0000-0000C1180000}"/>
    <cellStyle name="Normal 3 20 24 2" xfId="5701" xr:uid="{00000000-0005-0000-0000-0000C2180000}"/>
    <cellStyle name="Normal 3 20 25" xfId="5702" xr:uid="{00000000-0005-0000-0000-0000C3180000}"/>
    <cellStyle name="Normal 3 20 3" xfId="5703" xr:uid="{00000000-0005-0000-0000-0000C4180000}"/>
    <cellStyle name="Normal 3 20 3 2" xfId="5704" xr:uid="{00000000-0005-0000-0000-0000C5180000}"/>
    <cellStyle name="Normal 3 20 3 2 2" xfId="5705" xr:uid="{00000000-0005-0000-0000-0000C6180000}"/>
    <cellStyle name="Normal 3 20 3 3" xfId="5706" xr:uid="{00000000-0005-0000-0000-0000C7180000}"/>
    <cellStyle name="Normal 3 20 4" xfId="5707" xr:uid="{00000000-0005-0000-0000-0000C8180000}"/>
    <cellStyle name="Normal 3 20 4 2" xfId="5708" xr:uid="{00000000-0005-0000-0000-0000C9180000}"/>
    <cellStyle name="Normal 3 20 4 2 2" xfId="5709" xr:uid="{00000000-0005-0000-0000-0000CA180000}"/>
    <cellStyle name="Normal 3 20 4 3" xfId="5710" xr:uid="{00000000-0005-0000-0000-0000CB180000}"/>
    <cellStyle name="Normal 3 20 5" xfId="5711" xr:uid="{00000000-0005-0000-0000-0000CC180000}"/>
    <cellStyle name="Normal 3 20 5 2" xfId="5712" xr:uid="{00000000-0005-0000-0000-0000CD180000}"/>
    <cellStyle name="Normal 3 20 5 2 2" xfId="5713" xr:uid="{00000000-0005-0000-0000-0000CE180000}"/>
    <cellStyle name="Normal 3 20 5 3" xfId="5714" xr:uid="{00000000-0005-0000-0000-0000CF180000}"/>
    <cellStyle name="Normal 3 20 6" xfId="5715" xr:uid="{00000000-0005-0000-0000-0000D0180000}"/>
    <cellStyle name="Normal 3 20 6 2" xfId="5716" xr:uid="{00000000-0005-0000-0000-0000D1180000}"/>
    <cellStyle name="Normal 3 20 6 2 2" xfId="5717" xr:uid="{00000000-0005-0000-0000-0000D2180000}"/>
    <cellStyle name="Normal 3 20 6 3" xfId="5718" xr:uid="{00000000-0005-0000-0000-0000D3180000}"/>
    <cellStyle name="Normal 3 20 7" xfId="5719" xr:uid="{00000000-0005-0000-0000-0000D4180000}"/>
    <cellStyle name="Normal 3 20 7 2" xfId="5720" xr:uid="{00000000-0005-0000-0000-0000D5180000}"/>
    <cellStyle name="Normal 3 20 7 2 2" xfId="5721" xr:uid="{00000000-0005-0000-0000-0000D6180000}"/>
    <cellStyle name="Normal 3 20 7 3" xfId="5722" xr:uid="{00000000-0005-0000-0000-0000D7180000}"/>
    <cellStyle name="Normal 3 20 8" xfId="5723" xr:uid="{00000000-0005-0000-0000-0000D8180000}"/>
    <cellStyle name="Normal 3 20 8 2" xfId="5724" xr:uid="{00000000-0005-0000-0000-0000D9180000}"/>
    <cellStyle name="Normal 3 20 8 2 2" xfId="5725" xr:uid="{00000000-0005-0000-0000-0000DA180000}"/>
    <cellStyle name="Normal 3 20 8 3" xfId="5726" xr:uid="{00000000-0005-0000-0000-0000DB180000}"/>
    <cellStyle name="Normal 3 20 9" xfId="5727" xr:uid="{00000000-0005-0000-0000-0000DC180000}"/>
    <cellStyle name="Normal 3 20 9 2" xfId="5728" xr:uid="{00000000-0005-0000-0000-0000DD180000}"/>
    <cellStyle name="Normal 3 20 9 2 2" xfId="5729" xr:uid="{00000000-0005-0000-0000-0000DE180000}"/>
    <cellStyle name="Normal 3 20 9 3" xfId="5730" xr:uid="{00000000-0005-0000-0000-0000DF180000}"/>
    <cellStyle name="Normal 3 21" xfId="5731" xr:uid="{00000000-0005-0000-0000-0000E0180000}"/>
    <cellStyle name="Normal 3 21 10" xfId="5732" xr:uid="{00000000-0005-0000-0000-0000E1180000}"/>
    <cellStyle name="Normal 3 21 10 2" xfId="5733" xr:uid="{00000000-0005-0000-0000-0000E2180000}"/>
    <cellStyle name="Normal 3 21 10 2 2" xfId="5734" xr:uid="{00000000-0005-0000-0000-0000E3180000}"/>
    <cellStyle name="Normal 3 21 10 3" xfId="5735" xr:uid="{00000000-0005-0000-0000-0000E4180000}"/>
    <cellStyle name="Normal 3 21 11" xfId="5736" xr:uid="{00000000-0005-0000-0000-0000E5180000}"/>
    <cellStyle name="Normal 3 21 11 2" xfId="5737" xr:uid="{00000000-0005-0000-0000-0000E6180000}"/>
    <cellStyle name="Normal 3 21 11 2 2" xfId="5738" xr:uid="{00000000-0005-0000-0000-0000E7180000}"/>
    <cellStyle name="Normal 3 21 11 3" xfId="5739" xr:uid="{00000000-0005-0000-0000-0000E8180000}"/>
    <cellStyle name="Normal 3 21 12" xfId="5740" xr:uid="{00000000-0005-0000-0000-0000E9180000}"/>
    <cellStyle name="Normal 3 21 12 2" xfId="5741" xr:uid="{00000000-0005-0000-0000-0000EA180000}"/>
    <cellStyle name="Normal 3 21 12 2 2" xfId="5742" xr:uid="{00000000-0005-0000-0000-0000EB180000}"/>
    <cellStyle name="Normal 3 21 12 3" xfId="5743" xr:uid="{00000000-0005-0000-0000-0000EC180000}"/>
    <cellStyle name="Normal 3 21 13" xfId="5744" xr:uid="{00000000-0005-0000-0000-0000ED180000}"/>
    <cellStyle name="Normal 3 21 13 2" xfId="5745" xr:uid="{00000000-0005-0000-0000-0000EE180000}"/>
    <cellStyle name="Normal 3 21 13 2 2" xfId="5746" xr:uid="{00000000-0005-0000-0000-0000EF180000}"/>
    <cellStyle name="Normal 3 21 13 3" xfId="5747" xr:uid="{00000000-0005-0000-0000-0000F0180000}"/>
    <cellStyle name="Normal 3 21 14" xfId="5748" xr:uid="{00000000-0005-0000-0000-0000F1180000}"/>
    <cellStyle name="Normal 3 21 14 2" xfId="5749" xr:uid="{00000000-0005-0000-0000-0000F2180000}"/>
    <cellStyle name="Normal 3 21 14 2 2" xfId="5750" xr:uid="{00000000-0005-0000-0000-0000F3180000}"/>
    <cellStyle name="Normal 3 21 14 3" xfId="5751" xr:uid="{00000000-0005-0000-0000-0000F4180000}"/>
    <cellStyle name="Normal 3 21 15" xfId="5752" xr:uid="{00000000-0005-0000-0000-0000F5180000}"/>
    <cellStyle name="Normal 3 21 15 2" xfId="5753" xr:uid="{00000000-0005-0000-0000-0000F6180000}"/>
    <cellStyle name="Normal 3 21 15 2 2" xfId="5754" xr:uid="{00000000-0005-0000-0000-0000F7180000}"/>
    <cellStyle name="Normal 3 21 15 3" xfId="5755" xr:uid="{00000000-0005-0000-0000-0000F8180000}"/>
    <cellStyle name="Normal 3 21 16" xfId="5756" xr:uid="{00000000-0005-0000-0000-0000F9180000}"/>
    <cellStyle name="Normal 3 21 16 2" xfId="5757" xr:uid="{00000000-0005-0000-0000-0000FA180000}"/>
    <cellStyle name="Normal 3 21 16 2 2" xfId="5758" xr:uid="{00000000-0005-0000-0000-0000FB180000}"/>
    <cellStyle name="Normal 3 21 16 3" xfId="5759" xr:uid="{00000000-0005-0000-0000-0000FC180000}"/>
    <cellStyle name="Normal 3 21 17" xfId="5760" xr:uid="{00000000-0005-0000-0000-0000FD180000}"/>
    <cellStyle name="Normal 3 21 17 2" xfId="5761" xr:uid="{00000000-0005-0000-0000-0000FE180000}"/>
    <cellStyle name="Normal 3 21 17 2 2" xfId="5762" xr:uid="{00000000-0005-0000-0000-0000FF180000}"/>
    <cellStyle name="Normal 3 21 17 3" xfId="5763" xr:uid="{00000000-0005-0000-0000-000000190000}"/>
    <cellStyle name="Normal 3 21 18" xfId="5764" xr:uid="{00000000-0005-0000-0000-000001190000}"/>
    <cellStyle name="Normal 3 21 18 2" xfId="5765" xr:uid="{00000000-0005-0000-0000-000002190000}"/>
    <cellStyle name="Normal 3 21 18 2 2" xfId="5766" xr:uid="{00000000-0005-0000-0000-000003190000}"/>
    <cellStyle name="Normal 3 21 18 3" xfId="5767" xr:uid="{00000000-0005-0000-0000-000004190000}"/>
    <cellStyle name="Normal 3 21 19" xfId="5768" xr:uid="{00000000-0005-0000-0000-000005190000}"/>
    <cellStyle name="Normal 3 21 19 2" xfId="5769" xr:uid="{00000000-0005-0000-0000-000006190000}"/>
    <cellStyle name="Normal 3 21 19 2 2" xfId="5770" xr:uid="{00000000-0005-0000-0000-000007190000}"/>
    <cellStyle name="Normal 3 21 19 3" xfId="5771" xr:uid="{00000000-0005-0000-0000-000008190000}"/>
    <cellStyle name="Normal 3 21 2" xfId="5772" xr:uid="{00000000-0005-0000-0000-000009190000}"/>
    <cellStyle name="Normal 3 21 2 2" xfId="5773" xr:uid="{00000000-0005-0000-0000-00000A190000}"/>
    <cellStyle name="Normal 3 21 2 2 2" xfId="5774" xr:uid="{00000000-0005-0000-0000-00000B190000}"/>
    <cellStyle name="Normal 3 21 2 3" xfId="5775" xr:uid="{00000000-0005-0000-0000-00000C190000}"/>
    <cellStyle name="Normal 3 21 20" xfId="5776" xr:uid="{00000000-0005-0000-0000-00000D190000}"/>
    <cellStyle name="Normal 3 21 20 2" xfId="5777" xr:uid="{00000000-0005-0000-0000-00000E190000}"/>
    <cellStyle name="Normal 3 21 20 2 2" xfId="5778" xr:uid="{00000000-0005-0000-0000-00000F190000}"/>
    <cellStyle name="Normal 3 21 20 3" xfId="5779" xr:uid="{00000000-0005-0000-0000-000010190000}"/>
    <cellStyle name="Normal 3 21 21" xfId="5780" xr:uid="{00000000-0005-0000-0000-000011190000}"/>
    <cellStyle name="Normal 3 21 21 2" xfId="5781" xr:uid="{00000000-0005-0000-0000-000012190000}"/>
    <cellStyle name="Normal 3 21 21 2 2" xfId="5782" xr:uid="{00000000-0005-0000-0000-000013190000}"/>
    <cellStyle name="Normal 3 21 21 3" xfId="5783" xr:uid="{00000000-0005-0000-0000-000014190000}"/>
    <cellStyle name="Normal 3 21 22" xfId="5784" xr:uid="{00000000-0005-0000-0000-000015190000}"/>
    <cellStyle name="Normal 3 21 22 2" xfId="5785" xr:uid="{00000000-0005-0000-0000-000016190000}"/>
    <cellStyle name="Normal 3 21 22 2 2" xfId="5786" xr:uid="{00000000-0005-0000-0000-000017190000}"/>
    <cellStyle name="Normal 3 21 22 3" xfId="5787" xr:uid="{00000000-0005-0000-0000-000018190000}"/>
    <cellStyle name="Normal 3 21 23" xfId="5788" xr:uid="{00000000-0005-0000-0000-000019190000}"/>
    <cellStyle name="Normal 3 21 23 2" xfId="5789" xr:uid="{00000000-0005-0000-0000-00001A190000}"/>
    <cellStyle name="Normal 3 21 23 2 2" xfId="5790" xr:uid="{00000000-0005-0000-0000-00001B190000}"/>
    <cellStyle name="Normal 3 21 23 3" xfId="5791" xr:uid="{00000000-0005-0000-0000-00001C190000}"/>
    <cellStyle name="Normal 3 21 24" xfId="5792" xr:uid="{00000000-0005-0000-0000-00001D190000}"/>
    <cellStyle name="Normal 3 21 24 2" xfId="5793" xr:uid="{00000000-0005-0000-0000-00001E190000}"/>
    <cellStyle name="Normal 3 21 25" xfId="5794" xr:uid="{00000000-0005-0000-0000-00001F190000}"/>
    <cellStyle name="Normal 3 21 3" xfId="5795" xr:uid="{00000000-0005-0000-0000-000020190000}"/>
    <cellStyle name="Normal 3 21 3 2" xfId="5796" xr:uid="{00000000-0005-0000-0000-000021190000}"/>
    <cellStyle name="Normal 3 21 3 2 2" xfId="5797" xr:uid="{00000000-0005-0000-0000-000022190000}"/>
    <cellStyle name="Normal 3 21 3 3" xfId="5798" xr:uid="{00000000-0005-0000-0000-000023190000}"/>
    <cellStyle name="Normal 3 21 4" xfId="5799" xr:uid="{00000000-0005-0000-0000-000024190000}"/>
    <cellStyle name="Normal 3 21 4 2" xfId="5800" xr:uid="{00000000-0005-0000-0000-000025190000}"/>
    <cellStyle name="Normal 3 21 4 2 2" xfId="5801" xr:uid="{00000000-0005-0000-0000-000026190000}"/>
    <cellStyle name="Normal 3 21 4 3" xfId="5802" xr:uid="{00000000-0005-0000-0000-000027190000}"/>
    <cellStyle name="Normal 3 21 5" xfId="5803" xr:uid="{00000000-0005-0000-0000-000028190000}"/>
    <cellStyle name="Normal 3 21 5 2" xfId="5804" xr:uid="{00000000-0005-0000-0000-000029190000}"/>
    <cellStyle name="Normal 3 21 5 2 2" xfId="5805" xr:uid="{00000000-0005-0000-0000-00002A190000}"/>
    <cellStyle name="Normal 3 21 5 3" xfId="5806" xr:uid="{00000000-0005-0000-0000-00002B190000}"/>
    <cellStyle name="Normal 3 21 6" xfId="5807" xr:uid="{00000000-0005-0000-0000-00002C190000}"/>
    <cellStyle name="Normal 3 21 6 2" xfId="5808" xr:uid="{00000000-0005-0000-0000-00002D190000}"/>
    <cellStyle name="Normal 3 21 6 2 2" xfId="5809" xr:uid="{00000000-0005-0000-0000-00002E190000}"/>
    <cellStyle name="Normal 3 21 6 3" xfId="5810" xr:uid="{00000000-0005-0000-0000-00002F190000}"/>
    <cellStyle name="Normal 3 21 7" xfId="5811" xr:uid="{00000000-0005-0000-0000-000030190000}"/>
    <cellStyle name="Normal 3 21 7 2" xfId="5812" xr:uid="{00000000-0005-0000-0000-000031190000}"/>
    <cellStyle name="Normal 3 21 7 2 2" xfId="5813" xr:uid="{00000000-0005-0000-0000-000032190000}"/>
    <cellStyle name="Normal 3 21 7 3" xfId="5814" xr:uid="{00000000-0005-0000-0000-000033190000}"/>
    <cellStyle name="Normal 3 21 8" xfId="5815" xr:uid="{00000000-0005-0000-0000-000034190000}"/>
    <cellStyle name="Normal 3 21 8 2" xfId="5816" xr:uid="{00000000-0005-0000-0000-000035190000}"/>
    <cellStyle name="Normal 3 21 8 2 2" xfId="5817" xr:uid="{00000000-0005-0000-0000-000036190000}"/>
    <cellStyle name="Normal 3 21 8 3" xfId="5818" xr:uid="{00000000-0005-0000-0000-000037190000}"/>
    <cellStyle name="Normal 3 21 9" xfId="5819" xr:uid="{00000000-0005-0000-0000-000038190000}"/>
    <cellStyle name="Normal 3 21 9 2" xfId="5820" xr:uid="{00000000-0005-0000-0000-000039190000}"/>
    <cellStyle name="Normal 3 21 9 2 2" xfId="5821" xr:uid="{00000000-0005-0000-0000-00003A190000}"/>
    <cellStyle name="Normal 3 21 9 3" xfId="5822" xr:uid="{00000000-0005-0000-0000-00003B190000}"/>
    <cellStyle name="Normal 3 22" xfId="5823" xr:uid="{00000000-0005-0000-0000-00003C190000}"/>
    <cellStyle name="Normal 3 22 10" xfId="5824" xr:uid="{00000000-0005-0000-0000-00003D190000}"/>
    <cellStyle name="Normal 3 22 10 2" xfId="5825" xr:uid="{00000000-0005-0000-0000-00003E190000}"/>
    <cellStyle name="Normal 3 22 10 2 2" xfId="5826" xr:uid="{00000000-0005-0000-0000-00003F190000}"/>
    <cellStyle name="Normal 3 22 10 3" xfId="5827" xr:uid="{00000000-0005-0000-0000-000040190000}"/>
    <cellStyle name="Normal 3 22 11" xfId="5828" xr:uid="{00000000-0005-0000-0000-000041190000}"/>
    <cellStyle name="Normal 3 22 11 2" xfId="5829" xr:uid="{00000000-0005-0000-0000-000042190000}"/>
    <cellStyle name="Normal 3 22 11 2 2" xfId="5830" xr:uid="{00000000-0005-0000-0000-000043190000}"/>
    <cellStyle name="Normal 3 22 11 3" xfId="5831" xr:uid="{00000000-0005-0000-0000-000044190000}"/>
    <cellStyle name="Normal 3 22 12" xfId="5832" xr:uid="{00000000-0005-0000-0000-000045190000}"/>
    <cellStyle name="Normal 3 22 12 2" xfId="5833" xr:uid="{00000000-0005-0000-0000-000046190000}"/>
    <cellStyle name="Normal 3 22 12 2 2" xfId="5834" xr:uid="{00000000-0005-0000-0000-000047190000}"/>
    <cellStyle name="Normal 3 22 12 3" xfId="5835" xr:uid="{00000000-0005-0000-0000-000048190000}"/>
    <cellStyle name="Normal 3 22 13" xfId="5836" xr:uid="{00000000-0005-0000-0000-000049190000}"/>
    <cellStyle name="Normal 3 22 13 2" xfId="5837" xr:uid="{00000000-0005-0000-0000-00004A190000}"/>
    <cellStyle name="Normal 3 22 13 2 2" xfId="5838" xr:uid="{00000000-0005-0000-0000-00004B190000}"/>
    <cellStyle name="Normal 3 22 13 3" xfId="5839" xr:uid="{00000000-0005-0000-0000-00004C190000}"/>
    <cellStyle name="Normal 3 22 14" xfId="5840" xr:uid="{00000000-0005-0000-0000-00004D190000}"/>
    <cellStyle name="Normal 3 22 14 2" xfId="5841" xr:uid="{00000000-0005-0000-0000-00004E190000}"/>
    <cellStyle name="Normal 3 22 14 2 2" xfId="5842" xr:uid="{00000000-0005-0000-0000-00004F190000}"/>
    <cellStyle name="Normal 3 22 14 3" xfId="5843" xr:uid="{00000000-0005-0000-0000-000050190000}"/>
    <cellStyle name="Normal 3 22 15" xfId="5844" xr:uid="{00000000-0005-0000-0000-000051190000}"/>
    <cellStyle name="Normal 3 22 15 2" xfId="5845" xr:uid="{00000000-0005-0000-0000-000052190000}"/>
    <cellStyle name="Normal 3 22 15 2 2" xfId="5846" xr:uid="{00000000-0005-0000-0000-000053190000}"/>
    <cellStyle name="Normal 3 22 15 3" xfId="5847" xr:uid="{00000000-0005-0000-0000-000054190000}"/>
    <cellStyle name="Normal 3 22 16" xfId="5848" xr:uid="{00000000-0005-0000-0000-000055190000}"/>
    <cellStyle name="Normal 3 22 16 2" xfId="5849" xr:uid="{00000000-0005-0000-0000-000056190000}"/>
    <cellStyle name="Normal 3 22 16 2 2" xfId="5850" xr:uid="{00000000-0005-0000-0000-000057190000}"/>
    <cellStyle name="Normal 3 22 16 3" xfId="5851" xr:uid="{00000000-0005-0000-0000-000058190000}"/>
    <cellStyle name="Normal 3 22 17" xfId="5852" xr:uid="{00000000-0005-0000-0000-000059190000}"/>
    <cellStyle name="Normal 3 22 17 2" xfId="5853" xr:uid="{00000000-0005-0000-0000-00005A190000}"/>
    <cellStyle name="Normal 3 22 17 2 2" xfId="5854" xr:uid="{00000000-0005-0000-0000-00005B190000}"/>
    <cellStyle name="Normal 3 22 17 3" xfId="5855" xr:uid="{00000000-0005-0000-0000-00005C190000}"/>
    <cellStyle name="Normal 3 22 18" xfId="5856" xr:uid="{00000000-0005-0000-0000-00005D190000}"/>
    <cellStyle name="Normal 3 22 18 2" xfId="5857" xr:uid="{00000000-0005-0000-0000-00005E190000}"/>
    <cellStyle name="Normal 3 22 18 2 2" xfId="5858" xr:uid="{00000000-0005-0000-0000-00005F190000}"/>
    <cellStyle name="Normal 3 22 18 3" xfId="5859" xr:uid="{00000000-0005-0000-0000-000060190000}"/>
    <cellStyle name="Normal 3 22 19" xfId="5860" xr:uid="{00000000-0005-0000-0000-000061190000}"/>
    <cellStyle name="Normal 3 22 19 2" xfId="5861" xr:uid="{00000000-0005-0000-0000-000062190000}"/>
    <cellStyle name="Normal 3 22 19 2 2" xfId="5862" xr:uid="{00000000-0005-0000-0000-000063190000}"/>
    <cellStyle name="Normal 3 22 19 3" xfId="5863" xr:uid="{00000000-0005-0000-0000-000064190000}"/>
    <cellStyle name="Normal 3 22 2" xfId="5864" xr:uid="{00000000-0005-0000-0000-000065190000}"/>
    <cellStyle name="Normal 3 22 2 2" xfId="5865" xr:uid="{00000000-0005-0000-0000-000066190000}"/>
    <cellStyle name="Normal 3 22 2 2 2" xfId="5866" xr:uid="{00000000-0005-0000-0000-000067190000}"/>
    <cellStyle name="Normal 3 22 2 3" xfId="5867" xr:uid="{00000000-0005-0000-0000-000068190000}"/>
    <cellStyle name="Normal 3 22 20" xfId="5868" xr:uid="{00000000-0005-0000-0000-000069190000}"/>
    <cellStyle name="Normal 3 22 20 2" xfId="5869" xr:uid="{00000000-0005-0000-0000-00006A190000}"/>
    <cellStyle name="Normal 3 22 20 2 2" xfId="5870" xr:uid="{00000000-0005-0000-0000-00006B190000}"/>
    <cellStyle name="Normal 3 22 20 3" xfId="5871" xr:uid="{00000000-0005-0000-0000-00006C190000}"/>
    <cellStyle name="Normal 3 22 21" xfId="5872" xr:uid="{00000000-0005-0000-0000-00006D190000}"/>
    <cellStyle name="Normal 3 22 21 2" xfId="5873" xr:uid="{00000000-0005-0000-0000-00006E190000}"/>
    <cellStyle name="Normal 3 22 21 2 2" xfId="5874" xr:uid="{00000000-0005-0000-0000-00006F190000}"/>
    <cellStyle name="Normal 3 22 21 3" xfId="5875" xr:uid="{00000000-0005-0000-0000-000070190000}"/>
    <cellStyle name="Normal 3 22 22" xfId="5876" xr:uid="{00000000-0005-0000-0000-000071190000}"/>
    <cellStyle name="Normal 3 22 22 2" xfId="5877" xr:uid="{00000000-0005-0000-0000-000072190000}"/>
    <cellStyle name="Normal 3 22 22 2 2" xfId="5878" xr:uid="{00000000-0005-0000-0000-000073190000}"/>
    <cellStyle name="Normal 3 22 22 3" xfId="5879" xr:uid="{00000000-0005-0000-0000-000074190000}"/>
    <cellStyle name="Normal 3 22 23" xfId="5880" xr:uid="{00000000-0005-0000-0000-000075190000}"/>
    <cellStyle name="Normal 3 22 23 2" xfId="5881" xr:uid="{00000000-0005-0000-0000-000076190000}"/>
    <cellStyle name="Normal 3 22 23 2 2" xfId="5882" xr:uid="{00000000-0005-0000-0000-000077190000}"/>
    <cellStyle name="Normal 3 22 23 3" xfId="5883" xr:uid="{00000000-0005-0000-0000-000078190000}"/>
    <cellStyle name="Normal 3 22 24" xfId="5884" xr:uid="{00000000-0005-0000-0000-000079190000}"/>
    <cellStyle name="Normal 3 22 24 2" xfId="5885" xr:uid="{00000000-0005-0000-0000-00007A190000}"/>
    <cellStyle name="Normal 3 22 25" xfId="5886" xr:uid="{00000000-0005-0000-0000-00007B190000}"/>
    <cellStyle name="Normal 3 22 3" xfId="5887" xr:uid="{00000000-0005-0000-0000-00007C190000}"/>
    <cellStyle name="Normal 3 22 3 2" xfId="5888" xr:uid="{00000000-0005-0000-0000-00007D190000}"/>
    <cellStyle name="Normal 3 22 3 2 2" xfId="5889" xr:uid="{00000000-0005-0000-0000-00007E190000}"/>
    <cellStyle name="Normal 3 22 3 3" xfId="5890" xr:uid="{00000000-0005-0000-0000-00007F190000}"/>
    <cellStyle name="Normal 3 22 4" xfId="5891" xr:uid="{00000000-0005-0000-0000-000080190000}"/>
    <cellStyle name="Normal 3 22 4 2" xfId="5892" xr:uid="{00000000-0005-0000-0000-000081190000}"/>
    <cellStyle name="Normal 3 22 4 2 2" xfId="5893" xr:uid="{00000000-0005-0000-0000-000082190000}"/>
    <cellStyle name="Normal 3 22 4 3" xfId="5894" xr:uid="{00000000-0005-0000-0000-000083190000}"/>
    <cellStyle name="Normal 3 22 5" xfId="5895" xr:uid="{00000000-0005-0000-0000-000084190000}"/>
    <cellStyle name="Normal 3 22 5 2" xfId="5896" xr:uid="{00000000-0005-0000-0000-000085190000}"/>
    <cellStyle name="Normal 3 22 5 2 2" xfId="5897" xr:uid="{00000000-0005-0000-0000-000086190000}"/>
    <cellStyle name="Normal 3 22 5 3" xfId="5898" xr:uid="{00000000-0005-0000-0000-000087190000}"/>
    <cellStyle name="Normal 3 22 6" xfId="5899" xr:uid="{00000000-0005-0000-0000-000088190000}"/>
    <cellStyle name="Normal 3 22 6 2" xfId="5900" xr:uid="{00000000-0005-0000-0000-000089190000}"/>
    <cellStyle name="Normal 3 22 6 2 2" xfId="5901" xr:uid="{00000000-0005-0000-0000-00008A190000}"/>
    <cellStyle name="Normal 3 22 6 3" xfId="5902" xr:uid="{00000000-0005-0000-0000-00008B190000}"/>
    <cellStyle name="Normal 3 22 7" xfId="5903" xr:uid="{00000000-0005-0000-0000-00008C190000}"/>
    <cellStyle name="Normal 3 22 7 2" xfId="5904" xr:uid="{00000000-0005-0000-0000-00008D190000}"/>
    <cellStyle name="Normal 3 22 7 2 2" xfId="5905" xr:uid="{00000000-0005-0000-0000-00008E190000}"/>
    <cellStyle name="Normal 3 22 7 3" xfId="5906" xr:uid="{00000000-0005-0000-0000-00008F190000}"/>
    <cellStyle name="Normal 3 22 8" xfId="5907" xr:uid="{00000000-0005-0000-0000-000090190000}"/>
    <cellStyle name="Normal 3 22 8 2" xfId="5908" xr:uid="{00000000-0005-0000-0000-000091190000}"/>
    <cellStyle name="Normal 3 22 8 2 2" xfId="5909" xr:uid="{00000000-0005-0000-0000-000092190000}"/>
    <cellStyle name="Normal 3 22 8 3" xfId="5910" xr:uid="{00000000-0005-0000-0000-000093190000}"/>
    <cellStyle name="Normal 3 22 9" xfId="5911" xr:uid="{00000000-0005-0000-0000-000094190000}"/>
    <cellStyle name="Normal 3 22 9 2" xfId="5912" xr:uid="{00000000-0005-0000-0000-000095190000}"/>
    <cellStyle name="Normal 3 22 9 2 2" xfId="5913" xr:uid="{00000000-0005-0000-0000-000096190000}"/>
    <cellStyle name="Normal 3 22 9 3" xfId="5914" xr:uid="{00000000-0005-0000-0000-000097190000}"/>
    <cellStyle name="Normal 3 23" xfId="5915" xr:uid="{00000000-0005-0000-0000-000098190000}"/>
    <cellStyle name="Normal 3 23 10" xfId="5916" xr:uid="{00000000-0005-0000-0000-000099190000}"/>
    <cellStyle name="Normal 3 23 10 2" xfId="5917" xr:uid="{00000000-0005-0000-0000-00009A190000}"/>
    <cellStyle name="Normal 3 23 10 2 2" xfId="5918" xr:uid="{00000000-0005-0000-0000-00009B190000}"/>
    <cellStyle name="Normal 3 23 10 3" xfId="5919" xr:uid="{00000000-0005-0000-0000-00009C190000}"/>
    <cellStyle name="Normal 3 23 11" xfId="5920" xr:uid="{00000000-0005-0000-0000-00009D190000}"/>
    <cellStyle name="Normal 3 23 11 2" xfId="5921" xr:uid="{00000000-0005-0000-0000-00009E190000}"/>
    <cellStyle name="Normal 3 23 11 2 2" xfId="5922" xr:uid="{00000000-0005-0000-0000-00009F190000}"/>
    <cellStyle name="Normal 3 23 11 3" xfId="5923" xr:uid="{00000000-0005-0000-0000-0000A0190000}"/>
    <cellStyle name="Normal 3 23 12" xfId="5924" xr:uid="{00000000-0005-0000-0000-0000A1190000}"/>
    <cellStyle name="Normal 3 23 12 2" xfId="5925" xr:uid="{00000000-0005-0000-0000-0000A2190000}"/>
    <cellStyle name="Normal 3 23 12 2 2" xfId="5926" xr:uid="{00000000-0005-0000-0000-0000A3190000}"/>
    <cellStyle name="Normal 3 23 12 3" xfId="5927" xr:uid="{00000000-0005-0000-0000-0000A4190000}"/>
    <cellStyle name="Normal 3 23 13" xfId="5928" xr:uid="{00000000-0005-0000-0000-0000A5190000}"/>
    <cellStyle name="Normal 3 23 13 2" xfId="5929" xr:uid="{00000000-0005-0000-0000-0000A6190000}"/>
    <cellStyle name="Normal 3 23 13 2 2" xfId="5930" xr:uid="{00000000-0005-0000-0000-0000A7190000}"/>
    <cellStyle name="Normal 3 23 13 3" xfId="5931" xr:uid="{00000000-0005-0000-0000-0000A8190000}"/>
    <cellStyle name="Normal 3 23 14" xfId="5932" xr:uid="{00000000-0005-0000-0000-0000A9190000}"/>
    <cellStyle name="Normal 3 23 14 2" xfId="5933" xr:uid="{00000000-0005-0000-0000-0000AA190000}"/>
    <cellStyle name="Normal 3 23 14 2 2" xfId="5934" xr:uid="{00000000-0005-0000-0000-0000AB190000}"/>
    <cellStyle name="Normal 3 23 14 3" xfId="5935" xr:uid="{00000000-0005-0000-0000-0000AC190000}"/>
    <cellStyle name="Normal 3 23 15" xfId="5936" xr:uid="{00000000-0005-0000-0000-0000AD190000}"/>
    <cellStyle name="Normal 3 23 15 2" xfId="5937" xr:uid="{00000000-0005-0000-0000-0000AE190000}"/>
    <cellStyle name="Normal 3 23 15 2 2" xfId="5938" xr:uid="{00000000-0005-0000-0000-0000AF190000}"/>
    <cellStyle name="Normal 3 23 15 3" xfId="5939" xr:uid="{00000000-0005-0000-0000-0000B0190000}"/>
    <cellStyle name="Normal 3 23 16" xfId="5940" xr:uid="{00000000-0005-0000-0000-0000B1190000}"/>
    <cellStyle name="Normal 3 23 16 2" xfId="5941" xr:uid="{00000000-0005-0000-0000-0000B2190000}"/>
    <cellStyle name="Normal 3 23 16 2 2" xfId="5942" xr:uid="{00000000-0005-0000-0000-0000B3190000}"/>
    <cellStyle name="Normal 3 23 16 3" xfId="5943" xr:uid="{00000000-0005-0000-0000-0000B4190000}"/>
    <cellStyle name="Normal 3 23 17" xfId="5944" xr:uid="{00000000-0005-0000-0000-0000B5190000}"/>
    <cellStyle name="Normal 3 23 17 2" xfId="5945" xr:uid="{00000000-0005-0000-0000-0000B6190000}"/>
    <cellStyle name="Normal 3 23 17 2 2" xfId="5946" xr:uid="{00000000-0005-0000-0000-0000B7190000}"/>
    <cellStyle name="Normal 3 23 17 3" xfId="5947" xr:uid="{00000000-0005-0000-0000-0000B8190000}"/>
    <cellStyle name="Normal 3 23 18" xfId="5948" xr:uid="{00000000-0005-0000-0000-0000B9190000}"/>
    <cellStyle name="Normal 3 23 18 2" xfId="5949" xr:uid="{00000000-0005-0000-0000-0000BA190000}"/>
    <cellStyle name="Normal 3 23 18 2 2" xfId="5950" xr:uid="{00000000-0005-0000-0000-0000BB190000}"/>
    <cellStyle name="Normal 3 23 18 3" xfId="5951" xr:uid="{00000000-0005-0000-0000-0000BC190000}"/>
    <cellStyle name="Normal 3 23 19" xfId="5952" xr:uid="{00000000-0005-0000-0000-0000BD190000}"/>
    <cellStyle name="Normal 3 23 19 2" xfId="5953" xr:uid="{00000000-0005-0000-0000-0000BE190000}"/>
    <cellStyle name="Normal 3 23 19 2 2" xfId="5954" xr:uid="{00000000-0005-0000-0000-0000BF190000}"/>
    <cellStyle name="Normal 3 23 19 3" xfId="5955" xr:uid="{00000000-0005-0000-0000-0000C0190000}"/>
    <cellStyle name="Normal 3 23 2" xfId="5956" xr:uid="{00000000-0005-0000-0000-0000C1190000}"/>
    <cellStyle name="Normal 3 23 2 2" xfId="5957" xr:uid="{00000000-0005-0000-0000-0000C2190000}"/>
    <cellStyle name="Normal 3 23 2 2 2" xfId="5958" xr:uid="{00000000-0005-0000-0000-0000C3190000}"/>
    <cellStyle name="Normal 3 23 2 3" xfId="5959" xr:uid="{00000000-0005-0000-0000-0000C4190000}"/>
    <cellStyle name="Normal 3 23 20" xfId="5960" xr:uid="{00000000-0005-0000-0000-0000C5190000}"/>
    <cellStyle name="Normal 3 23 20 2" xfId="5961" xr:uid="{00000000-0005-0000-0000-0000C6190000}"/>
    <cellStyle name="Normal 3 23 20 2 2" xfId="5962" xr:uid="{00000000-0005-0000-0000-0000C7190000}"/>
    <cellStyle name="Normal 3 23 20 3" xfId="5963" xr:uid="{00000000-0005-0000-0000-0000C8190000}"/>
    <cellStyle name="Normal 3 23 21" xfId="5964" xr:uid="{00000000-0005-0000-0000-0000C9190000}"/>
    <cellStyle name="Normal 3 23 21 2" xfId="5965" xr:uid="{00000000-0005-0000-0000-0000CA190000}"/>
    <cellStyle name="Normal 3 23 21 2 2" xfId="5966" xr:uid="{00000000-0005-0000-0000-0000CB190000}"/>
    <cellStyle name="Normal 3 23 21 3" xfId="5967" xr:uid="{00000000-0005-0000-0000-0000CC190000}"/>
    <cellStyle name="Normal 3 23 22" xfId="5968" xr:uid="{00000000-0005-0000-0000-0000CD190000}"/>
    <cellStyle name="Normal 3 23 22 2" xfId="5969" xr:uid="{00000000-0005-0000-0000-0000CE190000}"/>
    <cellStyle name="Normal 3 23 22 2 2" xfId="5970" xr:uid="{00000000-0005-0000-0000-0000CF190000}"/>
    <cellStyle name="Normal 3 23 22 3" xfId="5971" xr:uid="{00000000-0005-0000-0000-0000D0190000}"/>
    <cellStyle name="Normal 3 23 23" xfId="5972" xr:uid="{00000000-0005-0000-0000-0000D1190000}"/>
    <cellStyle name="Normal 3 23 23 2" xfId="5973" xr:uid="{00000000-0005-0000-0000-0000D2190000}"/>
    <cellStyle name="Normal 3 23 23 2 2" xfId="5974" xr:uid="{00000000-0005-0000-0000-0000D3190000}"/>
    <cellStyle name="Normal 3 23 23 3" xfId="5975" xr:uid="{00000000-0005-0000-0000-0000D4190000}"/>
    <cellStyle name="Normal 3 23 24" xfId="5976" xr:uid="{00000000-0005-0000-0000-0000D5190000}"/>
    <cellStyle name="Normal 3 23 24 2" xfId="5977" xr:uid="{00000000-0005-0000-0000-0000D6190000}"/>
    <cellStyle name="Normal 3 23 25" xfId="5978" xr:uid="{00000000-0005-0000-0000-0000D7190000}"/>
    <cellStyle name="Normal 3 23 3" xfId="5979" xr:uid="{00000000-0005-0000-0000-0000D8190000}"/>
    <cellStyle name="Normal 3 23 3 2" xfId="5980" xr:uid="{00000000-0005-0000-0000-0000D9190000}"/>
    <cellStyle name="Normal 3 23 3 2 2" xfId="5981" xr:uid="{00000000-0005-0000-0000-0000DA190000}"/>
    <cellStyle name="Normal 3 23 3 3" xfId="5982" xr:uid="{00000000-0005-0000-0000-0000DB190000}"/>
    <cellStyle name="Normal 3 23 4" xfId="5983" xr:uid="{00000000-0005-0000-0000-0000DC190000}"/>
    <cellStyle name="Normal 3 23 4 2" xfId="5984" xr:uid="{00000000-0005-0000-0000-0000DD190000}"/>
    <cellStyle name="Normal 3 23 4 2 2" xfId="5985" xr:uid="{00000000-0005-0000-0000-0000DE190000}"/>
    <cellStyle name="Normal 3 23 4 3" xfId="5986" xr:uid="{00000000-0005-0000-0000-0000DF190000}"/>
    <cellStyle name="Normal 3 23 5" xfId="5987" xr:uid="{00000000-0005-0000-0000-0000E0190000}"/>
    <cellStyle name="Normal 3 23 5 2" xfId="5988" xr:uid="{00000000-0005-0000-0000-0000E1190000}"/>
    <cellStyle name="Normal 3 23 5 2 2" xfId="5989" xr:uid="{00000000-0005-0000-0000-0000E2190000}"/>
    <cellStyle name="Normal 3 23 5 3" xfId="5990" xr:uid="{00000000-0005-0000-0000-0000E3190000}"/>
    <cellStyle name="Normal 3 23 6" xfId="5991" xr:uid="{00000000-0005-0000-0000-0000E4190000}"/>
    <cellStyle name="Normal 3 23 6 2" xfId="5992" xr:uid="{00000000-0005-0000-0000-0000E5190000}"/>
    <cellStyle name="Normal 3 23 6 2 2" xfId="5993" xr:uid="{00000000-0005-0000-0000-0000E6190000}"/>
    <cellStyle name="Normal 3 23 6 3" xfId="5994" xr:uid="{00000000-0005-0000-0000-0000E7190000}"/>
    <cellStyle name="Normal 3 23 7" xfId="5995" xr:uid="{00000000-0005-0000-0000-0000E8190000}"/>
    <cellStyle name="Normal 3 23 7 2" xfId="5996" xr:uid="{00000000-0005-0000-0000-0000E9190000}"/>
    <cellStyle name="Normal 3 23 7 2 2" xfId="5997" xr:uid="{00000000-0005-0000-0000-0000EA190000}"/>
    <cellStyle name="Normal 3 23 7 3" xfId="5998" xr:uid="{00000000-0005-0000-0000-0000EB190000}"/>
    <cellStyle name="Normal 3 23 8" xfId="5999" xr:uid="{00000000-0005-0000-0000-0000EC190000}"/>
    <cellStyle name="Normal 3 23 8 2" xfId="6000" xr:uid="{00000000-0005-0000-0000-0000ED190000}"/>
    <cellStyle name="Normal 3 23 8 2 2" xfId="6001" xr:uid="{00000000-0005-0000-0000-0000EE190000}"/>
    <cellStyle name="Normal 3 23 8 3" xfId="6002" xr:uid="{00000000-0005-0000-0000-0000EF190000}"/>
    <cellStyle name="Normal 3 23 9" xfId="6003" xr:uid="{00000000-0005-0000-0000-0000F0190000}"/>
    <cellStyle name="Normal 3 23 9 2" xfId="6004" xr:uid="{00000000-0005-0000-0000-0000F1190000}"/>
    <cellStyle name="Normal 3 23 9 2 2" xfId="6005" xr:uid="{00000000-0005-0000-0000-0000F2190000}"/>
    <cellStyle name="Normal 3 23 9 3" xfId="6006" xr:uid="{00000000-0005-0000-0000-0000F3190000}"/>
    <cellStyle name="Normal 3 24" xfId="6007" xr:uid="{00000000-0005-0000-0000-0000F4190000}"/>
    <cellStyle name="Normal 3 24 10" xfId="6008" xr:uid="{00000000-0005-0000-0000-0000F5190000}"/>
    <cellStyle name="Normal 3 24 10 2" xfId="6009" xr:uid="{00000000-0005-0000-0000-0000F6190000}"/>
    <cellStyle name="Normal 3 24 10 2 2" xfId="6010" xr:uid="{00000000-0005-0000-0000-0000F7190000}"/>
    <cellStyle name="Normal 3 24 10 3" xfId="6011" xr:uid="{00000000-0005-0000-0000-0000F8190000}"/>
    <cellStyle name="Normal 3 24 11" xfId="6012" xr:uid="{00000000-0005-0000-0000-0000F9190000}"/>
    <cellStyle name="Normal 3 24 11 2" xfId="6013" xr:uid="{00000000-0005-0000-0000-0000FA190000}"/>
    <cellStyle name="Normal 3 24 11 2 2" xfId="6014" xr:uid="{00000000-0005-0000-0000-0000FB190000}"/>
    <cellStyle name="Normal 3 24 11 3" xfId="6015" xr:uid="{00000000-0005-0000-0000-0000FC190000}"/>
    <cellStyle name="Normal 3 24 12" xfId="6016" xr:uid="{00000000-0005-0000-0000-0000FD190000}"/>
    <cellStyle name="Normal 3 24 12 2" xfId="6017" xr:uid="{00000000-0005-0000-0000-0000FE190000}"/>
    <cellStyle name="Normal 3 24 12 2 2" xfId="6018" xr:uid="{00000000-0005-0000-0000-0000FF190000}"/>
    <cellStyle name="Normal 3 24 12 3" xfId="6019" xr:uid="{00000000-0005-0000-0000-0000001A0000}"/>
    <cellStyle name="Normal 3 24 13" xfId="6020" xr:uid="{00000000-0005-0000-0000-0000011A0000}"/>
    <cellStyle name="Normal 3 24 13 2" xfId="6021" xr:uid="{00000000-0005-0000-0000-0000021A0000}"/>
    <cellStyle name="Normal 3 24 13 2 2" xfId="6022" xr:uid="{00000000-0005-0000-0000-0000031A0000}"/>
    <cellStyle name="Normal 3 24 13 3" xfId="6023" xr:uid="{00000000-0005-0000-0000-0000041A0000}"/>
    <cellStyle name="Normal 3 24 14" xfId="6024" xr:uid="{00000000-0005-0000-0000-0000051A0000}"/>
    <cellStyle name="Normal 3 24 14 2" xfId="6025" xr:uid="{00000000-0005-0000-0000-0000061A0000}"/>
    <cellStyle name="Normal 3 24 14 2 2" xfId="6026" xr:uid="{00000000-0005-0000-0000-0000071A0000}"/>
    <cellStyle name="Normal 3 24 14 3" xfId="6027" xr:uid="{00000000-0005-0000-0000-0000081A0000}"/>
    <cellStyle name="Normal 3 24 15" xfId="6028" xr:uid="{00000000-0005-0000-0000-0000091A0000}"/>
    <cellStyle name="Normal 3 24 15 2" xfId="6029" xr:uid="{00000000-0005-0000-0000-00000A1A0000}"/>
    <cellStyle name="Normal 3 24 15 2 2" xfId="6030" xr:uid="{00000000-0005-0000-0000-00000B1A0000}"/>
    <cellStyle name="Normal 3 24 15 3" xfId="6031" xr:uid="{00000000-0005-0000-0000-00000C1A0000}"/>
    <cellStyle name="Normal 3 24 16" xfId="6032" xr:uid="{00000000-0005-0000-0000-00000D1A0000}"/>
    <cellStyle name="Normal 3 24 16 2" xfId="6033" xr:uid="{00000000-0005-0000-0000-00000E1A0000}"/>
    <cellStyle name="Normal 3 24 16 2 2" xfId="6034" xr:uid="{00000000-0005-0000-0000-00000F1A0000}"/>
    <cellStyle name="Normal 3 24 16 3" xfId="6035" xr:uid="{00000000-0005-0000-0000-0000101A0000}"/>
    <cellStyle name="Normal 3 24 17" xfId="6036" xr:uid="{00000000-0005-0000-0000-0000111A0000}"/>
    <cellStyle name="Normal 3 24 17 2" xfId="6037" xr:uid="{00000000-0005-0000-0000-0000121A0000}"/>
    <cellStyle name="Normal 3 24 17 2 2" xfId="6038" xr:uid="{00000000-0005-0000-0000-0000131A0000}"/>
    <cellStyle name="Normal 3 24 17 3" xfId="6039" xr:uid="{00000000-0005-0000-0000-0000141A0000}"/>
    <cellStyle name="Normal 3 24 18" xfId="6040" xr:uid="{00000000-0005-0000-0000-0000151A0000}"/>
    <cellStyle name="Normal 3 24 18 2" xfId="6041" xr:uid="{00000000-0005-0000-0000-0000161A0000}"/>
    <cellStyle name="Normal 3 24 18 2 2" xfId="6042" xr:uid="{00000000-0005-0000-0000-0000171A0000}"/>
    <cellStyle name="Normal 3 24 18 3" xfId="6043" xr:uid="{00000000-0005-0000-0000-0000181A0000}"/>
    <cellStyle name="Normal 3 24 19" xfId="6044" xr:uid="{00000000-0005-0000-0000-0000191A0000}"/>
    <cellStyle name="Normal 3 24 19 2" xfId="6045" xr:uid="{00000000-0005-0000-0000-00001A1A0000}"/>
    <cellStyle name="Normal 3 24 19 2 2" xfId="6046" xr:uid="{00000000-0005-0000-0000-00001B1A0000}"/>
    <cellStyle name="Normal 3 24 19 3" xfId="6047" xr:uid="{00000000-0005-0000-0000-00001C1A0000}"/>
    <cellStyle name="Normal 3 24 2" xfId="6048" xr:uid="{00000000-0005-0000-0000-00001D1A0000}"/>
    <cellStyle name="Normal 3 24 2 2" xfId="6049" xr:uid="{00000000-0005-0000-0000-00001E1A0000}"/>
    <cellStyle name="Normal 3 24 2 2 2" xfId="6050" xr:uid="{00000000-0005-0000-0000-00001F1A0000}"/>
    <cellStyle name="Normal 3 24 2 3" xfId="6051" xr:uid="{00000000-0005-0000-0000-0000201A0000}"/>
    <cellStyle name="Normal 3 24 20" xfId="6052" xr:uid="{00000000-0005-0000-0000-0000211A0000}"/>
    <cellStyle name="Normal 3 24 20 2" xfId="6053" xr:uid="{00000000-0005-0000-0000-0000221A0000}"/>
    <cellStyle name="Normal 3 24 20 2 2" xfId="6054" xr:uid="{00000000-0005-0000-0000-0000231A0000}"/>
    <cellStyle name="Normal 3 24 20 3" xfId="6055" xr:uid="{00000000-0005-0000-0000-0000241A0000}"/>
    <cellStyle name="Normal 3 24 21" xfId="6056" xr:uid="{00000000-0005-0000-0000-0000251A0000}"/>
    <cellStyle name="Normal 3 24 21 2" xfId="6057" xr:uid="{00000000-0005-0000-0000-0000261A0000}"/>
    <cellStyle name="Normal 3 24 21 2 2" xfId="6058" xr:uid="{00000000-0005-0000-0000-0000271A0000}"/>
    <cellStyle name="Normal 3 24 21 3" xfId="6059" xr:uid="{00000000-0005-0000-0000-0000281A0000}"/>
    <cellStyle name="Normal 3 24 22" xfId="6060" xr:uid="{00000000-0005-0000-0000-0000291A0000}"/>
    <cellStyle name="Normal 3 24 22 2" xfId="6061" xr:uid="{00000000-0005-0000-0000-00002A1A0000}"/>
    <cellStyle name="Normal 3 24 22 2 2" xfId="6062" xr:uid="{00000000-0005-0000-0000-00002B1A0000}"/>
    <cellStyle name="Normal 3 24 22 3" xfId="6063" xr:uid="{00000000-0005-0000-0000-00002C1A0000}"/>
    <cellStyle name="Normal 3 24 23" xfId="6064" xr:uid="{00000000-0005-0000-0000-00002D1A0000}"/>
    <cellStyle name="Normal 3 24 23 2" xfId="6065" xr:uid="{00000000-0005-0000-0000-00002E1A0000}"/>
    <cellStyle name="Normal 3 24 23 2 2" xfId="6066" xr:uid="{00000000-0005-0000-0000-00002F1A0000}"/>
    <cellStyle name="Normal 3 24 23 3" xfId="6067" xr:uid="{00000000-0005-0000-0000-0000301A0000}"/>
    <cellStyle name="Normal 3 24 24" xfId="6068" xr:uid="{00000000-0005-0000-0000-0000311A0000}"/>
    <cellStyle name="Normal 3 24 24 2" xfId="6069" xr:uid="{00000000-0005-0000-0000-0000321A0000}"/>
    <cellStyle name="Normal 3 24 25" xfId="6070" xr:uid="{00000000-0005-0000-0000-0000331A0000}"/>
    <cellStyle name="Normal 3 24 3" xfId="6071" xr:uid="{00000000-0005-0000-0000-0000341A0000}"/>
    <cellStyle name="Normal 3 24 3 2" xfId="6072" xr:uid="{00000000-0005-0000-0000-0000351A0000}"/>
    <cellStyle name="Normal 3 24 3 2 2" xfId="6073" xr:uid="{00000000-0005-0000-0000-0000361A0000}"/>
    <cellStyle name="Normal 3 24 3 3" xfId="6074" xr:uid="{00000000-0005-0000-0000-0000371A0000}"/>
    <cellStyle name="Normal 3 24 4" xfId="6075" xr:uid="{00000000-0005-0000-0000-0000381A0000}"/>
    <cellStyle name="Normal 3 24 4 2" xfId="6076" xr:uid="{00000000-0005-0000-0000-0000391A0000}"/>
    <cellStyle name="Normal 3 24 4 2 2" xfId="6077" xr:uid="{00000000-0005-0000-0000-00003A1A0000}"/>
    <cellStyle name="Normal 3 24 4 3" xfId="6078" xr:uid="{00000000-0005-0000-0000-00003B1A0000}"/>
    <cellStyle name="Normal 3 24 5" xfId="6079" xr:uid="{00000000-0005-0000-0000-00003C1A0000}"/>
    <cellStyle name="Normal 3 24 5 2" xfId="6080" xr:uid="{00000000-0005-0000-0000-00003D1A0000}"/>
    <cellStyle name="Normal 3 24 5 2 2" xfId="6081" xr:uid="{00000000-0005-0000-0000-00003E1A0000}"/>
    <cellStyle name="Normal 3 24 5 3" xfId="6082" xr:uid="{00000000-0005-0000-0000-00003F1A0000}"/>
    <cellStyle name="Normal 3 24 6" xfId="6083" xr:uid="{00000000-0005-0000-0000-0000401A0000}"/>
    <cellStyle name="Normal 3 24 6 2" xfId="6084" xr:uid="{00000000-0005-0000-0000-0000411A0000}"/>
    <cellStyle name="Normal 3 24 6 2 2" xfId="6085" xr:uid="{00000000-0005-0000-0000-0000421A0000}"/>
    <cellStyle name="Normal 3 24 6 3" xfId="6086" xr:uid="{00000000-0005-0000-0000-0000431A0000}"/>
    <cellStyle name="Normal 3 24 7" xfId="6087" xr:uid="{00000000-0005-0000-0000-0000441A0000}"/>
    <cellStyle name="Normal 3 24 7 2" xfId="6088" xr:uid="{00000000-0005-0000-0000-0000451A0000}"/>
    <cellStyle name="Normal 3 24 7 2 2" xfId="6089" xr:uid="{00000000-0005-0000-0000-0000461A0000}"/>
    <cellStyle name="Normal 3 24 7 3" xfId="6090" xr:uid="{00000000-0005-0000-0000-0000471A0000}"/>
    <cellStyle name="Normal 3 24 8" xfId="6091" xr:uid="{00000000-0005-0000-0000-0000481A0000}"/>
    <cellStyle name="Normal 3 24 8 2" xfId="6092" xr:uid="{00000000-0005-0000-0000-0000491A0000}"/>
    <cellStyle name="Normal 3 24 8 2 2" xfId="6093" xr:uid="{00000000-0005-0000-0000-00004A1A0000}"/>
    <cellStyle name="Normal 3 24 8 3" xfId="6094" xr:uid="{00000000-0005-0000-0000-00004B1A0000}"/>
    <cellStyle name="Normal 3 24 9" xfId="6095" xr:uid="{00000000-0005-0000-0000-00004C1A0000}"/>
    <cellStyle name="Normal 3 24 9 2" xfId="6096" xr:uid="{00000000-0005-0000-0000-00004D1A0000}"/>
    <cellStyle name="Normal 3 24 9 2 2" xfId="6097" xr:uid="{00000000-0005-0000-0000-00004E1A0000}"/>
    <cellStyle name="Normal 3 24 9 3" xfId="6098" xr:uid="{00000000-0005-0000-0000-00004F1A0000}"/>
    <cellStyle name="Normal 3 25" xfId="6099" xr:uid="{00000000-0005-0000-0000-0000501A0000}"/>
    <cellStyle name="Normal 3 25 10" xfId="6100" xr:uid="{00000000-0005-0000-0000-0000511A0000}"/>
    <cellStyle name="Normal 3 25 10 2" xfId="6101" xr:uid="{00000000-0005-0000-0000-0000521A0000}"/>
    <cellStyle name="Normal 3 25 10 2 2" xfId="6102" xr:uid="{00000000-0005-0000-0000-0000531A0000}"/>
    <cellStyle name="Normal 3 25 10 3" xfId="6103" xr:uid="{00000000-0005-0000-0000-0000541A0000}"/>
    <cellStyle name="Normal 3 25 11" xfId="6104" xr:uid="{00000000-0005-0000-0000-0000551A0000}"/>
    <cellStyle name="Normal 3 25 11 2" xfId="6105" xr:uid="{00000000-0005-0000-0000-0000561A0000}"/>
    <cellStyle name="Normal 3 25 11 2 2" xfId="6106" xr:uid="{00000000-0005-0000-0000-0000571A0000}"/>
    <cellStyle name="Normal 3 25 11 3" xfId="6107" xr:uid="{00000000-0005-0000-0000-0000581A0000}"/>
    <cellStyle name="Normal 3 25 12" xfId="6108" xr:uid="{00000000-0005-0000-0000-0000591A0000}"/>
    <cellStyle name="Normal 3 25 12 2" xfId="6109" xr:uid="{00000000-0005-0000-0000-00005A1A0000}"/>
    <cellStyle name="Normal 3 25 12 2 2" xfId="6110" xr:uid="{00000000-0005-0000-0000-00005B1A0000}"/>
    <cellStyle name="Normal 3 25 12 3" xfId="6111" xr:uid="{00000000-0005-0000-0000-00005C1A0000}"/>
    <cellStyle name="Normal 3 25 13" xfId="6112" xr:uid="{00000000-0005-0000-0000-00005D1A0000}"/>
    <cellStyle name="Normal 3 25 13 2" xfId="6113" xr:uid="{00000000-0005-0000-0000-00005E1A0000}"/>
    <cellStyle name="Normal 3 25 13 2 2" xfId="6114" xr:uid="{00000000-0005-0000-0000-00005F1A0000}"/>
    <cellStyle name="Normal 3 25 13 3" xfId="6115" xr:uid="{00000000-0005-0000-0000-0000601A0000}"/>
    <cellStyle name="Normal 3 25 14" xfId="6116" xr:uid="{00000000-0005-0000-0000-0000611A0000}"/>
    <cellStyle name="Normal 3 25 14 2" xfId="6117" xr:uid="{00000000-0005-0000-0000-0000621A0000}"/>
    <cellStyle name="Normal 3 25 14 2 2" xfId="6118" xr:uid="{00000000-0005-0000-0000-0000631A0000}"/>
    <cellStyle name="Normal 3 25 14 3" xfId="6119" xr:uid="{00000000-0005-0000-0000-0000641A0000}"/>
    <cellStyle name="Normal 3 25 15" xfId="6120" xr:uid="{00000000-0005-0000-0000-0000651A0000}"/>
    <cellStyle name="Normal 3 25 15 2" xfId="6121" xr:uid="{00000000-0005-0000-0000-0000661A0000}"/>
    <cellStyle name="Normal 3 25 15 2 2" xfId="6122" xr:uid="{00000000-0005-0000-0000-0000671A0000}"/>
    <cellStyle name="Normal 3 25 15 3" xfId="6123" xr:uid="{00000000-0005-0000-0000-0000681A0000}"/>
    <cellStyle name="Normal 3 25 16" xfId="6124" xr:uid="{00000000-0005-0000-0000-0000691A0000}"/>
    <cellStyle name="Normal 3 25 16 2" xfId="6125" xr:uid="{00000000-0005-0000-0000-00006A1A0000}"/>
    <cellStyle name="Normal 3 25 16 2 2" xfId="6126" xr:uid="{00000000-0005-0000-0000-00006B1A0000}"/>
    <cellStyle name="Normal 3 25 16 3" xfId="6127" xr:uid="{00000000-0005-0000-0000-00006C1A0000}"/>
    <cellStyle name="Normal 3 25 17" xfId="6128" xr:uid="{00000000-0005-0000-0000-00006D1A0000}"/>
    <cellStyle name="Normal 3 25 17 2" xfId="6129" xr:uid="{00000000-0005-0000-0000-00006E1A0000}"/>
    <cellStyle name="Normal 3 25 17 2 2" xfId="6130" xr:uid="{00000000-0005-0000-0000-00006F1A0000}"/>
    <cellStyle name="Normal 3 25 17 3" xfId="6131" xr:uid="{00000000-0005-0000-0000-0000701A0000}"/>
    <cellStyle name="Normal 3 25 18" xfId="6132" xr:uid="{00000000-0005-0000-0000-0000711A0000}"/>
    <cellStyle name="Normal 3 25 18 2" xfId="6133" xr:uid="{00000000-0005-0000-0000-0000721A0000}"/>
    <cellStyle name="Normal 3 25 18 2 2" xfId="6134" xr:uid="{00000000-0005-0000-0000-0000731A0000}"/>
    <cellStyle name="Normal 3 25 18 3" xfId="6135" xr:uid="{00000000-0005-0000-0000-0000741A0000}"/>
    <cellStyle name="Normal 3 25 19" xfId="6136" xr:uid="{00000000-0005-0000-0000-0000751A0000}"/>
    <cellStyle name="Normal 3 25 19 2" xfId="6137" xr:uid="{00000000-0005-0000-0000-0000761A0000}"/>
    <cellStyle name="Normal 3 25 19 2 2" xfId="6138" xr:uid="{00000000-0005-0000-0000-0000771A0000}"/>
    <cellStyle name="Normal 3 25 19 3" xfId="6139" xr:uid="{00000000-0005-0000-0000-0000781A0000}"/>
    <cellStyle name="Normal 3 25 2" xfId="6140" xr:uid="{00000000-0005-0000-0000-0000791A0000}"/>
    <cellStyle name="Normal 3 25 2 2" xfId="6141" xr:uid="{00000000-0005-0000-0000-00007A1A0000}"/>
    <cellStyle name="Normal 3 25 2 2 2" xfId="6142" xr:uid="{00000000-0005-0000-0000-00007B1A0000}"/>
    <cellStyle name="Normal 3 25 2 3" xfId="6143" xr:uid="{00000000-0005-0000-0000-00007C1A0000}"/>
    <cellStyle name="Normal 3 25 20" xfId="6144" xr:uid="{00000000-0005-0000-0000-00007D1A0000}"/>
    <cellStyle name="Normal 3 25 20 2" xfId="6145" xr:uid="{00000000-0005-0000-0000-00007E1A0000}"/>
    <cellStyle name="Normal 3 25 20 2 2" xfId="6146" xr:uid="{00000000-0005-0000-0000-00007F1A0000}"/>
    <cellStyle name="Normal 3 25 20 3" xfId="6147" xr:uid="{00000000-0005-0000-0000-0000801A0000}"/>
    <cellStyle name="Normal 3 25 21" xfId="6148" xr:uid="{00000000-0005-0000-0000-0000811A0000}"/>
    <cellStyle name="Normal 3 25 21 2" xfId="6149" xr:uid="{00000000-0005-0000-0000-0000821A0000}"/>
    <cellStyle name="Normal 3 25 21 2 2" xfId="6150" xr:uid="{00000000-0005-0000-0000-0000831A0000}"/>
    <cellStyle name="Normal 3 25 21 3" xfId="6151" xr:uid="{00000000-0005-0000-0000-0000841A0000}"/>
    <cellStyle name="Normal 3 25 22" xfId="6152" xr:uid="{00000000-0005-0000-0000-0000851A0000}"/>
    <cellStyle name="Normal 3 25 22 2" xfId="6153" xr:uid="{00000000-0005-0000-0000-0000861A0000}"/>
    <cellStyle name="Normal 3 25 22 2 2" xfId="6154" xr:uid="{00000000-0005-0000-0000-0000871A0000}"/>
    <cellStyle name="Normal 3 25 22 3" xfId="6155" xr:uid="{00000000-0005-0000-0000-0000881A0000}"/>
    <cellStyle name="Normal 3 25 23" xfId="6156" xr:uid="{00000000-0005-0000-0000-0000891A0000}"/>
    <cellStyle name="Normal 3 25 23 2" xfId="6157" xr:uid="{00000000-0005-0000-0000-00008A1A0000}"/>
    <cellStyle name="Normal 3 25 23 2 2" xfId="6158" xr:uid="{00000000-0005-0000-0000-00008B1A0000}"/>
    <cellStyle name="Normal 3 25 23 3" xfId="6159" xr:uid="{00000000-0005-0000-0000-00008C1A0000}"/>
    <cellStyle name="Normal 3 25 24" xfId="6160" xr:uid="{00000000-0005-0000-0000-00008D1A0000}"/>
    <cellStyle name="Normal 3 25 24 2" xfId="6161" xr:uid="{00000000-0005-0000-0000-00008E1A0000}"/>
    <cellStyle name="Normal 3 25 25" xfId="6162" xr:uid="{00000000-0005-0000-0000-00008F1A0000}"/>
    <cellStyle name="Normal 3 25 3" xfId="6163" xr:uid="{00000000-0005-0000-0000-0000901A0000}"/>
    <cellStyle name="Normal 3 25 3 2" xfId="6164" xr:uid="{00000000-0005-0000-0000-0000911A0000}"/>
    <cellStyle name="Normal 3 25 3 2 2" xfId="6165" xr:uid="{00000000-0005-0000-0000-0000921A0000}"/>
    <cellStyle name="Normal 3 25 3 3" xfId="6166" xr:uid="{00000000-0005-0000-0000-0000931A0000}"/>
    <cellStyle name="Normal 3 25 4" xfId="6167" xr:uid="{00000000-0005-0000-0000-0000941A0000}"/>
    <cellStyle name="Normal 3 25 4 2" xfId="6168" xr:uid="{00000000-0005-0000-0000-0000951A0000}"/>
    <cellStyle name="Normal 3 25 4 2 2" xfId="6169" xr:uid="{00000000-0005-0000-0000-0000961A0000}"/>
    <cellStyle name="Normal 3 25 4 3" xfId="6170" xr:uid="{00000000-0005-0000-0000-0000971A0000}"/>
    <cellStyle name="Normal 3 25 5" xfId="6171" xr:uid="{00000000-0005-0000-0000-0000981A0000}"/>
    <cellStyle name="Normal 3 25 5 2" xfId="6172" xr:uid="{00000000-0005-0000-0000-0000991A0000}"/>
    <cellStyle name="Normal 3 25 5 2 2" xfId="6173" xr:uid="{00000000-0005-0000-0000-00009A1A0000}"/>
    <cellStyle name="Normal 3 25 5 3" xfId="6174" xr:uid="{00000000-0005-0000-0000-00009B1A0000}"/>
    <cellStyle name="Normal 3 25 6" xfId="6175" xr:uid="{00000000-0005-0000-0000-00009C1A0000}"/>
    <cellStyle name="Normal 3 25 6 2" xfId="6176" xr:uid="{00000000-0005-0000-0000-00009D1A0000}"/>
    <cellStyle name="Normal 3 25 6 2 2" xfId="6177" xr:uid="{00000000-0005-0000-0000-00009E1A0000}"/>
    <cellStyle name="Normal 3 25 6 3" xfId="6178" xr:uid="{00000000-0005-0000-0000-00009F1A0000}"/>
    <cellStyle name="Normal 3 25 7" xfId="6179" xr:uid="{00000000-0005-0000-0000-0000A01A0000}"/>
    <cellStyle name="Normal 3 25 7 2" xfId="6180" xr:uid="{00000000-0005-0000-0000-0000A11A0000}"/>
    <cellStyle name="Normal 3 25 7 2 2" xfId="6181" xr:uid="{00000000-0005-0000-0000-0000A21A0000}"/>
    <cellStyle name="Normal 3 25 7 3" xfId="6182" xr:uid="{00000000-0005-0000-0000-0000A31A0000}"/>
    <cellStyle name="Normal 3 25 8" xfId="6183" xr:uid="{00000000-0005-0000-0000-0000A41A0000}"/>
    <cellStyle name="Normal 3 25 8 2" xfId="6184" xr:uid="{00000000-0005-0000-0000-0000A51A0000}"/>
    <cellStyle name="Normal 3 25 8 2 2" xfId="6185" xr:uid="{00000000-0005-0000-0000-0000A61A0000}"/>
    <cellStyle name="Normal 3 25 8 3" xfId="6186" xr:uid="{00000000-0005-0000-0000-0000A71A0000}"/>
    <cellStyle name="Normal 3 25 9" xfId="6187" xr:uid="{00000000-0005-0000-0000-0000A81A0000}"/>
    <cellStyle name="Normal 3 25 9 2" xfId="6188" xr:uid="{00000000-0005-0000-0000-0000A91A0000}"/>
    <cellStyle name="Normal 3 25 9 2 2" xfId="6189" xr:uid="{00000000-0005-0000-0000-0000AA1A0000}"/>
    <cellStyle name="Normal 3 25 9 3" xfId="6190" xr:uid="{00000000-0005-0000-0000-0000AB1A0000}"/>
    <cellStyle name="Normal 3 26" xfId="6191" xr:uid="{00000000-0005-0000-0000-0000AC1A0000}"/>
    <cellStyle name="Normal 3 26 10" xfId="6192" xr:uid="{00000000-0005-0000-0000-0000AD1A0000}"/>
    <cellStyle name="Normal 3 26 10 2" xfId="6193" xr:uid="{00000000-0005-0000-0000-0000AE1A0000}"/>
    <cellStyle name="Normal 3 26 10 2 2" xfId="6194" xr:uid="{00000000-0005-0000-0000-0000AF1A0000}"/>
    <cellStyle name="Normal 3 26 10 3" xfId="6195" xr:uid="{00000000-0005-0000-0000-0000B01A0000}"/>
    <cellStyle name="Normal 3 26 11" xfId="6196" xr:uid="{00000000-0005-0000-0000-0000B11A0000}"/>
    <cellStyle name="Normal 3 26 11 2" xfId="6197" xr:uid="{00000000-0005-0000-0000-0000B21A0000}"/>
    <cellStyle name="Normal 3 26 11 2 2" xfId="6198" xr:uid="{00000000-0005-0000-0000-0000B31A0000}"/>
    <cellStyle name="Normal 3 26 11 3" xfId="6199" xr:uid="{00000000-0005-0000-0000-0000B41A0000}"/>
    <cellStyle name="Normal 3 26 12" xfId="6200" xr:uid="{00000000-0005-0000-0000-0000B51A0000}"/>
    <cellStyle name="Normal 3 26 12 2" xfId="6201" xr:uid="{00000000-0005-0000-0000-0000B61A0000}"/>
    <cellStyle name="Normal 3 26 12 2 2" xfId="6202" xr:uid="{00000000-0005-0000-0000-0000B71A0000}"/>
    <cellStyle name="Normal 3 26 12 3" xfId="6203" xr:uid="{00000000-0005-0000-0000-0000B81A0000}"/>
    <cellStyle name="Normal 3 26 13" xfId="6204" xr:uid="{00000000-0005-0000-0000-0000B91A0000}"/>
    <cellStyle name="Normal 3 26 13 2" xfId="6205" xr:uid="{00000000-0005-0000-0000-0000BA1A0000}"/>
    <cellStyle name="Normal 3 26 13 2 2" xfId="6206" xr:uid="{00000000-0005-0000-0000-0000BB1A0000}"/>
    <cellStyle name="Normal 3 26 13 3" xfId="6207" xr:uid="{00000000-0005-0000-0000-0000BC1A0000}"/>
    <cellStyle name="Normal 3 26 14" xfId="6208" xr:uid="{00000000-0005-0000-0000-0000BD1A0000}"/>
    <cellStyle name="Normal 3 26 14 2" xfId="6209" xr:uid="{00000000-0005-0000-0000-0000BE1A0000}"/>
    <cellStyle name="Normal 3 26 14 2 2" xfId="6210" xr:uid="{00000000-0005-0000-0000-0000BF1A0000}"/>
    <cellStyle name="Normal 3 26 14 3" xfId="6211" xr:uid="{00000000-0005-0000-0000-0000C01A0000}"/>
    <cellStyle name="Normal 3 26 15" xfId="6212" xr:uid="{00000000-0005-0000-0000-0000C11A0000}"/>
    <cellStyle name="Normal 3 26 15 2" xfId="6213" xr:uid="{00000000-0005-0000-0000-0000C21A0000}"/>
    <cellStyle name="Normal 3 26 15 2 2" xfId="6214" xr:uid="{00000000-0005-0000-0000-0000C31A0000}"/>
    <cellStyle name="Normal 3 26 15 3" xfId="6215" xr:uid="{00000000-0005-0000-0000-0000C41A0000}"/>
    <cellStyle name="Normal 3 26 16" xfId="6216" xr:uid="{00000000-0005-0000-0000-0000C51A0000}"/>
    <cellStyle name="Normal 3 26 16 2" xfId="6217" xr:uid="{00000000-0005-0000-0000-0000C61A0000}"/>
    <cellStyle name="Normal 3 26 16 2 2" xfId="6218" xr:uid="{00000000-0005-0000-0000-0000C71A0000}"/>
    <cellStyle name="Normal 3 26 16 3" xfId="6219" xr:uid="{00000000-0005-0000-0000-0000C81A0000}"/>
    <cellStyle name="Normal 3 26 17" xfId="6220" xr:uid="{00000000-0005-0000-0000-0000C91A0000}"/>
    <cellStyle name="Normal 3 26 17 2" xfId="6221" xr:uid="{00000000-0005-0000-0000-0000CA1A0000}"/>
    <cellStyle name="Normal 3 26 17 2 2" xfId="6222" xr:uid="{00000000-0005-0000-0000-0000CB1A0000}"/>
    <cellStyle name="Normal 3 26 17 3" xfId="6223" xr:uid="{00000000-0005-0000-0000-0000CC1A0000}"/>
    <cellStyle name="Normal 3 26 18" xfId="6224" xr:uid="{00000000-0005-0000-0000-0000CD1A0000}"/>
    <cellStyle name="Normal 3 26 18 2" xfId="6225" xr:uid="{00000000-0005-0000-0000-0000CE1A0000}"/>
    <cellStyle name="Normal 3 26 18 2 2" xfId="6226" xr:uid="{00000000-0005-0000-0000-0000CF1A0000}"/>
    <cellStyle name="Normal 3 26 18 3" xfId="6227" xr:uid="{00000000-0005-0000-0000-0000D01A0000}"/>
    <cellStyle name="Normal 3 26 19" xfId="6228" xr:uid="{00000000-0005-0000-0000-0000D11A0000}"/>
    <cellStyle name="Normal 3 26 19 2" xfId="6229" xr:uid="{00000000-0005-0000-0000-0000D21A0000}"/>
    <cellStyle name="Normal 3 26 19 2 2" xfId="6230" xr:uid="{00000000-0005-0000-0000-0000D31A0000}"/>
    <cellStyle name="Normal 3 26 19 3" xfId="6231" xr:uid="{00000000-0005-0000-0000-0000D41A0000}"/>
    <cellStyle name="Normal 3 26 2" xfId="6232" xr:uid="{00000000-0005-0000-0000-0000D51A0000}"/>
    <cellStyle name="Normal 3 26 2 2" xfId="6233" xr:uid="{00000000-0005-0000-0000-0000D61A0000}"/>
    <cellStyle name="Normal 3 26 2 2 2" xfId="6234" xr:uid="{00000000-0005-0000-0000-0000D71A0000}"/>
    <cellStyle name="Normal 3 26 2 3" xfId="6235" xr:uid="{00000000-0005-0000-0000-0000D81A0000}"/>
    <cellStyle name="Normal 3 26 20" xfId="6236" xr:uid="{00000000-0005-0000-0000-0000D91A0000}"/>
    <cellStyle name="Normal 3 26 20 2" xfId="6237" xr:uid="{00000000-0005-0000-0000-0000DA1A0000}"/>
    <cellStyle name="Normal 3 26 20 2 2" xfId="6238" xr:uid="{00000000-0005-0000-0000-0000DB1A0000}"/>
    <cellStyle name="Normal 3 26 20 3" xfId="6239" xr:uid="{00000000-0005-0000-0000-0000DC1A0000}"/>
    <cellStyle name="Normal 3 26 21" xfId="6240" xr:uid="{00000000-0005-0000-0000-0000DD1A0000}"/>
    <cellStyle name="Normal 3 26 21 2" xfId="6241" xr:uid="{00000000-0005-0000-0000-0000DE1A0000}"/>
    <cellStyle name="Normal 3 26 21 2 2" xfId="6242" xr:uid="{00000000-0005-0000-0000-0000DF1A0000}"/>
    <cellStyle name="Normal 3 26 21 3" xfId="6243" xr:uid="{00000000-0005-0000-0000-0000E01A0000}"/>
    <cellStyle name="Normal 3 26 22" xfId="6244" xr:uid="{00000000-0005-0000-0000-0000E11A0000}"/>
    <cellStyle name="Normal 3 26 22 2" xfId="6245" xr:uid="{00000000-0005-0000-0000-0000E21A0000}"/>
    <cellStyle name="Normal 3 26 22 2 2" xfId="6246" xr:uid="{00000000-0005-0000-0000-0000E31A0000}"/>
    <cellStyle name="Normal 3 26 22 3" xfId="6247" xr:uid="{00000000-0005-0000-0000-0000E41A0000}"/>
    <cellStyle name="Normal 3 26 23" xfId="6248" xr:uid="{00000000-0005-0000-0000-0000E51A0000}"/>
    <cellStyle name="Normal 3 26 23 2" xfId="6249" xr:uid="{00000000-0005-0000-0000-0000E61A0000}"/>
    <cellStyle name="Normal 3 26 23 2 2" xfId="6250" xr:uid="{00000000-0005-0000-0000-0000E71A0000}"/>
    <cellStyle name="Normal 3 26 23 3" xfId="6251" xr:uid="{00000000-0005-0000-0000-0000E81A0000}"/>
    <cellStyle name="Normal 3 26 24" xfId="6252" xr:uid="{00000000-0005-0000-0000-0000E91A0000}"/>
    <cellStyle name="Normal 3 26 24 2" xfId="6253" xr:uid="{00000000-0005-0000-0000-0000EA1A0000}"/>
    <cellStyle name="Normal 3 26 25" xfId="6254" xr:uid="{00000000-0005-0000-0000-0000EB1A0000}"/>
    <cellStyle name="Normal 3 26 3" xfId="6255" xr:uid="{00000000-0005-0000-0000-0000EC1A0000}"/>
    <cellStyle name="Normal 3 26 3 2" xfId="6256" xr:uid="{00000000-0005-0000-0000-0000ED1A0000}"/>
    <cellStyle name="Normal 3 26 3 2 2" xfId="6257" xr:uid="{00000000-0005-0000-0000-0000EE1A0000}"/>
    <cellStyle name="Normal 3 26 3 3" xfId="6258" xr:uid="{00000000-0005-0000-0000-0000EF1A0000}"/>
    <cellStyle name="Normal 3 26 4" xfId="6259" xr:uid="{00000000-0005-0000-0000-0000F01A0000}"/>
    <cellStyle name="Normal 3 26 4 2" xfId="6260" xr:uid="{00000000-0005-0000-0000-0000F11A0000}"/>
    <cellStyle name="Normal 3 26 4 2 2" xfId="6261" xr:uid="{00000000-0005-0000-0000-0000F21A0000}"/>
    <cellStyle name="Normal 3 26 4 3" xfId="6262" xr:uid="{00000000-0005-0000-0000-0000F31A0000}"/>
    <cellStyle name="Normal 3 26 5" xfId="6263" xr:uid="{00000000-0005-0000-0000-0000F41A0000}"/>
    <cellStyle name="Normal 3 26 5 2" xfId="6264" xr:uid="{00000000-0005-0000-0000-0000F51A0000}"/>
    <cellStyle name="Normal 3 26 5 2 2" xfId="6265" xr:uid="{00000000-0005-0000-0000-0000F61A0000}"/>
    <cellStyle name="Normal 3 26 5 3" xfId="6266" xr:uid="{00000000-0005-0000-0000-0000F71A0000}"/>
    <cellStyle name="Normal 3 26 6" xfId="6267" xr:uid="{00000000-0005-0000-0000-0000F81A0000}"/>
    <cellStyle name="Normal 3 26 6 2" xfId="6268" xr:uid="{00000000-0005-0000-0000-0000F91A0000}"/>
    <cellStyle name="Normal 3 26 6 2 2" xfId="6269" xr:uid="{00000000-0005-0000-0000-0000FA1A0000}"/>
    <cellStyle name="Normal 3 26 6 3" xfId="6270" xr:uid="{00000000-0005-0000-0000-0000FB1A0000}"/>
    <cellStyle name="Normal 3 26 7" xfId="6271" xr:uid="{00000000-0005-0000-0000-0000FC1A0000}"/>
    <cellStyle name="Normal 3 26 7 2" xfId="6272" xr:uid="{00000000-0005-0000-0000-0000FD1A0000}"/>
    <cellStyle name="Normal 3 26 7 2 2" xfId="6273" xr:uid="{00000000-0005-0000-0000-0000FE1A0000}"/>
    <cellStyle name="Normal 3 26 7 3" xfId="6274" xr:uid="{00000000-0005-0000-0000-0000FF1A0000}"/>
    <cellStyle name="Normal 3 26 8" xfId="6275" xr:uid="{00000000-0005-0000-0000-0000001B0000}"/>
    <cellStyle name="Normal 3 26 8 2" xfId="6276" xr:uid="{00000000-0005-0000-0000-0000011B0000}"/>
    <cellStyle name="Normal 3 26 8 2 2" xfId="6277" xr:uid="{00000000-0005-0000-0000-0000021B0000}"/>
    <cellStyle name="Normal 3 26 8 3" xfId="6278" xr:uid="{00000000-0005-0000-0000-0000031B0000}"/>
    <cellStyle name="Normal 3 26 9" xfId="6279" xr:uid="{00000000-0005-0000-0000-0000041B0000}"/>
    <cellStyle name="Normal 3 26 9 2" xfId="6280" xr:uid="{00000000-0005-0000-0000-0000051B0000}"/>
    <cellStyle name="Normal 3 26 9 2 2" xfId="6281" xr:uid="{00000000-0005-0000-0000-0000061B0000}"/>
    <cellStyle name="Normal 3 26 9 3" xfId="6282" xr:uid="{00000000-0005-0000-0000-0000071B0000}"/>
    <cellStyle name="Normal 3 27" xfId="6283" xr:uid="{00000000-0005-0000-0000-0000081B0000}"/>
    <cellStyle name="Normal 3 27 10" xfId="6284" xr:uid="{00000000-0005-0000-0000-0000091B0000}"/>
    <cellStyle name="Normal 3 27 10 2" xfId="6285" xr:uid="{00000000-0005-0000-0000-00000A1B0000}"/>
    <cellStyle name="Normal 3 27 10 2 2" xfId="6286" xr:uid="{00000000-0005-0000-0000-00000B1B0000}"/>
    <cellStyle name="Normal 3 27 10 3" xfId="6287" xr:uid="{00000000-0005-0000-0000-00000C1B0000}"/>
    <cellStyle name="Normal 3 27 11" xfId="6288" xr:uid="{00000000-0005-0000-0000-00000D1B0000}"/>
    <cellStyle name="Normal 3 27 11 2" xfId="6289" xr:uid="{00000000-0005-0000-0000-00000E1B0000}"/>
    <cellStyle name="Normal 3 27 11 2 2" xfId="6290" xr:uid="{00000000-0005-0000-0000-00000F1B0000}"/>
    <cellStyle name="Normal 3 27 11 3" xfId="6291" xr:uid="{00000000-0005-0000-0000-0000101B0000}"/>
    <cellStyle name="Normal 3 27 12" xfId="6292" xr:uid="{00000000-0005-0000-0000-0000111B0000}"/>
    <cellStyle name="Normal 3 27 12 2" xfId="6293" xr:uid="{00000000-0005-0000-0000-0000121B0000}"/>
    <cellStyle name="Normal 3 27 12 2 2" xfId="6294" xr:uid="{00000000-0005-0000-0000-0000131B0000}"/>
    <cellStyle name="Normal 3 27 12 3" xfId="6295" xr:uid="{00000000-0005-0000-0000-0000141B0000}"/>
    <cellStyle name="Normal 3 27 13" xfId="6296" xr:uid="{00000000-0005-0000-0000-0000151B0000}"/>
    <cellStyle name="Normal 3 27 13 2" xfId="6297" xr:uid="{00000000-0005-0000-0000-0000161B0000}"/>
    <cellStyle name="Normal 3 27 13 2 2" xfId="6298" xr:uid="{00000000-0005-0000-0000-0000171B0000}"/>
    <cellStyle name="Normal 3 27 13 3" xfId="6299" xr:uid="{00000000-0005-0000-0000-0000181B0000}"/>
    <cellStyle name="Normal 3 27 14" xfId="6300" xr:uid="{00000000-0005-0000-0000-0000191B0000}"/>
    <cellStyle name="Normal 3 27 14 2" xfId="6301" xr:uid="{00000000-0005-0000-0000-00001A1B0000}"/>
    <cellStyle name="Normal 3 27 14 2 2" xfId="6302" xr:uid="{00000000-0005-0000-0000-00001B1B0000}"/>
    <cellStyle name="Normal 3 27 14 3" xfId="6303" xr:uid="{00000000-0005-0000-0000-00001C1B0000}"/>
    <cellStyle name="Normal 3 27 15" xfId="6304" xr:uid="{00000000-0005-0000-0000-00001D1B0000}"/>
    <cellStyle name="Normal 3 27 15 2" xfId="6305" xr:uid="{00000000-0005-0000-0000-00001E1B0000}"/>
    <cellStyle name="Normal 3 27 15 2 2" xfId="6306" xr:uid="{00000000-0005-0000-0000-00001F1B0000}"/>
    <cellStyle name="Normal 3 27 15 3" xfId="6307" xr:uid="{00000000-0005-0000-0000-0000201B0000}"/>
    <cellStyle name="Normal 3 27 16" xfId="6308" xr:uid="{00000000-0005-0000-0000-0000211B0000}"/>
    <cellStyle name="Normal 3 27 16 2" xfId="6309" xr:uid="{00000000-0005-0000-0000-0000221B0000}"/>
    <cellStyle name="Normal 3 27 16 2 2" xfId="6310" xr:uid="{00000000-0005-0000-0000-0000231B0000}"/>
    <cellStyle name="Normal 3 27 16 3" xfId="6311" xr:uid="{00000000-0005-0000-0000-0000241B0000}"/>
    <cellStyle name="Normal 3 27 17" xfId="6312" xr:uid="{00000000-0005-0000-0000-0000251B0000}"/>
    <cellStyle name="Normal 3 27 17 2" xfId="6313" xr:uid="{00000000-0005-0000-0000-0000261B0000}"/>
    <cellStyle name="Normal 3 27 17 2 2" xfId="6314" xr:uid="{00000000-0005-0000-0000-0000271B0000}"/>
    <cellStyle name="Normal 3 27 17 3" xfId="6315" xr:uid="{00000000-0005-0000-0000-0000281B0000}"/>
    <cellStyle name="Normal 3 27 18" xfId="6316" xr:uid="{00000000-0005-0000-0000-0000291B0000}"/>
    <cellStyle name="Normal 3 27 18 2" xfId="6317" xr:uid="{00000000-0005-0000-0000-00002A1B0000}"/>
    <cellStyle name="Normal 3 27 18 2 2" xfId="6318" xr:uid="{00000000-0005-0000-0000-00002B1B0000}"/>
    <cellStyle name="Normal 3 27 18 3" xfId="6319" xr:uid="{00000000-0005-0000-0000-00002C1B0000}"/>
    <cellStyle name="Normal 3 27 19" xfId="6320" xr:uid="{00000000-0005-0000-0000-00002D1B0000}"/>
    <cellStyle name="Normal 3 27 19 2" xfId="6321" xr:uid="{00000000-0005-0000-0000-00002E1B0000}"/>
    <cellStyle name="Normal 3 27 19 2 2" xfId="6322" xr:uid="{00000000-0005-0000-0000-00002F1B0000}"/>
    <cellStyle name="Normal 3 27 19 3" xfId="6323" xr:uid="{00000000-0005-0000-0000-0000301B0000}"/>
    <cellStyle name="Normal 3 27 2" xfId="6324" xr:uid="{00000000-0005-0000-0000-0000311B0000}"/>
    <cellStyle name="Normal 3 27 2 2" xfId="6325" xr:uid="{00000000-0005-0000-0000-0000321B0000}"/>
    <cellStyle name="Normal 3 27 2 2 2" xfId="6326" xr:uid="{00000000-0005-0000-0000-0000331B0000}"/>
    <cellStyle name="Normal 3 27 2 3" xfId="6327" xr:uid="{00000000-0005-0000-0000-0000341B0000}"/>
    <cellStyle name="Normal 3 27 20" xfId="6328" xr:uid="{00000000-0005-0000-0000-0000351B0000}"/>
    <cellStyle name="Normal 3 27 20 2" xfId="6329" xr:uid="{00000000-0005-0000-0000-0000361B0000}"/>
    <cellStyle name="Normal 3 27 20 2 2" xfId="6330" xr:uid="{00000000-0005-0000-0000-0000371B0000}"/>
    <cellStyle name="Normal 3 27 20 3" xfId="6331" xr:uid="{00000000-0005-0000-0000-0000381B0000}"/>
    <cellStyle name="Normal 3 27 21" xfId="6332" xr:uid="{00000000-0005-0000-0000-0000391B0000}"/>
    <cellStyle name="Normal 3 27 21 2" xfId="6333" xr:uid="{00000000-0005-0000-0000-00003A1B0000}"/>
    <cellStyle name="Normal 3 27 21 2 2" xfId="6334" xr:uid="{00000000-0005-0000-0000-00003B1B0000}"/>
    <cellStyle name="Normal 3 27 21 3" xfId="6335" xr:uid="{00000000-0005-0000-0000-00003C1B0000}"/>
    <cellStyle name="Normal 3 27 22" xfId="6336" xr:uid="{00000000-0005-0000-0000-00003D1B0000}"/>
    <cellStyle name="Normal 3 27 22 2" xfId="6337" xr:uid="{00000000-0005-0000-0000-00003E1B0000}"/>
    <cellStyle name="Normal 3 27 22 2 2" xfId="6338" xr:uid="{00000000-0005-0000-0000-00003F1B0000}"/>
    <cellStyle name="Normal 3 27 22 3" xfId="6339" xr:uid="{00000000-0005-0000-0000-0000401B0000}"/>
    <cellStyle name="Normal 3 27 23" xfId="6340" xr:uid="{00000000-0005-0000-0000-0000411B0000}"/>
    <cellStyle name="Normal 3 27 23 2" xfId="6341" xr:uid="{00000000-0005-0000-0000-0000421B0000}"/>
    <cellStyle name="Normal 3 27 23 2 2" xfId="6342" xr:uid="{00000000-0005-0000-0000-0000431B0000}"/>
    <cellStyle name="Normal 3 27 23 3" xfId="6343" xr:uid="{00000000-0005-0000-0000-0000441B0000}"/>
    <cellStyle name="Normal 3 27 24" xfId="6344" xr:uid="{00000000-0005-0000-0000-0000451B0000}"/>
    <cellStyle name="Normal 3 27 24 2" xfId="6345" xr:uid="{00000000-0005-0000-0000-0000461B0000}"/>
    <cellStyle name="Normal 3 27 25" xfId="6346" xr:uid="{00000000-0005-0000-0000-0000471B0000}"/>
    <cellStyle name="Normal 3 27 3" xfId="6347" xr:uid="{00000000-0005-0000-0000-0000481B0000}"/>
    <cellStyle name="Normal 3 27 3 2" xfId="6348" xr:uid="{00000000-0005-0000-0000-0000491B0000}"/>
    <cellStyle name="Normal 3 27 3 2 2" xfId="6349" xr:uid="{00000000-0005-0000-0000-00004A1B0000}"/>
    <cellStyle name="Normal 3 27 3 3" xfId="6350" xr:uid="{00000000-0005-0000-0000-00004B1B0000}"/>
    <cellStyle name="Normal 3 27 4" xfId="6351" xr:uid="{00000000-0005-0000-0000-00004C1B0000}"/>
    <cellStyle name="Normal 3 27 4 2" xfId="6352" xr:uid="{00000000-0005-0000-0000-00004D1B0000}"/>
    <cellStyle name="Normal 3 27 4 2 2" xfId="6353" xr:uid="{00000000-0005-0000-0000-00004E1B0000}"/>
    <cellStyle name="Normal 3 27 4 3" xfId="6354" xr:uid="{00000000-0005-0000-0000-00004F1B0000}"/>
    <cellStyle name="Normal 3 27 5" xfId="6355" xr:uid="{00000000-0005-0000-0000-0000501B0000}"/>
    <cellStyle name="Normal 3 27 5 2" xfId="6356" xr:uid="{00000000-0005-0000-0000-0000511B0000}"/>
    <cellStyle name="Normal 3 27 5 2 2" xfId="6357" xr:uid="{00000000-0005-0000-0000-0000521B0000}"/>
    <cellStyle name="Normal 3 27 5 3" xfId="6358" xr:uid="{00000000-0005-0000-0000-0000531B0000}"/>
    <cellStyle name="Normal 3 27 6" xfId="6359" xr:uid="{00000000-0005-0000-0000-0000541B0000}"/>
    <cellStyle name="Normal 3 27 6 2" xfId="6360" xr:uid="{00000000-0005-0000-0000-0000551B0000}"/>
    <cellStyle name="Normal 3 27 6 2 2" xfId="6361" xr:uid="{00000000-0005-0000-0000-0000561B0000}"/>
    <cellStyle name="Normal 3 27 6 3" xfId="6362" xr:uid="{00000000-0005-0000-0000-0000571B0000}"/>
    <cellStyle name="Normal 3 27 7" xfId="6363" xr:uid="{00000000-0005-0000-0000-0000581B0000}"/>
    <cellStyle name="Normal 3 27 7 2" xfId="6364" xr:uid="{00000000-0005-0000-0000-0000591B0000}"/>
    <cellStyle name="Normal 3 27 7 2 2" xfId="6365" xr:uid="{00000000-0005-0000-0000-00005A1B0000}"/>
    <cellStyle name="Normal 3 27 7 3" xfId="6366" xr:uid="{00000000-0005-0000-0000-00005B1B0000}"/>
    <cellStyle name="Normal 3 27 8" xfId="6367" xr:uid="{00000000-0005-0000-0000-00005C1B0000}"/>
    <cellStyle name="Normal 3 27 8 2" xfId="6368" xr:uid="{00000000-0005-0000-0000-00005D1B0000}"/>
    <cellStyle name="Normal 3 27 8 2 2" xfId="6369" xr:uid="{00000000-0005-0000-0000-00005E1B0000}"/>
    <cellStyle name="Normal 3 27 8 3" xfId="6370" xr:uid="{00000000-0005-0000-0000-00005F1B0000}"/>
    <cellStyle name="Normal 3 27 9" xfId="6371" xr:uid="{00000000-0005-0000-0000-0000601B0000}"/>
    <cellStyle name="Normal 3 27 9 2" xfId="6372" xr:uid="{00000000-0005-0000-0000-0000611B0000}"/>
    <cellStyle name="Normal 3 27 9 2 2" xfId="6373" xr:uid="{00000000-0005-0000-0000-0000621B0000}"/>
    <cellStyle name="Normal 3 27 9 3" xfId="6374" xr:uid="{00000000-0005-0000-0000-0000631B0000}"/>
    <cellStyle name="Normal 3 28" xfId="6375" xr:uid="{00000000-0005-0000-0000-0000641B0000}"/>
    <cellStyle name="Normal 3 28 10" xfId="6376" xr:uid="{00000000-0005-0000-0000-0000651B0000}"/>
    <cellStyle name="Normal 3 28 10 2" xfId="6377" xr:uid="{00000000-0005-0000-0000-0000661B0000}"/>
    <cellStyle name="Normal 3 28 10 2 2" xfId="6378" xr:uid="{00000000-0005-0000-0000-0000671B0000}"/>
    <cellStyle name="Normal 3 28 10 3" xfId="6379" xr:uid="{00000000-0005-0000-0000-0000681B0000}"/>
    <cellStyle name="Normal 3 28 11" xfId="6380" xr:uid="{00000000-0005-0000-0000-0000691B0000}"/>
    <cellStyle name="Normal 3 28 11 2" xfId="6381" xr:uid="{00000000-0005-0000-0000-00006A1B0000}"/>
    <cellStyle name="Normal 3 28 11 2 2" xfId="6382" xr:uid="{00000000-0005-0000-0000-00006B1B0000}"/>
    <cellStyle name="Normal 3 28 11 3" xfId="6383" xr:uid="{00000000-0005-0000-0000-00006C1B0000}"/>
    <cellStyle name="Normal 3 28 12" xfId="6384" xr:uid="{00000000-0005-0000-0000-00006D1B0000}"/>
    <cellStyle name="Normal 3 28 12 2" xfId="6385" xr:uid="{00000000-0005-0000-0000-00006E1B0000}"/>
    <cellStyle name="Normal 3 28 12 2 2" xfId="6386" xr:uid="{00000000-0005-0000-0000-00006F1B0000}"/>
    <cellStyle name="Normal 3 28 12 3" xfId="6387" xr:uid="{00000000-0005-0000-0000-0000701B0000}"/>
    <cellStyle name="Normal 3 28 13" xfId="6388" xr:uid="{00000000-0005-0000-0000-0000711B0000}"/>
    <cellStyle name="Normal 3 28 13 2" xfId="6389" xr:uid="{00000000-0005-0000-0000-0000721B0000}"/>
    <cellStyle name="Normal 3 28 13 2 2" xfId="6390" xr:uid="{00000000-0005-0000-0000-0000731B0000}"/>
    <cellStyle name="Normal 3 28 13 3" xfId="6391" xr:uid="{00000000-0005-0000-0000-0000741B0000}"/>
    <cellStyle name="Normal 3 28 14" xfId="6392" xr:uid="{00000000-0005-0000-0000-0000751B0000}"/>
    <cellStyle name="Normal 3 28 14 2" xfId="6393" xr:uid="{00000000-0005-0000-0000-0000761B0000}"/>
    <cellStyle name="Normal 3 28 14 2 2" xfId="6394" xr:uid="{00000000-0005-0000-0000-0000771B0000}"/>
    <cellStyle name="Normal 3 28 14 3" xfId="6395" xr:uid="{00000000-0005-0000-0000-0000781B0000}"/>
    <cellStyle name="Normal 3 28 15" xfId="6396" xr:uid="{00000000-0005-0000-0000-0000791B0000}"/>
    <cellStyle name="Normal 3 28 15 2" xfId="6397" xr:uid="{00000000-0005-0000-0000-00007A1B0000}"/>
    <cellStyle name="Normal 3 28 15 2 2" xfId="6398" xr:uid="{00000000-0005-0000-0000-00007B1B0000}"/>
    <cellStyle name="Normal 3 28 15 3" xfId="6399" xr:uid="{00000000-0005-0000-0000-00007C1B0000}"/>
    <cellStyle name="Normal 3 28 16" xfId="6400" xr:uid="{00000000-0005-0000-0000-00007D1B0000}"/>
    <cellStyle name="Normal 3 28 16 2" xfId="6401" xr:uid="{00000000-0005-0000-0000-00007E1B0000}"/>
    <cellStyle name="Normal 3 28 16 2 2" xfId="6402" xr:uid="{00000000-0005-0000-0000-00007F1B0000}"/>
    <cellStyle name="Normal 3 28 16 3" xfId="6403" xr:uid="{00000000-0005-0000-0000-0000801B0000}"/>
    <cellStyle name="Normal 3 28 17" xfId="6404" xr:uid="{00000000-0005-0000-0000-0000811B0000}"/>
    <cellStyle name="Normal 3 28 17 2" xfId="6405" xr:uid="{00000000-0005-0000-0000-0000821B0000}"/>
    <cellStyle name="Normal 3 28 17 2 2" xfId="6406" xr:uid="{00000000-0005-0000-0000-0000831B0000}"/>
    <cellStyle name="Normal 3 28 17 3" xfId="6407" xr:uid="{00000000-0005-0000-0000-0000841B0000}"/>
    <cellStyle name="Normal 3 28 18" xfId="6408" xr:uid="{00000000-0005-0000-0000-0000851B0000}"/>
    <cellStyle name="Normal 3 28 18 2" xfId="6409" xr:uid="{00000000-0005-0000-0000-0000861B0000}"/>
    <cellStyle name="Normal 3 28 18 2 2" xfId="6410" xr:uid="{00000000-0005-0000-0000-0000871B0000}"/>
    <cellStyle name="Normal 3 28 18 3" xfId="6411" xr:uid="{00000000-0005-0000-0000-0000881B0000}"/>
    <cellStyle name="Normal 3 28 19" xfId="6412" xr:uid="{00000000-0005-0000-0000-0000891B0000}"/>
    <cellStyle name="Normal 3 28 19 2" xfId="6413" xr:uid="{00000000-0005-0000-0000-00008A1B0000}"/>
    <cellStyle name="Normal 3 28 19 2 2" xfId="6414" xr:uid="{00000000-0005-0000-0000-00008B1B0000}"/>
    <cellStyle name="Normal 3 28 19 3" xfId="6415" xr:uid="{00000000-0005-0000-0000-00008C1B0000}"/>
    <cellStyle name="Normal 3 28 2" xfId="6416" xr:uid="{00000000-0005-0000-0000-00008D1B0000}"/>
    <cellStyle name="Normal 3 28 2 2" xfId="6417" xr:uid="{00000000-0005-0000-0000-00008E1B0000}"/>
    <cellStyle name="Normal 3 28 2 2 2" xfId="6418" xr:uid="{00000000-0005-0000-0000-00008F1B0000}"/>
    <cellStyle name="Normal 3 28 2 3" xfId="6419" xr:uid="{00000000-0005-0000-0000-0000901B0000}"/>
    <cellStyle name="Normal 3 28 20" xfId="6420" xr:uid="{00000000-0005-0000-0000-0000911B0000}"/>
    <cellStyle name="Normal 3 28 20 2" xfId="6421" xr:uid="{00000000-0005-0000-0000-0000921B0000}"/>
    <cellStyle name="Normal 3 28 20 2 2" xfId="6422" xr:uid="{00000000-0005-0000-0000-0000931B0000}"/>
    <cellStyle name="Normal 3 28 20 3" xfId="6423" xr:uid="{00000000-0005-0000-0000-0000941B0000}"/>
    <cellStyle name="Normal 3 28 21" xfId="6424" xr:uid="{00000000-0005-0000-0000-0000951B0000}"/>
    <cellStyle name="Normal 3 28 21 2" xfId="6425" xr:uid="{00000000-0005-0000-0000-0000961B0000}"/>
    <cellStyle name="Normal 3 28 21 2 2" xfId="6426" xr:uid="{00000000-0005-0000-0000-0000971B0000}"/>
    <cellStyle name="Normal 3 28 21 3" xfId="6427" xr:uid="{00000000-0005-0000-0000-0000981B0000}"/>
    <cellStyle name="Normal 3 28 22" xfId="6428" xr:uid="{00000000-0005-0000-0000-0000991B0000}"/>
    <cellStyle name="Normal 3 28 22 2" xfId="6429" xr:uid="{00000000-0005-0000-0000-00009A1B0000}"/>
    <cellStyle name="Normal 3 28 22 2 2" xfId="6430" xr:uid="{00000000-0005-0000-0000-00009B1B0000}"/>
    <cellStyle name="Normal 3 28 22 3" xfId="6431" xr:uid="{00000000-0005-0000-0000-00009C1B0000}"/>
    <cellStyle name="Normal 3 28 23" xfId="6432" xr:uid="{00000000-0005-0000-0000-00009D1B0000}"/>
    <cellStyle name="Normal 3 28 23 2" xfId="6433" xr:uid="{00000000-0005-0000-0000-00009E1B0000}"/>
    <cellStyle name="Normal 3 28 23 2 2" xfId="6434" xr:uid="{00000000-0005-0000-0000-00009F1B0000}"/>
    <cellStyle name="Normal 3 28 23 3" xfId="6435" xr:uid="{00000000-0005-0000-0000-0000A01B0000}"/>
    <cellStyle name="Normal 3 28 24" xfId="6436" xr:uid="{00000000-0005-0000-0000-0000A11B0000}"/>
    <cellStyle name="Normal 3 28 24 2" xfId="6437" xr:uid="{00000000-0005-0000-0000-0000A21B0000}"/>
    <cellStyle name="Normal 3 28 25" xfId="6438" xr:uid="{00000000-0005-0000-0000-0000A31B0000}"/>
    <cellStyle name="Normal 3 28 3" xfId="6439" xr:uid="{00000000-0005-0000-0000-0000A41B0000}"/>
    <cellStyle name="Normal 3 28 3 2" xfId="6440" xr:uid="{00000000-0005-0000-0000-0000A51B0000}"/>
    <cellStyle name="Normal 3 28 3 2 2" xfId="6441" xr:uid="{00000000-0005-0000-0000-0000A61B0000}"/>
    <cellStyle name="Normal 3 28 3 3" xfId="6442" xr:uid="{00000000-0005-0000-0000-0000A71B0000}"/>
    <cellStyle name="Normal 3 28 4" xfId="6443" xr:uid="{00000000-0005-0000-0000-0000A81B0000}"/>
    <cellStyle name="Normal 3 28 4 2" xfId="6444" xr:uid="{00000000-0005-0000-0000-0000A91B0000}"/>
    <cellStyle name="Normal 3 28 4 2 2" xfId="6445" xr:uid="{00000000-0005-0000-0000-0000AA1B0000}"/>
    <cellStyle name="Normal 3 28 4 3" xfId="6446" xr:uid="{00000000-0005-0000-0000-0000AB1B0000}"/>
    <cellStyle name="Normal 3 28 5" xfId="6447" xr:uid="{00000000-0005-0000-0000-0000AC1B0000}"/>
    <cellStyle name="Normal 3 28 5 2" xfId="6448" xr:uid="{00000000-0005-0000-0000-0000AD1B0000}"/>
    <cellStyle name="Normal 3 28 5 2 2" xfId="6449" xr:uid="{00000000-0005-0000-0000-0000AE1B0000}"/>
    <cellStyle name="Normal 3 28 5 3" xfId="6450" xr:uid="{00000000-0005-0000-0000-0000AF1B0000}"/>
    <cellStyle name="Normal 3 28 6" xfId="6451" xr:uid="{00000000-0005-0000-0000-0000B01B0000}"/>
    <cellStyle name="Normal 3 28 6 2" xfId="6452" xr:uid="{00000000-0005-0000-0000-0000B11B0000}"/>
    <cellStyle name="Normal 3 28 6 2 2" xfId="6453" xr:uid="{00000000-0005-0000-0000-0000B21B0000}"/>
    <cellStyle name="Normal 3 28 6 3" xfId="6454" xr:uid="{00000000-0005-0000-0000-0000B31B0000}"/>
    <cellStyle name="Normal 3 28 7" xfId="6455" xr:uid="{00000000-0005-0000-0000-0000B41B0000}"/>
    <cellStyle name="Normal 3 28 7 2" xfId="6456" xr:uid="{00000000-0005-0000-0000-0000B51B0000}"/>
    <cellStyle name="Normal 3 28 7 2 2" xfId="6457" xr:uid="{00000000-0005-0000-0000-0000B61B0000}"/>
    <cellStyle name="Normal 3 28 7 3" xfId="6458" xr:uid="{00000000-0005-0000-0000-0000B71B0000}"/>
    <cellStyle name="Normal 3 28 8" xfId="6459" xr:uid="{00000000-0005-0000-0000-0000B81B0000}"/>
    <cellStyle name="Normal 3 28 8 2" xfId="6460" xr:uid="{00000000-0005-0000-0000-0000B91B0000}"/>
    <cellStyle name="Normal 3 28 8 2 2" xfId="6461" xr:uid="{00000000-0005-0000-0000-0000BA1B0000}"/>
    <cellStyle name="Normal 3 28 8 3" xfId="6462" xr:uid="{00000000-0005-0000-0000-0000BB1B0000}"/>
    <cellStyle name="Normal 3 28 9" xfId="6463" xr:uid="{00000000-0005-0000-0000-0000BC1B0000}"/>
    <cellStyle name="Normal 3 28 9 2" xfId="6464" xr:uid="{00000000-0005-0000-0000-0000BD1B0000}"/>
    <cellStyle name="Normal 3 28 9 2 2" xfId="6465" xr:uid="{00000000-0005-0000-0000-0000BE1B0000}"/>
    <cellStyle name="Normal 3 28 9 3" xfId="6466" xr:uid="{00000000-0005-0000-0000-0000BF1B0000}"/>
    <cellStyle name="Normal 3 29" xfId="6467" xr:uid="{00000000-0005-0000-0000-0000C01B0000}"/>
    <cellStyle name="Normal 3 29 10" xfId="6468" xr:uid="{00000000-0005-0000-0000-0000C11B0000}"/>
    <cellStyle name="Normal 3 29 10 2" xfId="6469" xr:uid="{00000000-0005-0000-0000-0000C21B0000}"/>
    <cellStyle name="Normal 3 29 10 2 2" xfId="6470" xr:uid="{00000000-0005-0000-0000-0000C31B0000}"/>
    <cellStyle name="Normal 3 29 10 3" xfId="6471" xr:uid="{00000000-0005-0000-0000-0000C41B0000}"/>
    <cellStyle name="Normal 3 29 11" xfId="6472" xr:uid="{00000000-0005-0000-0000-0000C51B0000}"/>
    <cellStyle name="Normal 3 29 11 2" xfId="6473" xr:uid="{00000000-0005-0000-0000-0000C61B0000}"/>
    <cellStyle name="Normal 3 29 11 2 2" xfId="6474" xr:uid="{00000000-0005-0000-0000-0000C71B0000}"/>
    <cellStyle name="Normal 3 29 11 3" xfId="6475" xr:uid="{00000000-0005-0000-0000-0000C81B0000}"/>
    <cellStyle name="Normal 3 29 12" xfId="6476" xr:uid="{00000000-0005-0000-0000-0000C91B0000}"/>
    <cellStyle name="Normal 3 29 12 2" xfId="6477" xr:uid="{00000000-0005-0000-0000-0000CA1B0000}"/>
    <cellStyle name="Normal 3 29 12 2 2" xfId="6478" xr:uid="{00000000-0005-0000-0000-0000CB1B0000}"/>
    <cellStyle name="Normal 3 29 12 3" xfId="6479" xr:uid="{00000000-0005-0000-0000-0000CC1B0000}"/>
    <cellStyle name="Normal 3 29 13" xfId="6480" xr:uid="{00000000-0005-0000-0000-0000CD1B0000}"/>
    <cellStyle name="Normal 3 29 13 2" xfId="6481" xr:uid="{00000000-0005-0000-0000-0000CE1B0000}"/>
    <cellStyle name="Normal 3 29 13 2 2" xfId="6482" xr:uid="{00000000-0005-0000-0000-0000CF1B0000}"/>
    <cellStyle name="Normal 3 29 13 3" xfId="6483" xr:uid="{00000000-0005-0000-0000-0000D01B0000}"/>
    <cellStyle name="Normal 3 29 14" xfId="6484" xr:uid="{00000000-0005-0000-0000-0000D11B0000}"/>
    <cellStyle name="Normal 3 29 14 2" xfId="6485" xr:uid="{00000000-0005-0000-0000-0000D21B0000}"/>
    <cellStyle name="Normal 3 29 14 2 2" xfId="6486" xr:uid="{00000000-0005-0000-0000-0000D31B0000}"/>
    <cellStyle name="Normal 3 29 14 3" xfId="6487" xr:uid="{00000000-0005-0000-0000-0000D41B0000}"/>
    <cellStyle name="Normal 3 29 15" xfId="6488" xr:uid="{00000000-0005-0000-0000-0000D51B0000}"/>
    <cellStyle name="Normal 3 29 15 2" xfId="6489" xr:uid="{00000000-0005-0000-0000-0000D61B0000}"/>
    <cellStyle name="Normal 3 29 15 2 2" xfId="6490" xr:uid="{00000000-0005-0000-0000-0000D71B0000}"/>
    <cellStyle name="Normal 3 29 15 3" xfId="6491" xr:uid="{00000000-0005-0000-0000-0000D81B0000}"/>
    <cellStyle name="Normal 3 29 16" xfId="6492" xr:uid="{00000000-0005-0000-0000-0000D91B0000}"/>
    <cellStyle name="Normal 3 29 16 2" xfId="6493" xr:uid="{00000000-0005-0000-0000-0000DA1B0000}"/>
    <cellStyle name="Normal 3 29 16 2 2" xfId="6494" xr:uid="{00000000-0005-0000-0000-0000DB1B0000}"/>
    <cellStyle name="Normal 3 29 16 3" xfId="6495" xr:uid="{00000000-0005-0000-0000-0000DC1B0000}"/>
    <cellStyle name="Normal 3 29 17" xfId="6496" xr:uid="{00000000-0005-0000-0000-0000DD1B0000}"/>
    <cellStyle name="Normal 3 29 17 2" xfId="6497" xr:uid="{00000000-0005-0000-0000-0000DE1B0000}"/>
    <cellStyle name="Normal 3 29 17 2 2" xfId="6498" xr:uid="{00000000-0005-0000-0000-0000DF1B0000}"/>
    <cellStyle name="Normal 3 29 17 3" xfId="6499" xr:uid="{00000000-0005-0000-0000-0000E01B0000}"/>
    <cellStyle name="Normal 3 29 18" xfId="6500" xr:uid="{00000000-0005-0000-0000-0000E11B0000}"/>
    <cellStyle name="Normal 3 29 18 2" xfId="6501" xr:uid="{00000000-0005-0000-0000-0000E21B0000}"/>
    <cellStyle name="Normal 3 29 18 2 2" xfId="6502" xr:uid="{00000000-0005-0000-0000-0000E31B0000}"/>
    <cellStyle name="Normal 3 29 18 3" xfId="6503" xr:uid="{00000000-0005-0000-0000-0000E41B0000}"/>
    <cellStyle name="Normal 3 29 19" xfId="6504" xr:uid="{00000000-0005-0000-0000-0000E51B0000}"/>
    <cellStyle name="Normal 3 29 19 2" xfId="6505" xr:uid="{00000000-0005-0000-0000-0000E61B0000}"/>
    <cellStyle name="Normal 3 29 19 2 2" xfId="6506" xr:uid="{00000000-0005-0000-0000-0000E71B0000}"/>
    <cellStyle name="Normal 3 29 19 3" xfId="6507" xr:uid="{00000000-0005-0000-0000-0000E81B0000}"/>
    <cellStyle name="Normal 3 29 2" xfId="6508" xr:uid="{00000000-0005-0000-0000-0000E91B0000}"/>
    <cellStyle name="Normal 3 29 2 2" xfId="6509" xr:uid="{00000000-0005-0000-0000-0000EA1B0000}"/>
    <cellStyle name="Normal 3 29 2 2 2" xfId="6510" xr:uid="{00000000-0005-0000-0000-0000EB1B0000}"/>
    <cellStyle name="Normal 3 29 2 3" xfId="6511" xr:uid="{00000000-0005-0000-0000-0000EC1B0000}"/>
    <cellStyle name="Normal 3 29 20" xfId="6512" xr:uid="{00000000-0005-0000-0000-0000ED1B0000}"/>
    <cellStyle name="Normal 3 29 20 2" xfId="6513" xr:uid="{00000000-0005-0000-0000-0000EE1B0000}"/>
    <cellStyle name="Normal 3 29 20 2 2" xfId="6514" xr:uid="{00000000-0005-0000-0000-0000EF1B0000}"/>
    <cellStyle name="Normal 3 29 20 3" xfId="6515" xr:uid="{00000000-0005-0000-0000-0000F01B0000}"/>
    <cellStyle name="Normal 3 29 21" xfId="6516" xr:uid="{00000000-0005-0000-0000-0000F11B0000}"/>
    <cellStyle name="Normal 3 29 21 2" xfId="6517" xr:uid="{00000000-0005-0000-0000-0000F21B0000}"/>
    <cellStyle name="Normal 3 29 21 2 2" xfId="6518" xr:uid="{00000000-0005-0000-0000-0000F31B0000}"/>
    <cellStyle name="Normal 3 29 21 3" xfId="6519" xr:uid="{00000000-0005-0000-0000-0000F41B0000}"/>
    <cellStyle name="Normal 3 29 22" xfId="6520" xr:uid="{00000000-0005-0000-0000-0000F51B0000}"/>
    <cellStyle name="Normal 3 29 22 2" xfId="6521" xr:uid="{00000000-0005-0000-0000-0000F61B0000}"/>
    <cellStyle name="Normal 3 29 22 2 2" xfId="6522" xr:uid="{00000000-0005-0000-0000-0000F71B0000}"/>
    <cellStyle name="Normal 3 29 22 3" xfId="6523" xr:uid="{00000000-0005-0000-0000-0000F81B0000}"/>
    <cellStyle name="Normal 3 29 23" xfId="6524" xr:uid="{00000000-0005-0000-0000-0000F91B0000}"/>
    <cellStyle name="Normal 3 29 23 2" xfId="6525" xr:uid="{00000000-0005-0000-0000-0000FA1B0000}"/>
    <cellStyle name="Normal 3 29 23 2 2" xfId="6526" xr:uid="{00000000-0005-0000-0000-0000FB1B0000}"/>
    <cellStyle name="Normal 3 29 23 3" xfId="6527" xr:uid="{00000000-0005-0000-0000-0000FC1B0000}"/>
    <cellStyle name="Normal 3 29 24" xfId="6528" xr:uid="{00000000-0005-0000-0000-0000FD1B0000}"/>
    <cellStyle name="Normal 3 29 24 2" xfId="6529" xr:uid="{00000000-0005-0000-0000-0000FE1B0000}"/>
    <cellStyle name="Normal 3 29 25" xfId="6530" xr:uid="{00000000-0005-0000-0000-0000FF1B0000}"/>
    <cellStyle name="Normal 3 29 3" xfId="6531" xr:uid="{00000000-0005-0000-0000-0000001C0000}"/>
    <cellStyle name="Normal 3 29 3 2" xfId="6532" xr:uid="{00000000-0005-0000-0000-0000011C0000}"/>
    <cellStyle name="Normal 3 29 3 2 2" xfId="6533" xr:uid="{00000000-0005-0000-0000-0000021C0000}"/>
    <cellStyle name="Normal 3 29 3 3" xfId="6534" xr:uid="{00000000-0005-0000-0000-0000031C0000}"/>
    <cellStyle name="Normal 3 29 4" xfId="6535" xr:uid="{00000000-0005-0000-0000-0000041C0000}"/>
    <cellStyle name="Normal 3 29 4 2" xfId="6536" xr:uid="{00000000-0005-0000-0000-0000051C0000}"/>
    <cellStyle name="Normal 3 29 4 2 2" xfId="6537" xr:uid="{00000000-0005-0000-0000-0000061C0000}"/>
    <cellStyle name="Normal 3 29 4 3" xfId="6538" xr:uid="{00000000-0005-0000-0000-0000071C0000}"/>
    <cellStyle name="Normal 3 29 5" xfId="6539" xr:uid="{00000000-0005-0000-0000-0000081C0000}"/>
    <cellStyle name="Normal 3 29 5 2" xfId="6540" xr:uid="{00000000-0005-0000-0000-0000091C0000}"/>
    <cellStyle name="Normal 3 29 5 2 2" xfId="6541" xr:uid="{00000000-0005-0000-0000-00000A1C0000}"/>
    <cellStyle name="Normal 3 29 5 3" xfId="6542" xr:uid="{00000000-0005-0000-0000-00000B1C0000}"/>
    <cellStyle name="Normal 3 29 6" xfId="6543" xr:uid="{00000000-0005-0000-0000-00000C1C0000}"/>
    <cellStyle name="Normal 3 29 6 2" xfId="6544" xr:uid="{00000000-0005-0000-0000-00000D1C0000}"/>
    <cellStyle name="Normal 3 29 6 2 2" xfId="6545" xr:uid="{00000000-0005-0000-0000-00000E1C0000}"/>
    <cellStyle name="Normal 3 29 6 3" xfId="6546" xr:uid="{00000000-0005-0000-0000-00000F1C0000}"/>
    <cellStyle name="Normal 3 29 7" xfId="6547" xr:uid="{00000000-0005-0000-0000-0000101C0000}"/>
    <cellStyle name="Normal 3 29 7 2" xfId="6548" xr:uid="{00000000-0005-0000-0000-0000111C0000}"/>
    <cellStyle name="Normal 3 29 7 2 2" xfId="6549" xr:uid="{00000000-0005-0000-0000-0000121C0000}"/>
    <cellStyle name="Normal 3 29 7 3" xfId="6550" xr:uid="{00000000-0005-0000-0000-0000131C0000}"/>
    <cellStyle name="Normal 3 29 8" xfId="6551" xr:uid="{00000000-0005-0000-0000-0000141C0000}"/>
    <cellStyle name="Normal 3 29 8 2" xfId="6552" xr:uid="{00000000-0005-0000-0000-0000151C0000}"/>
    <cellStyle name="Normal 3 29 8 2 2" xfId="6553" xr:uid="{00000000-0005-0000-0000-0000161C0000}"/>
    <cellStyle name="Normal 3 29 8 3" xfId="6554" xr:uid="{00000000-0005-0000-0000-0000171C0000}"/>
    <cellStyle name="Normal 3 29 9" xfId="6555" xr:uid="{00000000-0005-0000-0000-0000181C0000}"/>
    <cellStyle name="Normal 3 29 9 2" xfId="6556" xr:uid="{00000000-0005-0000-0000-0000191C0000}"/>
    <cellStyle name="Normal 3 29 9 2 2" xfId="6557" xr:uid="{00000000-0005-0000-0000-00001A1C0000}"/>
    <cellStyle name="Normal 3 29 9 3" xfId="6558" xr:uid="{00000000-0005-0000-0000-00001B1C0000}"/>
    <cellStyle name="Normal 3 3" xfId="185" xr:uid="{00000000-0005-0000-0000-00001C1C0000}"/>
    <cellStyle name="Normal 3 3 10" xfId="6559" xr:uid="{00000000-0005-0000-0000-00001D1C0000}"/>
    <cellStyle name="Normal 3 3 10 2" xfId="6560" xr:uid="{00000000-0005-0000-0000-00001E1C0000}"/>
    <cellStyle name="Normal 3 3 10 2 2" xfId="6561" xr:uid="{00000000-0005-0000-0000-00001F1C0000}"/>
    <cellStyle name="Normal 3 3 10 3" xfId="6562" xr:uid="{00000000-0005-0000-0000-0000201C0000}"/>
    <cellStyle name="Normal 3 3 11" xfId="6563" xr:uid="{00000000-0005-0000-0000-0000211C0000}"/>
    <cellStyle name="Normal 3 3 11 2" xfId="6564" xr:uid="{00000000-0005-0000-0000-0000221C0000}"/>
    <cellStyle name="Normal 3 3 11 2 2" xfId="6565" xr:uid="{00000000-0005-0000-0000-0000231C0000}"/>
    <cellStyle name="Normal 3 3 11 3" xfId="6566" xr:uid="{00000000-0005-0000-0000-0000241C0000}"/>
    <cellStyle name="Normal 3 3 12" xfId="6567" xr:uid="{00000000-0005-0000-0000-0000251C0000}"/>
    <cellStyle name="Normal 3 3 12 2" xfId="6568" xr:uid="{00000000-0005-0000-0000-0000261C0000}"/>
    <cellStyle name="Normal 3 3 12 2 2" xfId="6569" xr:uid="{00000000-0005-0000-0000-0000271C0000}"/>
    <cellStyle name="Normal 3 3 12 3" xfId="6570" xr:uid="{00000000-0005-0000-0000-0000281C0000}"/>
    <cellStyle name="Normal 3 3 13" xfId="6571" xr:uid="{00000000-0005-0000-0000-0000291C0000}"/>
    <cellStyle name="Normal 3 3 13 2" xfId="6572" xr:uid="{00000000-0005-0000-0000-00002A1C0000}"/>
    <cellStyle name="Normal 3 3 13 2 2" xfId="6573" xr:uid="{00000000-0005-0000-0000-00002B1C0000}"/>
    <cellStyle name="Normal 3 3 13 3" xfId="6574" xr:uid="{00000000-0005-0000-0000-00002C1C0000}"/>
    <cellStyle name="Normal 3 3 14" xfId="6575" xr:uid="{00000000-0005-0000-0000-00002D1C0000}"/>
    <cellStyle name="Normal 3 3 14 2" xfId="6576" xr:uid="{00000000-0005-0000-0000-00002E1C0000}"/>
    <cellStyle name="Normal 3 3 14 2 2" xfId="6577" xr:uid="{00000000-0005-0000-0000-00002F1C0000}"/>
    <cellStyle name="Normal 3 3 14 3" xfId="6578" xr:uid="{00000000-0005-0000-0000-0000301C0000}"/>
    <cellStyle name="Normal 3 3 15" xfId="6579" xr:uid="{00000000-0005-0000-0000-0000311C0000}"/>
    <cellStyle name="Normal 3 3 15 2" xfId="6580" xr:uid="{00000000-0005-0000-0000-0000321C0000}"/>
    <cellStyle name="Normal 3 3 15 2 2" xfId="6581" xr:uid="{00000000-0005-0000-0000-0000331C0000}"/>
    <cellStyle name="Normal 3 3 15 3" xfId="6582" xr:uid="{00000000-0005-0000-0000-0000341C0000}"/>
    <cellStyle name="Normal 3 3 16" xfId="6583" xr:uid="{00000000-0005-0000-0000-0000351C0000}"/>
    <cellStyle name="Normal 3 3 16 2" xfId="6584" xr:uid="{00000000-0005-0000-0000-0000361C0000}"/>
    <cellStyle name="Normal 3 3 16 2 2" xfId="6585" xr:uid="{00000000-0005-0000-0000-0000371C0000}"/>
    <cellStyle name="Normal 3 3 16 3" xfId="6586" xr:uid="{00000000-0005-0000-0000-0000381C0000}"/>
    <cellStyle name="Normal 3 3 17" xfId="6587" xr:uid="{00000000-0005-0000-0000-0000391C0000}"/>
    <cellStyle name="Normal 3 3 17 2" xfId="6588" xr:uid="{00000000-0005-0000-0000-00003A1C0000}"/>
    <cellStyle name="Normal 3 3 17 2 2" xfId="6589" xr:uid="{00000000-0005-0000-0000-00003B1C0000}"/>
    <cellStyle name="Normal 3 3 17 3" xfId="6590" xr:uid="{00000000-0005-0000-0000-00003C1C0000}"/>
    <cellStyle name="Normal 3 3 18" xfId="6591" xr:uid="{00000000-0005-0000-0000-00003D1C0000}"/>
    <cellStyle name="Normal 3 3 18 2" xfId="6592" xr:uid="{00000000-0005-0000-0000-00003E1C0000}"/>
    <cellStyle name="Normal 3 3 18 2 2" xfId="6593" xr:uid="{00000000-0005-0000-0000-00003F1C0000}"/>
    <cellStyle name="Normal 3 3 18 3" xfId="6594" xr:uid="{00000000-0005-0000-0000-0000401C0000}"/>
    <cellStyle name="Normal 3 3 19" xfId="6595" xr:uid="{00000000-0005-0000-0000-0000411C0000}"/>
    <cellStyle name="Normal 3 3 19 2" xfId="6596" xr:uid="{00000000-0005-0000-0000-0000421C0000}"/>
    <cellStyle name="Normal 3 3 19 2 2" xfId="6597" xr:uid="{00000000-0005-0000-0000-0000431C0000}"/>
    <cellStyle name="Normal 3 3 19 3" xfId="6598" xr:uid="{00000000-0005-0000-0000-0000441C0000}"/>
    <cellStyle name="Normal 3 3 2" xfId="186" xr:uid="{00000000-0005-0000-0000-0000451C0000}"/>
    <cellStyle name="Normal 3 3 2 2" xfId="187" xr:uid="{00000000-0005-0000-0000-0000461C0000}"/>
    <cellStyle name="Normal 3 3 2 2 2" xfId="6599" xr:uid="{00000000-0005-0000-0000-0000471C0000}"/>
    <cellStyle name="Normal 3 3 2 3" xfId="6600" xr:uid="{00000000-0005-0000-0000-0000481C0000}"/>
    <cellStyle name="Normal 3 3 2 3 2" xfId="9766" xr:uid="{9C163088-7D9C-41DA-9985-A1AC63F405C3}"/>
    <cellStyle name="Normal 3 3 2 3 3" xfId="11386" xr:uid="{0436B503-8B84-4D90-8A14-D4B830566B34}"/>
    <cellStyle name="Normal 3 3 2 3 4" xfId="9765" xr:uid="{FD90D2EB-EBF4-48D0-BF37-226D78FCD9D4}"/>
    <cellStyle name="Normal 3 3 2 4" xfId="10556" xr:uid="{3A0AF803-5C96-493D-B307-96A07241B9A7}"/>
    <cellStyle name="Normal 3 3 2 4 2" xfId="11980" xr:uid="{429CBF3A-7E38-4B80-ACF6-929B3DB270A3}"/>
    <cellStyle name="Normal 3 3 2 5" xfId="9302" xr:uid="{E1DDC5EE-4126-49C9-8694-B3B9EC00573E}"/>
    <cellStyle name="Normal 3 3 20" xfId="6601" xr:uid="{00000000-0005-0000-0000-0000491C0000}"/>
    <cellStyle name="Normal 3 3 20 2" xfId="6602" xr:uid="{00000000-0005-0000-0000-00004A1C0000}"/>
    <cellStyle name="Normal 3 3 20 2 2" xfId="6603" xr:uid="{00000000-0005-0000-0000-00004B1C0000}"/>
    <cellStyle name="Normal 3 3 20 3" xfId="6604" xr:uid="{00000000-0005-0000-0000-00004C1C0000}"/>
    <cellStyle name="Normal 3 3 21" xfId="6605" xr:uid="{00000000-0005-0000-0000-00004D1C0000}"/>
    <cellStyle name="Normal 3 3 21 2" xfId="6606" xr:uid="{00000000-0005-0000-0000-00004E1C0000}"/>
    <cellStyle name="Normal 3 3 21 2 2" xfId="6607" xr:uid="{00000000-0005-0000-0000-00004F1C0000}"/>
    <cellStyle name="Normal 3 3 21 3" xfId="6608" xr:uid="{00000000-0005-0000-0000-0000501C0000}"/>
    <cellStyle name="Normal 3 3 22" xfId="6609" xr:uid="{00000000-0005-0000-0000-0000511C0000}"/>
    <cellStyle name="Normal 3 3 22 2" xfId="6610" xr:uid="{00000000-0005-0000-0000-0000521C0000}"/>
    <cellStyle name="Normal 3 3 22 2 2" xfId="6611" xr:uid="{00000000-0005-0000-0000-0000531C0000}"/>
    <cellStyle name="Normal 3 3 22 3" xfId="6612" xr:uid="{00000000-0005-0000-0000-0000541C0000}"/>
    <cellStyle name="Normal 3 3 23" xfId="6613" xr:uid="{00000000-0005-0000-0000-0000551C0000}"/>
    <cellStyle name="Normal 3 3 23 2" xfId="6614" xr:uid="{00000000-0005-0000-0000-0000561C0000}"/>
    <cellStyle name="Normal 3 3 23 2 2" xfId="6615" xr:uid="{00000000-0005-0000-0000-0000571C0000}"/>
    <cellStyle name="Normal 3 3 23 3" xfId="6616" xr:uid="{00000000-0005-0000-0000-0000581C0000}"/>
    <cellStyle name="Normal 3 3 24" xfId="6617" xr:uid="{00000000-0005-0000-0000-0000591C0000}"/>
    <cellStyle name="Normal 3 3 24 2" xfId="6618" xr:uid="{00000000-0005-0000-0000-00005A1C0000}"/>
    <cellStyle name="Normal 3 3 25" xfId="6619" xr:uid="{00000000-0005-0000-0000-00005B1C0000}"/>
    <cellStyle name="Normal 3 3 26" xfId="10335" xr:uid="{EEBC825A-0D80-441A-B1EC-B09441E85CC0}"/>
    <cellStyle name="Normal 3 3 26 2" xfId="11760" xr:uid="{AD1E056A-35F7-4B67-A6F2-C1275A73B1B9}"/>
    <cellStyle name="Normal 3 3 27" xfId="10538" xr:uid="{13BCFD77-4209-490F-9DB4-61627AEFCDF5}"/>
    <cellStyle name="Normal 3 3 28" xfId="9237" xr:uid="{8B8107FD-56BC-43D2-8F66-3594CA0025E0}"/>
    <cellStyle name="Normal 3 3 3" xfId="6620" xr:uid="{00000000-0005-0000-0000-00005C1C0000}"/>
    <cellStyle name="Normal 3 3 3 2" xfId="6621" xr:uid="{00000000-0005-0000-0000-00005D1C0000}"/>
    <cellStyle name="Normal 3 3 3 2 2" xfId="6622" xr:uid="{00000000-0005-0000-0000-00005E1C0000}"/>
    <cellStyle name="Normal 3 3 3 3" xfId="6623" xr:uid="{00000000-0005-0000-0000-00005F1C0000}"/>
    <cellStyle name="Normal 3 3 4" xfId="6624" xr:uid="{00000000-0005-0000-0000-0000601C0000}"/>
    <cellStyle name="Normal 3 3 4 2" xfId="6625" xr:uid="{00000000-0005-0000-0000-0000611C0000}"/>
    <cellStyle name="Normal 3 3 4 2 2" xfId="6626" xr:uid="{00000000-0005-0000-0000-0000621C0000}"/>
    <cellStyle name="Normal 3 3 4 3" xfId="6627" xr:uid="{00000000-0005-0000-0000-0000631C0000}"/>
    <cellStyle name="Normal 3 3 5" xfId="6628" xr:uid="{00000000-0005-0000-0000-0000641C0000}"/>
    <cellStyle name="Normal 3 3 5 2" xfId="6629" xr:uid="{00000000-0005-0000-0000-0000651C0000}"/>
    <cellStyle name="Normal 3 3 5 2 2" xfId="6630" xr:uid="{00000000-0005-0000-0000-0000661C0000}"/>
    <cellStyle name="Normal 3 3 5 3" xfId="6631" xr:uid="{00000000-0005-0000-0000-0000671C0000}"/>
    <cellStyle name="Normal 3 3 6" xfId="6632" xr:uid="{00000000-0005-0000-0000-0000681C0000}"/>
    <cellStyle name="Normal 3 3 6 2" xfId="6633" xr:uid="{00000000-0005-0000-0000-0000691C0000}"/>
    <cellStyle name="Normal 3 3 6 2 2" xfId="6634" xr:uid="{00000000-0005-0000-0000-00006A1C0000}"/>
    <cellStyle name="Normal 3 3 6 3" xfId="6635" xr:uid="{00000000-0005-0000-0000-00006B1C0000}"/>
    <cellStyle name="Normal 3 3 7" xfId="6636" xr:uid="{00000000-0005-0000-0000-00006C1C0000}"/>
    <cellStyle name="Normal 3 3 7 2" xfId="6637" xr:uid="{00000000-0005-0000-0000-00006D1C0000}"/>
    <cellStyle name="Normal 3 3 7 2 2" xfId="6638" xr:uid="{00000000-0005-0000-0000-00006E1C0000}"/>
    <cellStyle name="Normal 3 3 7 3" xfId="6639" xr:uid="{00000000-0005-0000-0000-00006F1C0000}"/>
    <cellStyle name="Normal 3 3 8" xfId="6640" xr:uid="{00000000-0005-0000-0000-0000701C0000}"/>
    <cellStyle name="Normal 3 3 8 2" xfId="6641" xr:uid="{00000000-0005-0000-0000-0000711C0000}"/>
    <cellStyle name="Normal 3 3 8 2 2" xfId="6642" xr:uid="{00000000-0005-0000-0000-0000721C0000}"/>
    <cellStyle name="Normal 3 3 8 3" xfId="6643" xr:uid="{00000000-0005-0000-0000-0000731C0000}"/>
    <cellStyle name="Normal 3 3 9" xfId="6644" xr:uid="{00000000-0005-0000-0000-0000741C0000}"/>
    <cellStyle name="Normal 3 3 9 2" xfId="6645" xr:uid="{00000000-0005-0000-0000-0000751C0000}"/>
    <cellStyle name="Normal 3 3 9 2 2" xfId="6646" xr:uid="{00000000-0005-0000-0000-0000761C0000}"/>
    <cellStyle name="Normal 3 3 9 3" xfId="6647" xr:uid="{00000000-0005-0000-0000-0000771C0000}"/>
    <cellStyle name="Normal 3 30" xfId="6648" xr:uid="{00000000-0005-0000-0000-0000781C0000}"/>
    <cellStyle name="Normal 3 30 10" xfId="6649" xr:uid="{00000000-0005-0000-0000-0000791C0000}"/>
    <cellStyle name="Normal 3 30 10 2" xfId="6650" xr:uid="{00000000-0005-0000-0000-00007A1C0000}"/>
    <cellStyle name="Normal 3 30 10 2 2" xfId="6651" xr:uid="{00000000-0005-0000-0000-00007B1C0000}"/>
    <cellStyle name="Normal 3 30 10 3" xfId="6652" xr:uid="{00000000-0005-0000-0000-00007C1C0000}"/>
    <cellStyle name="Normal 3 30 11" xfId="6653" xr:uid="{00000000-0005-0000-0000-00007D1C0000}"/>
    <cellStyle name="Normal 3 30 11 2" xfId="6654" xr:uid="{00000000-0005-0000-0000-00007E1C0000}"/>
    <cellStyle name="Normal 3 30 11 2 2" xfId="6655" xr:uid="{00000000-0005-0000-0000-00007F1C0000}"/>
    <cellStyle name="Normal 3 30 11 3" xfId="6656" xr:uid="{00000000-0005-0000-0000-0000801C0000}"/>
    <cellStyle name="Normal 3 30 12" xfId="6657" xr:uid="{00000000-0005-0000-0000-0000811C0000}"/>
    <cellStyle name="Normal 3 30 12 2" xfId="6658" xr:uid="{00000000-0005-0000-0000-0000821C0000}"/>
    <cellStyle name="Normal 3 30 12 2 2" xfId="6659" xr:uid="{00000000-0005-0000-0000-0000831C0000}"/>
    <cellStyle name="Normal 3 30 12 3" xfId="6660" xr:uid="{00000000-0005-0000-0000-0000841C0000}"/>
    <cellStyle name="Normal 3 30 13" xfId="6661" xr:uid="{00000000-0005-0000-0000-0000851C0000}"/>
    <cellStyle name="Normal 3 30 13 2" xfId="6662" xr:uid="{00000000-0005-0000-0000-0000861C0000}"/>
    <cellStyle name="Normal 3 30 13 2 2" xfId="6663" xr:uid="{00000000-0005-0000-0000-0000871C0000}"/>
    <cellStyle name="Normal 3 30 13 3" xfId="6664" xr:uid="{00000000-0005-0000-0000-0000881C0000}"/>
    <cellStyle name="Normal 3 30 14" xfId="6665" xr:uid="{00000000-0005-0000-0000-0000891C0000}"/>
    <cellStyle name="Normal 3 30 14 2" xfId="6666" xr:uid="{00000000-0005-0000-0000-00008A1C0000}"/>
    <cellStyle name="Normal 3 30 14 2 2" xfId="6667" xr:uid="{00000000-0005-0000-0000-00008B1C0000}"/>
    <cellStyle name="Normal 3 30 14 3" xfId="6668" xr:uid="{00000000-0005-0000-0000-00008C1C0000}"/>
    <cellStyle name="Normal 3 30 15" xfId="6669" xr:uid="{00000000-0005-0000-0000-00008D1C0000}"/>
    <cellStyle name="Normal 3 30 15 2" xfId="6670" xr:uid="{00000000-0005-0000-0000-00008E1C0000}"/>
    <cellStyle name="Normal 3 30 15 2 2" xfId="6671" xr:uid="{00000000-0005-0000-0000-00008F1C0000}"/>
    <cellStyle name="Normal 3 30 15 3" xfId="6672" xr:uid="{00000000-0005-0000-0000-0000901C0000}"/>
    <cellStyle name="Normal 3 30 16" xfId="6673" xr:uid="{00000000-0005-0000-0000-0000911C0000}"/>
    <cellStyle name="Normal 3 30 16 2" xfId="6674" xr:uid="{00000000-0005-0000-0000-0000921C0000}"/>
    <cellStyle name="Normal 3 30 16 2 2" xfId="6675" xr:uid="{00000000-0005-0000-0000-0000931C0000}"/>
    <cellStyle name="Normal 3 30 16 3" xfId="6676" xr:uid="{00000000-0005-0000-0000-0000941C0000}"/>
    <cellStyle name="Normal 3 30 17" xfId="6677" xr:uid="{00000000-0005-0000-0000-0000951C0000}"/>
    <cellStyle name="Normal 3 30 17 2" xfId="6678" xr:uid="{00000000-0005-0000-0000-0000961C0000}"/>
    <cellStyle name="Normal 3 30 17 2 2" xfId="6679" xr:uid="{00000000-0005-0000-0000-0000971C0000}"/>
    <cellStyle name="Normal 3 30 17 3" xfId="6680" xr:uid="{00000000-0005-0000-0000-0000981C0000}"/>
    <cellStyle name="Normal 3 30 18" xfId="6681" xr:uid="{00000000-0005-0000-0000-0000991C0000}"/>
    <cellStyle name="Normal 3 30 18 2" xfId="6682" xr:uid="{00000000-0005-0000-0000-00009A1C0000}"/>
    <cellStyle name="Normal 3 30 18 2 2" xfId="6683" xr:uid="{00000000-0005-0000-0000-00009B1C0000}"/>
    <cellStyle name="Normal 3 30 18 3" xfId="6684" xr:uid="{00000000-0005-0000-0000-00009C1C0000}"/>
    <cellStyle name="Normal 3 30 19" xfId="6685" xr:uid="{00000000-0005-0000-0000-00009D1C0000}"/>
    <cellStyle name="Normal 3 30 19 2" xfId="6686" xr:uid="{00000000-0005-0000-0000-00009E1C0000}"/>
    <cellStyle name="Normal 3 30 19 2 2" xfId="6687" xr:uid="{00000000-0005-0000-0000-00009F1C0000}"/>
    <cellStyle name="Normal 3 30 19 3" xfId="6688" xr:uid="{00000000-0005-0000-0000-0000A01C0000}"/>
    <cellStyle name="Normal 3 30 2" xfId="6689" xr:uid="{00000000-0005-0000-0000-0000A11C0000}"/>
    <cellStyle name="Normal 3 30 2 2" xfId="6690" xr:uid="{00000000-0005-0000-0000-0000A21C0000}"/>
    <cellStyle name="Normal 3 30 2 2 2" xfId="6691" xr:uid="{00000000-0005-0000-0000-0000A31C0000}"/>
    <cellStyle name="Normal 3 30 2 3" xfId="6692" xr:uid="{00000000-0005-0000-0000-0000A41C0000}"/>
    <cellStyle name="Normal 3 30 20" xfId="6693" xr:uid="{00000000-0005-0000-0000-0000A51C0000}"/>
    <cellStyle name="Normal 3 30 20 2" xfId="6694" xr:uid="{00000000-0005-0000-0000-0000A61C0000}"/>
    <cellStyle name="Normal 3 30 20 2 2" xfId="6695" xr:uid="{00000000-0005-0000-0000-0000A71C0000}"/>
    <cellStyle name="Normal 3 30 20 3" xfId="6696" xr:uid="{00000000-0005-0000-0000-0000A81C0000}"/>
    <cellStyle name="Normal 3 30 21" xfId="6697" xr:uid="{00000000-0005-0000-0000-0000A91C0000}"/>
    <cellStyle name="Normal 3 30 21 2" xfId="6698" xr:uid="{00000000-0005-0000-0000-0000AA1C0000}"/>
    <cellStyle name="Normal 3 30 21 2 2" xfId="6699" xr:uid="{00000000-0005-0000-0000-0000AB1C0000}"/>
    <cellStyle name="Normal 3 30 21 3" xfId="6700" xr:uid="{00000000-0005-0000-0000-0000AC1C0000}"/>
    <cellStyle name="Normal 3 30 22" xfId="6701" xr:uid="{00000000-0005-0000-0000-0000AD1C0000}"/>
    <cellStyle name="Normal 3 30 22 2" xfId="6702" xr:uid="{00000000-0005-0000-0000-0000AE1C0000}"/>
    <cellStyle name="Normal 3 30 22 2 2" xfId="6703" xr:uid="{00000000-0005-0000-0000-0000AF1C0000}"/>
    <cellStyle name="Normal 3 30 22 3" xfId="6704" xr:uid="{00000000-0005-0000-0000-0000B01C0000}"/>
    <cellStyle name="Normal 3 30 23" xfId="6705" xr:uid="{00000000-0005-0000-0000-0000B11C0000}"/>
    <cellStyle name="Normal 3 30 23 2" xfId="6706" xr:uid="{00000000-0005-0000-0000-0000B21C0000}"/>
    <cellStyle name="Normal 3 30 23 2 2" xfId="6707" xr:uid="{00000000-0005-0000-0000-0000B31C0000}"/>
    <cellStyle name="Normal 3 30 23 3" xfId="6708" xr:uid="{00000000-0005-0000-0000-0000B41C0000}"/>
    <cellStyle name="Normal 3 30 24" xfId="6709" xr:uid="{00000000-0005-0000-0000-0000B51C0000}"/>
    <cellStyle name="Normal 3 30 24 2" xfId="6710" xr:uid="{00000000-0005-0000-0000-0000B61C0000}"/>
    <cellStyle name="Normal 3 30 25" xfId="6711" xr:uid="{00000000-0005-0000-0000-0000B71C0000}"/>
    <cellStyle name="Normal 3 30 3" xfId="6712" xr:uid="{00000000-0005-0000-0000-0000B81C0000}"/>
    <cellStyle name="Normal 3 30 3 2" xfId="6713" xr:uid="{00000000-0005-0000-0000-0000B91C0000}"/>
    <cellStyle name="Normal 3 30 3 2 2" xfId="6714" xr:uid="{00000000-0005-0000-0000-0000BA1C0000}"/>
    <cellStyle name="Normal 3 30 3 3" xfId="6715" xr:uid="{00000000-0005-0000-0000-0000BB1C0000}"/>
    <cellStyle name="Normal 3 30 4" xfId="6716" xr:uid="{00000000-0005-0000-0000-0000BC1C0000}"/>
    <cellStyle name="Normal 3 30 4 2" xfId="6717" xr:uid="{00000000-0005-0000-0000-0000BD1C0000}"/>
    <cellStyle name="Normal 3 30 4 2 2" xfId="6718" xr:uid="{00000000-0005-0000-0000-0000BE1C0000}"/>
    <cellStyle name="Normal 3 30 4 3" xfId="6719" xr:uid="{00000000-0005-0000-0000-0000BF1C0000}"/>
    <cellStyle name="Normal 3 30 5" xfId="6720" xr:uid="{00000000-0005-0000-0000-0000C01C0000}"/>
    <cellStyle name="Normal 3 30 5 2" xfId="6721" xr:uid="{00000000-0005-0000-0000-0000C11C0000}"/>
    <cellStyle name="Normal 3 30 5 2 2" xfId="6722" xr:uid="{00000000-0005-0000-0000-0000C21C0000}"/>
    <cellStyle name="Normal 3 30 5 3" xfId="6723" xr:uid="{00000000-0005-0000-0000-0000C31C0000}"/>
    <cellStyle name="Normal 3 30 6" xfId="6724" xr:uid="{00000000-0005-0000-0000-0000C41C0000}"/>
    <cellStyle name="Normal 3 30 6 2" xfId="6725" xr:uid="{00000000-0005-0000-0000-0000C51C0000}"/>
    <cellStyle name="Normal 3 30 6 2 2" xfId="6726" xr:uid="{00000000-0005-0000-0000-0000C61C0000}"/>
    <cellStyle name="Normal 3 30 6 3" xfId="6727" xr:uid="{00000000-0005-0000-0000-0000C71C0000}"/>
    <cellStyle name="Normal 3 30 7" xfId="6728" xr:uid="{00000000-0005-0000-0000-0000C81C0000}"/>
    <cellStyle name="Normal 3 30 7 2" xfId="6729" xr:uid="{00000000-0005-0000-0000-0000C91C0000}"/>
    <cellStyle name="Normal 3 30 7 2 2" xfId="6730" xr:uid="{00000000-0005-0000-0000-0000CA1C0000}"/>
    <cellStyle name="Normal 3 30 7 3" xfId="6731" xr:uid="{00000000-0005-0000-0000-0000CB1C0000}"/>
    <cellStyle name="Normal 3 30 8" xfId="6732" xr:uid="{00000000-0005-0000-0000-0000CC1C0000}"/>
    <cellStyle name="Normal 3 30 8 2" xfId="6733" xr:uid="{00000000-0005-0000-0000-0000CD1C0000}"/>
    <cellStyle name="Normal 3 30 8 2 2" xfId="6734" xr:uid="{00000000-0005-0000-0000-0000CE1C0000}"/>
    <cellStyle name="Normal 3 30 8 3" xfId="6735" xr:uid="{00000000-0005-0000-0000-0000CF1C0000}"/>
    <cellStyle name="Normal 3 30 9" xfId="6736" xr:uid="{00000000-0005-0000-0000-0000D01C0000}"/>
    <cellStyle name="Normal 3 30 9 2" xfId="6737" xr:uid="{00000000-0005-0000-0000-0000D11C0000}"/>
    <cellStyle name="Normal 3 30 9 2 2" xfId="6738" xr:uid="{00000000-0005-0000-0000-0000D21C0000}"/>
    <cellStyle name="Normal 3 30 9 3" xfId="6739" xr:uid="{00000000-0005-0000-0000-0000D31C0000}"/>
    <cellStyle name="Normal 3 31" xfId="6740" xr:uid="{00000000-0005-0000-0000-0000D41C0000}"/>
    <cellStyle name="Normal 3 31 10" xfId="6741" xr:uid="{00000000-0005-0000-0000-0000D51C0000}"/>
    <cellStyle name="Normal 3 31 10 2" xfId="6742" xr:uid="{00000000-0005-0000-0000-0000D61C0000}"/>
    <cellStyle name="Normal 3 31 10 2 2" xfId="6743" xr:uid="{00000000-0005-0000-0000-0000D71C0000}"/>
    <cellStyle name="Normal 3 31 10 3" xfId="6744" xr:uid="{00000000-0005-0000-0000-0000D81C0000}"/>
    <cellStyle name="Normal 3 31 11" xfId="6745" xr:uid="{00000000-0005-0000-0000-0000D91C0000}"/>
    <cellStyle name="Normal 3 31 11 2" xfId="6746" xr:uid="{00000000-0005-0000-0000-0000DA1C0000}"/>
    <cellStyle name="Normal 3 31 11 2 2" xfId="6747" xr:uid="{00000000-0005-0000-0000-0000DB1C0000}"/>
    <cellStyle name="Normal 3 31 11 3" xfId="6748" xr:uid="{00000000-0005-0000-0000-0000DC1C0000}"/>
    <cellStyle name="Normal 3 31 12" xfId="6749" xr:uid="{00000000-0005-0000-0000-0000DD1C0000}"/>
    <cellStyle name="Normal 3 31 12 2" xfId="6750" xr:uid="{00000000-0005-0000-0000-0000DE1C0000}"/>
    <cellStyle name="Normal 3 31 12 2 2" xfId="6751" xr:uid="{00000000-0005-0000-0000-0000DF1C0000}"/>
    <cellStyle name="Normal 3 31 12 3" xfId="6752" xr:uid="{00000000-0005-0000-0000-0000E01C0000}"/>
    <cellStyle name="Normal 3 31 13" xfId="6753" xr:uid="{00000000-0005-0000-0000-0000E11C0000}"/>
    <cellStyle name="Normal 3 31 13 2" xfId="6754" xr:uid="{00000000-0005-0000-0000-0000E21C0000}"/>
    <cellStyle name="Normal 3 31 13 2 2" xfId="6755" xr:uid="{00000000-0005-0000-0000-0000E31C0000}"/>
    <cellStyle name="Normal 3 31 13 3" xfId="6756" xr:uid="{00000000-0005-0000-0000-0000E41C0000}"/>
    <cellStyle name="Normal 3 31 14" xfId="6757" xr:uid="{00000000-0005-0000-0000-0000E51C0000}"/>
    <cellStyle name="Normal 3 31 14 2" xfId="6758" xr:uid="{00000000-0005-0000-0000-0000E61C0000}"/>
    <cellStyle name="Normal 3 31 14 2 2" xfId="6759" xr:uid="{00000000-0005-0000-0000-0000E71C0000}"/>
    <cellStyle name="Normal 3 31 14 3" xfId="6760" xr:uid="{00000000-0005-0000-0000-0000E81C0000}"/>
    <cellStyle name="Normal 3 31 15" xfId="6761" xr:uid="{00000000-0005-0000-0000-0000E91C0000}"/>
    <cellStyle name="Normal 3 31 15 2" xfId="6762" xr:uid="{00000000-0005-0000-0000-0000EA1C0000}"/>
    <cellStyle name="Normal 3 31 15 2 2" xfId="6763" xr:uid="{00000000-0005-0000-0000-0000EB1C0000}"/>
    <cellStyle name="Normal 3 31 15 3" xfId="6764" xr:uid="{00000000-0005-0000-0000-0000EC1C0000}"/>
    <cellStyle name="Normal 3 31 16" xfId="6765" xr:uid="{00000000-0005-0000-0000-0000ED1C0000}"/>
    <cellStyle name="Normal 3 31 16 2" xfId="6766" xr:uid="{00000000-0005-0000-0000-0000EE1C0000}"/>
    <cellStyle name="Normal 3 31 16 2 2" xfId="6767" xr:uid="{00000000-0005-0000-0000-0000EF1C0000}"/>
    <cellStyle name="Normal 3 31 16 3" xfId="6768" xr:uid="{00000000-0005-0000-0000-0000F01C0000}"/>
    <cellStyle name="Normal 3 31 17" xfId="6769" xr:uid="{00000000-0005-0000-0000-0000F11C0000}"/>
    <cellStyle name="Normal 3 31 17 2" xfId="6770" xr:uid="{00000000-0005-0000-0000-0000F21C0000}"/>
    <cellStyle name="Normal 3 31 17 2 2" xfId="6771" xr:uid="{00000000-0005-0000-0000-0000F31C0000}"/>
    <cellStyle name="Normal 3 31 17 3" xfId="6772" xr:uid="{00000000-0005-0000-0000-0000F41C0000}"/>
    <cellStyle name="Normal 3 31 18" xfId="6773" xr:uid="{00000000-0005-0000-0000-0000F51C0000}"/>
    <cellStyle name="Normal 3 31 18 2" xfId="6774" xr:uid="{00000000-0005-0000-0000-0000F61C0000}"/>
    <cellStyle name="Normal 3 31 18 2 2" xfId="6775" xr:uid="{00000000-0005-0000-0000-0000F71C0000}"/>
    <cellStyle name="Normal 3 31 18 3" xfId="6776" xr:uid="{00000000-0005-0000-0000-0000F81C0000}"/>
    <cellStyle name="Normal 3 31 19" xfId="6777" xr:uid="{00000000-0005-0000-0000-0000F91C0000}"/>
    <cellStyle name="Normal 3 31 19 2" xfId="6778" xr:uid="{00000000-0005-0000-0000-0000FA1C0000}"/>
    <cellStyle name="Normal 3 31 19 2 2" xfId="6779" xr:uid="{00000000-0005-0000-0000-0000FB1C0000}"/>
    <cellStyle name="Normal 3 31 19 3" xfId="6780" xr:uid="{00000000-0005-0000-0000-0000FC1C0000}"/>
    <cellStyle name="Normal 3 31 2" xfId="6781" xr:uid="{00000000-0005-0000-0000-0000FD1C0000}"/>
    <cellStyle name="Normal 3 31 2 2" xfId="6782" xr:uid="{00000000-0005-0000-0000-0000FE1C0000}"/>
    <cellStyle name="Normal 3 31 2 2 2" xfId="6783" xr:uid="{00000000-0005-0000-0000-0000FF1C0000}"/>
    <cellStyle name="Normal 3 31 2 3" xfId="6784" xr:uid="{00000000-0005-0000-0000-0000001D0000}"/>
    <cellStyle name="Normal 3 31 20" xfId="6785" xr:uid="{00000000-0005-0000-0000-0000011D0000}"/>
    <cellStyle name="Normal 3 31 20 2" xfId="6786" xr:uid="{00000000-0005-0000-0000-0000021D0000}"/>
    <cellStyle name="Normal 3 31 20 2 2" xfId="6787" xr:uid="{00000000-0005-0000-0000-0000031D0000}"/>
    <cellStyle name="Normal 3 31 20 3" xfId="6788" xr:uid="{00000000-0005-0000-0000-0000041D0000}"/>
    <cellStyle name="Normal 3 31 21" xfId="6789" xr:uid="{00000000-0005-0000-0000-0000051D0000}"/>
    <cellStyle name="Normal 3 31 21 2" xfId="6790" xr:uid="{00000000-0005-0000-0000-0000061D0000}"/>
    <cellStyle name="Normal 3 31 21 2 2" xfId="6791" xr:uid="{00000000-0005-0000-0000-0000071D0000}"/>
    <cellStyle name="Normal 3 31 21 3" xfId="6792" xr:uid="{00000000-0005-0000-0000-0000081D0000}"/>
    <cellStyle name="Normal 3 31 22" xfId="6793" xr:uid="{00000000-0005-0000-0000-0000091D0000}"/>
    <cellStyle name="Normal 3 31 22 2" xfId="6794" xr:uid="{00000000-0005-0000-0000-00000A1D0000}"/>
    <cellStyle name="Normal 3 31 22 2 2" xfId="6795" xr:uid="{00000000-0005-0000-0000-00000B1D0000}"/>
    <cellStyle name="Normal 3 31 22 3" xfId="6796" xr:uid="{00000000-0005-0000-0000-00000C1D0000}"/>
    <cellStyle name="Normal 3 31 23" xfId="6797" xr:uid="{00000000-0005-0000-0000-00000D1D0000}"/>
    <cellStyle name="Normal 3 31 23 2" xfId="6798" xr:uid="{00000000-0005-0000-0000-00000E1D0000}"/>
    <cellStyle name="Normal 3 31 23 2 2" xfId="6799" xr:uid="{00000000-0005-0000-0000-00000F1D0000}"/>
    <cellStyle name="Normal 3 31 23 3" xfId="6800" xr:uid="{00000000-0005-0000-0000-0000101D0000}"/>
    <cellStyle name="Normal 3 31 24" xfId="6801" xr:uid="{00000000-0005-0000-0000-0000111D0000}"/>
    <cellStyle name="Normal 3 31 24 2" xfId="6802" xr:uid="{00000000-0005-0000-0000-0000121D0000}"/>
    <cellStyle name="Normal 3 31 25" xfId="6803" xr:uid="{00000000-0005-0000-0000-0000131D0000}"/>
    <cellStyle name="Normal 3 31 3" xfId="6804" xr:uid="{00000000-0005-0000-0000-0000141D0000}"/>
    <cellStyle name="Normal 3 31 3 2" xfId="6805" xr:uid="{00000000-0005-0000-0000-0000151D0000}"/>
    <cellStyle name="Normal 3 31 3 2 2" xfId="6806" xr:uid="{00000000-0005-0000-0000-0000161D0000}"/>
    <cellStyle name="Normal 3 31 3 3" xfId="6807" xr:uid="{00000000-0005-0000-0000-0000171D0000}"/>
    <cellStyle name="Normal 3 31 4" xfId="6808" xr:uid="{00000000-0005-0000-0000-0000181D0000}"/>
    <cellStyle name="Normal 3 31 4 2" xfId="6809" xr:uid="{00000000-0005-0000-0000-0000191D0000}"/>
    <cellStyle name="Normal 3 31 4 2 2" xfId="6810" xr:uid="{00000000-0005-0000-0000-00001A1D0000}"/>
    <cellStyle name="Normal 3 31 4 3" xfId="6811" xr:uid="{00000000-0005-0000-0000-00001B1D0000}"/>
    <cellStyle name="Normal 3 31 5" xfId="6812" xr:uid="{00000000-0005-0000-0000-00001C1D0000}"/>
    <cellStyle name="Normal 3 31 5 2" xfId="6813" xr:uid="{00000000-0005-0000-0000-00001D1D0000}"/>
    <cellStyle name="Normal 3 31 5 2 2" xfId="6814" xr:uid="{00000000-0005-0000-0000-00001E1D0000}"/>
    <cellStyle name="Normal 3 31 5 3" xfId="6815" xr:uid="{00000000-0005-0000-0000-00001F1D0000}"/>
    <cellStyle name="Normal 3 31 6" xfId="6816" xr:uid="{00000000-0005-0000-0000-0000201D0000}"/>
    <cellStyle name="Normal 3 31 6 2" xfId="6817" xr:uid="{00000000-0005-0000-0000-0000211D0000}"/>
    <cellStyle name="Normal 3 31 6 2 2" xfId="6818" xr:uid="{00000000-0005-0000-0000-0000221D0000}"/>
    <cellStyle name="Normal 3 31 6 3" xfId="6819" xr:uid="{00000000-0005-0000-0000-0000231D0000}"/>
    <cellStyle name="Normal 3 31 7" xfId="6820" xr:uid="{00000000-0005-0000-0000-0000241D0000}"/>
    <cellStyle name="Normal 3 31 7 2" xfId="6821" xr:uid="{00000000-0005-0000-0000-0000251D0000}"/>
    <cellStyle name="Normal 3 31 7 2 2" xfId="6822" xr:uid="{00000000-0005-0000-0000-0000261D0000}"/>
    <cellStyle name="Normal 3 31 7 3" xfId="6823" xr:uid="{00000000-0005-0000-0000-0000271D0000}"/>
    <cellStyle name="Normal 3 31 8" xfId="6824" xr:uid="{00000000-0005-0000-0000-0000281D0000}"/>
    <cellStyle name="Normal 3 31 8 2" xfId="6825" xr:uid="{00000000-0005-0000-0000-0000291D0000}"/>
    <cellStyle name="Normal 3 31 8 2 2" xfId="6826" xr:uid="{00000000-0005-0000-0000-00002A1D0000}"/>
    <cellStyle name="Normal 3 31 8 3" xfId="6827" xr:uid="{00000000-0005-0000-0000-00002B1D0000}"/>
    <cellStyle name="Normal 3 31 9" xfId="6828" xr:uid="{00000000-0005-0000-0000-00002C1D0000}"/>
    <cellStyle name="Normal 3 31 9 2" xfId="6829" xr:uid="{00000000-0005-0000-0000-00002D1D0000}"/>
    <cellStyle name="Normal 3 31 9 2 2" xfId="6830" xr:uid="{00000000-0005-0000-0000-00002E1D0000}"/>
    <cellStyle name="Normal 3 31 9 3" xfId="6831" xr:uid="{00000000-0005-0000-0000-00002F1D0000}"/>
    <cellStyle name="Normal 3 32" xfId="6832" xr:uid="{00000000-0005-0000-0000-0000301D0000}"/>
    <cellStyle name="Normal 3 32 10" xfId="6833" xr:uid="{00000000-0005-0000-0000-0000311D0000}"/>
    <cellStyle name="Normal 3 32 10 2" xfId="6834" xr:uid="{00000000-0005-0000-0000-0000321D0000}"/>
    <cellStyle name="Normal 3 32 10 2 2" xfId="6835" xr:uid="{00000000-0005-0000-0000-0000331D0000}"/>
    <cellStyle name="Normal 3 32 10 3" xfId="6836" xr:uid="{00000000-0005-0000-0000-0000341D0000}"/>
    <cellStyle name="Normal 3 32 11" xfId="6837" xr:uid="{00000000-0005-0000-0000-0000351D0000}"/>
    <cellStyle name="Normal 3 32 11 2" xfId="6838" xr:uid="{00000000-0005-0000-0000-0000361D0000}"/>
    <cellStyle name="Normal 3 32 11 2 2" xfId="6839" xr:uid="{00000000-0005-0000-0000-0000371D0000}"/>
    <cellStyle name="Normal 3 32 11 3" xfId="6840" xr:uid="{00000000-0005-0000-0000-0000381D0000}"/>
    <cellStyle name="Normal 3 32 12" xfId="6841" xr:uid="{00000000-0005-0000-0000-0000391D0000}"/>
    <cellStyle name="Normal 3 32 12 2" xfId="6842" xr:uid="{00000000-0005-0000-0000-00003A1D0000}"/>
    <cellStyle name="Normal 3 32 12 2 2" xfId="6843" xr:uid="{00000000-0005-0000-0000-00003B1D0000}"/>
    <cellStyle name="Normal 3 32 12 3" xfId="6844" xr:uid="{00000000-0005-0000-0000-00003C1D0000}"/>
    <cellStyle name="Normal 3 32 13" xfId="6845" xr:uid="{00000000-0005-0000-0000-00003D1D0000}"/>
    <cellStyle name="Normal 3 32 13 2" xfId="6846" xr:uid="{00000000-0005-0000-0000-00003E1D0000}"/>
    <cellStyle name="Normal 3 32 13 2 2" xfId="6847" xr:uid="{00000000-0005-0000-0000-00003F1D0000}"/>
    <cellStyle name="Normal 3 32 13 3" xfId="6848" xr:uid="{00000000-0005-0000-0000-0000401D0000}"/>
    <cellStyle name="Normal 3 32 14" xfId="6849" xr:uid="{00000000-0005-0000-0000-0000411D0000}"/>
    <cellStyle name="Normal 3 32 14 2" xfId="6850" xr:uid="{00000000-0005-0000-0000-0000421D0000}"/>
    <cellStyle name="Normal 3 32 14 2 2" xfId="6851" xr:uid="{00000000-0005-0000-0000-0000431D0000}"/>
    <cellStyle name="Normal 3 32 14 3" xfId="6852" xr:uid="{00000000-0005-0000-0000-0000441D0000}"/>
    <cellStyle name="Normal 3 32 15" xfId="6853" xr:uid="{00000000-0005-0000-0000-0000451D0000}"/>
    <cellStyle name="Normal 3 32 15 2" xfId="6854" xr:uid="{00000000-0005-0000-0000-0000461D0000}"/>
    <cellStyle name="Normal 3 32 15 2 2" xfId="6855" xr:uid="{00000000-0005-0000-0000-0000471D0000}"/>
    <cellStyle name="Normal 3 32 15 3" xfId="6856" xr:uid="{00000000-0005-0000-0000-0000481D0000}"/>
    <cellStyle name="Normal 3 32 16" xfId="6857" xr:uid="{00000000-0005-0000-0000-0000491D0000}"/>
    <cellStyle name="Normal 3 32 16 2" xfId="6858" xr:uid="{00000000-0005-0000-0000-00004A1D0000}"/>
    <cellStyle name="Normal 3 32 16 2 2" xfId="6859" xr:uid="{00000000-0005-0000-0000-00004B1D0000}"/>
    <cellStyle name="Normal 3 32 16 3" xfId="6860" xr:uid="{00000000-0005-0000-0000-00004C1D0000}"/>
    <cellStyle name="Normal 3 32 17" xfId="6861" xr:uid="{00000000-0005-0000-0000-00004D1D0000}"/>
    <cellStyle name="Normal 3 32 17 2" xfId="6862" xr:uid="{00000000-0005-0000-0000-00004E1D0000}"/>
    <cellStyle name="Normal 3 32 17 2 2" xfId="6863" xr:uid="{00000000-0005-0000-0000-00004F1D0000}"/>
    <cellStyle name="Normal 3 32 17 3" xfId="6864" xr:uid="{00000000-0005-0000-0000-0000501D0000}"/>
    <cellStyle name="Normal 3 32 18" xfId="6865" xr:uid="{00000000-0005-0000-0000-0000511D0000}"/>
    <cellStyle name="Normal 3 32 18 2" xfId="6866" xr:uid="{00000000-0005-0000-0000-0000521D0000}"/>
    <cellStyle name="Normal 3 32 18 2 2" xfId="6867" xr:uid="{00000000-0005-0000-0000-0000531D0000}"/>
    <cellStyle name="Normal 3 32 18 3" xfId="6868" xr:uid="{00000000-0005-0000-0000-0000541D0000}"/>
    <cellStyle name="Normal 3 32 19" xfId="6869" xr:uid="{00000000-0005-0000-0000-0000551D0000}"/>
    <cellStyle name="Normal 3 32 19 2" xfId="6870" xr:uid="{00000000-0005-0000-0000-0000561D0000}"/>
    <cellStyle name="Normal 3 32 19 2 2" xfId="6871" xr:uid="{00000000-0005-0000-0000-0000571D0000}"/>
    <cellStyle name="Normal 3 32 19 3" xfId="6872" xr:uid="{00000000-0005-0000-0000-0000581D0000}"/>
    <cellStyle name="Normal 3 32 2" xfId="6873" xr:uid="{00000000-0005-0000-0000-0000591D0000}"/>
    <cellStyle name="Normal 3 32 2 2" xfId="6874" xr:uid="{00000000-0005-0000-0000-00005A1D0000}"/>
    <cellStyle name="Normal 3 32 2 2 2" xfId="6875" xr:uid="{00000000-0005-0000-0000-00005B1D0000}"/>
    <cellStyle name="Normal 3 32 2 3" xfId="6876" xr:uid="{00000000-0005-0000-0000-00005C1D0000}"/>
    <cellStyle name="Normal 3 32 20" xfId="6877" xr:uid="{00000000-0005-0000-0000-00005D1D0000}"/>
    <cellStyle name="Normal 3 32 20 2" xfId="6878" xr:uid="{00000000-0005-0000-0000-00005E1D0000}"/>
    <cellStyle name="Normal 3 32 20 2 2" xfId="6879" xr:uid="{00000000-0005-0000-0000-00005F1D0000}"/>
    <cellStyle name="Normal 3 32 20 3" xfId="6880" xr:uid="{00000000-0005-0000-0000-0000601D0000}"/>
    <cellStyle name="Normal 3 32 21" xfId="6881" xr:uid="{00000000-0005-0000-0000-0000611D0000}"/>
    <cellStyle name="Normal 3 32 21 2" xfId="6882" xr:uid="{00000000-0005-0000-0000-0000621D0000}"/>
    <cellStyle name="Normal 3 32 21 2 2" xfId="6883" xr:uid="{00000000-0005-0000-0000-0000631D0000}"/>
    <cellStyle name="Normal 3 32 21 3" xfId="6884" xr:uid="{00000000-0005-0000-0000-0000641D0000}"/>
    <cellStyle name="Normal 3 32 22" xfId="6885" xr:uid="{00000000-0005-0000-0000-0000651D0000}"/>
    <cellStyle name="Normal 3 32 22 2" xfId="6886" xr:uid="{00000000-0005-0000-0000-0000661D0000}"/>
    <cellStyle name="Normal 3 32 22 2 2" xfId="6887" xr:uid="{00000000-0005-0000-0000-0000671D0000}"/>
    <cellStyle name="Normal 3 32 22 3" xfId="6888" xr:uid="{00000000-0005-0000-0000-0000681D0000}"/>
    <cellStyle name="Normal 3 32 23" xfId="6889" xr:uid="{00000000-0005-0000-0000-0000691D0000}"/>
    <cellStyle name="Normal 3 32 23 2" xfId="6890" xr:uid="{00000000-0005-0000-0000-00006A1D0000}"/>
    <cellStyle name="Normal 3 32 23 2 2" xfId="6891" xr:uid="{00000000-0005-0000-0000-00006B1D0000}"/>
    <cellStyle name="Normal 3 32 23 3" xfId="6892" xr:uid="{00000000-0005-0000-0000-00006C1D0000}"/>
    <cellStyle name="Normal 3 32 24" xfId="6893" xr:uid="{00000000-0005-0000-0000-00006D1D0000}"/>
    <cellStyle name="Normal 3 32 24 2" xfId="6894" xr:uid="{00000000-0005-0000-0000-00006E1D0000}"/>
    <cellStyle name="Normal 3 32 25" xfId="6895" xr:uid="{00000000-0005-0000-0000-00006F1D0000}"/>
    <cellStyle name="Normal 3 32 3" xfId="6896" xr:uid="{00000000-0005-0000-0000-0000701D0000}"/>
    <cellStyle name="Normal 3 32 3 2" xfId="6897" xr:uid="{00000000-0005-0000-0000-0000711D0000}"/>
    <cellStyle name="Normal 3 32 3 2 2" xfId="6898" xr:uid="{00000000-0005-0000-0000-0000721D0000}"/>
    <cellStyle name="Normal 3 32 3 3" xfId="6899" xr:uid="{00000000-0005-0000-0000-0000731D0000}"/>
    <cellStyle name="Normal 3 32 4" xfId="6900" xr:uid="{00000000-0005-0000-0000-0000741D0000}"/>
    <cellStyle name="Normal 3 32 4 2" xfId="6901" xr:uid="{00000000-0005-0000-0000-0000751D0000}"/>
    <cellStyle name="Normal 3 32 4 2 2" xfId="6902" xr:uid="{00000000-0005-0000-0000-0000761D0000}"/>
    <cellStyle name="Normal 3 32 4 3" xfId="6903" xr:uid="{00000000-0005-0000-0000-0000771D0000}"/>
    <cellStyle name="Normal 3 32 5" xfId="6904" xr:uid="{00000000-0005-0000-0000-0000781D0000}"/>
    <cellStyle name="Normal 3 32 5 2" xfId="6905" xr:uid="{00000000-0005-0000-0000-0000791D0000}"/>
    <cellStyle name="Normal 3 32 5 2 2" xfId="6906" xr:uid="{00000000-0005-0000-0000-00007A1D0000}"/>
    <cellStyle name="Normal 3 32 5 3" xfId="6907" xr:uid="{00000000-0005-0000-0000-00007B1D0000}"/>
    <cellStyle name="Normal 3 32 6" xfId="6908" xr:uid="{00000000-0005-0000-0000-00007C1D0000}"/>
    <cellStyle name="Normal 3 32 6 2" xfId="6909" xr:uid="{00000000-0005-0000-0000-00007D1D0000}"/>
    <cellStyle name="Normal 3 32 6 2 2" xfId="6910" xr:uid="{00000000-0005-0000-0000-00007E1D0000}"/>
    <cellStyle name="Normal 3 32 6 3" xfId="6911" xr:uid="{00000000-0005-0000-0000-00007F1D0000}"/>
    <cellStyle name="Normal 3 32 7" xfId="6912" xr:uid="{00000000-0005-0000-0000-0000801D0000}"/>
    <cellStyle name="Normal 3 32 7 2" xfId="6913" xr:uid="{00000000-0005-0000-0000-0000811D0000}"/>
    <cellStyle name="Normal 3 32 7 2 2" xfId="6914" xr:uid="{00000000-0005-0000-0000-0000821D0000}"/>
    <cellStyle name="Normal 3 32 7 3" xfId="6915" xr:uid="{00000000-0005-0000-0000-0000831D0000}"/>
    <cellStyle name="Normal 3 32 8" xfId="6916" xr:uid="{00000000-0005-0000-0000-0000841D0000}"/>
    <cellStyle name="Normal 3 32 8 2" xfId="6917" xr:uid="{00000000-0005-0000-0000-0000851D0000}"/>
    <cellStyle name="Normal 3 32 8 2 2" xfId="6918" xr:uid="{00000000-0005-0000-0000-0000861D0000}"/>
    <cellStyle name="Normal 3 32 8 3" xfId="6919" xr:uid="{00000000-0005-0000-0000-0000871D0000}"/>
    <cellStyle name="Normal 3 32 9" xfId="6920" xr:uid="{00000000-0005-0000-0000-0000881D0000}"/>
    <cellStyle name="Normal 3 32 9 2" xfId="6921" xr:uid="{00000000-0005-0000-0000-0000891D0000}"/>
    <cellStyle name="Normal 3 32 9 2 2" xfId="6922" xr:uid="{00000000-0005-0000-0000-00008A1D0000}"/>
    <cellStyle name="Normal 3 32 9 3" xfId="6923" xr:uid="{00000000-0005-0000-0000-00008B1D0000}"/>
    <cellStyle name="Normal 3 33" xfId="6924" xr:uid="{00000000-0005-0000-0000-00008C1D0000}"/>
    <cellStyle name="Normal 3 33 10" xfId="6925" xr:uid="{00000000-0005-0000-0000-00008D1D0000}"/>
    <cellStyle name="Normal 3 33 10 2" xfId="6926" xr:uid="{00000000-0005-0000-0000-00008E1D0000}"/>
    <cellStyle name="Normal 3 33 10 2 2" xfId="6927" xr:uid="{00000000-0005-0000-0000-00008F1D0000}"/>
    <cellStyle name="Normal 3 33 10 3" xfId="6928" xr:uid="{00000000-0005-0000-0000-0000901D0000}"/>
    <cellStyle name="Normal 3 33 11" xfId="6929" xr:uid="{00000000-0005-0000-0000-0000911D0000}"/>
    <cellStyle name="Normal 3 33 11 2" xfId="6930" xr:uid="{00000000-0005-0000-0000-0000921D0000}"/>
    <cellStyle name="Normal 3 33 11 2 2" xfId="6931" xr:uid="{00000000-0005-0000-0000-0000931D0000}"/>
    <cellStyle name="Normal 3 33 11 3" xfId="6932" xr:uid="{00000000-0005-0000-0000-0000941D0000}"/>
    <cellStyle name="Normal 3 33 12" xfId="6933" xr:uid="{00000000-0005-0000-0000-0000951D0000}"/>
    <cellStyle name="Normal 3 33 12 2" xfId="6934" xr:uid="{00000000-0005-0000-0000-0000961D0000}"/>
    <cellStyle name="Normal 3 33 12 2 2" xfId="6935" xr:uid="{00000000-0005-0000-0000-0000971D0000}"/>
    <cellStyle name="Normal 3 33 12 3" xfId="6936" xr:uid="{00000000-0005-0000-0000-0000981D0000}"/>
    <cellStyle name="Normal 3 33 13" xfId="6937" xr:uid="{00000000-0005-0000-0000-0000991D0000}"/>
    <cellStyle name="Normal 3 33 13 2" xfId="6938" xr:uid="{00000000-0005-0000-0000-00009A1D0000}"/>
    <cellStyle name="Normal 3 33 13 2 2" xfId="6939" xr:uid="{00000000-0005-0000-0000-00009B1D0000}"/>
    <cellStyle name="Normal 3 33 13 3" xfId="6940" xr:uid="{00000000-0005-0000-0000-00009C1D0000}"/>
    <cellStyle name="Normal 3 33 14" xfId="6941" xr:uid="{00000000-0005-0000-0000-00009D1D0000}"/>
    <cellStyle name="Normal 3 33 14 2" xfId="6942" xr:uid="{00000000-0005-0000-0000-00009E1D0000}"/>
    <cellStyle name="Normal 3 33 14 2 2" xfId="6943" xr:uid="{00000000-0005-0000-0000-00009F1D0000}"/>
    <cellStyle name="Normal 3 33 14 3" xfId="6944" xr:uid="{00000000-0005-0000-0000-0000A01D0000}"/>
    <cellStyle name="Normal 3 33 15" xfId="6945" xr:uid="{00000000-0005-0000-0000-0000A11D0000}"/>
    <cellStyle name="Normal 3 33 15 2" xfId="6946" xr:uid="{00000000-0005-0000-0000-0000A21D0000}"/>
    <cellStyle name="Normal 3 33 15 2 2" xfId="6947" xr:uid="{00000000-0005-0000-0000-0000A31D0000}"/>
    <cellStyle name="Normal 3 33 15 3" xfId="6948" xr:uid="{00000000-0005-0000-0000-0000A41D0000}"/>
    <cellStyle name="Normal 3 33 16" xfId="6949" xr:uid="{00000000-0005-0000-0000-0000A51D0000}"/>
    <cellStyle name="Normal 3 33 16 2" xfId="6950" xr:uid="{00000000-0005-0000-0000-0000A61D0000}"/>
    <cellStyle name="Normal 3 33 16 2 2" xfId="6951" xr:uid="{00000000-0005-0000-0000-0000A71D0000}"/>
    <cellStyle name="Normal 3 33 16 3" xfId="6952" xr:uid="{00000000-0005-0000-0000-0000A81D0000}"/>
    <cellStyle name="Normal 3 33 17" xfId="6953" xr:uid="{00000000-0005-0000-0000-0000A91D0000}"/>
    <cellStyle name="Normal 3 33 17 2" xfId="6954" xr:uid="{00000000-0005-0000-0000-0000AA1D0000}"/>
    <cellStyle name="Normal 3 33 17 2 2" xfId="6955" xr:uid="{00000000-0005-0000-0000-0000AB1D0000}"/>
    <cellStyle name="Normal 3 33 17 3" xfId="6956" xr:uid="{00000000-0005-0000-0000-0000AC1D0000}"/>
    <cellStyle name="Normal 3 33 18" xfId="6957" xr:uid="{00000000-0005-0000-0000-0000AD1D0000}"/>
    <cellStyle name="Normal 3 33 18 2" xfId="6958" xr:uid="{00000000-0005-0000-0000-0000AE1D0000}"/>
    <cellStyle name="Normal 3 33 18 2 2" xfId="6959" xr:uid="{00000000-0005-0000-0000-0000AF1D0000}"/>
    <cellStyle name="Normal 3 33 18 3" xfId="6960" xr:uid="{00000000-0005-0000-0000-0000B01D0000}"/>
    <cellStyle name="Normal 3 33 19" xfId="6961" xr:uid="{00000000-0005-0000-0000-0000B11D0000}"/>
    <cellStyle name="Normal 3 33 19 2" xfId="6962" xr:uid="{00000000-0005-0000-0000-0000B21D0000}"/>
    <cellStyle name="Normal 3 33 19 2 2" xfId="6963" xr:uid="{00000000-0005-0000-0000-0000B31D0000}"/>
    <cellStyle name="Normal 3 33 19 3" xfId="6964" xr:uid="{00000000-0005-0000-0000-0000B41D0000}"/>
    <cellStyle name="Normal 3 33 2" xfId="6965" xr:uid="{00000000-0005-0000-0000-0000B51D0000}"/>
    <cellStyle name="Normal 3 33 2 2" xfId="6966" xr:uid="{00000000-0005-0000-0000-0000B61D0000}"/>
    <cellStyle name="Normal 3 33 2 2 2" xfId="6967" xr:uid="{00000000-0005-0000-0000-0000B71D0000}"/>
    <cellStyle name="Normal 3 33 2 3" xfId="6968" xr:uid="{00000000-0005-0000-0000-0000B81D0000}"/>
    <cellStyle name="Normal 3 33 20" xfId="6969" xr:uid="{00000000-0005-0000-0000-0000B91D0000}"/>
    <cellStyle name="Normal 3 33 20 2" xfId="6970" xr:uid="{00000000-0005-0000-0000-0000BA1D0000}"/>
    <cellStyle name="Normal 3 33 20 2 2" xfId="6971" xr:uid="{00000000-0005-0000-0000-0000BB1D0000}"/>
    <cellStyle name="Normal 3 33 20 3" xfId="6972" xr:uid="{00000000-0005-0000-0000-0000BC1D0000}"/>
    <cellStyle name="Normal 3 33 21" xfId="6973" xr:uid="{00000000-0005-0000-0000-0000BD1D0000}"/>
    <cellStyle name="Normal 3 33 21 2" xfId="6974" xr:uid="{00000000-0005-0000-0000-0000BE1D0000}"/>
    <cellStyle name="Normal 3 33 21 2 2" xfId="6975" xr:uid="{00000000-0005-0000-0000-0000BF1D0000}"/>
    <cellStyle name="Normal 3 33 21 3" xfId="6976" xr:uid="{00000000-0005-0000-0000-0000C01D0000}"/>
    <cellStyle name="Normal 3 33 22" xfId="6977" xr:uid="{00000000-0005-0000-0000-0000C11D0000}"/>
    <cellStyle name="Normal 3 33 22 2" xfId="6978" xr:uid="{00000000-0005-0000-0000-0000C21D0000}"/>
    <cellStyle name="Normal 3 33 22 2 2" xfId="6979" xr:uid="{00000000-0005-0000-0000-0000C31D0000}"/>
    <cellStyle name="Normal 3 33 22 3" xfId="6980" xr:uid="{00000000-0005-0000-0000-0000C41D0000}"/>
    <cellStyle name="Normal 3 33 23" xfId="6981" xr:uid="{00000000-0005-0000-0000-0000C51D0000}"/>
    <cellStyle name="Normal 3 33 23 2" xfId="6982" xr:uid="{00000000-0005-0000-0000-0000C61D0000}"/>
    <cellStyle name="Normal 3 33 23 2 2" xfId="6983" xr:uid="{00000000-0005-0000-0000-0000C71D0000}"/>
    <cellStyle name="Normal 3 33 23 3" xfId="6984" xr:uid="{00000000-0005-0000-0000-0000C81D0000}"/>
    <cellStyle name="Normal 3 33 24" xfId="6985" xr:uid="{00000000-0005-0000-0000-0000C91D0000}"/>
    <cellStyle name="Normal 3 33 24 2" xfId="6986" xr:uid="{00000000-0005-0000-0000-0000CA1D0000}"/>
    <cellStyle name="Normal 3 33 25" xfId="6987" xr:uid="{00000000-0005-0000-0000-0000CB1D0000}"/>
    <cellStyle name="Normal 3 33 3" xfId="6988" xr:uid="{00000000-0005-0000-0000-0000CC1D0000}"/>
    <cellStyle name="Normal 3 33 3 2" xfId="6989" xr:uid="{00000000-0005-0000-0000-0000CD1D0000}"/>
    <cellStyle name="Normal 3 33 3 2 2" xfId="6990" xr:uid="{00000000-0005-0000-0000-0000CE1D0000}"/>
    <cellStyle name="Normal 3 33 3 3" xfId="6991" xr:uid="{00000000-0005-0000-0000-0000CF1D0000}"/>
    <cellStyle name="Normal 3 33 4" xfId="6992" xr:uid="{00000000-0005-0000-0000-0000D01D0000}"/>
    <cellStyle name="Normal 3 33 4 2" xfId="6993" xr:uid="{00000000-0005-0000-0000-0000D11D0000}"/>
    <cellStyle name="Normal 3 33 4 2 2" xfId="6994" xr:uid="{00000000-0005-0000-0000-0000D21D0000}"/>
    <cellStyle name="Normal 3 33 4 3" xfId="6995" xr:uid="{00000000-0005-0000-0000-0000D31D0000}"/>
    <cellStyle name="Normal 3 33 5" xfId="6996" xr:uid="{00000000-0005-0000-0000-0000D41D0000}"/>
    <cellStyle name="Normal 3 33 5 2" xfId="6997" xr:uid="{00000000-0005-0000-0000-0000D51D0000}"/>
    <cellStyle name="Normal 3 33 5 2 2" xfId="6998" xr:uid="{00000000-0005-0000-0000-0000D61D0000}"/>
    <cellStyle name="Normal 3 33 5 3" xfId="6999" xr:uid="{00000000-0005-0000-0000-0000D71D0000}"/>
    <cellStyle name="Normal 3 33 6" xfId="7000" xr:uid="{00000000-0005-0000-0000-0000D81D0000}"/>
    <cellStyle name="Normal 3 33 6 2" xfId="7001" xr:uid="{00000000-0005-0000-0000-0000D91D0000}"/>
    <cellStyle name="Normal 3 33 6 2 2" xfId="7002" xr:uid="{00000000-0005-0000-0000-0000DA1D0000}"/>
    <cellStyle name="Normal 3 33 6 3" xfId="7003" xr:uid="{00000000-0005-0000-0000-0000DB1D0000}"/>
    <cellStyle name="Normal 3 33 7" xfId="7004" xr:uid="{00000000-0005-0000-0000-0000DC1D0000}"/>
    <cellStyle name="Normal 3 33 7 2" xfId="7005" xr:uid="{00000000-0005-0000-0000-0000DD1D0000}"/>
    <cellStyle name="Normal 3 33 7 2 2" xfId="7006" xr:uid="{00000000-0005-0000-0000-0000DE1D0000}"/>
    <cellStyle name="Normal 3 33 7 3" xfId="7007" xr:uid="{00000000-0005-0000-0000-0000DF1D0000}"/>
    <cellStyle name="Normal 3 33 8" xfId="7008" xr:uid="{00000000-0005-0000-0000-0000E01D0000}"/>
    <cellStyle name="Normal 3 33 8 2" xfId="7009" xr:uid="{00000000-0005-0000-0000-0000E11D0000}"/>
    <cellStyle name="Normal 3 33 8 2 2" xfId="7010" xr:uid="{00000000-0005-0000-0000-0000E21D0000}"/>
    <cellStyle name="Normal 3 33 8 3" xfId="7011" xr:uid="{00000000-0005-0000-0000-0000E31D0000}"/>
    <cellStyle name="Normal 3 33 9" xfId="7012" xr:uid="{00000000-0005-0000-0000-0000E41D0000}"/>
    <cellStyle name="Normal 3 33 9 2" xfId="7013" xr:uid="{00000000-0005-0000-0000-0000E51D0000}"/>
    <cellStyle name="Normal 3 33 9 2 2" xfId="7014" xr:uid="{00000000-0005-0000-0000-0000E61D0000}"/>
    <cellStyle name="Normal 3 33 9 3" xfId="7015" xr:uid="{00000000-0005-0000-0000-0000E71D0000}"/>
    <cellStyle name="Normal 3 34" xfId="7016" xr:uid="{00000000-0005-0000-0000-0000E81D0000}"/>
    <cellStyle name="Normal 3 34 2" xfId="7017" xr:uid="{00000000-0005-0000-0000-0000E91D0000}"/>
    <cellStyle name="Normal 3 34 2 2" xfId="7018" xr:uid="{00000000-0005-0000-0000-0000EA1D0000}"/>
    <cellStyle name="Normal 3 34 3" xfId="7019" xr:uid="{00000000-0005-0000-0000-0000EB1D0000}"/>
    <cellStyle name="Normal 3 35" xfId="7020" xr:uid="{00000000-0005-0000-0000-0000EC1D0000}"/>
    <cellStyle name="Normal 3 35 2" xfId="7021" xr:uid="{00000000-0005-0000-0000-0000ED1D0000}"/>
    <cellStyle name="Normal 3 35 2 2" xfId="7022" xr:uid="{00000000-0005-0000-0000-0000EE1D0000}"/>
    <cellStyle name="Normal 3 35 3" xfId="7023" xr:uid="{00000000-0005-0000-0000-0000EF1D0000}"/>
    <cellStyle name="Normal 3 36" xfId="7024" xr:uid="{00000000-0005-0000-0000-0000F01D0000}"/>
    <cellStyle name="Normal 3 36 2" xfId="7025" xr:uid="{00000000-0005-0000-0000-0000F11D0000}"/>
    <cellStyle name="Normal 3 36 2 2" xfId="7026" xr:uid="{00000000-0005-0000-0000-0000F21D0000}"/>
    <cellStyle name="Normal 3 36 3" xfId="7027" xr:uid="{00000000-0005-0000-0000-0000F31D0000}"/>
    <cellStyle name="Normal 3 37" xfId="7028" xr:uid="{00000000-0005-0000-0000-0000F41D0000}"/>
    <cellStyle name="Normal 3 37 2" xfId="7029" xr:uid="{00000000-0005-0000-0000-0000F51D0000}"/>
    <cellStyle name="Normal 3 37 2 2" xfId="7030" xr:uid="{00000000-0005-0000-0000-0000F61D0000}"/>
    <cellStyle name="Normal 3 37 3" xfId="7031" xr:uid="{00000000-0005-0000-0000-0000F71D0000}"/>
    <cellStyle name="Normal 3 38" xfId="7032" xr:uid="{00000000-0005-0000-0000-0000F81D0000}"/>
    <cellStyle name="Normal 3 38 2" xfId="7033" xr:uid="{00000000-0005-0000-0000-0000F91D0000}"/>
    <cellStyle name="Normal 3 38 2 2" xfId="7034" xr:uid="{00000000-0005-0000-0000-0000FA1D0000}"/>
    <cellStyle name="Normal 3 38 3" xfId="7035" xr:uid="{00000000-0005-0000-0000-0000FB1D0000}"/>
    <cellStyle name="Normal 3 39" xfId="7036" xr:uid="{00000000-0005-0000-0000-0000FC1D0000}"/>
    <cellStyle name="Normal 3 39 2" xfId="7037" xr:uid="{00000000-0005-0000-0000-0000FD1D0000}"/>
    <cellStyle name="Normal 3 39 2 2" xfId="7038" xr:uid="{00000000-0005-0000-0000-0000FE1D0000}"/>
    <cellStyle name="Normal 3 39 3" xfId="7039" xr:uid="{00000000-0005-0000-0000-0000FF1D0000}"/>
    <cellStyle name="Normal 3 4" xfId="188" xr:uid="{00000000-0005-0000-0000-0000001E0000}"/>
    <cellStyle name="Normal 3 4 10" xfId="7040" xr:uid="{00000000-0005-0000-0000-0000011E0000}"/>
    <cellStyle name="Normal 3 4 10 2" xfId="7041" xr:uid="{00000000-0005-0000-0000-0000021E0000}"/>
    <cellStyle name="Normal 3 4 10 2 2" xfId="7042" xr:uid="{00000000-0005-0000-0000-0000031E0000}"/>
    <cellStyle name="Normal 3 4 10 3" xfId="7043" xr:uid="{00000000-0005-0000-0000-0000041E0000}"/>
    <cellStyle name="Normal 3 4 11" xfId="7044" xr:uid="{00000000-0005-0000-0000-0000051E0000}"/>
    <cellStyle name="Normal 3 4 11 2" xfId="7045" xr:uid="{00000000-0005-0000-0000-0000061E0000}"/>
    <cellStyle name="Normal 3 4 11 2 2" xfId="7046" xr:uid="{00000000-0005-0000-0000-0000071E0000}"/>
    <cellStyle name="Normal 3 4 11 3" xfId="7047" xr:uid="{00000000-0005-0000-0000-0000081E0000}"/>
    <cellStyle name="Normal 3 4 12" xfId="7048" xr:uid="{00000000-0005-0000-0000-0000091E0000}"/>
    <cellStyle name="Normal 3 4 12 2" xfId="7049" xr:uid="{00000000-0005-0000-0000-00000A1E0000}"/>
    <cellStyle name="Normal 3 4 12 2 2" xfId="7050" xr:uid="{00000000-0005-0000-0000-00000B1E0000}"/>
    <cellStyle name="Normal 3 4 12 3" xfId="7051" xr:uid="{00000000-0005-0000-0000-00000C1E0000}"/>
    <cellStyle name="Normal 3 4 13" xfId="7052" xr:uid="{00000000-0005-0000-0000-00000D1E0000}"/>
    <cellStyle name="Normal 3 4 13 2" xfId="7053" xr:uid="{00000000-0005-0000-0000-00000E1E0000}"/>
    <cellStyle name="Normal 3 4 13 2 2" xfId="7054" xr:uid="{00000000-0005-0000-0000-00000F1E0000}"/>
    <cellStyle name="Normal 3 4 13 3" xfId="7055" xr:uid="{00000000-0005-0000-0000-0000101E0000}"/>
    <cellStyle name="Normal 3 4 14" xfId="7056" xr:uid="{00000000-0005-0000-0000-0000111E0000}"/>
    <cellStyle name="Normal 3 4 14 2" xfId="7057" xr:uid="{00000000-0005-0000-0000-0000121E0000}"/>
    <cellStyle name="Normal 3 4 14 2 2" xfId="7058" xr:uid="{00000000-0005-0000-0000-0000131E0000}"/>
    <cellStyle name="Normal 3 4 14 3" xfId="7059" xr:uid="{00000000-0005-0000-0000-0000141E0000}"/>
    <cellStyle name="Normal 3 4 15" xfId="7060" xr:uid="{00000000-0005-0000-0000-0000151E0000}"/>
    <cellStyle name="Normal 3 4 15 2" xfId="7061" xr:uid="{00000000-0005-0000-0000-0000161E0000}"/>
    <cellStyle name="Normal 3 4 15 2 2" xfId="7062" xr:uid="{00000000-0005-0000-0000-0000171E0000}"/>
    <cellStyle name="Normal 3 4 15 3" xfId="7063" xr:uid="{00000000-0005-0000-0000-0000181E0000}"/>
    <cellStyle name="Normal 3 4 16" xfId="7064" xr:uid="{00000000-0005-0000-0000-0000191E0000}"/>
    <cellStyle name="Normal 3 4 16 2" xfId="7065" xr:uid="{00000000-0005-0000-0000-00001A1E0000}"/>
    <cellStyle name="Normal 3 4 16 2 2" xfId="7066" xr:uid="{00000000-0005-0000-0000-00001B1E0000}"/>
    <cellStyle name="Normal 3 4 16 3" xfId="7067" xr:uid="{00000000-0005-0000-0000-00001C1E0000}"/>
    <cellStyle name="Normal 3 4 17" xfId="7068" xr:uid="{00000000-0005-0000-0000-00001D1E0000}"/>
    <cellStyle name="Normal 3 4 17 2" xfId="7069" xr:uid="{00000000-0005-0000-0000-00001E1E0000}"/>
    <cellStyle name="Normal 3 4 17 2 2" xfId="7070" xr:uid="{00000000-0005-0000-0000-00001F1E0000}"/>
    <cellStyle name="Normal 3 4 17 3" xfId="7071" xr:uid="{00000000-0005-0000-0000-0000201E0000}"/>
    <cellStyle name="Normal 3 4 18" xfId="7072" xr:uid="{00000000-0005-0000-0000-0000211E0000}"/>
    <cellStyle name="Normal 3 4 18 2" xfId="7073" xr:uid="{00000000-0005-0000-0000-0000221E0000}"/>
    <cellStyle name="Normal 3 4 18 2 2" xfId="7074" xr:uid="{00000000-0005-0000-0000-0000231E0000}"/>
    <cellStyle name="Normal 3 4 18 3" xfId="7075" xr:uid="{00000000-0005-0000-0000-0000241E0000}"/>
    <cellStyle name="Normal 3 4 19" xfId="7076" xr:uid="{00000000-0005-0000-0000-0000251E0000}"/>
    <cellStyle name="Normal 3 4 19 2" xfId="7077" xr:uid="{00000000-0005-0000-0000-0000261E0000}"/>
    <cellStyle name="Normal 3 4 19 2 2" xfId="7078" xr:uid="{00000000-0005-0000-0000-0000271E0000}"/>
    <cellStyle name="Normal 3 4 19 3" xfId="7079" xr:uid="{00000000-0005-0000-0000-0000281E0000}"/>
    <cellStyle name="Normal 3 4 2" xfId="7080" xr:uid="{00000000-0005-0000-0000-0000291E0000}"/>
    <cellStyle name="Normal 3 4 2 2" xfId="7081" xr:uid="{00000000-0005-0000-0000-00002A1E0000}"/>
    <cellStyle name="Normal 3 4 2 2 2" xfId="7082" xr:uid="{00000000-0005-0000-0000-00002B1E0000}"/>
    <cellStyle name="Normal 3 4 2 3" xfId="7083" xr:uid="{00000000-0005-0000-0000-00002C1E0000}"/>
    <cellStyle name="Normal 3 4 20" xfId="7084" xr:uid="{00000000-0005-0000-0000-00002D1E0000}"/>
    <cellStyle name="Normal 3 4 20 2" xfId="7085" xr:uid="{00000000-0005-0000-0000-00002E1E0000}"/>
    <cellStyle name="Normal 3 4 20 2 2" xfId="7086" xr:uid="{00000000-0005-0000-0000-00002F1E0000}"/>
    <cellStyle name="Normal 3 4 20 3" xfId="7087" xr:uid="{00000000-0005-0000-0000-0000301E0000}"/>
    <cellStyle name="Normal 3 4 21" xfId="7088" xr:uid="{00000000-0005-0000-0000-0000311E0000}"/>
    <cellStyle name="Normal 3 4 21 2" xfId="7089" xr:uid="{00000000-0005-0000-0000-0000321E0000}"/>
    <cellStyle name="Normal 3 4 21 2 2" xfId="7090" xr:uid="{00000000-0005-0000-0000-0000331E0000}"/>
    <cellStyle name="Normal 3 4 21 3" xfId="7091" xr:uid="{00000000-0005-0000-0000-0000341E0000}"/>
    <cellStyle name="Normal 3 4 22" xfId="7092" xr:uid="{00000000-0005-0000-0000-0000351E0000}"/>
    <cellStyle name="Normal 3 4 22 2" xfId="7093" xr:uid="{00000000-0005-0000-0000-0000361E0000}"/>
    <cellStyle name="Normal 3 4 22 2 2" xfId="7094" xr:uid="{00000000-0005-0000-0000-0000371E0000}"/>
    <cellStyle name="Normal 3 4 22 3" xfId="7095" xr:uid="{00000000-0005-0000-0000-0000381E0000}"/>
    <cellStyle name="Normal 3 4 23" xfId="7096" xr:uid="{00000000-0005-0000-0000-0000391E0000}"/>
    <cellStyle name="Normal 3 4 23 2" xfId="7097" xr:uid="{00000000-0005-0000-0000-00003A1E0000}"/>
    <cellStyle name="Normal 3 4 23 2 2" xfId="7098" xr:uid="{00000000-0005-0000-0000-00003B1E0000}"/>
    <cellStyle name="Normal 3 4 23 3" xfId="7099" xr:uid="{00000000-0005-0000-0000-00003C1E0000}"/>
    <cellStyle name="Normal 3 4 24" xfId="7100" xr:uid="{00000000-0005-0000-0000-00003D1E0000}"/>
    <cellStyle name="Normal 3 4 24 2" xfId="7101" xr:uid="{00000000-0005-0000-0000-00003E1E0000}"/>
    <cellStyle name="Normal 3 4 25" xfId="7102" xr:uid="{00000000-0005-0000-0000-00003F1E0000}"/>
    <cellStyle name="Normal 3 4 26" xfId="10555" xr:uid="{FE26B161-D6E7-4527-AD55-7C7D0C499F0D}"/>
    <cellStyle name="Normal 3 4 27" xfId="9301" xr:uid="{01956CC7-B547-4C0B-9459-6255839E6557}"/>
    <cellStyle name="Normal 3 4 3" xfId="7103" xr:uid="{00000000-0005-0000-0000-0000401E0000}"/>
    <cellStyle name="Normal 3 4 3 2" xfId="7104" xr:uid="{00000000-0005-0000-0000-0000411E0000}"/>
    <cellStyle name="Normal 3 4 3 2 2" xfId="7105" xr:uid="{00000000-0005-0000-0000-0000421E0000}"/>
    <cellStyle name="Normal 3 4 3 3" xfId="7106" xr:uid="{00000000-0005-0000-0000-0000431E0000}"/>
    <cellStyle name="Normal 3 4 4" xfId="7107" xr:uid="{00000000-0005-0000-0000-0000441E0000}"/>
    <cellStyle name="Normal 3 4 4 2" xfId="7108" xr:uid="{00000000-0005-0000-0000-0000451E0000}"/>
    <cellStyle name="Normal 3 4 4 2 2" xfId="7109" xr:uid="{00000000-0005-0000-0000-0000461E0000}"/>
    <cellStyle name="Normal 3 4 4 3" xfId="7110" xr:uid="{00000000-0005-0000-0000-0000471E0000}"/>
    <cellStyle name="Normal 3 4 5" xfId="7111" xr:uid="{00000000-0005-0000-0000-0000481E0000}"/>
    <cellStyle name="Normal 3 4 5 2" xfId="7112" xr:uid="{00000000-0005-0000-0000-0000491E0000}"/>
    <cellStyle name="Normal 3 4 5 2 2" xfId="7113" xr:uid="{00000000-0005-0000-0000-00004A1E0000}"/>
    <cellStyle name="Normal 3 4 5 3" xfId="7114" xr:uid="{00000000-0005-0000-0000-00004B1E0000}"/>
    <cellStyle name="Normal 3 4 6" xfId="7115" xr:uid="{00000000-0005-0000-0000-00004C1E0000}"/>
    <cellStyle name="Normal 3 4 6 2" xfId="7116" xr:uid="{00000000-0005-0000-0000-00004D1E0000}"/>
    <cellStyle name="Normal 3 4 6 2 2" xfId="7117" xr:uid="{00000000-0005-0000-0000-00004E1E0000}"/>
    <cellStyle name="Normal 3 4 6 3" xfId="7118" xr:uid="{00000000-0005-0000-0000-00004F1E0000}"/>
    <cellStyle name="Normal 3 4 7" xfId="7119" xr:uid="{00000000-0005-0000-0000-0000501E0000}"/>
    <cellStyle name="Normal 3 4 7 2" xfId="7120" xr:uid="{00000000-0005-0000-0000-0000511E0000}"/>
    <cellStyle name="Normal 3 4 7 2 2" xfId="7121" xr:uid="{00000000-0005-0000-0000-0000521E0000}"/>
    <cellStyle name="Normal 3 4 7 3" xfId="7122" xr:uid="{00000000-0005-0000-0000-0000531E0000}"/>
    <cellStyle name="Normal 3 4 8" xfId="7123" xr:uid="{00000000-0005-0000-0000-0000541E0000}"/>
    <cellStyle name="Normal 3 4 8 2" xfId="7124" xr:uid="{00000000-0005-0000-0000-0000551E0000}"/>
    <cellStyle name="Normal 3 4 8 2 2" xfId="7125" xr:uid="{00000000-0005-0000-0000-0000561E0000}"/>
    <cellStyle name="Normal 3 4 8 3" xfId="7126" xr:uid="{00000000-0005-0000-0000-0000571E0000}"/>
    <cellStyle name="Normal 3 4 9" xfId="7127" xr:uid="{00000000-0005-0000-0000-0000581E0000}"/>
    <cellStyle name="Normal 3 4 9 2" xfId="7128" xr:uid="{00000000-0005-0000-0000-0000591E0000}"/>
    <cellStyle name="Normal 3 4 9 2 2" xfId="7129" xr:uid="{00000000-0005-0000-0000-00005A1E0000}"/>
    <cellStyle name="Normal 3 4 9 3" xfId="7130" xr:uid="{00000000-0005-0000-0000-00005B1E0000}"/>
    <cellStyle name="Normal 3 40" xfId="7131" xr:uid="{00000000-0005-0000-0000-00005C1E0000}"/>
    <cellStyle name="Normal 3 40 2" xfId="7132" xr:uid="{00000000-0005-0000-0000-00005D1E0000}"/>
    <cellStyle name="Normal 3 40 2 2" xfId="7133" xr:uid="{00000000-0005-0000-0000-00005E1E0000}"/>
    <cellStyle name="Normal 3 40 3" xfId="7134" xr:uid="{00000000-0005-0000-0000-00005F1E0000}"/>
    <cellStyle name="Normal 3 41" xfId="7135" xr:uid="{00000000-0005-0000-0000-0000601E0000}"/>
    <cellStyle name="Normal 3 41 2" xfId="7136" xr:uid="{00000000-0005-0000-0000-0000611E0000}"/>
    <cellStyle name="Normal 3 41 2 2" xfId="7137" xr:uid="{00000000-0005-0000-0000-0000621E0000}"/>
    <cellStyle name="Normal 3 41 3" xfId="7138" xr:uid="{00000000-0005-0000-0000-0000631E0000}"/>
    <cellStyle name="Normal 3 42" xfId="7139" xr:uid="{00000000-0005-0000-0000-0000641E0000}"/>
    <cellStyle name="Normal 3 42 2" xfId="7140" xr:uid="{00000000-0005-0000-0000-0000651E0000}"/>
    <cellStyle name="Normal 3 42 2 2" xfId="7141" xr:uid="{00000000-0005-0000-0000-0000661E0000}"/>
    <cellStyle name="Normal 3 42 3" xfId="7142" xr:uid="{00000000-0005-0000-0000-0000671E0000}"/>
    <cellStyle name="Normal 3 43" xfId="7143" xr:uid="{00000000-0005-0000-0000-0000681E0000}"/>
    <cellStyle name="Normal 3 43 2" xfId="7144" xr:uid="{00000000-0005-0000-0000-0000691E0000}"/>
    <cellStyle name="Normal 3 43 2 2" xfId="7145" xr:uid="{00000000-0005-0000-0000-00006A1E0000}"/>
    <cellStyle name="Normal 3 43 3" xfId="7146" xr:uid="{00000000-0005-0000-0000-00006B1E0000}"/>
    <cellStyle name="Normal 3 44" xfId="7147" xr:uid="{00000000-0005-0000-0000-00006C1E0000}"/>
    <cellStyle name="Normal 3 44 2" xfId="7148" xr:uid="{00000000-0005-0000-0000-00006D1E0000}"/>
    <cellStyle name="Normal 3 44 2 2" xfId="7149" xr:uid="{00000000-0005-0000-0000-00006E1E0000}"/>
    <cellStyle name="Normal 3 44 3" xfId="7150" xr:uid="{00000000-0005-0000-0000-00006F1E0000}"/>
    <cellStyle name="Normal 3 45" xfId="7151" xr:uid="{00000000-0005-0000-0000-0000701E0000}"/>
    <cellStyle name="Normal 3 45 2" xfId="7152" xr:uid="{00000000-0005-0000-0000-0000711E0000}"/>
    <cellStyle name="Normal 3 45 2 2" xfId="7153" xr:uid="{00000000-0005-0000-0000-0000721E0000}"/>
    <cellStyle name="Normal 3 45 3" xfId="7154" xr:uid="{00000000-0005-0000-0000-0000731E0000}"/>
    <cellStyle name="Normal 3 46" xfId="7155" xr:uid="{00000000-0005-0000-0000-0000741E0000}"/>
    <cellStyle name="Normal 3 46 2" xfId="7156" xr:uid="{00000000-0005-0000-0000-0000751E0000}"/>
    <cellStyle name="Normal 3 46 2 2" xfId="7157" xr:uid="{00000000-0005-0000-0000-0000761E0000}"/>
    <cellStyle name="Normal 3 46 3" xfId="7158" xr:uid="{00000000-0005-0000-0000-0000771E0000}"/>
    <cellStyle name="Normal 3 47" xfId="7159" xr:uid="{00000000-0005-0000-0000-0000781E0000}"/>
    <cellStyle name="Normal 3 47 2" xfId="7160" xr:uid="{00000000-0005-0000-0000-0000791E0000}"/>
    <cellStyle name="Normal 3 47 2 2" xfId="7161" xr:uid="{00000000-0005-0000-0000-00007A1E0000}"/>
    <cellStyle name="Normal 3 47 3" xfId="7162" xr:uid="{00000000-0005-0000-0000-00007B1E0000}"/>
    <cellStyle name="Normal 3 48" xfId="7163" xr:uid="{00000000-0005-0000-0000-00007C1E0000}"/>
    <cellStyle name="Normal 3 48 2" xfId="7164" xr:uid="{00000000-0005-0000-0000-00007D1E0000}"/>
    <cellStyle name="Normal 3 48 2 2" xfId="7165" xr:uid="{00000000-0005-0000-0000-00007E1E0000}"/>
    <cellStyle name="Normal 3 48 3" xfId="7166" xr:uid="{00000000-0005-0000-0000-00007F1E0000}"/>
    <cellStyle name="Normal 3 49" xfId="7167" xr:uid="{00000000-0005-0000-0000-0000801E0000}"/>
    <cellStyle name="Normal 3 49 2" xfId="7168" xr:uid="{00000000-0005-0000-0000-0000811E0000}"/>
    <cellStyle name="Normal 3 49 2 2" xfId="7169" xr:uid="{00000000-0005-0000-0000-0000821E0000}"/>
    <cellStyle name="Normal 3 49 3" xfId="7170" xr:uid="{00000000-0005-0000-0000-0000831E0000}"/>
    <cellStyle name="Normal 3 5" xfId="7171" xr:uid="{00000000-0005-0000-0000-0000841E0000}"/>
    <cellStyle name="Normal 3 5 10" xfId="7172" xr:uid="{00000000-0005-0000-0000-0000851E0000}"/>
    <cellStyle name="Normal 3 5 10 2" xfId="7173" xr:uid="{00000000-0005-0000-0000-0000861E0000}"/>
    <cellStyle name="Normal 3 5 10 2 2" xfId="7174" xr:uid="{00000000-0005-0000-0000-0000871E0000}"/>
    <cellStyle name="Normal 3 5 10 3" xfId="7175" xr:uid="{00000000-0005-0000-0000-0000881E0000}"/>
    <cellStyle name="Normal 3 5 11" xfId="7176" xr:uid="{00000000-0005-0000-0000-0000891E0000}"/>
    <cellStyle name="Normal 3 5 11 2" xfId="7177" xr:uid="{00000000-0005-0000-0000-00008A1E0000}"/>
    <cellStyle name="Normal 3 5 11 2 2" xfId="7178" xr:uid="{00000000-0005-0000-0000-00008B1E0000}"/>
    <cellStyle name="Normal 3 5 11 3" xfId="7179" xr:uid="{00000000-0005-0000-0000-00008C1E0000}"/>
    <cellStyle name="Normal 3 5 12" xfId="7180" xr:uid="{00000000-0005-0000-0000-00008D1E0000}"/>
    <cellStyle name="Normal 3 5 12 2" xfId="7181" xr:uid="{00000000-0005-0000-0000-00008E1E0000}"/>
    <cellStyle name="Normal 3 5 12 2 2" xfId="7182" xr:uid="{00000000-0005-0000-0000-00008F1E0000}"/>
    <cellStyle name="Normal 3 5 12 3" xfId="7183" xr:uid="{00000000-0005-0000-0000-0000901E0000}"/>
    <cellStyle name="Normal 3 5 13" xfId="7184" xr:uid="{00000000-0005-0000-0000-0000911E0000}"/>
    <cellStyle name="Normal 3 5 13 2" xfId="7185" xr:uid="{00000000-0005-0000-0000-0000921E0000}"/>
    <cellStyle name="Normal 3 5 13 2 2" xfId="7186" xr:uid="{00000000-0005-0000-0000-0000931E0000}"/>
    <cellStyle name="Normal 3 5 13 3" xfId="7187" xr:uid="{00000000-0005-0000-0000-0000941E0000}"/>
    <cellStyle name="Normal 3 5 14" xfId="7188" xr:uid="{00000000-0005-0000-0000-0000951E0000}"/>
    <cellStyle name="Normal 3 5 14 2" xfId="7189" xr:uid="{00000000-0005-0000-0000-0000961E0000}"/>
    <cellStyle name="Normal 3 5 14 2 2" xfId="7190" xr:uid="{00000000-0005-0000-0000-0000971E0000}"/>
    <cellStyle name="Normal 3 5 14 3" xfId="7191" xr:uid="{00000000-0005-0000-0000-0000981E0000}"/>
    <cellStyle name="Normal 3 5 15" xfId="7192" xr:uid="{00000000-0005-0000-0000-0000991E0000}"/>
    <cellStyle name="Normal 3 5 15 2" xfId="7193" xr:uid="{00000000-0005-0000-0000-00009A1E0000}"/>
    <cellStyle name="Normal 3 5 15 2 2" xfId="7194" xr:uid="{00000000-0005-0000-0000-00009B1E0000}"/>
    <cellStyle name="Normal 3 5 15 3" xfId="7195" xr:uid="{00000000-0005-0000-0000-00009C1E0000}"/>
    <cellStyle name="Normal 3 5 16" xfId="7196" xr:uid="{00000000-0005-0000-0000-00009D1E0000}"/>
    <cellStyle name="Normal 3 5 16 2" xfId="7197" xr:uid="{00000000-0005-0000-0000-00009E1E0000}"/>
    <cellStyle name="Normal 3 5 16 2 2" xfId="7198" xr:uid="{00000000-0005-0000-0000-00009F1E0000}"/>
    <cellStyle name="Normal 3 5 16 3" xfId="7199" xr:uid="{00000000-0005-0000-0000-0000A01E0000}"/>
    <cellStyle name="Normal 3 5 17" xfId="7200" xr:uid="{00000000-0005-0000-0000-0000A11E0000}"/>
    <cellStyle name="Normal 3 5 17 2" xfId="7201" xr:uid="{00000000-0005-0000-0000-0000A21E0000}"/>
    <cellStyle name="Normal 3 5 17 2 2" xfId="7202" xr:uid="{00000000-0005-0000-0000-0000A31E0000}"/>
    <cellStyle name="Normal 3 5 17 3" xfId="7203" xr:uid="{00000000-0005-0000-0000-0000A41E0000}"/>
    <cellStyle name="Normal 3 5 18" xfId="7204" xr:uid="{00000000-0005-0000-0000-0000A51E0000}"/>
    <cellStyle name="Normal 3 5 18 2" xfId="7205" xr:uid="{00000000-0005-0000-0000-0000A61E0000}"/>
    <cellStyle name="Normal 3 5 18 2 2" xfId="7206" xr:uid="{00000000-0005-0000-0000-0000A71E0000}"/>
    <cellStyle name="Normal 3 5 18 3" xfId="7207" xr:uid="{00000000-0005-0000-0000-0000A81E0000}"/>
    <cellStyle name="Normal 3 5 19" xfId="7208" xr:uid="{00000000-0005-0000-0000-0000A91E0000}"/>
    <cellStyle name="Normal 3 5 19 2" xfId="7209" xr:uid="{00000000-0005-0000-0000-0000AA1E0000}"/>
    <cellStyle name="Normal 3 5 19 2 2" xfId="7210" xr:uid="{00000000-0005-0000-0000-0000AB1E0000}"/>
    <cellStyle name="Normal 3 5 19 3" xfId="7211" xr:uid="{00000000-0005-0000-0000-0000AC1E0000}"/>
    <cellStyle name="Normal 3 5 2" xfId="7212" xr:uid="{00000000-0005-0000-0000-0000AD1E0000}"/>
    <cellStyle name="Normal 3 5 2 2" xfId="7213" xr:uid="{00000000-0005-0000-0000-0000AE1E0000}"/>
    <cellStyle name="Normal 3 5 2 2 2" xfId="7214" xr:uid="{00000000-0005-0000-0000-0000AF1E0000}"/>
    <cellStyle name="Normal 3 5 2 3" xfId="7215" xr:uid="{00000000-0005-0000-0000-0000B01E0000}"/>
    <cellStyle name="Normal 3 5 2 4" xfId="9865" xr:uid="{75B426A6-A48B-42A8-9AE2-79369556BB6E}"/>
    <cellStyle name="Normal 3 5 2 5" xfId="9863" xr:uid="{C9B84ADF-96AB-4EE3-A1B8-1AF4D195DF3E}"/>
    <cellStyle name="Normal 3 5 20" xfId="7216" xr:uid="{00000000-0005-0000-0000-0000B11E0000}"/>
    <cellStyle name="Normal 3 5 20 2" xfId="7217" xr:uid="{00000000-0005-0000-0000-0000B21E0000}"/>
    <cellStyle name="Normal 3 5 20 2 2" xfId="7218" xr:uid="{00000000-0005-0000-0000-0000B31E0000}"/>
    <cellStyle name="Normal 3 5 20 3" xfId="7219" xr:uid="{00000000-0005-0000-0000-0000B41E0000}"/>
    <cellStyle name="Normal 3 5 21" xfId="7220" xr:uid="{00000000-0005-0000-0000-0000B51E0000}"/>
    <cellStyle name="Normal 3 5 21 2" xfId="7221" xr:uid="{00000000-0005-0000-0000-0000B61E0000}"/>
    <cellStyle name="Normal 3 5 21 2 2" xfId="7222" xr:uid="{00000000-0005-0000-0000-0000B71E0000}"/>
    <cellStyle name="Normal 3 5 21 3" xfId="7223" xr:uid="{00000000-0005-0000-0000-0000B81E0000}"/>
    <cellStyle name="Normal 3 5 22" xfId="7224" xr:uid="{00000000-0005-0000-0000-0000B91E0000}"/>
    <cellStyle name="Normal 3 5 22 2" xfId="7225" xr:uid="{00000000-0005-0000-0000-0000BA1E0000}"/>
    <cellStyle name="Normal 3 5 22 2 2" xfId="7226" xr:uid="{00000000-0005-0000-0000-0000BB1E0000}"/>
    <cellStyle name="Normal 3 5 22 3" xfId="7227" xr:uid="{00000000-0005-0000-0000-0000BC1E0000}"/>
    <cellStyle name="Normal 3 5 23" xfId="7228" xr:uid="{00000000-0005-0000-0000-0000BD1E0000}"/>
    <cellStyle name="Normal 3 5 23 2" xfId="7229" xr:uid="{00000000-0005-0000-0000-0000BE1E0000}"/>
    <cellStyle name="Normal 3 5 23 2 2" xfId="7230" xr:uid="{00000000-0005-0000-0000-0000BF1E0000}"/>
    <cellStyle name="Normal 3 5 23 3" xfId="7231" xr:uid="{00000000-0005-0000-0000-0000C01E0000}"/>
    <cellStyle name="Normal 3 5 24" xfId="7232" xr:uid="{00000000-0005-0000-0000-0000C11E0000}"/>
    <cellStyle name="Normal 3 5 24 2" xfId="7233" xr:uid="{00000000-0005-0000-0000-0000C21E0000}"/>
    <cellStyle name="Normal 3 5 25" xfId="7234" xr:uid="{00000000-0005-0000-0000-0000C31E0000}"/>
    <cellStyle name="Normal 3 5 3" xfId="7235" xr:uid="{00000000-0005-0000-0000-0000C41E0000}"/>
    <cellStyle name="Normal 3 5 3 2" xfId="7236" xr:uid="{00000000-0005-0000-0000-0000C51E0000}"/>
    <cellStyle name="Normal 3 5 3 2 2" xfId="7237" xr:uid="{00000000-0005-0000-0000-0000C61E0000}"/>
    <cellStyle name="Normal 3 5 3 3" xfId="7238" xr:uid="{00000000-0005-0000-0000-0000C71E0000}"/>
    <cellStyle name="Normal 3 5 4" xfId="7239" xr:uid="{00000000-0005-0000-0000-0000C81E0000}"/>
    <cellStyle name="Normal 3 5 4 2" xfId="7240" xr:uid="{00000000-0005-0000-0000-0000C91E0000}"/>
    <cellStyle name="Normal 3 5 4 2 2" xfId="7241" xr:uid="{00000000-0005-0000-0000-0000CA1E0000}"/>
    <cellStyle name="Normal 3 5 4 3" xfId="7242" xr:uid="{00000000-0005-0000-0000-0000CB1E0000}"/>
    <cellStyle name="Normal 3 5 5" xfId="7243" xr:uid="{00000000-0005-0000-0000-0000CC1E0000}"/>
    <cellStyle name="Normal 3 5 5 2" xfId="7244" xr:uid="{00000000-0005-0000-0000-0000CD1E0000}"/>
    <cellStyle name="Normal 3 5 5 2 2" xfId="7245" xr:uid="{00000000-0005-0000-0000-0000CE1E0000}"/>
    <cellStyle name="Normal 3 5 5 3" xfId="7246" xr:uid="{00000000-0005-0000-0000-0000CF1E0000}"/>
    <cellStyle name="Normal 3 5 6" xfId="7247" xr:uid="{00000000-0005-0000-0000-0000D01E0000}"/>
    <cellStyle name="Normal 3 5 6 2" xfId="7248" xr:uid="{00000000-0005-0000-0000-0000D11E0000}"/>
    <cellStyle name="Normal 3 5 6 2 2" xfId="7249" xr:uid="{00000000-0005-0000-0000-0000D21E0000}"/>
    <cellStyle name="Normal 3 5 6 3" xfId="7250" xr:uid="{00000000-0005-0000-0000-0000D31E0000}"/>
    <cellStyle name="Normal 3 5 7" xfId="7251" xr:uid="{00000000-0005-0000-0000-0000D41E0000}"/>
    <cellStyle name="Normal 3 5 7 2" xfId="7252" xr:uid="{00000000-0005-0000-0000-0000D51E0000}"/>
    <cellStyle name="Normal 3 5 7 2 2" xfId="7253" xr:uid="{00000000-0005-0000-0000-0000D61E0000}"/>
    <cellStyle name="Normal 3 5 7 3" xfId="7254" xr:uid="{00000000-0005-0000-0000-0000D71E0000}"/>
    <cellStyle name="Normal 3 5 8" xfId="7255" xr:uid="{00000000-0005-0000-0000-0000D81E0000}"/>
    <cellStyle name="Normal 3 5 8 2" xfId="7256" xr:uid="{00000000-0005-0000-0000-0000D91E0000}"/>
    <cellStyle name="Normal 3 5 8 2 2" xfId="7257" xr:uid="{00000000-0005-0000-0000-0000DA1E0000}"/>
    <cellStyle name="Normal 3 5 8 3" xfId="7258" xr:uid="{00000000-0005-0000-0000-0000DB1E0000}"/>
    <cellStyle name="Normal 3 5 9" xfId="7259" xr:uid="{00000000-0005-0000-0000-0000DC1E0000}"/>
    <cellStyle name="Normal 3 5 9 2" xfId="7260" xr:uid="{00000000-0005-0000-0000-0000DD1E0000}"/>
    <cellStyle name="Normal 3 5 9 2 2" xfId="7261" xr:uid="{00000000-0005-0000-0000-0000DE1E0000}"/>
    <cellStyle name="Normal 3 5 9 3" xfId="7262" xr:uid="{00000000-0005-0000-0000-0000DF1E0000}"/>
    <cellStyle name="Normal 3 50" xfId="7263" xr:uid="{00000000-0005-0000-0000-0000E01E0000}"/>
    <cellStyle name="Normal 3 50 2" xfId="7264" xr:uid="{00000000-0005-0000-0000-0000E11E0000}"/>
    <cellStyle name="Normal 3 50 2 2" xfId="7265" xr:uid="{00000000-0005-0000-0000-0000E21E0000}"/>
    <cellStyle name="Normal 3 50 3" xfId="7266" xr:uid="{00000000-0005-0000-0000-0000E31E0000}"/>
    <cellStyle name="Normal 3 51" xfId="7267" xr:uid="{00000000-0005-0000-0000-0000E41E0000}"/>
    <cellStyle name="Normal 3 51 2" xfId="7268" xr:uid="{00000000-0005-0000-0000-0000E51E0000}"/>
    <cellStyle name="Normal 3 51 2 2" xfId="7269" xr:uid="{00000000-0005-0000-0000-0000E61E0000}"/>
    <cellStyle name="Normal 3 51 3" xfId="7270" xr:uid="{00000000-0005-0000-0000-0000E71E0000}"/>
    <cellStyle name="Normal 3 52" xfId="7271" xr:uid="{00000000-0005-0000-0000-0000E81E0000}"/>
    <cellStyle name="Normal 3 52 2" xfId="7272" xr:uid="{00000000-0005-0000-0000-0000E91E0000}"/>
    <cellStyle name="Normal 3 52 2 2" xfId="7273" xr:uid="{00000000-0005-0000-0000-0000EA1E0000}"/>
    <cellStyle name="Normal 3 52 3" xfId="7274" xr:uid="{00000000-0005-0000-0000-0000EB1E0000}"/>
    <cellStyle name="Normal 3 53" xfId="7275" xr:uid="{00000000-0005-0000-0000-0000EC1E0000}"/>
    <cellStyle name="Normal 3 53 2" xfId="7276" xr:uid="{00000000-0005-0000-0000-0000ED1E0000}"/>
    <cellStyle name="Normal 3 53 2 2" xfId="7277" xr:uid="{00000000-0005-0000-0000-0000EE1E0000}"/>
    <cellStyle name="Normal 3 53 3" xfId="7278" xr:uid="{00000000-0005-0000-0000-0000EF1E0000}"/>
    <cellStyle name="Normal 3 54" xfId="7279" xr:uid="{00000000-0005-0000-0000-0000F01E0000}"/>
    <cellStyle name="Normal 3 54 2" xfId="7280" xr:uid="{00000000-0005-0000-0000-0000F11E0000}"/>
    <cellStyle name="Normal 3 54 2 2" xfId="7281" xr:uid="{00000000-0005-0000-0000-0000F21E0000}"/>
    <cellStyle name="Normal 3 54 3" xfId="7282" xr:uid="{00000000-0005-0000-0000-0000F31E0000}"/>
    <cellStyle name="Normal 3 55" xfId="7283" xr:uid="{00000000-0005-0000-0000-0000F41E0000}"/>
    <cellStyle name="Normal 3 55 2" xfId="7284" xr:uid="{00000000-0005-0000-0000-0000F51E0000}"/>
    <cellStyle name="Normal 3 55 2 2" xfId="7285" xr:uid="{00000000-0005-0000-0000-0000F61E0000}"/>
    <cellStyle name="Normal 3 55 3" xfId="7286" xr:uid="{00000000-0005-0000-0000-0000F71E0000}"/>
    <cellStyle name="Normal 3 56" xfId="7287" xr:uid="{00000000-0005-0000-0000-0000F81E0000}"/>
    <cellStyle name="Normal 3 56 2" xfId="7288" xr:uid="{00000000-0005-0000-0000-0000F91E0000}"/>
    <cellStyle name="Normal 3 56 2 2" xfId="7289" xr:uid="{00000000-0005-0000-0000-0000FA1E0000}"/>
    <cellStyle name="Normal 3 56 3" xfId="7290" xr:uid="{00000000-0005-0000-0000-0000FB1E0000}"/>
    <cellStyle name="Normal 3 57" xfId="7291" xr:uid="{00000000-0005-0000-0000-0000FC1E0000}"/>
    <cellStyle name="Normal 3 57 2" xfId="7292" xr:uid="{00000000-0005-0000-0000-0000FD1E0000}"/>
    <cellStyle name="Normal 3 57 2 2" xfId="7293" xr:uid="{00000000-0005-0000-0000-0000FE1E0000}"/>
    <cellStyle name="Normal 3 57 3" xfId="7294" xr:uid="{00000000-0005-0000-0000-0000FF1E0000}"/>
    <cellStyle name="Normal 3 58" xfId="7295" xr:uid="{00000000-0005-0000-0000-0000001F0000}"/>
    <cellStyle name="Normal 3 58 2" xfId="7296" xr:uid="{00000000-0005-0000-0000-0000011F0000}"/>
    <cellStyle name="Normal 3 58 2 2" xfId="7297" xr:uid="{00000000-0005-0000-0000-0000021F0000}"/>
    <cellStyle name="Normal 3 58 3" xfId="7298" xr:uid="{00000000-0005-0000-0000-0000031F0000}"/>
    <cellStyle name="Normal 3 59" xfId="7299" xr:uid="{00000000-0005-0000-0000-0000041F0000}"/>
    <cellStyle name="Normal 3 59 2" xfId="7300" xr:uid="{00000000-0005-0000-0000-0000051F0000}"/>
    <cellStyle name="Normal 3 59 2 2" xfId="7301" xr:uid="{00000000-0005-0000-0000-0000061F0000}"/>
    <cellStyle name="Normal 3 59 3" xfId="7302" xr:uid="{00000000-0005-0000-0000-0000071F0000}"/>
    <cellStyle name="Normal 3 6" xfId="7303" xr:uid="{00000000-0005-0000-0000-0000081F0000}"/>
    <cellStyle name="Normal 3 6 10" xfId="7304" xr:uid="{00000000-0005-0000-0000-0000091F0000}"/>
    <cellStyle name="Normal 3 6 10 2" xfId="7305" xr:uid="{00000000-0005-0000-0000-00000A1F0000}"/>
    <cellStyle name="Normal 3 6 10 2 2" xfId="7306" xr:uid="{00000000-0005-0000-0000-00000B1F0000}"/>
    <cellStyle name="Normal 3 6 10 3" xfId="7307" xr:uid="{00000000-0005-0000-0000-00000C1F0000}"/>
    <cellStyle name="Normal 3 6 11" xfId="7308" xr:uid="{00000000-0005-0000-0000-00000D1F0000}"/>
    <cellStyle name="Normal 3 6 11 2" xfId="7309" xr:uid="{00000000-0005-0000-0000-00000E1F0000}"/>
    <cellStyle name="Normal 3 6 11 2 2" xfId="7310" xr:uid="{00000000-0005-0000-0000-00000F1F0000}"/>
    <cellStyle name="Normal 3 6 11 3" xfId="7311" xr:uid="{00000000-0005-0000-0000-0000101F0000}"/>
    <cellStyle name="Normal 3 6 12" xfId="7312" xr:uid="{00000000-0005-0000-0000-0000111F0000}"/>
    <cellStyle name="Normal 3 6 12 2" xfId="7313" xr:uid="{00000000-0005-0000-0000-0000121F0000}"/>
    <cellStyle name="Normal 3 6 12 2 2" xfId="7314" xr:uid="{00000000-0005-0000-0000-0000131F0000}"/>
    <cellStyle name="Normal 3 6 12 3" xfId="7315" xr:uid="{00000000-0005-0000-0000-0000141F0000}"/>
    <cellStyle name="Normal 3 6 13" xfId="7316" xr:uid="{00000000-0005-0000-0000-0000151F0000}"/>
    <cellStyle name="Normal 3 6 13 2" xfId="7317" xr:uid="{00000000-0005-0000-0000-0000161F0000}"/>
    <cellStyle name="Normal 3 6 13 2 2" xfId="7318" xr:uid="{00000000-0005-0000-0000-0000171F0000}"/>
    <cellStyle name="Normal 3 6 13 3" xfId="7319" xr:uid="{00000000-0005-0000-0000-0000181F0000}"/>
    <cellStyle name="Normal 3 6 14" xfId="7320" xr:uid="{00000000-0005-0000-0000-0000191F0000}"/>
    <cellStyle name="Normal 3 6 14 2" xfId="7321" xr:uid="{00000000-0005-0000-0000-00001A1F0000}"/>
    <cellStyle name="Normal 3 6 14 2 2" xfId="7322" xr:uid="{00000000-0005-0000-0000-00001B1F0000}"/>
    <cellStyle name="Normal 3 6 14 3" xfId="7323" xr:uid="{00000000-0005-0000-0000-00001C1F0000}"/>
    <cellStyle name="Normal 3 6 15" xfId="7324" xr:uid="{00000000-0005-0000-0000-00001D1F0000}"/>
    <cellStyle name="Normal 3 6 15 2" xfId="7325" xr:uid="{00000000-0005-0000-0000-00001E1F0000}"/>
    <cellStyle name="Normal 3 6 15 2 2" xfId="7326" xr:uid="{00000000-0005-0000-0000-00001F1F0000}"/>
    <cellStyle name="Normal 3 6 15 3" xfId="7327" xr:uid="{00000000-0005-0000-0000-0000201F0000}"/>
    <cellStyle name="Normal 3 6 16" xfId="7328" xr:uid="{00000000-0005-0000-0000-0000211F0000}"/>
    <cellStyle name="Normal 3 6 16 2" xfId="7329" xr:uid="{00000000-0005-0000-0000-0000221F0000}"/>
    <cellStyle name="Normal 3 6 16 2 2" xfId="7330" xr:uid="{00000000-0005-0000-0000-0000231F0000}"/>
    <cellStyle name="Normal 3 6 16 3" xfId="7331" xr:uid="{00000000-0005-0000-0000-0000241F0000}"/>
    <cellStyle name="Normal 3 6 17" xfId="7332" xr:uid="{00000000-0005-0000-0000-0000251F0000}"/>
    <cellStyle name="Normal 3 6 17 2" xfId="7333" xr:uid="{00000000-0005-0000-0000-0000261F0000}"/>
    <cellStyle name="Normal 3 6 17 2 2" xfId="7334" xr:uid="{00000000-0005-0000-0000-0000271F0000}"/>
    <cellStyle name="Normal 3 6 17 3" xfId="7335" xr:uid="{00000000-0005-0000-0000-0000281F0000}"/>
    <cellStyle name="Normal 3 6 18" xfId="7336" xr:uid="{00000000-0005-0000-0000-0000291F0000}"/>
    <cellStyle name="Normal 3 6 18 2" xfId="7337" xr:uid="{00000000-0005-0000-0000-00002A1F0000}"/>
    <cellStyle name="Normal 3 6 18 2 2" xfId="7338" xr:uid="{00000000-0005-0000-0000-00002B1F0000}"/>
    <cellStyle name="Normal 3 6 18 3" xfId="7339" xr:uid="{00000000-0005-0000-0000-00002C1F0000}"/>
    <cellStyle name="Normal 3 6 19" xfId="7340" xr:uid="{00000000-0005-0000-0000-00002D1F0000}"/>
    <cellStyle name="Normal 3 6 19 2" xfId="7341" xr:uid="{00000000-0005-0000-0000-00002E1F0000}"/>
    <cellStyle name="Normal 3 6 19 2 2" xfId="7342" xr:uid="{00000000-0005-0000-0000-00002F1F0000}"/>
    <cellStyle name="Normal 3 6 19 3" xfId="7343" xr:uid="{00000000-0005-0000-0000-0000301F0000}"/>
    <cellStyle name="Normal 3 6 2" xfId="7344" xr:uid="{00000000-0005-0000-0000-0000311F0000}"/>
    <cellStyle name="Normal 3 6 2 2" xfId="7345" xr:uid="{00000000-0005-0000-0000-0000321F0000}"/>
    <cellStyle name="Normal 3 6 2 2 2" xfId="7346" xr:uid="{00000000-0005-0000-0000-0000331F0000}"/>
    <cellStyle name="Normal 3 6 2 3" xfId="7347" xr:uid="{00000000-0005-0000-0000-0000341F0000}"/>
    <cellStyle name="Normal 3 6 20" xfId="7348" xr:uid="{00000000-0005-0000-0000-0000351F0000}"/>
    <cellStyle name="Normal 3 6 20 2" xfId="7349" xr:uid="{00000000-0005-0000-0000-0000361F0000}"/>
    <cellStyle name="Normal 3 6 20 2 2" xfId="7350" xr:uid="{00000000-0005-0000-0000-0000371F0000}"/>
    <cellStyle name="Normal 3 6 20 3" xfId="7351" xr:uid="{00000000-0005-0000-0000-0000381F0000}"/>
    <cellStyle name="Normal 3 6 21" xfId="7352" xr:uid="{00000000-0005-0000-0000-0000391F0000}"/>
    <cellStyle name="Normal 3 6 21 2" xfId="7353" xr:uid="{00000000-0005-0000-0000-00003A1F0000}"/>
    <cellStyle name="Normal 3 6 21 2 2" xfId="7354" xr:uid="{00000000-0005-0000-0000-00003B1F0000}"/>
    <cellStyle name="Normal 3 6 21 3" xfId="7355" xr:uid="{00000000-0005-0000-0000-00003C1F0000}"/>
    <cellStyle name="Normal 3 6 22" xfId="7356" xr:uid="{00000000-0005-0000-0000-00003D1F0000}"/>
    <cellStyle name="Normal 3 6 22 2" xfId="7357" xr:uid="{00000000-0005-0000-0000-00003E1F0000}"/>
    <cellStyle name="Normal 3 6 22 2 2" xfId="7358" xr:uid="{00000000-0005-0000-0000-00003F1F0000}"/>
    <cellStyle name="Normal 3 6 22 3" xfId="7359" xr:uid="{00000000-0005-0000-0000-0000401F0000}"/>
    <cellStyle name="Normal 3 6 23" xfId="7360" xr:uid="{00000000-0005-0000-0000-0000411F0000}"/>
    <cellStyle name="Normal 3 6 23 2" xfId="7361" xr:uid="{00000000-0005-0000-0000-0000421F0000}"/>
    <cellStyle name="Normal 3 6 23 2 2" xfId="7362" xr:uid="{00000000-0005-0000-0000-0000431F0000}"/>
    <cellStyle name="Normal 3 6 23 3" xfId="7363" xr:uid="{00000000-0005-0000-0000-0000441F0000}"/>
    <cellStyle name="Normal 3 6 24" xfId="7364" xr:uid="{00000000-0005-0000-0000-0000451F0000}"/>
    <cellStyle name="Normal 3 6 24 2" xfId="7365" xr:uid="{00000000-0005-0000-0000-0000461F0000}"/>
    <cellStyle name="Normal 3 6 25" xfId="7366" xr:uid="{00000000-0005-0000-0000-0000471F0000}"/>
    <cellStyle name="Normal 3 6 3" xfId="7367" xr:uid="{00000000-0005-0000-0000-0000481F0000}"/>
    <cellStyle name="Normal 3 6 3 2" xfId="7368" xr:uid="{00000000-0005-0000-0000-0000491F0000}"/>
    <cellStyle name="Normal 3 6 3 2 2" xfId="7369" xr:uid="{00000000-0005-0000-0000-00004A1F0000}"/>
    <cellStyle name="Normal 3 6 3 3" xfId="7370" xr:uid="{00000000-0005-0000-0000-00004B1F0000}"/>
    <cellStyle name="Normal 3 6 4" xfId="7371" xr:uid="{00000000-0005-0000-0000-00004C1F0000}"/>
    <cellStyle name="Normal 3 6 4 2" xfId="7372" xr:uid="{00000000-0005-0000-0000-00004D1F0000}"/>
    <cellStyle name="Normal 3 6 4 2 2" xfId="7373" xr:uid="{00000000-0005-0000-0000-00004E1F0000}"/>
    <cellStyle name="Normal 3 6 4 3" xfId="7374" xr:uid="{00000000-0005-0000-0000-00004F1F0000}"/>
    <cellStyle name="Normal 3 6 5" xfId="7375" xr:uid="{00000000-0005-0000-0000-0000501F0000}"/>
    <cellStyle name="Normal 3 6 5 2" xfId="7376" xr:uid="{00000000-0005-0000-0000-0000511F0000}"/>
    <cellStyle name="Normal 3 6 5 2 2" xfId="7377" xr:uid="{00000000-0005-0000-0000-0000521F0000}"/>
    <cellStyle name="Normal 3 6 5 3" xfId="7378" xr:uid="{00000000-0005-0000-0000-0000531F0000}"/>
    <cellStyle name="Normal 3 6 6" xfId="7379" xr:uid="{00000000-0005-0000-0000-0000541F0000}"/>
    <cellStyle name="Normal 3 6 6 2" xfId="7380" xr:uid="{00000000-0005-0000-0000-0000551F0000}"/>
    <cellStyle name="Normal 3 6 6 2 2" xfId="7381" xr:uid="{00000000-0005-0000-0000-0000561F0000}"/>
    <cellStyle name="Normal 3 6 6 3" xfId="7382" xr:uid="{00000000-0005-0000-0000-0000571F0000}"/>
    <cellStyle name="Normal 3 6 7" xfId="7383" xr:uid="{00000000-0005-0000-0000-0000581F0000}"/>
    <cellStyle name="Normal 3 6 7 2" xfId="7384" xr:uid="{00000000-0005-0000-0000-0000591F0000}"/>
    <cellStyle name="Normal 3 6 7 2 2" xfId="7385" xr:uid="{00000000-0005-0000-0000-00005A1F0000}"/>
    <cellStyle name="Normal 3 6 7 3" xfId="7386" xr:uid="{00000000-0005-0000-0000-00005B1F0000}"/>
    <cellStyle name="Normal 3 6 8" xfId="7387" xr:uid="{00000000-0005-0000-0000-00005C1F0000}"/>
    <cellStyle name="Normal 3 6 8 2" xfId="7388" xr:uid="{00000000-0005-0000-0000-00005D1F0000}"/>
    <cellStyle name="Normal 3 6 8 2 2" xfId="7389" xr:uid="{00000000-0005-0000-0000-00005E1F0000}"/>
    <cellStyle name="Normal 3 6 8 3" xfId="7390" xr:uid="{00000000-0005-0000-0000-00005F1F0000}"/>
    <cellStyle name="Normal 3 6 9" xfId="7391" xr:uid="{00000000-0005-0000-0000-0000601F0000}"/>
    <cellStyle name="Normal 3 6 9 2" xfId="7392" xr:uid="{00000000-0005-0000-0000-0000611F0000}"/>
    <cellStyle name="Normal 3 6 9 2 2" xfId="7393" xr:uid="{00000000-0005-0000-0000-0000621F0000}"/>
    <cellStyle name="Normal 3 6 9 3" xfId="7394" xr:uid="{00000000-0005-0000-0000-0000631F0000}"/>
    <cellStyle name="Normal 3 60" xfId="7395" xr:uid="{00000000-0005-0000-0000-0000641F0000}"/>
    <cellStyle name="Normal 3 60 2" xfId="7396" xr:uid="{00000000-0005-0000-0000-0000651F0000}"/>
    <cellStyle name="Normal 3 60 2 2" xfId="7397" xr:uid="{00000000-0005-0000-0000-0000661F0000}"/>
    <cellStyle name="Normal 3 60 3" xfId="7398" xr:uid="{00000000-0005-0000-0000-0000671F0000}"/>
    <cellStyle name="Normal 3 61" xfId="7399" xr:uid="{00000000-0005-0000-0000-0000681F0000}"/>
    <cellStyle name="Normal 3 61 2" xfId="7400" xr:uid="{00000000-0005-0000-0000-0000691F0000}"/>
    <cellStyle name="Normal 3 61 2 2" xfId="7401" xr:uid="{00000000-0005-0000-0000-00006A1F0000}"/>
    <cellStyle name="Normal 3 61 3" xfId="7402" xr:uid="{00000000-0005-0000-0000-00006B1F0000}"/>
    <cellStyle name="Normal 3 62" xfId="7403" xr:uid="{00000000-0005-0000-0000-00006C1F0000}"/>
    <cellStyle name="Normal 3 62 2" xfId="7404" xr:uid="{00000000-0005-0000-0000-00006D1F0000}"/>
    <cellStyle name="Normal 3 62 2 2" xfId="7405" xr:uid="{00000000-0005-0000-0000-00006E1F0000}"/>
    <cellStyle name="Normal 3 62 3" xfId="7406" xr:uid="{00000000-0005-0000-0000-00006F1F0000}"/>
    <cellStyle name="Normal 3 63" xfId="7407" xr:uid="{00000000-0005-0000-0000-0000701F0000}"/>
    <cellStyle name="Normal 3 63 2" xfId="7408" xr:uid="{00000000-0005-0000-0000-0000711F0000}"/>
    <cellStyle name="Normal 3 63 2 2" xfId="7409" xr:uid="{00000000-0005-0000-0000-0000721F0000}"/>
    <cellStyle name="Normal 3 63 3" xfId="7410" xr:uid="{00000000-0005-0000-0000-0000731F0000}"/>
    <cellStyle name="Normal 3 64" xfId="7411" xr:uid="{00000000-0005-0000-0000-0000741F0000}"/>
    <cellStyle name="Normal 3 64 2" xfId="7412" xr:uid="{00000000-0005-0000-0000-0000751F0000}"/>
    <cellStyle name="Normal 3 64 2 2" xfId="7413" xr:uid="{00000000-0005-0000-0000-0000761F0000}"/>
    <cellStyle name="Normal 3 64 3" xfId="7414" xr:uid="{00000000-0005-0000-0000-0000771F0000}"/>
    <cellStyle name="Normal 3 65" xfId="7415" xr:uid="{00000000-0005-0000-0000-0000781F0000}"/>
    <cellStyle name="Normal 3 65 2" xfId="7416" xr:uid="{00000000-0005-0000-0000-0000791F0000}"/>
    <cellStyle name="Normal 3 65 2 2" xfId="7417" xr:uid="{00000000-0005-0000-0000-00007A1F0000}"/>
    <cellStyle name="Normal 3 65 3" xfId="7418" xr:uid="{00000000-0005-0000-0000-00007B1F0000}"/>
    <cellStyle name="Normal 3 66" xfId="189" xr:uid="{00000000-0005-0000-0000-00007C1F0000}"/>
    <cellStyle name="Normal 3 67" xfId="7419" xr:uid="{00000000-0005-0000-0000-00007D1F0000}"/>
    <cellStyle name="Normal 3 68" xfId="7420" xr:uid="{00000000-0005-0000-0000-00007E1F0000}"/>
    <cellStyle name="Normal 3 69" xfId="9212" xr:uid="{4A08E22E-4E17-4587-9E30-E0D633E90573}"/>
    <cellStyle name="Normal 3 69 2" xfId="10333" xr:uid="{D94D127D-49A3-4389-B0E2-CBA7588C9590}"/>
    <cellStyle name="Normal 3 7" xfId="7421" xr:uid="{00000000-0005-0000-0000-00007F1F0000}"/>
    <cellStyle name="Normal 3 7 10" xfId="7422" xr:uid="{00000000-0005-0000-0000-0000801F0000}"/>
    <cellStyle name="Normal 3 7 10 2" xfId="7423" xr:uid="{00000000-0005-0000-0000-0000811F0000}"/>
    <cellStyle name="Normal 3 7 10 2 2" xfId="7424" xr:uid="{00000000-0005-0000-0000-0000821F0000}"/>
    <cellStyle name="Normal 3 7 10 3" xfId="7425" xr:uid="{00000000-0005-0000-0000-0000831F0000}"/>
    <cellStyle name="Normal 3 7 11" xfId="7426" xr:uid="{00000000-0005-0000-0000-0000841F0000}"/>
    <cellStyle name="Normal 3 7 11 2" xfId="7427" xr:uid="{00000000-0005-0000-0000-0000851F0000}"/>
    <cellStyle name="Normal 3 7 11 2 2" xfId="7428" xr:uid="{00000000-0005-0000-0000-0000861F0000}"/>
    <cellStyle name="Normal 3 7 11 3" xfId="7429" xr:uid="{00000000-0005-0000-0000-0000871F0000}"/>
    <cellStyle name="Normal 3 7 12" xfId="7430" xr:uid="{00000000-0005-0000-0000-0000881F0000}"/>
    <cellStyle name="Normal 3 7 12 2" xfId="7431" xr:uid="{00000000-0005-0000-0000-0000891F0000}"/>
    <cellStyle name="Normal 3 7 12 2 2" xfId="7432" xr:uid="{00000000-0005-0000-0000-00008A1F0000}"/>
    <cellStyle name="Normal 3 7 12 3" xfId="7433" xr:uid="{00000000-0005-0000-0000-00008B1F0000}"/>
    <cellStyle name="Normal 3 7 13" xfId="7434" xr:uid="{00000000-0005-0000-0000-00008C1F0000}"/>
    <cellStyle name="Normal 3 7 13 2" xfId="7435" xr:uid="{00000000-0005-0000-0000-00008D1F0000}"/>
    <cellStyle name="Normal 3 7 13 2 2" xfId="7436" xr:uid="{00000000-0005-0000-0000-00008E1F0000}"/>
    <cellStyle name="Normal 3 7 13 3" xfId="7437" xr:uid="{00000000-0005-0000-0000-00008F1F0000}"/>
    <cellStyle name="Normal 3 7 14" xfId="7438" xr:uid="{00000000-0005-0000-0000-0000901F0000}"/>
    <cellStyle name="Normal 3 7 14 2" xfId="7439" xr:uid="{00000000-0005-0000-0000-0000911F0000}"/>
    <cellStyle name="Normal 3 7 14 2 2" xfId="7440" xr:uid="{00000000-0005-0000-0000-0000921F0000}"/>
    <cellStyle name="Normal 3 7 14 3" xfId="7441" xr:uid="{00000000-0005-0000-0000-0000931F0000}"/>
    <cellStyle name="Normal 3 7 15" xfId="7442" xr:uid="{00000000-0005-0000-0000-0000941F0000}"/>
    <cellStyle name="Normal 3 7 15 2" xfId="7443" xr:uid="{00000000-0005-0000-0000-0000951F0000}"/>
    <cellStyle name="Normal 3 7 15 2 2" xfId="7444" xr:uid="{00000000-0005-0000-0000-0000961F0000}"/>
    <cellStyle name="Normal 3 7 15 3" xfId="7445" xr:uid="{00000000-0005-0000-0000-0000971F0000}"/>
    <cellStyle name="Normal 3 7 16" xfId="7446" xr:uid="{00000000-0005-0000-0000-0000981F0000}"/>
    <cellStyle name="Normal 3 7 16 2" xfId="7447" xr:uid="{00000000-0005-0000-0000-0000991F0000}"/>
    <cellStyle name="Normal 3 7 16 2 2" xfId="7448" xr:uid="{00000000-0005-0000-0000-00009A1F0000}"/>
    <cellStyle name="Normal 3 7 16 3" xfId="7449" xr:uid="{00000000-0005-0000-0000-00009B1F0000}"/>
    <cellStyle name="Normal 3 7 17" xfId="7450" xr:uid="{00000000-0005-0000-0000-00009C1F0000}"/>
    <cellStyle name="Normal 3 7 17 2" xfId="7451" xr:uid="{00000000-0005-0000-0000-00009D1F0000}"/>
    <cellStyle name="Normal 3 7 17 2 2" xfId="7452" xr:uid="{00000000-0005-0000-0000-00009E1F0000}"/>
    <cellStyle name="Normal 3 7 17 3" xfId="7453" xr:uid="{00000000-0005-0000-0000-00009F1F0000}"/>
    <cellStyle name="Normal 3 7 18" xfId="7454" xr:uid="{00000000-0005-0000-0000-0000A01F0000}"/>
    <cellStyle name="Normal 3 7 18 2" xfId="7455" xr:uid="{00000000-0005-0000-0000-0000A11F0000}"/>
    <cellStyle name="Normal 3 7 18 2 2" xfId="7456" xr:uid="{00000000-0005-0000-0000-0000A21F0000}"/>
    <cellStyle name="Normal 3 7 18 3" xfId="7457" xr:uid="{00000000-0005-0000-0000-0000A31F0000}"/>
    <cellStyle name="Normal 3 7 19" xfId="7458" xr:uid="{00000000-0005-0000-0000-0000A41F0000}"/>
    <cellStyle name="Normal 3 7 19 2" xfId="7459" xr:uid="{00000000-0005-0000-0000-0000A51F0000}"/>
    <cellStyle name="Normal 3 7 19 2 2" xfId="7460" xr:uid="{00000000-0005-0000-0000-0000A61F0000}"/>
    <cellStyle name="Normal 3 7 19 3" xfId="7461" xr:uid="{00000000-0005-0000-0000-0000A71F0000}"/>
    <cellStyle name="Normal 3 7 2" xfId="7462" xr:uid="{00000000-0005-0000-0000-0000A81F0000}"/>
    <cellStyle name="Normal 3 7 2 2" xfId="7463" xr:uid="{00000000-0005-0000-0000-0000A91F0000}"/>
    <cellStyle name="Normal 3 7 2 2 2" xfId="7464" xr:uid="{00000000-0005-0000-0000-0000AA1F0000}"/>
    <cellStyle name="Normal 3 7 2 3" xfId="7465" xr:uid="{00000000-0005-0000-0000-0000AB1F0000}"/>
    <cellStyle name="Normal 3 7 20" xfId="7466" xr:uid="{00000000-0005-0000-0000-0000AC1F0000}"/>
    <cellStyle name="Normal 3 7 20 2" xfId="7467" xr:uid="{00000000-0005-0000-0000-0000AD1F0000}"/>
    <cellStyle name="Normal 3 7 20 2 2" xfId="7468" xr:uid="{00000000-0005-0000-0000-0000AE1F0000}"/>
    <cellStyle name="Normal 3 7 20 3" xfId="7469" xr:uid="{00000000-0005-0000-0000-0000AF1F0000}"/>
    <cellStyle name="Normal 3 7 21" xfId="7470" xr:uid="{00000000-0005-0000-0000-0000B01F0000}"/>
    <cellStyle name="Normal 3 7 21 2" xfId="7471" xr:uid="{00000000-0005-0000-0000-0000B11F0000}"/>
    <cellStyle name="Normal 3 7 21 2 2" xfId="7472" xr:uid="{00000000-0005-0000-0000-0000B21F0000}"/>
    <cellStyle name="Normal 3 7 21 3" xfId="7473" xr:uid="{00000000-0005-0000-0000-0000B31F0000}"/>
    <cellStyle name="Normal 3 7 22" xfId="7474" xr:uid="{00000000-0005-0000-0000-0000B41F0000}"/>
    <cellStyle name="Normal 3 7 22 2" xfId="7475" xr:uid="{00000000-0005-0000-0000-0000B51F0000}"/>
    <cellStyle name="Normal 3 7 22 2 2" xfId="7476" xr:uid="{00000000-0005-0000-0000-0000B61F0000}"/>
    <cellStyle name="Normal 3 7 22 3" xfId="7477" xr:uid="{00000000-0005-0000-0000-0000B71F0000}"/>
    <cellStyle name="Normal 3 7 23" xfId="7478" xr:uid="{00000000-0005-0000-0000-0000B81F0000}"/>
    <cellStyle name="Normal 3 7 23 2" xfId="7479" xr:uid="{00000000-0005-0000-0000-0000B91F0000}"/>
    <cellStyle name="Normal 3 7 23 2 2" xfId="7480" xr:uid="{00000000-0005-0000-0000-0000BA1F0000}"/>
    <cellStyle name="Normal 3 7 23 3" xfId="7481" xr:uid="{00000000-0005-0000-0000-0000BB1F0000}"/>
    <cellStyle name="Normal 3 7 24" xfId="7482" xr:uid="{00000000-0005-0000-0000-0000BC1F0000}"/>
    <cellStyle name="Normal 3 7 24 2" xfId="7483" xr:uid="{00000000-0005-0000-0000-0000BD1F0000}"/>
    <cellStyle name="Normal 3 7 25" xfId="7484" xr:uid="{00000000-0005-0000-0000-0000BE1F0000}"/>
    <cellStyle name="Normal 3 7 3" xfId="7485" xr:uid="{00000000-0005-0000-0000-0000BF1F0000}"/>
    <cellStyle name="Normal 3 7 3 2" xfId="7486" xr:uid="{00000000-0005-0000-0000-0000C01F0000}"/>
    <cellStyle name="Normal 3 7 3 2 2" xfId="7487" xr:uid="{00000000-0005-0000-0000-0000C11F0000}"/>
    <cellStyle name="Normal 3 7 3 3" xfId="7488" xr:uid="{00000000-0005-0000-0000-0000C21F0000}"/>
    <cellStyle name="Normal 3 7 4" xfId="7489" xr:uid="{00000000-0005-0000-0000-0000C31F0000}"/>
    <cellStyle name="Normal 3 7 4 2" xfId="7490" xr:uid="{00000000-0005-0000-0000-0000C41F0000}"/>
    <cellStyle name="Normal 3 7 4 2 2" xfId="7491" xr:uid="{00000000-0005-0000-0000-0000C51F0000}"/>
    <cellStyle name="Normal 3 7 4 3" xfId="7492" xr:uid="{00000000-0005-0000-0000-0000C61F0000}"/>
    <cellStyle name="Normal 3 7 5" xfId="7493" xr:uid="{00000000-0005-0000-0000-0000C71F0000}"/>
    <cellStyle name="Normal 3 7 5 2" xfId="7494" xr:uid="{00000000-0005-0000-0000-0000C81F0000}"/>
    <cellStyle name="Normal 3 7 5 2 2" xfId="7495" xr:uid="{00000000-0005-0000-0000-0000C91F0000}"/>
    <cellStyle name="Normal 3 7 5 3" xfId="7496" xr:uid="{00000000-0005-0000-0000-0000CA1F0000}"/>
    <cellStyle name="Normal 3 7 6" xfId="7497" xr:uid="{00000000-0005-0000-0000-0000CB1F0000}"/>
    <cellStyle name="Normal 3 7 6 2" xfId="7498" xr:uid="{00000000-0005-0000-0000-0000CC1F0000}"/>
    <cellStyle name="Normal 3 7 6 2 2" xfId="7499" xr:uid="{00000000-0005-0000-0000-0000CD1F0000}"/>
    <cellStyle name="Normal 3 7 6 3" xfId="7500" xr:uid="{00000000-0005-0000-0000-0000CE1F0000}"/>
    <cellStyle name="Normal 3 7 7" xfId="7501" xr:uid="{00000000-0005-0000-0000-0000CF1F0000}"/>
    <cellStyle name="Normal 3 7 7 2" xfId="7502" xr:uid="{00000000-0005-0000-0000-0000D01F0000}"/>
    <cellStyle name="Normal 3 7 7 2 2" xfId="7503" xr:uid="{00000000-0005-0000-0000-0000D11F0000}"/>
    <cellStyle name="Normal 3 7 7 3" xfId="7504" xr:uid="{00000000-0005-0000-0000-0000D21F0000}"/>
    <cellStyle name="Normal 3 7 8" xfId="7505" xr:uid="{00000000-0005-0000-0000-0000D31F0000}"/>
    <cellStyle name="Normal 3 7 8 2" xfId="7506" xr:uid="{00000000-0005-0000-0000-0000D41F0000}"/>
    <cellStyle name="Normal 3 7 8 2 2" xfId="7507" xr:uid="{00000000-0005-0000-0000-0000D51F0000}"/>
    <cellStyle name="Normal 3 7 8 3" xfId="7508" xr:uid="{00000000-0005-0000-0000-0000D61F0000}"/>
    <cellStyle name="Normal 3 7 9" xfId="7509" xr:uid="{00000000-0005-0000-0000-0000D71F0000}"/>
    <cellStyle name="Normal 3 7 9 2" xfId="7510" xr:uid="{00000000-0005-0000-0000-0000D81F0000}"/>
    <cellStyle name="Normal 3 7 9 2 2" xfId="7511" xr:uid="{00000000-0005-0000-0000-0000D91F0000}"/>
    <cellStyle name="Normal 3 7 9 3" xfId="7512" xr:uid="{00000000-0005-0000-0000-0000DA1F0000}"/>
    <cellStyle name="Normal 3 70" xfId="10535" xr:uid="{B2DE90AB-8478-4F3A-BCF5-488DFC789661}"/>
    <cellStyle name="Normal 3 8" xfId="7513" xr:uid="{00000000-0005-0000-0000-0000DB1F0000}"/>
    <cellStyle name="Normal 3 8 10" xfId="7514" xr:uid="{00000000-0005-0000-0000-0000DC1F0000}"/>
    <cellStyle name="Normal 3 8 10 2" xfId="7515" xr:uid="{00000000-0005-0000-0000-0000DD1F0000}"/>
    <cellStyle name="Normal 3 8 10 2 2" xfId="7516" xr:uid="{00000000-0005-0000-0000-0000DE1F0000}"/>
    <cellStyle name="Normal 3 8 10 3" xfId="7517" xr:uid="{00000000-0005-0000-0000-0000DF1F0000}"/>
    <cellStyle name="Normal 3 8 11" xfId="7518" xr:uid="{00000000-0005-0000-0000-0000E01F0000}"/>
    <cellStyle name="Normal 3 8 11 2" xfId="7519" xr:uid="{00000000-0005-0000-0000-0000E11F0000}"/>
    <cellStyle name="Normal 3 8 11 2 2" xfId="7520" xr:uid="{00000000-0005-0000-0000-0000E21F0000}"/>
    <cellStyle name="Normal 3 8 11 3" xfId="7521" xr:uid="{00000000-0005-0000-0000-0000E31F0000}"/>
    <cellStyle name="Normal 3 8 12" xfId="7522" xr:uid="{00000000-0005-0000-0000-0000E41F0000}"/>
    <cellStyle name="Normal 3 8 12 2" xfId="7523" xr:uid="{00000000-0005-0000-0000-0000E51F0000}"/>
    <cellStyle name="Normal 3 8 12 2 2" xfId="7524" xr:uid="{00000000-0005-0000-0000-0000E61F0000}"/>
    <cellStyle name="Normal 3 8 12 3" xfId="7525" xr:uid="{00000000-0005-0000-0000-0000E71F0000}"/>
    <cellStyle name="Normal 3 8 13" xfId="7526" xr:uid="{00000000-0005-0000-0000-0000E81F0000}"/>
    <cellStyle name="Normal 3 8 13 2" xfId="7527" xr:uid="{00000000-0005-0000-0000-0000E91F0000}"/>
    <cellStyle name="Normal 3 8 13 2 2" xfId="7528" xr:uid="{00000000-0005-0000-0000-0000EA1F0000}"/>
    <cellStyle name="Normal 3 8 13 3" xfId="7529" xr:uid="{00000000-0005-0000-0000-0000EB1F0000}"/>
    <cellStyle name="Normal 3 8 14" xfId="7530" xr:uid="{00000000-0005-0000-0000-0000EC1F0000}"/>
    <cellStyle name="Normal 3 8 14 2" xfId="7531" xr:uid="{00000000-0005-0000-0000-0000ED1F0000}"/>
    <cellStyle name="Normal 3 8 14 2 2" xfId="7532" xr:uid="{00000000-0005-0000-0000-0000EE1F0000}"/>
    <cellStyle name="Normal 3 8 14 3" xfId="7533" xr:uid="{00000000-0005-0000-0000-0000EF1F0000}"/>
    <cellStyle name="Normal 3 8 15" xfId="7534" xr:uid="{00000000-0005-0000-0000-0000F01F0000}"/>
    <cellStyle name="Normal 3 8 15 2" xfId="7535" xr:uid="{00000000-0005-0000-0000-0000F11F0000}"/>
    <cellStyle name="Normal 3 8 15 2 2" xfId="7536" xr:uid="{00000000-0005-0000-0000-0000F21F0000}"/>
    <cellStyle name="Normal 3 8 15 3" xfId="7537" xr:uid="{00000000-0005-0000-0000-0000F31F0000}"/>
    <cellStyle name="Normal 3 8 16" xfId="7538" xr:uid="{00000000-0005-0000-0000-0000F41F0000}"/>
    <cellStyle name="Normal 3 8 16 2" xfId="7539" xr:uid="{00000000-0005-0000-0000-0000F51F0000}"/>
    <cellStyle name="Normal 3 8 16 2 2" xfId="7540" xr:uid="{00000000-0005-0000-0000-0000F61F0000}"/>
    <cellStyle name="Normal 3 8 16 3" xfId="7541" xr:uid="{00000000-0005-0000-0000-0000F71F0000}"/>
    <cellStyle name="Normal 3 8 17" xfId="7542" xr:uid="{00000000-0005-0000-0000-0000F81F0000}"/>
    <cellStyle name="Normal 3 8 17 2" xfId="7543" xr:uid="{00000000-0005-0000-0000-0000F91F0000}"/>
    <cellStyle name="Normal 3 8 17 2 2" xfId="7544" xr:uid="{00000000-0005-0000-0000-0000FA1F0000}"/>
    <cellStyle name="Normal 3 8 17 3" xfId="7545" xr:uid="{00000000-0005-0000-0000-0000FB1F0000}"/>
    <cellStyle name="Normal 3 8 18" xfId="7546" xr:uid="{00000000-0005-0000-0000-0000FC1F0000}"/>
    <cellStyle name="Normal 3 8 18 2" xfId="7547" xr:uid="{00000000-0005-0000-0000-0000FD1F0000}"/>
    <cellStyle name="Normal 3 8 18 2 2" xfId="7548" xr:uid="{00000000-0005-0000-0000-0000FE1F0000}"/>
    <cellStyle name="Normal 3 8 18 3" xfId="7549" xr:uid="{00000000-0005-0000-0000-0000FF1F0000}"/>
    <cellStyle name="Normal 3 8 19" xfId="7550" xr:uid="{00000000-0005-0000-0000-000000200000}"/>
    <cellStyle name="Normal 3 8 19 2" xfId="7551" xr:uid="{00000000-0005-0000-0000-000001200000}"/>
    <cellStyle name="Normal 3 8 19 2 2" xfId="7552" xr:uid="{00000000-0005-0000-0000-000002200000}"/>
    <cellStyle name="Normal 3 8 19 3" xfId="7553" xr:uid="{00000000-0005-0000-0000-000003200000}"/>
    <cellStyle name="Normal 3 8 2" xfId="7554" xr:uid="{00000000-0005-0000-0000-000004200000}"/>
    <cellStyle name="Normal 3 8 2 2" xfId="7555" xr:uid="{00000000-0005-0000-0000-000005200000}"/>
    <cellStyle name="Normal 3 8 2 2 2" xfId="7556" xr:uid="{00000000-0005-0000-0000-000006200000}"/>
    <cellStyle name="Normal 3 8 2 3" xfId="7557" xr:uid="{00000000-0005-0000-0000-000007200000}"/>
    <cellStyle name="Normal 3 8 20" xfId="7558" xr:uid="{00000000-0005-0000-0000-000008200000}"/>
    <cellStyle name="Normal 3 8 20 2" xfId="7559" xr:uid="{00000000-0005-0000-0000-000009200000}"/>
    <cellStyle name="Normal 3 8 20 2 2" xfId="7560" xr:uid="{00000000-0005-0000-0000-00000A200000}"/>
    <cellStyle name="Normal 3 8 20 3" xfId="7561" xr:uid="{00000000-0005-0000-0000-00000B200000}"/>
    <cellStyle name="Normal 3 8 21" xfId="7562" xr:uid="{00000000-0005-0000-0000-00000C200000}"/>
    <cellStyle name="Normal 3 8 21 2" xfId="7563" xr:uid="{00000000-0005-0000-0000-00000D200000}"/>
    <cellStyle name="Normal 3 8 21 2 2" xfId="7564" xr:uid="{00000000-0005-0000-0000-00000E200000}"/>
    <cellStyle name="Normal 3 8 21 3" xfId="7565" xr:uid="{00000000-0005-0000-0000-00000F200000}"/>
    <cellStyle name="Normal 3 8 22" xfId="7566" xr:uid="{00000000-0005-0000-0000-000010200000}"/>
    <cellStyle name="Normal 3 8 22 2" xfId="7567" xr:uid="{00000000-0005-0000-0000-000011200000}"/>
    <cellStyle name="Normal 3 8 22 2 2" xfId="7568" xr:uid="{00000000-0005-0000-0000-000012200000}"/>
    <cellStyle name="Normal 3 8 22 3" xfId="7569" xr:uid="{00000000-0005-0000-0000-000013200000}"/>
    <cellStyle name="Normal 3 8 23" xfId="7570" xr:uid="{00000000-0005-0000-0000-000014200000}"/>
    <cellStyle name="Normal 3 8 23 2" xfId="7571" xr:uid="{00000000-0005-0000-0000-000015200000}"/>
    <cellStyle name="Normal 3 8 23 2 2" xfId="7572" xr:uid="{00000000-0005-0000-0000-000016200000}"/>
    <cellStyle name="Normal 3 8 23 3" xfId="7573" xr:uid="{00000000-0005-0000-0000-000017200000}"/>
    <cellStyle name="Normal 3 8 24" xfId="7574" xr:uid="{00000000-0005-0000-0000-000018200000}"/>
    <cellStyle name="Normal 3 8 24 2" xfId="7575" xr:uid="{00000000-0005-0000-0000-000019200000}"/>
    <cellStyle name="Normal 3 8 25" xfId="7576" xr:uid="{00000000-0005-0000-0000-00001A200000}"/>
    <cellStyle name="Normal 3 8 3" xfId="7577" xr:uid="{00000000-0005-0000-0000-00001B200000}"/>
    <cellStyle name="Normal 3 8 3 2" xfId="7578" xr:uid="{00000000-0005-0000-0000-00001C200000}"/>
    <cellStyle name="Normal 3 8 3 2 2" xfId="7579" xr:uid="{00000000-0005-0000-0000-00001D200000}"/>
    <cellStyle name="Normal 3 8 3 3" xfId="7580" xr:uid="{00000000-0005-0000-0000-00001E200000}"/>
    <cellStyle name="Normal 3 8 4" xfId="7581" xr:uid="{00000000-0005-0000-0000-00001F200000}"/>
    <cellStyle name="Normal 3 8 4 2" xfId="7582" xr:uid="{00000000-0005-0000-0000-000020200000}"/>
    <cellStyle name="Normal 3 8 4 2 2" xfId="7583" xr:uid="{00000000-0005-0000-0000-000021200000}"/>
    <cellStyle name="Normal 3 8 4 3" xfId="7584" xr:uid="{00000000-0005-0000-0000-000022200000}"/>
    <cellStyle name="Normal 3 8 5" xfId="7585" xr:uid="{00000000-0005-0000-0000-000023200000}"/>
    <cellStyle name="Normal 3 8 5 2" xfId="7586" xr:uid="{00000000-0005-0000-0000-000024200000}"/>
    <cellStyle name="Normal 3 8 5 2 2" xfId="7587" xr:uid="{00000000-0005-0000-0000-000025200000}"/>
    <cellStyle name="Normal 3 8 5 3" xfId="7588" xr:uid="{00000000-0005-0000-0000-000026200000}"/>
    <cellStyle name="Normal 3 8 6" xfId="7589" xr:uid="{00000000-0005-0000-0000-000027200000}"/>
    <cellStyle name="Normal 3 8 6 2" xfId="7590" xr:uid="{00000000-0005-0000-0000-000028200000}"/>
    <cellStyle name="Normal 3 8 6 2 2" xfId="7591" xr:uid="{00000000-0005-0000-0000-000029200000}"/>
    <cellStyle name="Normal 3 8 6 3" xfId="7592" xr:uid="{00000000-0005-0000-0000-00002A200000}"/>
    <cellStyle name="Normal 3 8 7" xfId="7593" xr:uid="{00000000-0005-0000-0000-00002B200000}"/>
    <cellStyle name="Normal 3 8 7 2" xfId="7594" xr:uid="{00000000-0005-0000-0000-00002C200000}"/>
    <cellStyle name="Normal 3 8 7 2 2" xfId="7595" xr:uid="{00000000-0005-0000-0000-00002D200000}"/>
    <cellStyle name="Normal 3 8 7 3" xfId="7596" xr:uid="{00000000-0005-0000-0000-00002E200000}"/>
    <cellStyle name="Normal 3 8 8" xfId="7597" xr:uid="{00000000-0005-0000-0000-00002F200000}"/>
    <cellStyle name="Normal 3 8 8 2" xfId="7598" xr:uid="{00000000-0005-0000-0000-000030200000}"/>
    <cellStyle name="Normal 3 8 8 2 2" xfId="7599" xr:uid="{00000000-0005-0000-0000-000031200000}"/>
    <cellStyle name="Normal 3 8 8 3" xfId="7600" xr:uid="{00000000-0005-0000-0000-000032200000}"/>
    <cellStyle name="Normal 3 8 9" xfId="7601" xr:uid="{00000000-0005-0000-0000-000033200000}"/>
    <cellStyle name="Normal 3 8 9 2" xfId="7602" xr:uid="{00000000-0005-0000-0000-000034200000}"/>
    <cellStyle name="Normal 3 8 9 2 2" xfId="7603" xr:uid="{00000000-0005-0000-0000-000035200000}"/>
    <cellStyle name="Normal 3 8 9 3" xfId="7604" xr:uid="{00000000-0005-0000-0000-000036200000}"/>
    <cellStyle name="Normal 3 9" xfId="7605" xr:uid="{00000000-0005-0000-0000-000037200000}"/>
    <cellStyle name="Normal 3 9 10" xfId="7606" xr:uid="{00000000-0005-0000-0000-000038200000}"/>
    <cellStyle name="Normal 3 9 10 2" xfId="7607" xr:uid="{00000000-0005-0000-0000-000039200000}"/>
    <cellStyle name="Normal 3 9 10 2 2" xfId="7608" xr:uid="{00000000-0005-0000-0000-00003A200000}"/>
    <cellStyle name="Normal 3 9 10 3" xfId="7609" xr:uid="{00000000-0005-0000-0000-00003B200000}"/>
    <cellStyle name="Normal 3 9 11" xfId="7610" xr:uid="{00000000-0005-0000-0000-00003C200000}"/>
    <cellStyle name="Normal 3 9 11 2" xfId="7611" xr:uid="{00000000-0005-0000-0000-00003D200000}"/>
    <cellStyle name="Normal 3 9 11 2 2" xfId="7612" xr:uid="{00000000-0005-0000-0000-00003E200000}"/>
    <cellStyle name="Normal 3 9 11 3" xfId="7613" xr:uid="{00000000-0005-0000-0000-00003F200000}"/>
    <cellStyle name="Normal 3 9 12" xfId="7614" xr:uid="{00000000-0005-0000-0000-000040200000}"/>
    <cellStyle name="Normal 3 9 12 2" xfId="7615" xr:uid="{00000000-0005-0000-0000-000041200000}"/>
    <cellStyle name="Normal 3 9 12 2 2" xfId="7616" xr:uid="{00000000-0005-0000-0000-000042200000}"/>
    <cellStyle name="Normal 3 9 12 3" xfId="7617" xr:uid="{00000000-0005-0000-0000-000043200000}"/>
    <cellStyle name="Normal 3 9 13" xfId="7618" xr:uid="{00000000-0005-0000-0000-000044200000}"/>
    <cellStyle name="Normal 3 9 13 2" xfId="7619" xr:uid="{00000000-0005-0000-0000-000045200000}"/>
    <cellStyle name="Normal 3 9 13 2 2" xfId="7620" xr:uid="{00000000-0005-0000-0000-000046200000}"/>
    <cellStyle name="Normal 3 9 13 3" xfId="7621" xr:uid="{00000000-0005-0000-0000-000047200000}"/>
    <cellStyle name="Normal 3 9 14" xfId="7622" xr:uid="{00000000-0005-0000-0000-000048200000}"/>
    <cellStyle name="Normal 3 9 14 2" xfId="7623" xr:uid="{00000000-0005-0000-0000-000049200000}"/>
    <cellStyle name="Normal 3 9 14 2 2" xfId="7624" xr:uid="{00000000-0005-0000-0000-00004A200000}"/>
    <cellStyle name="Normal 3 9 14 3" xfId="7625" xr:uid="{00000000-0005-0000-0000-00004B200000}"/>
    <cellStyle name="Normal 3 9 15" xfId="7626" xr:uid="{00000000-0005-0000-0000-00004C200000}"/>
    <cellStyle name="Normal 3 9 15 2" xfId="7627" xr:uid="{00000000-0005-0000-0000-00004D200000}"/>
    <cellStyle name="Normal 3 9 15 2 2" xfId="7628" xr:uid="{00000000-0005-0000-0000-00004E200000}"/>
    <cellStyle name="Normal 3 9 15 3" xfId="7629" xr:uid="{00000000-0005-0000-0000-00004F200000}"/>
    <cellStyle name="Normal 3 9 16" xfId="7630" xr:uid="{00000000-0005-0000-0000-000050200000}"/>
    <cellStyle name="Normal 3 9 16 2" xfId="7631" xr:uid="{00000000-0005-0000-0000-000051200000}"/>
    <cellStyle name="Normal 3 9 16 2 2" xfId="7632" xr:uid="{00000000-0005-0000-0000-000052200000}"/>
    <cellStyle name="Normal 3 9 16 3" xfId="7633" xr:uid="{00000000-0005-0000-0000-000053200000}"/>
    <cellStyle name="Normal 3 9 17" xfId="7634" xr:uid="{00000000-0005-0000-0000-000054200000}"/>
    <cellStyle name="Normal 3 9 17 2" xfId="7635" xr:uid="{00000000-0005-0000-0000-000055200000}"/>
    <cellStyle name="Normal 3 9 17 2 2" xfId="7636" xr:uid="{00000000-0005-0000-0000-000056200000}"/>
    <cellStyle name="Normal 3 9 17 3" xfId="7637" xr:uid="{00000000-0005-0000-0000-000057200000}"/>
    <cellStyle name="Normal 3 9 18" xfId="7638" xr:uid="{00000000-0005-0000-0000-000058200000}"/>
    <cellStyle name="Normal 3 9 18 2" xfId="7639" xr:uid="{00000000-0005-0000-0000-000059200000}"/>
    <cellStyle name="Normal 3 9 18 2 2" xfId="7640" xr:uid="{00000000-0005-0000-0000-00005A200000}"/>
    <cellStyle name="Normal 3 9 18 3" xfId="7641" xr:uid="{00000000-0005-0000-0000-00005B200000}"/>
    <cellStyle name="Normal 3 9 19" xfId="7642" xr:uid="{00000000-0005-0000-0000-00005C200000}"/>
    <cellStyle name="Normal 3 9 19 2" xfId="7643" xr:uid="{00000000-0005-0000-0000-00005D200000}"/>
    <cellStyle name="Normal 3 9 19 2 2" xfId="7644" xr:uid="{00000000-0005-0000-0000-00005E200000}"/>
    <cellStyle name="Normal 3 9 19 3" xfId="7645" xr:uid="{00000000-0005-0000-0000-00005F200000}"/>
    <cellStyle name="Normal 3 9 2" xfId="7646" xr:uid="{00000000-0005-0000-0000-000060200000}"/>
    <cellStyle name="Normal 3 9 2 2" xfId="7647" xr:uid="{00000000-0005-0000-0000-000061200000}"/>
    <cellStyle name="Normal 3 9 2 2 2" xfId="7648" xr:uid="{00000000-0005-0000-0000-000062200000}"/>
    <cellStyle name="Normal 3 9 2 3" xfId="7649" xr:uid="{00000000-0005-0000-0000-000063200000}"/>
    <cellStyle name="Normal 3 9 20" xfId="7650" xr:uid="{00000000-0005-0000-0000-000064200000}"/>
    <cellStyle name="Normal 3 9 20 2" xfId="7651" xr:uid="{00000000-0005-0000-0000-000065200000}"/>
    <cellStyle name="Normal 3 9 20 2 2" xfId="7652" xr:uid="{00000000-0005-0000-0000-000066200000}"/>
    <cellStyle name="Normal 3 9 20 3" xfId="7653" xr:uid="{00000000-0005-0000-0000-000067200000}"/>
    <cellStyle name="Normal 3 9 21" xfId="7654" xr:uid="{00000000-0005-0000-0000-000068200000}"/>
    <cellStyle name="Normal 3 9 21 2" xfId="7655" xr:uid="{00000000-0005-0000-0000-000069200000}"/>
    <cellStyle name="Normal 3 9 21 2 2" xfId="7656" xr:uid="{00000000-0005-0000-0000-00006A200000}"/>
    <cellStyle name="Normal 3 9 21 3" xfId="7657" xr:uid="{00000000-0005-0000-0000-00006B200000}"/>
    <cellStyle name="Normal 3 9 22" xfId="7658" xr:uid="{00000000-0005-0000-0000-00006C200000}"/>
    <cellStyle name="Normal 3 9 22 2" xfId="7659" xr:uid="{00000000-0005-0000-0000-00006D200000}"/>
    <cellStyle name="Normal 3 9 22 2 2" xfId="7660" xr:uid="{00000000-0005-0000-0000-00006E200000}"/>
    <cellStyle name="Normal 3 9 22 3" xfId="7661" xr:uid="{00000000-0005-0000-0000-00006F200000}"/>
    <cellStyle name="Normal 3 9 23" xfId="7662" xr:uid="{00000000-0005-0000-0000-000070200000}"/>
    <cellStyle name="Normal 3 9 23 2" xfId="7663" xr:uid="{00000000-0005-0000-0000-000071200000}"/>
    <cellStyle name="Normal 3 9 23 2 2" xfId="7664" xr:uid="{00000000-0005-0000-0000-000072200000}"/>
    <cellStyle name="Normal 3 9 23 3" xfId="7665" xr:uid="{00000000-0005-0000-0000-000073200000}"/>
    <cellStyle name="Normal 3 9 24" xfId="7666" xr:uid="{00000000-0005-0000-0000-000074200000}"/>
    <cellStyle name="Normal 3 9 24 2" xfId="7667" xr:uid="{00000000-0005-0000-0000-000075200000}"/>
    <cellStyle name="Normal 3 9 25" xfId="7668" xr:uid="{00000000-0005-0000-0000-000076200000}"/>
    <cellStyle name="Normal 3 9 3" xfId="7669" xr:uid="{00000000-0005-0000-0000-000077200000}"/>
    <cellStyle name="Normal 3 9 3 2" xfId="7670" xr:uid="{00000000-0005-0000-0000-000078200000}"/>
    <cellStyle name="Normal 3 9 3 2 2" xfId="7671" xr:uid="{00000000-0005-0000-0000-000079200000}"/>
    <cellStyle name="Normal 3 9 3 3" xfId="7672" xr:uid="{00000000-0005-0000-0000-00007A200000}"/>
    <cellStyle name="Normal 3 9 4" xfId="7673" xr:uid="{00000000-0005-0000-0000-00007B200000}"/>
    <cellStyle name="Normal 3 9 4 2" xfId="7674" xr:uid="{00000000-0005-0000-0000-00007C200000}"/>
    <cellStyle name="Normal 3 9 4 2 2" xfId="7675" xr:uid="{00000000-0005-0000-0000-00007D200000}"/>
    <cellStyle name="Normal 3 9 4 3" xfId="7676" xr:uid="{00000000-0005-0000-0000-00007E200000}"/>
    <cellStyle name="Normal 3 9 5" xfId="7677" xr:uid="{00000000-0005-0000-0000-00007F200000}"/>
    <cellStyle name="Normal 3 9 5 2" xfId="7678" xr:uid="{00000000-0005-0000-0000-000080200000}"/>
    <cellStyle name="Normal 3 9 5 2 2" xfId="7679" xr:uid="{00000000-0005-0000-0000-000081200000}"/>
    <cellStyle name="Normal 3 9 5 3" xfId="7680" xr:uid="{00000000-0005-0000-0000-000082200000}"/>
    <cellStyle name="Normal 3 9 6" xfId="7681" xr:uid="{00000000-0005-0000-0000-000083200000}"/>
    <cellStyle name="Normal 3 9 6 2" xfId="7682" xr:uid="{00000000-0005-0000-0000-000084200000}"/>
    <cellStyle name="Normal 3 9 6 2 2" xfId="7683" xr:uid="{00000000-0005-0000-0000-000085200000}"/>
    <cellStyle name="Normal 3 9 6 3" xfId="7684" xr:uid="{00000000-0005-0000-0000-000086200000}"/>
    <cellStyle name="Normal 3 9 7" xfId="7685" xr:uid="{00000000-0005-0000-0000-000087200000}"/>
    <cellStyle name="Normal 3 9 7 2" xfId="7686" xr:uid="{00000000-0005-0000-0000-000088200000}"/>
    <cellStyle name="Normal 3 9 7 2 2" xfId="7687" xr:uid="{00000000-0005-0000-0000-000089200000}"/>
    <cellStyle name="Normal 3 9 7 3" xfId="7688" xr:uid="{00000000-0005-0000-0000-00008A200000}"/>
    <cellStyle name="Normal 3 9 8" xfId="7689" xr:uid="{00000000-0005-0000-0000-00008B200000}"/>
    <cellStyle name="Normal 3 9 8 2" xfId="7690" xr:uid="{00000000-0005-0000-0000-00008C200000}"/>
    <cellStyle name="Normal 3 9 8 2 2" xfId="7691" xr:uid="{00000000-0005-0000-0000-00008D200000}"/>
    <cellStyle name="Normal 3 9 8 3" xfId="7692" xr:uid="{00000000-0005-0000-0000-00008E200000}"/>
    <cellStyle name="Normal 3 9 9" xfId="7693" xr:uid="{00000000-0005-0000-0000-00008F200000}"/>
    <cellStyle name="Normal 3 9 9 2" xfId="7694" xr:uid="{00000000-0005-0000-0000-000090200000}"/>
    <cellStyle name="Normal 3 9 9 2 2" xfId="7695" xr:uid="{00000000-0005-0000-0000-000091200000}"/>
    <cellStyle name="Normal 3 9 9 3" xfId="7696" xr:uid="{00000000-0005-0000-0000-000092200000}"/>
    <cellStyle name="Normal 3_Telephony Test Reporting Templatev2(TGP)" xfId="9925" xr:uid="{A2440029-2F82-498B-B03D-62497EE7071D}"/>
    <cellStyle name="Normal 30" xfId="324" xr:uid="{00000000-0005-0000-0000-000093200000}"/>
    <cellStyle name="Normal 31" xfId="325" xr:uid="{00000000-0005-0000-0000-000094200000}"/>
    <cellStyle name="Normal 32" xfId="326" xr:uid="{00000000-0005-0000-0000-000095200000}"/>
    <cellStyle name="Normal 33" xfId="327" xr:uid="{00000000-0005-0000-0000-000096200000}"/>
    <cellStyle name="Normal 34" xfId="328" xr:uid="{00000000-0005-0000-0000-000097200000}"/>
    <cellStyle name="Normal 35" xfId="329" xr:uid="{00000000-0005-0000-0000-000098200000}"/>
    <cellStyle name="Normal 36" xfId="330" xr:uid="{00000000-0005-0000-0000-000099200000}"/>
    <cellStyle name="Normal 37" xfId="331" xr:uid="{00000000-0005-0000-0000-00009A200000}"/>
    <cellStyle name="Normal 38" xfId="332" xr:uid="{00000000-0005-0000-0000-00009B200000}"/>
    <cellStyle name="Normal 39" xfId="333" xr:uid="{00000000-0005-0000-0000-00009C200000}"/>
    <cellStyle name="Normal 4" xfId="190" xr:uid="{00000000-0005-0000-0000-00009D200000}"/>
    <cellStyle name="Normal 4 10" xfId="9174" xr:uid="{CB2EE386-D821-4B4D-A78E-5157729663BD}"/>
    <cellStyle name="Normal 4 10 2" xfId="10336" xr:uid="{B2FC07D1-FFA1-4B30-94EB-2C3A95095B3F}"/>
    <cellStyle name="Normal 4 11" xfId="10377" xr:uid="{224BE323-2050-4FBE-B1DC-E2100CFAE602}"/>
    <cellStyle name="Normal 4 11 2" xfId="11773" xr:uid="{2538E862-0D6D-45A2-8774-07833303B265}"/>
    <cellStyle name="Normal 4 12" xfId="10534" xr:uid="{E45CD7D2-A010-4CE2-A9AC-4100DF18C745}"/>
    <cellStyle name="Normal 4 13" xfId="11845" xr:uid="{7987D8E2-1296-49F2-A545-17CBBCDB7CA7}"/>
    <cellStyle name="Normal 4 2" xfId="191" xr:uid="{00000000-0005-0000-0000-00009E200000}"/>
    <cellStyle name="Normal 4 2 2" xfId="7697" xr:uid="{00000000-0005-0000-0000-00009F200000}"/>
    <cellStyle name="Normal 4 2 2 2" xfId="9143" xr:uid="{00000000-0005-0000-0000-0000A0200000}"/>
    <cellStyle name="Normal 4 2 2 2 2" xfId="12068" xr:uid="{263CC277-CA14-4CF0-B58A-2A28F57BF19A}"/>
    <cellStyle name="Normal 4 2 2 2 3" xfId="9926" xr:uid="{80652F63-E70D-40F4-A584-10DCF66FD686}"/>
    <cellStyle name="Normal 4 2 2 3" xfId="9927" xr:uid="{3FEAFD07-49A4-4F51-9103-D4438A52D1B7}"/>
    <cellStyle name="Normal 4 2 2 4" xfId="10558" xr:uid="{AD95C22D-B056-4D5A-8B0D-C2630AF09F6E}"/>
    <cellStyle name="Normal 4 2 3" xfId="7698" xr:uid="{00000000-0005-0000-0000-0000A1200000}"/>
    <cellStyle name="Normal 4 2 3 2" xfId="7699" xr:uid="{00000000-0005-0000-0000-0000A2200000}"/>
    <cellStyle name="Normal 4 2 4" xfId="7700" xr:uid="{00000000-0005-0000-0000-0000A3200000}"/>
    <cellStyle name="Normal 4 2 4 2" xfId="9929" xr:uid="{DD698ECD-05BA-4587-81BE-EBC65CD1A4B5}"/>
    <cellStyle name="Normal 4 2 4 3" xfId="9928" xr:uid="{E7F93AEA-2F31-45C7-A42E-B238B579F497}"/>
    <cellStyle name="Normal 4 2 5" xfId="9121" xr:uid="{00000000-0005-0000-0000-0000A4200000}"/>
    <cellStyle name="Normal 4 2 5 2" xfId="11387" xr:uid="{CF3CF4D6-D4C1-4871-96D8-86F52C9DA749}"/>
    <cellStyle name="Normal 4 2 6" xfId="9213" xr:uid="{03241AAE-9C24-4092-AC33-D33852F8FBC8}"/>
    <cellStyle name="Normal 4 2 6 2" xfId="9930" xr:uid="{3347F3E1-CDC7-4F69-9535-D566A067FE22}"/>
    <cellStyle name="Normal 4 2 7" xfId="10337" xr:uid="{E415DB54-C228-4077-B88C-7972B5AE883D}"/>
    <cellStyle name="Normal 4 2 7 2" xfId="11761" xr:uid="{994A8041-622A-45A0-B7DE-65451316D560}"/>
    <cellStyle name="Normal 4 2 8" xfId="10540" xr:uid="{66134B3D-6C2C-458B-A38D-5B4A9DED57F3}"/>
    <cellStyle name="Normal 4 2_ENERGY STAR Certified Product Data" xfId="9931" xr:uid="{4BBB8CD0-970E-4142-9223-D22AB2B90A10}"/>
    <cellStyle name="Normal 4 3" xfId="192" xr:uid="{00000000-0005-0000-0000-0000A5200000}"/>
    <cellStyle name="Normal 4 3 10" xfId="9238" xr:uid="{FE1FD943-81CF-47BA-9A56-129662BC03E6}"/>
    <cellStyle name="Normal 4 3 2" xfId="193" xr:uid="{00000000-0005-0000-0000-0000A6200000}"/>
    <cellStyle name="Normal 4 3 2 2" xfId="194" xr:uid="{00000000-0005-0000-0000-0000A7200000}"/>
    <cellStyle name="Normal 4 3 2 2 2" xfId="8850" xr:uid="{00000000-0005-0000-0000-0000A8200000}"/>
    <cellStyle name="Normal 4 3 2 2 2 2" xfId="11389" xr:uid="{9DCBD044-A258-46F6-BCF5-3E2828859E16}"/>
    <cellStyle name="Normal 4 3 2 2 3" xfId="11388" xr:uid="{674B61EA-781D-47E6-A3D3-95BBA1FE4097}"/>
    <cellStyle name="Normal 4 3 2 2 4" xfId="11982" xr:uid="{B6C984A8-52BE-4373-B679-BAEA902C0D2F}"/>
    <cellStyle name="Normal 4 3 2 3" xfId="195" xr:uid="{00000000-0005-0000-0000-0000A9200000}"/>
    <cellStyle name="Normal 4 3 2 3 2" xfId="8851" xr:uid="{00000000-0005-0000-0000-0000AA200000}"/>
    <cellStyle name="Normal 4 3 2 3 2 2" xfId="11391" xr:uid="{52BD7BB7-225B-4C1F-B93E-5AF8FC13327C}"/>
    <cellStyle name="Normal 4 3 2 3 3" xfId="11390" xr:uid="{DDA456B7-6B32-4DBA-88E6-B20A3C9C7998}"/>
    <cellStyle name="Normal 4 3 2 3 4" xfId="11983" xr:uid="{DCEE2841-C6F8-4973-BFBD-D750EE2DF811}"/>
    <cellStyle name="Normal 4 3 2 4" xfId="8852" xr:uid="{00000000-0005-0000-0000-0000AB200000}"/>
    <cellStyle name="Normal 4 3 2 4 2" xfId="11392" xr:uid="{B7CF8254-C7A5-40F1-9B72-8B8C55630949}"/>
    <cellStyle name="Normal 4 3 2 4 3" xfId="11981" xr:uid="{43A7055A-7945-4893-9E92-C0CD1B2B0F16}"/>
    <cellStyle name="Normal 4 3 2 5" xfId="8853" xr:uid="{00000000-0005-0000-0000-0000AC200000}"/>
    <cellStyle name="Normal 4 3 2 5 2" xfId="11393" xr:uid="{D9667560-AD38-48A7-82B3-1DDBB4452233}"/>
    <cellStyle name="Normal 4 3 2 6" xfId="10429" xr:uid="{46A32CCF-999C-4191-A28C-C545EE6473E0}"/>
    <cellStyle name="Normal 4 3 3" xfId="196" xr:uid="{00000000-0005-0000-0000-0000AD200000}"/>
    <cellStyle name="Normal 4 3 3 2" xfId="8854" xr:uid="{00000000-0005-0000-0000-0000AE200000}"/>
    <cellStyle name="Normal 4 3 3 2 2" xfId="11394" xr:uid="{F1F51D53-E057-4A2D-AF6F-0BEFE10B8703}"/>
    <cellStyle name="Normal 4 3 4" xfId="7701" xr:uid="{00000000-0005-0000-0000-0000AF200000}"/>
    <cellStyle name="Normal 4 3 4 2" xfId="8855" xr:uid="{00000000-0005-0000-0000-0000B0200000}"/>
    <cellStyle name="Normal 4 3 4 2 2" xfId="11395" xr:uid="{B9EC8962-E7E9-4E9B-9E6D-780B9C750B4F}"/>
    <cellStyle name="Normal 4 3 4 3" xfId="9933" xr:uid="{1CCDADC9-B70F-42BE-A8BF-64ACFFE27E19}"/>
    <cellStyle name="Normal 4 3 4 3 2" xfId="11396" xr:uid="{8ACA3D25-E0A3-4718-AF2C-C9D9ED57426A}"/>
    <cellStyle name="Normal 4 3 4 4" xfId="12117" xr:uid="{0ABC2BF8-4396-4E19-80C2-CAF4FEA79615}"/>
    <cellStyle name="Normal 4 3 4 5" xfId="9932" xr:uid="{76BFC37A-7852-431B-A2AE-821C238CB4C6}"/>
    <cellStyle name="Normal 4 3 5" xfId="8856" xr:uid="{00000000-0005-0000-0000-0000B1200000}"/>
    <cellStyle name="Normal 4 3 5 2" xfId="8857" xr:uid="{00000000-0005-0000-0000-0000B2200000}"/>
    <cellStyle name="Normal 4 3 5 2 2" xfId="11397" xr:uid="{44D44119-1D52-4193-93C0-333190AFFF72}"/>
    <cellStyle name="Normal 4 3 5 3" xfId="9935" xr:uid="{E0FAE36B-9798-495B-ADCB-6805270EC7C7}"/>
    <cellStyle name="Normal 4 3 5 3 2" xfId="11398" xr:uid="{3637A090-852D-4C6C-B742-C62EF903940D}"/>
    <cellStyle name="Normal 4 3 5 4" xfId="9934" xr:uid="{9D8FBF2F-6CB9-4F1A-94B4-50D46F666D68}"/>
    <cellStyle name="Normal 4 3 6" xfId="8858" xr:uid="{00000000-0005-0000-0000-0000B3200000}"/>
    <cellStyle name="Normal 4 3 7" xfId="8859" xr:uid="{00000000-0005-0000-0000-0000B4200000}"/>
    <cellStyle name="Normal 4 3 7 2" xfId="11399" xr:uid="{D49FAA8E-5996-4A34-867A-6B6EC0306772}"/>
    <cellStyle name="Normal 4 3 8" xfId="10380" xr:uid="{C89FE068-AD25-447B-A8CE-00BE46E4F7F1}"/>
    <cellStyle name="Normal 4 3 8 2" xfId="11774" xr:uid="{5EF2678F-D245-463C-AA59-ED4AE794E726}"/>
    <cellStyle name="Normal 4 3 9" xfId="11847" xr:uid="{7B9823CA-84D7-4B3A-9001-62A90394D09C}"/>
    <cellStyle name="Normal 4 4" xfId="197" xr:uid="{00000000-0005-0000-0000-0000B5200000}"/>
    <cellStyle name="Normal 4 4 2" xfId="198" xr:uid="{00000000-0005-0000-0000-0000B6200000}"/>
    <cellStyle name="Normal 4 4 2 2" xfId="8860" xr:uid="{00000000-0005-0000-0000-0000B7200000}"/>
    <cellStyle name="Normal 4 4 2 2 2" xfId="11401" xr:uid="{8C56078C-E1CC-4A30-B603-7645E5CEA618}"/>
    <cellStyle name="Normal 4 4 2 2 3" xfId="11985" xr:uid="{25BB2AB5-427C-4E2E-9A66-902DA4D5F754}"/>
    <cellStyle name="Normal 4 4 2 3" xfId="8861" xr:uid="{00000000-0005-0000-0000-0000B8200000}"/>
    <cellStyle name="Normal 4 4 2 3 2" xfId="11402" xr:uid="{FDD404B6-A1D2-42FC-AAA1-34DC4FFBBA69}"/>
    <cellStyle name="Normal 4 4 2 4" xfId="10484" xr:uid="{CE4A561E-080A-4441-B7C0-F8C29881AC13}"/>
    <cellStyle name="Normal 4 4 2 5" xfId="11400" xr:uid="{744D5C8C-A6FB-468D-BBBF-EF34754CA08C}"/>
    <cellStyle name="Normal 4 4 3" xfId="199" xr:uid="{00000000-0005-0000-0000-0000B9200000}"/>
    <cellStyle name="Normal 4 4 3 2" xfId="8862" xr:uid="{00000000-0005-0000-0000-0000BA200000}"/>
    <cellStyle name="Normal 4 4 3 2 2" xfId="11403" xr:uid="{4968737B-6DAD-4A96-94AF-2C66E872CAFC}"/>
    <cellStyle name="Normal 4 4 4" xfId="8863" xr:uid="{00000000-0005-0000-0000-0000BB200000}"/>
    <cellStyle name="Normal 4 4 4 2" xfId="11984" xr:uid="{C27F2503-7259-4FD6-9AB5-E09D46F611B0}"/>
    <cellStyle name="Normal 4 4 5" xfId="8864" xr:uid="{00000000-0005-0000-0000-0000BC200000}"/>
    <cellStyle name="Normal 4 4 5 2" xfId="11404" xr:uid="{502B2F48-34D8-4292-A1C4-EC9823834412}"/>
    <cellStyle name="Normal 4 4 6" xfId="10338" xr:uid="{78941B0B-A99C-424C-872E-12808747B32F}"/>
    <cellStyle name="Normal 4 4 6 2" xfId="11762" xr:uid="{26AE82B1-676B-413C-A370-5FD6CDAFBE93}"/>
    <cellStyle name="Normal 4 4 7" xfId="10443" xr:uid="{C6DDDB09-D9E8-4977-861F-B48D87381793}"/>
    <cellStyle name="Normal 4 4 8" xfId="10554" xr:uid="{5598A2FD-F569-4FA3-98C7-2D14858C2977}"/>
    <cellStyle name="Normal 4 5" xfId="200" xr:uid="{00000000-0005-0000-0000-0000BD200000}"/>
    <cellStyle name="Normal 4 5 2" xfId="201" xr:uid="{00000000-0005-0000-0000-0000BE200000}"/>
    <cellStyle name="Normal 4 5 2 2" xfId="8865" xr:uid="{00000000-0005-0000-0000-0000BF200000}"/>
    <cellStyle name="Normal 4 5 2 2 2" xfId="11407" xr:uid="{8779DBBF-2713-422A-95D9-4C0398C28B5A}"/>
    <cellStyle name="Normal 4 5 2 3" xfId="10480" xr:uid="{F0021513-DC2A-4E23-9624-DB9EF3E20388}"/>
    <cellStyle name="Normal 4 5 2 3 2" xfId="11798" xr:uid="{08180C06-8A76-4BBB-9A7C-4B2A7EEB7EC5}"/>
    <cellStyle name="Normal 4 5 2 4" xfId="11406" xr:uid="{9685F9BB-E283-4BBF-88E4-ED69FC763681}"/>
    <cellStyle name="Normal 4 5 2 5" xfId="11872" xr:uid="{07F64658-B067-429A-952C-984069D5921A}"/>
    <cellStyle name="Normal 4 5 3" xfId="334" xr:uid="{00000000-0005-0000-0000-0000C0200000}"/>
    <cellStyle name="Normal 4 5 3 2" xfId="8866" xr:uid="{00000000-0005-0000-0000-0000C1200000}"/>
    <cellStyle name="Normal 4 5 3 2 2" xfId="11409" xr:uid="{9F3AF3BB-52EA-4024-AC7E-8E349277BD02}"/>
    <cellStyle name="Normal 4 5 3 3" xfId="10510" xr:uid="{484D4D1B-A0D2-4FB9-BF8F-800BA2906FD1}"/>
    <cellStyle name="Normal 4 5 3 3 2" xfId="11812" xr:uid="{5D6C6194-D66D-408F-B87E-92FA6C811B9F}"/>
    <cellStyle name="Normal 4 5 3 4" xfId="11408" xr:uid="{8E8D395E-0FBF-4441-88BC-13D4D6DC4B35}"/>
    <cellStyle name="Normal 4 5 3 5" xfId="11886" xr:uid="{7F0A5B22-2DD6-488C-B017-457D9240A46B}"/>
    <cellStyle name="Normal 4 5 4" xfId="8867" xr:uid="{00000000-0005-0000-0000-0000C2200000}"/>
    <cellStyle name="Normal 4 5 4 2" xfId="11410" xr:uid="{1F20E61D-E0FE-4541-806B-98E4CB7D0932}"/>
    <cellStyle name="Normal 4 5 5" xfId="8868" xr:uid="{00000000-0005-0000-0000-0000C3200000}"/>
    <cellStyle name="Normal 4 5 5 2" xfId="11411" xr:uid="{C6A3733D-D8F3-401A-9326-E2A37F2DC518}"/>
    <cellStyle name="Normal 4 5 6" xfId="10472" xr:uid="{DA1D0F67-F65A-4BC9-B3C7-ABB967359A9D}"/>
    <cellStyle name="Normal 4 5 6 2" xfId="11795" xr:uid="{2A4DFB4B-66A3-4B5A-9A0C-3AE7F6CD1485}"/>
    <cellStyle name="Normal 4 5 7" xfId="11405" xr:uid="{C2967F9E-9BE5-49C3-BF87-6F8BD0BF1701}"/>
    <cellStyle name="Normal 4 5 8" xfId="11869" xr:uid="{B09B7943-C7C1-4F9C-9801-90DBFFC1D7D6}"/>
    <cellStyle name="Normal 4 6" xfId="335" xr:uid="{00000000-0005-0000-0000-0000C4200000}"/>
    <cellStyle name="Normal 4 6 2" xfId="8869" xr:uid="{00000000-0005-0000-0000-0000C5200000}"/>
    <cellStyle name="Normal 4 6 2 2" xfId="11413" xr:uid="{B29D2A64-40E4-426D-A71D-A2129DDA7AF3}"/>
    <cellStyle name="Normal 4 6 3" xfId="10401" xr:uid="{C115E8E2-5F73-4E26-BA49-C7F41D58F897}"/>
    <cellStyle name="Normal 4 6 3 2" xfId="11783" xr:uid="{0C8DA070-E402-45D1-B774-778805A49F14}"/>
    <cellStyle name="Normal 4 6 4" xfId="11412" xr:uid="{C653F9BE-ECFB-497B-A369-9AC561653A78}"/>
    <cellStyle name="Normal 4 6 5" xfId="11855" xr:uid="{BC065930-74CD-4E9F-9992-F2252C87C839}"/>
    <cellStyle name="Normal 4 7" xfId="336" xr:uid="{00000000-0005-0000-0000-0000C6200000}"/>
    <cellStyle name="Normal 4 7 2" xfId="8870" xr:uid="{00000000-0005-0000-0000-0000C7200000}"/>
    <cellStyle name="Normal 4 7 2 2" xfId="11415" xr:uid="{B78468C5-F63B-4813-BD85-5A42E5323620}"/>
    <cellStyle name="Normal 4 7 3" xfId="10391" xr:uid="{37AD9904-920F-417D-9A63-D9DCBE91A12B}"/>
    <cellStyle name="Normal 4 7 3 2" xfId="11780" xr:uid="{82B5F295-C587-41C2-AE7C-3FEB73A0FD80}"/>
    <cellStyle name="Normal 4 7 4" xfId="11414" xr:uid="{8D6B1685-7A83-428D-B612-A8C8A6B7B7B8}"/>
    <cellStyle name="Normal 4 7 5" xfId="11852" xr:uid="{66E70F86-4BD0-4A02-A097-4FE6B4C8F9AD}"/>
    <cellStyle name="Normal 4 8" xfId="7702" xr:uid="{00000000-0005-0000-0000-0000C8200000}"/>
    <cellStyle name="Normal 4 8 2" xfId="8166" xr:uid="{00000000-0005-0000-0000-0000C9200000}"/>
    <cellStyle name="Normal 4 8 2 2" xfId="11416" xr:uid="{C0C8708C-5DBC-40AA-9A8C-310781932652}"/>
    <cellStyle name="Normal 4 8 3" xfId="9937" xr:uid="{AD685B6D-4AC7-467D-B5D2-28D215436F97}"/>
    <cellStyle name="Normal 4 8 3 2" xfId="11417" xr:uid="{8C06E3F9-5335-4464-9B74-5FCC0229893E}"/>
    <cellStyle name="Normal 4 8 4" xfId="10530" xr:uid="{B55EF11B-B27C-4502-9BA1-BE7F7150AA18}"/>
    <cellStyle name="Normal 4 8 5" xfId="9936" xr:uid="{BC1B8EE6-B88C-4B0D-9085-E1A663975598}"/>
    <cellStyle name="Normal 4 9" xfId="7703" xr:uid="{00000000-0005-0000-0000-0000CA200000}"/>
    <cellStyle name="Normal 4 9 2" xfId="10384" xr:uid="{71469D81-869D-447A-938A-8FFA888AA69C}"/>
    <cellStyle name="Normal 4 9 2 2" xfId="11777" xr:uid="{27018961-3531-4667-8316-FBECA7524666}"/>
    <cellStyle name="Normal 4 9 3" xfId="11418" xr:uid="{D052AFCA-BD51-411A-A187-C3AE8120E8B4}"/>
    <cellStyle name="Normal 4 9 4" xfId="11849" xr:uid="{E03B0259-C7F2-478F-9A44-8D80EB24BFA7}"/>
    <cellStyle name="Normal 40" xfId="337" xr:uid="{00000000-0005-0000-0000-0000CB200000}"/>
    <cellStyle name="Normal 41" xfId="338" xr:uid="{00000000-0005-0000-0000-0000CC200000}"/>
    <cellStyle name="Normal 41 6" xfId="9372" xr:uid="{9F1EE38C-3E4D-4327-804C-7B1E895D9342}"/>
    <cellStyle name="Normal 42" xfId="339" xr:uid="{00000000-0005-0000-0000-0000CD200000}"/>
    <cellStyle name="Normal 43" xfId="340" xr:uid="{00000000-0005-0000-0000-0000CE200000}"/>
    <cellStyle name="Normal 44" xfId="341" xr:uid="{00000000-0005-0000-0000-0000CF200000}"/>
    <cellStyle name="Normal 45" xfId="342" xr:uid="{00000000-0005-0000-0000-0000D0200000}"/>
    <cellStyle name="Normal 46" xfId="343" xr:uid="{00000000-0005-0000-0000-0000D1200000}"/>
    <cellStyle name="Normal 47" xfId="344" xr:uid="{00000000-0005-0000-0000-0000D2200000}"/>
    <cellStyle name="Normal 48" xfId="345" xr:uid="{00000000-0005-0000-0000-0000D3200000}"/>
    <cellStyle name="Normal 48 2" xfId="346" xr:uid="{00000000-0005-0000-0000-0000D4200000}"/>
    <cellStyle name="Normal 48 2 2" xfId="11420" xr:uid="{FD94371A-A8C6-408F-887A-860D4EF4C552}"/>
    <cellStyle name="Normal 48 2 3" xfId="11987" xr:uid="{238DFD0A-EFA4-4F53-9F7F-D4CE80440579}"/>
    <cellStyle name="Normal 48 3" xfId="11419" xr:uid="{1D38B06C-6360-4D18-94DC-47D1CA24EE33}"/>
    <cellStyle name="Normal 48 4" xfId="11986" xr:uid="{E8BFEFB1-6FA3-4CD5-A733-0EE37B8021C4}"/>
    <cellStyle name="Normal 49" xfId="347" xr:uid="{00000000-0005-0000-0000-0000D5200000}"/>
    <cellStyle name="Normal 5" xfId="202" xr:uid="{00000000-0005-0000-0000-0000D6200000}"/>
    <cellStyle name="Normal 5 10" xfId="7704" xr:uid="{00000000-0005-0000-0000-0000D7200000}"/>
    <cellStyle name="Normal 5 10 2" xfId="7705" xr:uid="{00000000-0005-0000-0000-0000D8200000}"/>
    <cellStyle name="Normal 5 10 2 2" xfId="7706" xr:uid="{00000000-0005-0000-0000-0000D9200000}"/>
    <cellStyle name="Normal 5 10 3" xfId="7707" xr:uid="{00000000-0005-0000-0000-0000DA200000}"/>
    <cellStyle name="Normal 5 11" xfId="7708" xr:uid="{00000000-0005-0000-0000-0000DB200000}"/>
    <cellStyle name="Normal 5 11 2" xfId="7709" xr:uid="{00000000-0005-0000-0000-0000DC200000}"/>
    <cellStyle name="Normal 5 11 2 2" xfId="7710" xr:uid="{00000000-0005-0000-0000-0000DD200000}"/>
    <cellStyle name="Normal 5 11 3" xfId="7711" xr:uid="{00000000-0005-0000-0000-0000DE200000}"/>
    <cellStyle name="Normal 5 12" xfId="7712" xr:uid="{00000000-0005-0000-0000-0000DF200000}"/>
    <cellStyle name="Normal 5 12 2" xfId="7713" xr:uid="{00000000-0005-0000-0000-0000E0200000}"/>
    <cellStyle name="Normal 5 12 2 2" xfId="7714" xr:uid="{00000000-0005-0000-0000-0000E1200000}"/>
    <cellStyle name="Normal 5 12 3" xfId="7715" xr:uid="{00000000-0005-0000-0000-0000E2200000}"/>
    <cellStyle name="Normal 5 13" xfId="7716" xr:uid="{00000000-0005-0000-0000-0000E3200000}"/>
    <cellStyle name="Normal 5 13 2" xfId="7717" xr:uid="{00000000-0005-0000-0000-0000E4200000}"/>
    <cellStyle name="Normal 5 13 2 2" xfId="7718" xr:uid="{00000000-0005-0000-0000-0000E5200000}"/>
    <cellStyle name="Normal 5 13 3" xfId="7719" xr:uid="{00000000-0005-0000-0000-0000E6200000}"/>
    <cellStyle name="Normal 5 14" xfId="7720" xr:uid="{00000000-0005-0000-0000-0000E7200000}"/>
    <cellStyle name="Normal 5 14 2" xfId="7721" xr:uid="{00000000-0005-0000-0000-0000E8200000}"/>
    <cellStyle name="Normal 5 14 2 2" xfId="7722" xr:uid="{00000000-0005-0000-0000-0000E9200000}"/>
    <cellStyle name="Normal 5 14 3" xfId="7723" xr:uid="{00000000-0005-0000-0000-0000EA200000}"/>
    <cellStyle name="Normal 5 15" xfId="7724" xr:uid="{00000000-0005-0000-0000-0000EB200000}"/>
    <cellStyle name="Normal 5 15 2" xfId="7725" xr:uid="{00000000-0005-0000-0000-0000EC200000}"/>
    <cellStyle name="Normal 5 15 2 2" xfId="7726" xr:uid="{00000000-0005-0000-0000-0000ED200000}"/>
    <cellStyle name="Normal 5 15 3" xfId="7727" xr:uid="{00000000-0005-0000-0000-0000EE200000}"/>
    <cellStyle name="Normal 5 16" xfId="7728" xr:uid="{00000000-0005-0000-0000-0000EF200000}"/>
    <cellStyle name="Normal 5 16 2" xfId="7729" xr:uid="{00000000-0005-0000-0000-0000F0200000}"/>
    <cellStyle name="Normal 5 16 2 2" xfId="7730" xr:uid="{00000000-0005-0000-0000-0000F1200000}"/>
    <cellStyle name="Normal 5 16 3" xfId="7731" xr:uid="{00000000-0005-0000-0000-0000F2200000}"/>
    <cellStyle name="Normal 5 17" xfId="7732" xr:uid="{00000000-0005-0000-0000-0000F3200000}"/>
    <cellStyle name="Normal 5 17 2" xfId="7733" xr:uid="{00000000-0005-0000-0000-0000F4200000}"/>
    <cellStyle name="Normal 5 17 2 2" xfId="7734" xr:uid="{00000000-0005-0000-0000-0000F5200000}"/>
    <cellStyle name="Normal 5 17 3" xfId="7735" xr:uid="{00000000-0005-0000-0000-0000F6200000}"/>
    <cellStyle name="Normal 5 18" xfId="7736" xr:uid="{00000000-0005-0000-0000-0000F7200000}"/>
    <cellStyle name="Normal 5 18 2" xfId="7737" xr:uid="{00000000-0005-0000-0000-0000F8200000}"/>
    <cellStyle name="Normal 5 18 2 2" xfId="7738" xr:uid="{00000000-0005-0000-0000-0000F9200000}"/>
    <cellStyle name="Normal 5 18 3" xfId="7739" xr:uid="{00000000-0005-0000-0000-0000FA200000}"/>
    <cellStyle name="Normal 5 19" xfId="7740" xr:uid="{00000000-0005-0000-0000-0000FB200000}"/>
    <cellStyle name="Normal 5 19 2" xfId="7741" xr:uid="{00000000-0005-0000-0000-0000FC200000}"/>
    <cellStyle name="Normal 5 19 2 2" xfId="7742" xr:uid="{00000000-0005-0000-0000-0000FD200000}"/>
    <cellStyle name="Normal 5 19 3" xfId="7743" xr:uid="{00000000-0005-0000-0000-0000FE200000}"/>
    <cellStyle name="Normal 5 2" xfId="203" xr:uid="{00000000-0005-0000-0000-0000FF200000}"/>
    <cellStyle name="Normal 5 2 10" xfId="7744" xr:uid="{00000000-0005-0000-0000-000000210000}"/>
    <cellStyle name="Normal 5 2 10 2" xfId="7745" xr:uid="{00000000-0005-0000-0000-000001210000}"/>
    <cellStyle name="Normal 5 2 10 2 2" xfId="7746" xr:uid="{00000000-0005-0000-0000-000002210000}"/>
    <cellStyle name="Normal 5 2 10 3" xfId="7747" xr:uid="{00000000-0005-0000-0000-000003210000}"/>
    <cellStyle name="Normal 5 2 11" xfId="7748" xr:uid="{00000000-0005-0000-0000-000004210000}"/>
    <cellStyle name="Normal 5 2 11 2" xfId="7749" xr:uid="{00000000-0005-0000-0000-000005210000}"/>
    <cellStyle name="Normal 5 2 11 2 2" xfId="7750" xr:uid="{00000000-0005-0000-0000-000006210000}"/>
    <cellStyle name="Normal 5 2 11 3" xfId="7751" xr:uid="{00000000-0005-0000-0000-000007210000}"/>
    <cellStyle name="Normal 5 2 12" xfId="7752" xr:uid="{00000000-0005-0000-0000-000008210000}"/>
    <cellStyle name="Normal 5 2 12 2" xfId="7753" xr:uid="{00000000-0005-0000-0000-000009210000}"/>
    <cellStyle name="Normal 5 2 12 2 2" xfId="7754" xr:uid="{00000000-0005-0000-0000-00000A210000}"/>
    <cellStyle name="Normal 5 2 12 3" xfId="7755" xr:uid="{00000000-0005-0000-0000-00000B210000}"/>
    <cellStyle name="Normal 5 2 13" xfId="7756" xr:uid="{00000000-0005-0000-0000-00000C210000}"/>
    <cellStyle name="Normal 5 2 13 2" xfId="7757" xr:uid="{00000000-0005-0000-0000-00000D210000}"/>
    <cellStyle name="Normal 5 2 13 2 2" xfId="7758" xr:uid="{00000000-0005-0000-0000-00000E210000}"/>
    <cellStyle name="Normal 5 2 13 3" xfId="7759" xr:uid="{00000000-0005-0000-0000-00000F210000}"/>
    <cellStyle name="Normal 5 2 14" xfId="7760" xr:uid="{00000000-0005-0000-0000-000010210000}"/>
    <cellStyle name="Normal 5 2 14 2" xfId="7761" xr:uid="{00000000-0005-0000-0000-000011210000}"/>
    <cellStyle name="Normal 5 2 14 2 2" xfId="7762" xr:uid="{00000000-0005-0000-0000-000012210000}"/>
    <cellStyle name="Normal 5 2 14 3" xfId="7763" xr:uid="{00000000-0005-0000-0000-000013210000}"/>
    <cellStyle name="Normal 5 2 15" xfId="7764" xr:uid="{00000000-0005-0000-0000-000014210000}"/>
    <cellStyle name="Normal 5 2 15 2" xfId="7765" xr:uid="{00000000-0005-0000-0000-000015210000}"/>
    <cellStyle name="Normal 5 2 15 2 2" xfId="7766" xr:uid="{00000000-0005-0000-0000-000016210000}"/>
    <cellStyle name="Normal 5 2 15 3" xfId="7767" xr:uid="{00000000-0005-0000-0000-000017210000}"/>
    <cellStyle name="Normal 5 2 16" xfId="7768" xr:uid="{00000000-0005-0000-0000-000018210000}"/>
    <cellStyle name="Normal 5 2 16 2" xfId="7769" xr:uid="{00000000-0005-0000-0000-000019210000}"/>
    <cellStyle name="Normal 5 2 16 2 2" xfId="7770" xr:uid="{00000000-0005-0000-0000-00001A210000}"/>
    <cellStyle name="Normal 5 2 16 3" xfId="7771" xr:uid="{00000000-0005-0000-0000-00001B210000}"/>
    <cellStyle name="Normal 5 2 17" xfId="7772" xr:uid="{00000000-0005-0000-0000-00001C210000}"/>
    <cellStyle name="Normal 5 2 17 2" xfId="7773" xr:uid="{00000000-0005-0000-0000-00001D210000}"/>
    <cellStyle name="Normal 5 2 17 2 2" xfId="7774" xr:uid="{00000000-0005-0000-0000-00001E210000}"/>
    <cellStyle name="Normal 5 2 17 3" xfId="7775" xr:uid="{00000000-0005-0000-0000-00001F210000}"/>
    <cellStyle name="Normal 5 2 18" xfId="7776" xr:uid="{00000000-0005-0000-0000-000020210000}"/>
    <cellStyle name="Normal 5 2 18 2" xfId="7777" xr:uid="{00000000-0005-0000-0000-000021210000}"/>
    <cellStyle name="Normal 5 2 18 2 2" xfId="7778" xr:uid="{00000000-0005-0000-0000-000022210000}"/>
    <cellStyle name="Normal 5 2 18 3" xfId="7779" xr:uid="{00000000-0005-0000-0000-000023210000}"/>
    <cellStyle name="Normal 5 2 19" xfId="7780" xr:uid="{00000000-0005-0000-0000-000024210000}"/>
    <cellStyle name="Normal 5 2 19 2" xfId="7781" xr:uid="{00000000-0005-0000-0000-000025210000}"/>
    <cellStyle name="Normal 5 2 19 2 2" xfId="7782" xr:uid="{00000000-0005-0000-0000-000026210000}"/>
    <cellStyle name="Normal 5 2 19 3" xfId="7783" xr:uid="{00000000-0005-0000-0000-000027210000}"/>
    <cellStyle name="Normal 5 2 2" xfId="7784" xr:uid="{00000000-0005-0000-0000-000028210000}"/>
    <cellStyle name="Normal 5 2 2 2" xfId="7785" xr:uid="{00000000-0005-0000-0000-000029210000}"/>
    <cellStyle name="Normal 5 2 2 2 2" xfId="7786" xr:uid="{00000000-0005-0000-0000-00002A210000}"/>
    <cellStyle name="Normal 5 2 2 3" xfId="7787" xr:uid="{00000000-0005-0000-0000-00002B210000}"/>
    <cellStyle name="Normal 5 2 2 4" xfId="9145" xr:uid="{00000000-0005-0000-0000-00002C210000}"/>
    <cellStyle name="Normal 5 2 2 4 2" xfId="12069" xr:uid="{D8584F34-E036-47AD-AF6F-70E6411D2D43}"/>
    <cellStyle name="Normal 5 2 20" xfId="7788" xr:uid="{00000000-0005-0000-0000-00002D210000}"/>
    <cellStyle name="Normal 5 2 20 2" xfId="7789" xr:uid="{00000000-0005-0000-0000-00002E210000}"/>
    <cellStyle name="Normal 5 2 20 2 2" xfId="7790" xr:uid="{00000000-0005-0000-0000-00002F210000}"/>
    <cellStyle name="Normal 5 2 20 3" xfId="7791" xr:uid="{00000000-0005-0000-0000-000030210000}"/>
    <cellStyle name="Normal 5 2 21" xfId="7792" xr:uid="{00000000-0005-0000-0000-000031210000}"/>
    <cellStyle name="Normal 5 2 21 2" xfId="7793" xr:uid="{00000000-0005-0000-0000-000032210000}"/>
    <cellStyle name="Normal 5 2 21 2 2" xfId="7794" xr:uid="{00000000-0005-0000-0000-000033210000}"/>
    <cellStyle name="Normal 5 2 21 3" xfId="7795" xr:uid="{00000000-0005-0000-0000-000034210000}"/>
    <cellStyle name="Normal 5 2 22" xfId="7796" xr:uid="{00000000-0005-0000-0000-000035210000}"/>
    <cellStyle name="Normal 5 2 22 2" xfId="7797" xr:uid="{00000000-0005-0000-0000-000036210000}"/>
    <cellStyle name="Normal 5 2 22 2 2" xfId="7798" xr:uid="{00000000-0005-0000-0000-000037210000}"/>
    <cellStyle name="Normal 5 2 22 3" xfId="7799" xr:uid="{00000000-0005-0000-0000-000038210000}"/>
    <cellStyle name="Normal 5 2 23" xfId="7800" xr:uid="{00000000-0005-0000-0000-000039210000}"/>
    <cellStyle name="Normal 5 2 23 2" xfId="7801" xr:uid="{00000000-0005-0000-0000-00003A210000}"/>
    <cellStyle name="Normal 5 2 23 2 2" xfId="7802" xr:uid="{00000000-0005-0000-0000-00003B210000}"/>
    <cellStyle name="Normal 5 2 23 3" xfId="7803" xr:uid="{00000000-0005-0000-0000-00003C210000}"/>
    <cellStyle name="Normal 5 2 24" xfId="7804" xr:uid="{00000000-0005-0000-0000-00003D210000}"/>
    <cellStyle name="Normal 5 2 25" xfId="7805" xr:uid="{00000000-0005-0000-0000-00003E210000}"/>
    <cellStyle name="Normal 5 2 25 2" xfId="7806" xr:uid="{00000000-0005-0000-0000-00003F210000}"/>
    <cellStyle name="Normal 5 2 26" xfId="7807" xr:uid="{00000000-0005-0000-0000-000040210000}"/>
    <cellStyle name="Normal 5 2 27" xfId="9123" xr:uid="{00000000-0005-0000-0000-000041210000}"/>
    <cellStyle name="Normal 5 2 3" xfId="7808" xr:uid="{00000000-0005-0000-0000-000042210000}"/>
    <cellStyle name="Normal 5 2 3 2" xfId="7809" xr:uid="{00000000-0005-0000-0000-000043210000}"/>
    <cellStyle name="Normal 5 2 3 2 2" xfId="7810" xr:uid="{00000000-0005-0000-0000-000044210000}"/>
    <cellStyle name="Normal 5 2 3 3" xfId="7811" xr:uid="{00000000-0005-0000-0000-000045210000}"/>
    <cellStyle name="Normal 5 2 4" xfId="7812" xr:uid="{00000000-0005-0000-0000-000046210000}"/>
    <cellStyle name="Normal 5 2 4 2" xfId="7813" xr:uid="{00000000-0005-0000-0000-000047210000}"/>
    <cellStyle name="Normal 5 2 4 2 2" xfId="7814" xr:uid="{00000000-0005-0000-0000-000048210000}"/>
    <cellStyle name="Normal 5 2 4 3" xfId="7815" xr:uid="{00000000-0005-0000-0000-000049210000}"/>
    <cellStyle name="Normal 5 2 5" xfId="7816" xr:uid="{00000000-0005-0000-0000-00004A210000}"/>
    <cellStyle name="Normal 5 2 5 2" xfId="7817" xr:uid="{00000000-0005-0000-0000-00004B210000}"/>
    <cellStyle name="Normal 5 2 5 2 2" xfId="7818" xr:uid="{00000000-0005-0000-0000-00004C210000}"/>
    <cellStyle name="Normal 5 2 5 3" xfId="7819" xr:uid="{00000000-0005-0000-0000-00004D210000}"/>
    <cellStyle name="Normal 5 2 6" xfId="7820" xr:uid="{00000000-0005-0000-0000-00004E210000}"/>
    <cellStyle name="Normal 5 2 6 2" xfId="7821" xr:uid="{00000000-0005-0000-0000-00004F210000}"/>
    <cellStyle name="Normal 5 2 6 2 2" xfId="7822" xr:uid="{00000000-0005-0000-0000-000050210000}"/>
    <cellStyle name="Normal 5 2 6 3" xfId="7823" xr:uid="{00000000-0005-0000-0000-000051210000}"/>
    <cellStyle name="Normal 5 2 7" xfId="7824" xr:uid="{00000000-0005-0000-0000-000052210000}"/>
    <cellStyle name="Normal 5 2 7 2" xfId="7825" xr:uid="{00000000-0005-0000-0000-000053210000}"/>
    <cellStyle name="Normal 5 2 7 2 2" xfId="7826" xr:uid="{00000000-0005-0000-0000-000054210000}"/>
    <cellStyle name="Normal 5 2 7 3" xfId="7827" xr:uid="{00000000-0005-0000-0000-000055210000}"/>
    <cellStyle name="Normal 5 2 8" xfId="7828" xr:uid="{00000000-0005-0000-0000-000056210000}"/>
    <cellStyle name="Normal 5 2 8 2" xfId="7829" xr:uid="{00000000-0005-0000-0000-000057210000}"/>
    <cellStyle name="Normal 5 2 8 2 2" xfId="7830" xr:uid="{00000000-0005-0000-0000-000058210000}"/>
    <cellStyle name="Normal 5 2 8 3" xfId="7831" xr:uid="{00000000-0005-0000-0000-000059210000}"/>
    <cellStyle name="Normal 5 2 9" xfId="7832" xr:uid="{00000000-0005-0000-0000-00005A210000}"/>
    <cellStyle name="Normal 5 2 9 2" xfId="7833" xr:uid="{00000000-0005-0000-0000-00005B210000}"/>
    <cellStyle name="Normal 5 2 9 2 2" xfId="7834" xr:uid="{00000000-0005-0000-0000-00005C210000}"/>
    <cellStyle name="Normal 5 2 9 3" xfId="7835" xr:uid="{00000000-0005-0000-0000-00005D210000}"/>
    <cellStyle name="Normal 5 20" xfId="7836" xr:uid="{00000000-0005-0000-0000-00005E210000}"/>
    <cellStyle name="Normal 5 20 2" xfId="7837" xr:uid="{00000000-0005-0000-0000-00005F210000}"/>
    <cellStyle name="Normal 5 20 2 2" xfId="7838" xr:uid="{00000000-0005-0000-0000-000060210000}"/>
    <cellStyle name="Normal 5 20 3" xfId="7839" xr:uid="{00000000-0005-0000-0000-000061210000}"/>
    <cellStyle name="Normal 5 21" xfId="7840" xr:uid="{00000000-0005-0000-0000-000062210000}"/>
    <cellStyle name="Normal 5 21 2" xfId="7841" xr:uid="{00000000-0005-0000-0000-000063210000}"/>
    <cellStyle name="Normal 5 21 2 2" xfId="7842" xr:uid="{00000000-0005-0000-0000-000064210000}"/>
    <cellStyle name="Normal 5 21 3" xfId="7843" xr:uid="{00000000-0005-0000-0000-000065210000}"/>
    <cellStyle name="Normal 5 22" xfId="7844" xr:uid="{00000000-0005-0000-0000-000066210000}"/>
    <cellStyle name="Normal 5 22 2" xfId="7845" xr:uid="{00000000-0005-0000-0000-000067210000}"/>
    <cellStyle name="Normal 5 22 2 2" xfId="7846" xr:uid="{00000000-0005-0000-0000-000068210000}"/>
    <cellStyle name="Normal 5 22 3" xfId="7847" xr:uid="{00000000-0005-0000-0000-000069210000}"/>
    <cellStyle name="Normal 5 23" xfId="7848" xr:uid="{00000000-0005-0000-0000-00006A210000}"/>
    <cellStyle name="Normal 5 23 2" xfId="7849" xr:uid="{00000000-0005-0000-0000-00006B210000}"/>
    <cellStyle name="Normal 5 23 2 2" xfId="7850" xr:uid="{00000000-0005-0000-0000-00006C210000}"/>
    <cellStyle name="Normal 5 23 3" xfId="7851" xr:uid="{00000000-0005-0000-0000-00006D210000}"/>
    <cellStyle name="Normal 5 24" xfId="7852" xr:uid="{00000000-0005-0000-0000-00006E210000}"/>
    <cellStyle name="Normal 5 24 2" xfId="7853" xr:uid="{00000000-0005-0000-0000-00006F210000}"/>
    <cellStyle name="Normal 5 24 2 2" xfId="7854" xr:uid="{00000000-0005-0000-0000-000070210000}"/>
    <cellStyle name="Normal 5 24 3" xfId="7855" xr:uid="{00000000-0005-0000-0000-000071210000}"/>
    <cellStyle name="Normal 5 25" xfId="7856" xr:uid="{00000000-0005-0000-0000-000072210000}"/>
    <cellStyle name="Normal 5 26" xfId="7857" xr:uid="{00000000-0005-0000-0000-000073210000}"/>
    <cellStyle name="Normal 5 26 2" xfId="7858" xr:uid="{00000000-0005-0000-0000-000074210000}"/>
    <cellStyle name="Normal 5 27" xfId="7859" xr:uid="{00000000-0005-0000-0000-000075210000}"/>
    <cellStyle name="Normal 5 28" xfId="7860" xr:uid="{00000000-0005-0000-0000-000076210000}"/>
    <cellStyle name="Normal 5 29" xfId="10339" xr:uid="{703104AD-CB00-4703-8A43-E0137AEEAE21}"/>
    <cellStyle name="Normal 5 29 2" xfId="11763" xr:uid="{A7BF05C0-B61D-4060-AF29-BB6325D40B95}"/>
    <cellStyle name="Normal 5 3" xfId="7861" xr:uid="{00000000-0005-0000-0000-000077210000}"/>
    <cellStyle name="Normal 5 3 2" xfId="7862" xr:uid="{00000000-0005-0000-0000-000078210000}"/>
    <cellStyle name="Normal 5 3 2 2" xfId="7863" xr:uid="{00000000-0005-0000-0000-000079210000}"/>
    <cellStyle name="Normal 5 3 2 2 2" xfId="8872" xr:uid="{00000000-0005-0000-0000-00007A210000}"/>
    <cellStyle name="Normal 5 3 2 2 2 2" xfId="11423" xr:uid="{36504400-758D-4F4C-9E5C-D895540A9067}"/>
    <cellStyle name="Normal 5 3 2 2 3" xfId="8871" xr:uid="{00000000-0005-0000-0000-00007B210000}"/>
    <cellStyle name="Normal 5 3 2 2 3 2" xfId="10499" xr:uid="{07855F0E-3707-4803-8690-DF10438EE4D7}"/>
    <cellStyle name="Normal 5 3 2 2 4" xfId="11422" xr:uid="{4DB52F13-8E28-49F3-A403-467212A42777}"/>
    <cellStyle name="Normal 5 3 2 3" xfId="8873" xr:uid="{00000000-0005-0000-0000-00007C210000}"/>
    <cellStyle name="Normal 5 3 2 3 2" xfId="8874" xr:uid="{00000000-0005-0000-0000-00007D210000}"/>
    <cellStyle name="Normal 5 3 2 3 2 2" xfId="11425" xr:uid="{133DA8EE-290C-4C19-A01F-C7BF567C82AD}"/>
    <cellStyle name="Normal 5 3 2 3 3" xfId="11424" xr:uid="{8F674B98-7B28-4C8A-BD22-A6B9919EF852}"/>
    <cellStyle name="Normal 5 3 2 3 4" xfId="12071" xr:uid="{378F4A33-9BAF-475F-BA93-44399BCFC437}"/>
    <cellStyle name="Normal 5 3 2 4" xfId="8875" xr:uid="{00000000-0005-0000-0000-00007E210000}"/>
    <cellStyle name="Normal 5 3 2 4 2" xfId="11426" xr:uid="{C5B29EDD-3317-4F9D-B9C8-E916203975CF}"/>
    <cellStyle name="Normal 5 3 2 5" xfId="10457" xr:uid="{FB845B21-4F33-430C-B401-C34360A8CB3D}"/>
    <cellStyle name="Normal 5 3 2 6" xfId="11421" xr:uid="{EF8EF83C-85DD-4593-BE05-1FAC16AA0FAB}"/>
    <cellStyle name="Normal 5 3 3" xfId="7864" xr:uid="{00000000-0005-0000-0000-00007F210000}"/>
    <cellStyle name="Normal 5 3 3 2" xfId="8877" xr:uid="{00000000-0005-0000-0000-000080210000}"/>
    <cellStyle name="Normal 5 3 3 2 2" xfId="11427" xr:uid="{B79DF595-B02B-493A-A462-1D72C6EE0E07}"/>
    <cellStyle name="Normal 5 3 3 3" xfId="8876" xr:uid="{00000000-0005-0000-0000-000081210000}"/>
    <cellStyle name="Normal 5 3 3 3 2" xfId="11428" xr:uid="{832E87BA-67A6-438E-AADE-EF3D4202CD9B}"/>
    <cellStyle name="Normal 5 3 4" xfId="8878" xr:uid="{00000000-0005-0000-0000-000082210000}"/>
    <cellStyle name="Normal 5 3 4 2" xfId="8879" xr:uid="{00000000-0005-0000-0000-000083210000}"/>
    <cellStyle name="Normal 5 3 4 2 2" xfId="11430" xr:uid="{B6F3C191-7489-43D2-90F1-9455EA246380}"/>
    <cellStyle name="Normal 5 3 4 3" xfId="11429" xr:uid="{346E1172-8AFB-4B0F-B9A3-1DB20C511920}"/>
    <cellStyle name="Normal 5 3 4 4" xfId="12070" xr:uid="{9D67FFC4-2B59-47C5-BD45-52CE70E41E83}"/>
    <cellStyle name="Normal 5 3 5" xfId="8880" xr:uid="{00000000-0005-0000-0000-000084210000}"/>
    <cellStyle name="Normal 5 3 5 2" xfId="11431" xr:uid="{D1DE52CC-C133-4C27-9028-5849749552FE}"/>
    <cellStyle name="Normal 5 4" xfId="7865" xr:uid="{00000000-0005-0000-0000-000085210000}"/>
    <cellStyle name="Normal 5 4 2" xfId="7866" xr:uid="{00000000-0005-0000-0000-000086210000}"/>
    <cellStyle name="Normal 5 4 2 2" xfId="7867" xr:uid="{00000000-0005-0000-0000-000087210000}"/>
    <cellStyle name="Normal 5 4 2 2 2" xfId="8882" xr:uid="{00000000-0005-0000-0000-000088210000}"/>
    <cellStyle name="Normal 5 4 2 2 2 2" xfId="11434" xr:uid="{6787DD82-B5C4-40AB-8D57-8605403AE57D}"/>
    <cellStyle name="Normal 5 4 2 2 3" xfId="8881" xr:uid="{00000000-0005-0000-0000-000089210000}"/>
    <cellStyle name="Normal 5 4 2 2 3 2" xfId="10500" xr:uid="{C0948724-FCD2-4F82-9ED1-72287FBF839C}"/>
    <cellStyle name="Normal 5 4 2 2 4" xfId="11433" xr:uid="{21CA64AB-31A3-49C5-A82B-4D906BC7E661}"/>
    <cellStyle name="Normal 5 4 2 3" xfId="8883" xr:uid="{00000000-0005-0000-0000-00008A210000}"/>
    <cellStyle name="Normal 5 4 2 3 2" xfId="8884" xr:uid="{00000000-0005-0000-0000-00008B210000}"/>
    <cellStyle name="Normal 5 4 2 3 2 2" xfId="11436" xr:uid="{5417F853-6F6C-490B-808C-EFD594D87283}"/>
    <cellStyle name="Normal 5 4 2 3 3" xfId="11435" xr:uid="{6EBF1E78-0A25-4709-8B18-5036F96D659D}"/>
    <cellStyle name="Normal 5 4 2 3 4" xfId="12073" xr:uid="{5DA95C6D-D88D-479A-B399-DEFF1AD6D34E}"/>
    <cellStyle name="Normal 5 4 2 4" xfId="8885" xr:uid="{00000000-0005-0000-0000-00008C210000}"/>
    <cellStyle name="Normal 5 4 2 4 2" xfId="11437" xr:uid="{1C0A8D83-6E9A-48A6-8F5E-A1A4D65F9734}"/>
    <cellStyle name="Normal 5 4 2 5" xfId="10458" xr:uid="{AAE51A0A-4ADD-4881-84C2-6F04166C2D0D}"/>
    <cellStyle name="Normal 5 4 2 6" xfId="11432" xr:uid="{A38C472A-761F-42CD-8290-0C8BBD32DC90}"/>
    <cellStyle name="Normal 5 4 3" xfId="7868" xr:uid="{00000000-0005-0000-0000-00008D210000}"/>
    <cellStyle name="Normal 5 4 3 2" xfId="8887" xr:uid="{00000000-0005-0000-0000-00008E210000}"/>
    <cellStyle name="Normal 5 4 3 2 2" xfId="11439" xr:uid="{6BC96C8C-4051-4376-8198-5D056594DC45}"/>
    <cellStyle name="Normal 5 4 3 3" xfId="8886" xr:uid="{00000000-0005-0000-0000-00008F210000}"/>
    <cellStyle name="Normal 5 4 3 3 2" xfId="10473" xr:uid="{AF779C26-C246-43B7-9E73-A300CCEFE7D9}"/>
    <cellStyle name="Normal 5 4 3 4" xfId="11438" xr:uid="{4C523B4D-2AF5-4AF4-B6DB-F47BC81785A9}"/>
    <cellStyle name="Normal 5 4 4" xfId="8888" xr:uid="{00000000-0005-0000-0000-000090210000}"/>
    <cellStyle name="Normal 5 4 4 2" xfId="8889" xr:uid="{00000000-0005-0000-0000-000091210000}"/>
    <cellStyle name="Normal 5 4 4 2 2" xfId="11441" xr:uid="{3DF00666-17C7-48C9-A49C-D224BFA46011}"/>
    <cellStyle name="Normal 5 4 4 3" xfId="11440" xr:uid="{5765D7D4-1C79-469F-B894-9383B6836843}"/>
    <cellStyle name="Normal 5 4 4 4" xfId="12072" xr:uid="{AB7FB044-CDC7-420F-839D-F4E1B5A0472B}"/>
    <cellStyle name="Normal 5 4 5" xfId="8890" xr:uid="{00000000-0005-0000-0000-000092210000}"/>
    <cellStyle name="Normal 5 4 5 2" xfId="11442" xr:uid="{B4E49E04-35EB-4D0C-8283-CB045A95D59F}"/>
    <cellStyle name="Normal 5 4 6" xfId="10430" xr:uid="{80E9F111-E5F0-44C9-9B12-03F59020DADF}"/>
    <cellStyle name="Normal 5 4 7" xfId="10628" xr:uid="{823DDF64-44A2-4BB0-910B-1D678DC693D2}"/>
    <cellStyle name="Normal 5 5" xfId="7869" xr:uid="{00000000-0005-0000-0000-000093210000}"/>
    <cellStyle name="Normal 5 5 2" xfId="7870" xr:uid="{00000000-0005-0000-0000-000094210000}"/>
    <cellStyle name="Normal 5 5 2 2" xfId="7871" xr:uid="{00000000-0005-0000-0000-000095210000}"/>
    <cellStyle name="Normal 5 5 2 2 2" xfId="8892" xr:uid="{00000000-0005-0000-0000-000096210000}"/>
    <cellStyle name="Normal 5 5 2 2 2 2" xfId="11446" xr:uid="{9B2572F7-97F5-4830-902C-B0D30878EA1D}"/>
    <cellStyle name="Normal 5 5 2 2 3" xfId="8891" xr:uid="{00000000-0005-0000-0000-000097210000}"/>
    <cellStyle name="Normal 5 5 2 2 3 2" xfId="10501" xr:uid="{7626566E-FB4C-40B8-919B-88874B499FC3}"/>
    <cellStyle name="Normal 5 5 2 2 4" xfId="11445" xr:uid="{6702C6EC-C8B3-435B-9CA5-64EF4DBEFC46}"/>
    <cellStyle name="Normal 5 5 2 3" xfId="8893" xr:uid="{00000000-0005-0000-0000-000098210000}"/>
    <cellStyle name="Normal 5 5 2 3 2" xfId="8894" xr:uid="{00000000-0005-0000-0000-000099210000}"/>
    <cellStyle name="Normal 5 5 2 3 2 2" xfId="11448" xr:uid="{177720A2-81DA-44AC-92A8-59CA45742A7D}"/>
    <cellStyle name="Normal 5 5 2 3 3" xfId="11447" xr:uid="{DCBBA171-187E-4BC8-B51C-207CF1E1608A}"/>
    <cellStyle name="Normal 5 5 2 3 4" xfId="12075" xr:uid="{7C783D60-0EF7-4CC8-B18D-30E1B7DB9CF6}"/>
    <cellStyle name="Normal 5 5 2 4" xfId="8895" xr:uid="{00000000-0005-0000-0000-00009A210000}"/>
    <cellStyle name="Normal 5 5 2 4 2" xfId="11449" xr:uid="{193F91C2-CD61-4DCF-A57F-6103E389FF5D}"/>
    <cellStyle name="Normal 5 5 2 5" xfId="10459" xr:uid="{99495153-F6FC-4263-B05A-A39CD0910764}"/>
    <cellStyle name="Normal 5 5 2 6" xfId="11444" xr:uid="{C1563313-F647-4A64-9BE8-5AE101DDC3DC}"/>
    <cellStyle name="Normal 5 5 3" xfId="7872" xr:uid="{00000000-0005-0000-0000-00009B210000}"/>
    <cellStyle name="Normal 5 5 3 2" xfId="8897" xr:uid="{00000000-0005-0000-0000-00009C210000}"/>
    <cellStyle name="Normal 5 5 3 2 2" xfId="11451" xr:uid="{8C2EFC7A-1FD8-4BAF-9569-3C7EED1DEDAC}"/>
    <cellStyle name="Normal 5 5 3 3" xfId="8896" xr:uid="{00000000-0005-0000-0000-00009D210000}"/>
    <cellStyle name="Normal 5 5 3 3 2" xfId="10474" xr:uid="{2E6BBF31-FD0C-4FAE-A48D-6E222B304C7F}"/>
    <cellStyle name="Normal 5 5 3 4" xfId="11450" xr:uid="{981A4F6B-2A3A-42F0-8CC2-123EA277A9C5}"/>
    <cellStyle name="Normal 5 5 4" xfId="8898" xr:uid="{00000000-0005-0000-0000-00009E210000}"/>
    <cellStyle name="Normal 5 5 4 2" xfId="8899" xr:uid="{00000000-0005-0000-0000-00009F210000}"/>
    <cellStyle name="Normal 5 5 4 2 2" xfId="11453" xr:uid="{27FF6EC4-A845-4A46-A48F-7D961F3219FB}"/>
    <cellStyle name="Normal 5 5 4 3" xfId="11452" xr:uid="{016FEB7D-3177-4AB5-B321-2F532A52A4CE}"/>
    <cellStyle name="Normal 5 5 4 4" xfId="12074" xr:uid="{6960530B-FAF8-4F86-93C7-F6ADDB4E7C12}"/>
    <cellStyle name="Normal 5 5 5" xfId="8900" xr:uid="{00000000-0005-0000-0000-0000A0210000}"/>
    <cellStyle name="Normal 5 5 5 2" xfId="11454" xr:uid="{55221169-04E8-46B5-B459-1B8957090588}"/>
    <cellStyle name="Normal 5 5 6" xfId="10431" xr:uid="{929DBDC0-A43E-4681-AC23-F800BA7D89F4}"/>
    <cellStyle name="Normal 5 5 7" xfId="11443" xr:uid="{3B08611F-2CC3-4036-B501-B82F22F2A709}"/>
    <cellStyle name="Normal 5 6" xfId="7873" xr:uid="{00000000-0005-0000-0000-0000A1210000}"/>
    <cellStyle name="Normal 5 6 2" xfId="7874" xr:uid="{00000000-0005-0000-0000-0000A2210000}"/>
    <cellStyle name="Normal 5 6 2 2" xfId="7875" xr:uid="{00000000-0005-0000-0000-0000A3210000}"/>
    <cellStyle name="Normal 5 6 2 2 2" xfId="8902" xr:uid="{00000000-0005-0000-0000-0000A4210000}"/>
    <cellStyle name="Normal 5 6 2 2 2 2" xfId="11458" xr:uid="{A86C2100-E73B-480B-B1C1-754A110BD045}"/>
    <cellStyle name="Normal 5 6 2 2 3" xfId="8901" xr:uid="{00000000-0005-0000-0000-0000A5210000}"/>
    <cellStyle name="Normal 5 6 2 2 3 2" xfId="10502" xr:uid="{953A9E98-6C3C-4021-8B02-18DAA960C9A0}"/>
    <cellStyle name="Normal 5 6 2 2 4" xfId="11457" xr:uid="{A7106B1D-7941-42C2-A5AA-26180DF40D96}"/>
    <cellStyle name="Normal 5 6 2 3" xfId="8903" xr:uid="{00000000-0005-0000-0000-0000A6210000}"/>
    <cellStyle name="Normal 5 6 2 3 2" xfId="8904" xr:uid="{00000000-0005-0000-0000-0000A7210000}"/>
    <cellStyle name="Normal 5 6 2 3 2 2" xfId="11460" xr:uid="{914048E1-F915-4EA7-8D73-F362126720C4}"/>
    <cellStyle name="Normal 5 6 2 3 3" xfId="11459" xr:uid="{ADDF1AFB-8486-4DFB-ADD3-5F6D625EC8A5}"/>
    <cellStyle name="Normal 5 6 2 3 4" xfId="12077" xr:uid="{C71B8708-2C7A-40A7-9D94-9832113CF111}"/>
    <cellStyle name="Normal 5 6 2 4" xfId="8905" xr:uid="{00000000-0005-0000-0000-0000A8210000}"/>
    <cellStyle name="Normal 5 6 2 4 2" xfId="11461" xr:uid="{833D53F6-D015-4D0A-92D4-697089ADA7C0}"/>
    <cellStyle name="Normal 5 6 2 5" xfId="10460" xr:uid="{89871035-30D4-47DB-8E94-28EA7095EAB2}"/>
    <cellStyle name="Normal 5 6 2 6" xfId="11456" xr:uid="{FCA86865-3E96-4D3A-AC58-DBB95C26F5A6}"/>
    <cellStyle name="Normal 5 6 3" xfId="7876" xr:uid="{00000000-0005-0000-0000-0000A9210000}"/>
    <cellStyle name="Normal 5 6 3 2" xfId="8907" xr:uid="{00000000-0005-0000-0000-0000AA210000}"/>
    <cellStyle name="Normal 5 6 3 2 2" xfId="11463" xr:uid="{59127508-34C3-480B-8923-EAFEC3AB059C}"/>
    <cellStyle name="Normal 5 6 3 3" xfId="8906" xr:uid="{00000000-0005-0000-0000-0000AB210000}"/>
    <cellStyle name="Normal 5 6 3 3 2" xfId="10475" xr:uid="{2B4D07EC-B4F6-4C94-85E8-1B5788ECE4A8}"/>
    <cellStyle name="Normal 5 6 3 4" xfId="11462" xr:uid="{5F3E03CE-ECC3-4FB9-9EE0-EB080F4A72FA}"/>
    <cellStyle name="Normal 5 6 4" xfId="8908" xr:uid="{00000000-0005-0000-0000-0000AC210000}"/>
    <cellStyle name="Normal 5 6 4 2" xfId="8909" xr:uid="{00000000-0005-0000-0000-0000AD210000}"/>
    <cellStyle name="Normal 5 6 4 2 2" xfId="11465" xr:uid="{716349F8-2ABA-4F7E-ABC4-A3475C11B07F}"/>
    <cellStyle name="Normal 5 6 4 3" xfId="11464" xr:uid="{872F1C89-F4C7-4C7C-BE0A-0BBD7B90D26E}"/>
    <cellStyle name="Normal 5 6 4 4" xfId="12076" xr:uid="{EA72811A-476F-4696-80EE-79A486755F23}"/>
    <cellStyle name="Normal 5 6 5" xfId="8910" xr:uid="{00000000-0005-0000-0000-0000AE210000}"/>
    <cellStyle name="Normal 5 6 5 2" xfId="11466" xr:uid="{91A80188-1490-4122-8970-B0ACC57E164E}"/>
    <cellStyle name="Normal 5 6 6" xfId="10432" xr:uid="{34B0B0A3-792A-477C-A6A0-5744A9F8E7A7}"/>
    <cellStyle name="Normal 5 6 7" xfId="11455" xr:uid="{AD63CA4C-CF4A-4745-AA8F-401BABEB72A7}"/>
    <cellStyle name="Normal 5 7" xfId="7877" xr:uid="{00000000-0005-0000-0000-0000AF210000}"/>
    <cellStyle name="Normal 5 7 2" xfId="7878" xr:uid="{00000000-0005-0000-0000-0000B0210000}"/>
    <cellStyle name="Normal 5 7 2 2" xfId="7879" xr:uid="{00000000-0005-0000-0000-0000B1210000}"/>
    <cellStyle name="Normal 5 7 3" xfId="7880" xr:uid="{00000000-0005-0000-0000-0000B2210000}"/>
    <cellStyle name="Normal 5 7 4" xfId="12078" xr:uid="{A62D365A-A6DB-4E44-A06E-3460D5B7799B}"/>
    <cellStyle name="Normal 5 8" xfId="7881" xr:uid="{00000000-0005-0000-0000-0000B3210000}"/>
    <cellStyle name="Normal 5 8 2" xfId="7882" xr:uid="{00000000-0005-0000-0000-0000B4210000}"/>
    <cellStyle name="Normal 5 8 2 2" xfId="7883" xr:uid="{00000000-0005-0000-0000-0000B5210000}"/>
    <cellStyle name="Normal 5 8 3" xfId="7884" xr:uid="{00000000-0005-0000-0000-0000B6210000}"/>
    <cellStyle name="Normal 5 9" xfId="7885" xr:uid="{00000000-0005-0000-0000-0000B7210000}"/>
    <cellStyle name="Normal 5 9 2" xfId="7886" xr:uid="{00000000-0005-0000-0000-0000B8210000}"/>
    <cellStyle name="Normal 5 9 2 2" xfId="7887" xr:uid="{00000000-0005-0000-0000-0000B9210000}"/>
    <cellStyle name="Normal 5 9 3" xfId="7888" xr:uid="{00000000-0005-0000-0000-0000BA210000}"/>
    <cellStyle name="Normal 50" xfId="348" xr:uid="{00000000-0005-0000-0000-0000BB210000}"/>
    <cellStyle name="Normal 50 2" xfId="11467" xr:uid="{BF388F60-6DD9-4FCF-A652-3BB7AFC8D5B6}"/>
    <cellStyle name="Normal 50 3" xfId="11988" xr:uid="{137FBBEF-FA20-462D-9E6D-A87B9A9AB128}"/>
    <cellStyle name="Normal 51" xfId="10" xr:uid="{00000000-0005-0000-0000-0000BC210000}"/>
    <cellStyle name="Normal 51 2" xfId="7889" xr:uid="{00000000-0005-0000-0000-0000BD210000}"/>
    <cellStyle name="Normal 52" xfId="10253" xr:uid="{0535D12C-5B98-47B1-AB87-FE00C2B38015}"/>
    <cellStyle name="Normal 52 2" xfId="11706" xr:uid="{AB3BD558-AF65-4A25-8D68-BD73C1FB56B5}"/>
    <cellStyle name="Normal 53" xfId="10255" xr:uid="{4B06D212-E40A-4229-9AB1-44CDBB2ABDBE}"/>
    <cellStyle name="Normal 53 2" xfId="11708" xr:uid="{E44CA580-EDC0-491D-AF42-3A6D892D77F0}"/>
    <cellStyle name="Normal 54" xfId="10375" xr:uid="{B9640755-F355-458C-9E9B-C0ECA4E32C9D}"/>
    <cellStyle name="Normal 55" xfId="10376" xr:uid="{11450A0E-9FB5-41A1-B57E-DBAE1FE96705}"/>
    <cellStyle name="Normal 56" xfId="10477" xr:uid="{6DFA94B9-460A-44AF-B844-1BAC1DB0DDC0}"/>
    <cellStyle name="Normal 57" xfId="10433" xr:uid="{2203AEAA-C05B-4FFD-B1AD-10F4E18AB5A3}"/>
    <cellStyle name="Normal 58" xfId="10448" xr:uid="{726CD884-81B8-44D4-90D8-7540B6592B44}"/>
    <cellStyle name="Normal 59" xfId="10532" xr:uid="{C166F806-A2C6-4962-B844-19DD75B73B43}"/>
    <cellStyle name="Normal 6" xfId="204" xr:uid="{00000000-0005-0000-0000-0000BE210000}"/>
    <cellStyle name="Normal 6 2" xfId="7890" xr:uid="{00000000-0005-0000-0000-0000BF210000}"/>
    <cellStyle name="Normal 6 2 2" xfId="8167" xr:uid="{00000000-0005-0000-0000-0000C0210000}"/>
    <cellStyle name="Normal 6 2 2 2" xfId="11468" xr:uid="{C703AE4F-9700-4E28-A12D-0E82AEC13059}"/>
    <cellStyle name="Normal 6 2 3" xfId="9938" xr:uid="{F7DE1639-9BD5-4831-987C-78235865DB01}"/>
    <cellStyle name="Normal 6 2 4" xfId="9446" xr:uid="{B173BEEE-5F63-4750-8513-39D7F8D0083C}"/>
    <cellStyle name="Normal 6 3" xfId="7891" xr:uid="{00000000-0005-0000-0000-0000C1210000}"/>
    <cellStyle name="Normal 6 3 2" xfId="7892" xr:uid="{00000000-0005-0000-0000-0000C2210000}"/>
    <cellStyle name="Normal 6 3 3" xfId="8168" xr:uid="{00000000-0005-0000-0000-0000C3210000}"/>
    <cellStyle name="Normal 6 3 3 2" xfId="9939" xr:uid="{68222EC7-12B2-4F86-BEC1-98C8999089A6}"/>
    <cellStyle name="Normal 6 3 4" xfId="11469" xr:uid="{E51E3507-ACB7-4611-9E7E-F8B2A3B6D5D4}"/>
    <cellStyle name="Normal 6 4" xfId="7893" xr:uid="{00000000-0005-0000-0000-0000C4210000}"/>
    <cellStyle name="Normal 6 4 2" xfId="8169" xr:uid="{00000000-0005-0000-0000-0000C5210000}"/>
    <cellStyle name="Normal 6 4 2 2" xfId="9940" xr:uid="{DCF0DA32-DF02-49A1-A7DB-E39619693820}"/>
    <cellStyle name="Normal 6 4 3" xfId="9941" xr:uid="{1BC54569-96B4-4D27-9C53-D8FE8C83B80D}"/>
    <cellStyle name="Normal 6 4 4" xfId="11470" xr:uid="{8FB83C67-DB0D-4F38-8579-A3983C7D9AC5}"/>
    <cellStyle name="Normal 6 5" xfId="7894" xr:uid="{00000000-0005-0000-0000-0000C6210000}"/>
    <cellStyle name="Normal 6 6" xfId="9221" xr:uid="{455E4714-508B-4539-B90B-BA7AB22EB1A1}"/>
    <cellStyle name="Normal 60" xfId="10531" xr:uid="{D4F8C99F-EE9B-4BAD-A6F5-7E729759E23E}"/>
    <cellStyle name="Normal 61" xfId="11830" xr:uid="{5F956E06-0EB6-406B-A501-3683FD0815EB}"/>
    <cellStyle name="Normal 62" xfId="11831" xr:uid="{446EAE77-183A-4460-BF99-D31AD2BC8290}"/>
    <cellStyle name="Normal 63" xfId="11834" xr:uid="{06E98B55-3364-45F3-AAB5-DE1992B3A99E}"/>
    <cellStyle name="Normal 64" xfId="12121" xr:uid="{4E7E3C8D-6343-48D9-BA87-F1DA606D1B89}"/>
    <cellStyle name="Normal 65" xfId="9223" xr:uid="{AF765F76-080E-49A3-A9F4-1D7350F25050}"/>
    <cellStyle name="Normal 66" xfId="9222" xr:uid="{004B45FC-BE0A-4B6F-B726-10694D77F236}"/>
    <cellStyle name="Normal 67" xfId="12124" xr:uid="{09AD3B47-1619-4821-926D-F37BE7E5676D}"/>
    <cellStyle name="Normal 68" xfId="12125" xr:uid="{92BF2104-2D99-4B04-A9E8-7F2D506FC5E3}"/>
    <cellStyle name="Normal 69" xfId="12128" xr:uid="{15912CB7-D3DE-49A6-BC2E-FFD4B8A7DE48}"/>
    <cellStyle name="Normal 7" xfId="205" xr:uid="{00000000-0005-0000-0000-0000C7210000}"/>
    <cellStyle name="Normal 7 10" xfId="7895" xr:uid="{00000000-0005-0000-0000-0000C8210000}"/>
    <cellStyle name="Normal 7 10 2" xfId="7896" xr:uid="{00000000-0005-0000-0000-0000C9210000}"/>
    <cellStyle name="Normal 7 10 2 2" xfId="7897" xr:uid="{00000000-0005-0000-0000-0000CA210000}"/>
    <cellStyle name="Normal 7 10 3" xfId="7898" xr:uid="{00000000-0005-0000-0000-0000CB210000}"/>
    <cellStyle name="Normal 7 11" xfId="7899" xr:uid="{00000000-0005-0000-0000-0000CC210000}"/>
    <cellStyle name="Normal 7 11 2" xfId="7900" xr:uid="{00000000-0005-0000-0000-0000CD210000}"/>
    <cellStyle name="Normal 7 11 2 2" xfId="7901" xr:uid="{00000000-0005-0000-0000-0000CE210000}"/>
    <cellStyle name="Normal 7 11 3" xfId="7902" xr:uid="{00000000-0005-0000-0000-0000CF210000}"/>
    <cellStyle name="Normal 7 12" xfId="7903" xr:uid="{00000000-0005-0000-0000-0000D0210000}"/>
    <cellStyle name="Normal 7 12 2" xfId="7904" xr:uid="{00000000-0005-0000-0000-0000D1210000}"/>
    <cellStyle name="Normal 7 12 2 2" xfId="7905" xr:uid="{00000000-0005-0000-0000-0000D2210000}"/>
    <cellStyle name="Normal 7 12 3" xfId="7906" xr:uid="{00000000-0005-0000-0000-0000D3210000}"/>
    <cellStyle name="Normal 7 13" xfId="7907" xr:uid="{00000000-0005-0000-0000-0000D4210000}"/>
    <cellStyle name="Normal 7 13 2" xfId="7908" xr:uid="{00000000-0005-0000-0000-0000D5210000}"/>
    <cellStyle name="Normal 7 13 2 2" xfId="7909" xr:uid="{00000000-0005-0000-0000-0000D6210000}"/>
    <cellStyle name="Normal 7 13 3" xfId="7910" xr:uid="{00000000-0005-0000-0000-0000D7210000}"/>
    <cellStyle name="Normal 7 14" xfId="7911" xr:uid="{00000000-0005-0000-0000-0000D8210000}"/>
    <cellStyle name="Normal 7 14 2" xfId="7912" xr:uid="{00000000-0005-0000-0000-0000D9210000}"/>
    <cellStyle name="Normal 7 14 2 2" xfId="7913" xr:uid="{00000000-0005-0000-0000-0000DA210000}"/>
    <cellStyle name="Normal 7 14 3" xfId="7914" xr:uid="{00000000-0005-0000-0000-0000DB210000}"/>
    <cellStyle name="Normal 7 15" xfId="7915" xr:uid="{00000000-0005-0000-0000-0000DC210000}"/>
    <cellStyle name="Normal 7 15 2" xfId="7916" xr:uid="{00000000-0005-0000-0000-0000DD210000}"/>
    <cellStyle name="Normal 7 15 2 2" xfId="7917" xr:uid="{00000000-0005-0000-0000-0000DE210000}"/>
    <cellStyle name="Normal 7 15 3" xfId="7918" xr:uid="{00000000-0005-0000-0000-0000DF210000}"/>
    <cellStyle name="Normal 7 16" xfId="7919" xr:uid="{00000000-0005-0000-0000-0000E0210000}"/>
    <cellStyle name="Normal 7 16 2" xfId="7920" xr:uid="{00000000-0005-0000-0000-0000E1210000}"/>
    <cellStyle name="Normal 7 16 2 2" xfId="7921" xr:uid="{00000000-0005-0000-0000-0000E2210000}"/>
    <cellStyle name="Normal 7 16 3" xfId="7922" xr:uid="{00000000-0005-0000-0000-0000E3210000}"/>
    <cellStyle name="Normal 7 17" xfId="7923" xr:uid="{00000000-0005-0000-0000-0000E4210000}"/>
    <cellStyle name="Normal 7 17 2" xfId="7924" xr:uid="{00000000-0005-0000-0000-0000E5210000}"/>
    <cellStyle name="Normal 7 17 2 2" xfId="7925" xr:uid="{00000000-0005-0000-0000-0000E6210000}"/>
    <cellStyle name="Normal 7 17 3" xfId="7926" xr:uid="{00000000-0005-0000-0000-0000E7210000}"/>
    <cellStyle name="Normal 7 18" xfId="7927" xr:uid="{00000000-0005-0000-0000-0000E8210000}"/>
    <cellStyle name="Normal 7 18 2" xfId="7928" xr:uid="{00000000-0005-0000-0000-0000E9210000}"/>
    <cellStyle name="Normal 7 18 2 2" xfId="7929" xr:uid="{00000000-0005-0000-0000-0000EA210000}"/>
    <cellStyle name="Normal 7 18 3" xfId="7930" xr:uid="{00000000-0005-0000-0000-0000EB210000}"/>
    <cellStyle name="Normal 7 19" xfId="7931" xr:uid="{00000000-0005-0000-0000-0000EC210000}"/>
    <cellStyle name="Normal 7 19 2" xfId="7932" xr:uid="{00000000-0005-0000-0000-0000ED210000}"/>
    <cellStyle name="Normal 7 19 2 2" xfId="7933" xr:uid="{00000000-0005-0000-0000-0000EE210000}"/>
    <cellStyle name="Normal 7 19 3" xfId="7934" xr:uid="{00000000-0005-0000-0000-0000EF210000}"/>
    <cellStyle name="Normal 7 2" xfId="206" xr:uid="{00000000-0005-0000-0000-0000F0210000}"/>
    <cellStyle name="Normal 7 2 10" xfId="7935" xr:uid="{00000000-0005-0000-0000-0000F1210000}"/>
    <cellStyle name="Normal 7 2 10 2" xfId="7936" xr:uid="{00000000-0005-0000-0000-0000F2210000}"/>
    <cellStyle name="Normal 7 2 10 2 2" xfId="7937" xr:uid="{00000000-0005-0000-0000-0000F3210000}"/>
    <cellStyle name="Normal 7 2 10 3" xfId="7938" xr:uid="{00000000-0005-0000-0000-0000F4210000}"/>
    <cellStyle name="Normal 7 2 11" xfId="7939" xr:uid="{00000000-0005-0000-0000-0000F5210000}"/>
    <cellStyle name="Normal 7 2 11 2" xfId="7940" xr:uid="{00000000-0005-0000-0000-0000F6210000}"/>
    <cellStyle name="Normal 7 2 11 2 2" xfId="7941" xr:uid="{00000000-0005-0000-0000-0000F7210000}"/>
    <cellStyle name="Normal 7 2 11 3" xfId="7942" xr:uid="{00000000-0005-0000-0000-0000F8210000}"/>
    <cellStyle name="Normal 7 2 12" xfId="7943" xr:uid="{00000000-0005-0000-0000-0000F9210000}"/>
    <cellStyle name="Normal 7 2 12 2" xfId="7944" xr:uid="{00000000-0005-0000-0000-0000FA210000}"/>
    <cellStyle name="Normal 7 2 12 2 2" xfId="7945" xr:uid="{00000000-0005-0000-0000-0000FB210000}"/>
    <cellStyle name="Normal 7 2 12 3" xfId="7946" xr:uid="{00000000-0005-0000-0000-0000FC210000}"/>
    <cellStyle name="Normal 7 2 13" xfId="7947" xr:uid="{00000000-0005-0000-0000-0000FD210000}"/>
    <cellStyle name="Normal 7 2 13 2" xfId="7948" xr:uid="{00000000-0005-0000-0000-0000FE210000}"/>
    <cellStyle name="Normal 7 2 13 2 2" xfId="7949" xr:uid="{00000000-0005-0000-0000-0000FF210000}"/>
    <cellStyle name="Normal 7 2 13 3" xfId="7950" xr:uid="{00000000-0005-0000-0000-000000220000}"/>
    <cellStyle name="Normal 7 2 14" xfId="7951" xr:uid="{00000000-0005-0000-0000-000001220000}"/>
    <cellStyle name="Normal 7 2 14 2" xfId="7952" xr:uid="{00000000-0005-0000-0000-000002220000}"/>
    <cellStyle name="Normal 7 2 14 2 2" xfId="7953" xr:uid="{00000000-0005-0000-0000-000003220000}"/>
    <cellStyle name="Normal 7 2 14 3" xfId="7954" xr:uid="{00000000-0005-0000-0000-000004220000}"/>
    <cellStyle name="Normal 7 2 15" xfId="7955" xr:uid="{00000000-0005-0000-0000-000005220000}"/>
    <cellStyle name="Normal 7 2 15 2" xfId="7956" xr:uid="{00000000-0005-0000-0000-000006220000}"/>
    <cellStyle name="Normal 7 2 15 2 2" xfId="7957" xr:uid="{00000000-0005-0000-0000-000007220000}"/>
    <cellStyle name="Normal 7 2 15 3" xfId="7958" xr:uid="{00000000-0005-0000-0000-000008220000}"/>
    <cellStyle name="Normal 7 2 16" xfId="7959" xr:uid="{00000000-0005-0000-0000-000009220000}"/>
    <cellStyle name="Normal 7 2 16 2" xfId="7960" xr:uid="{00000000-0005-0000-0000-00000A220000}"/>
    <cellStyle name="Normal 7 2 16 2 2" xfId="7961" xr:uid="{00000000-0005-0000-0000-00000B220000}"/>
    <cellStyle name="Normal 7 2 16 3" xfId="7962" xr:uid="{00000000-0005-0000-0000-00000C220000}"/>
    <cellStyle name="Normal 7 2 17" xfId="7963" xr:uid="{00000000-0005-0000-0000-00000D220000}"/>
    <cellStyle name="Normal 7 2 17 2" xfId="7964" xr:uid="{00000000-0005-0000-0000-00000E220000}"/>
    <cellStyle name="Normal 7 2 17 2 2" xfId="7965" xr:uid="{00000000-0005-0000-0000-00000F220000}"/>
    <cellStyle name="Normal 7 2 17 3" xfId="7966" xr:uid="{00000000-0005-0000-0000-000010220000}"/>
    <cellStyle name="Normal 7 2 18" xfId="7967" xr:uid="{00000000-0005-0000-0000-000011220000}"/>
    <cellStyle name="Normal 7 2 18 2" xfId="7968" xr:uid="{00000000-0005-0000-0000-000012220000}"/>
    <cellStyle name="Normal 7 2 18 2 2" xfId="7969" xr:uid="{00000000-0005-0000-0000-000013220000}"/>
    <cellStyle name="Normal 7 2 18 3" xfId="7970" xr:uid="{00000000-0005-0000-0000-000014220000}"/>
    <cellStyle name="Normal 7 2 19" xfId="7971" xr:uid="{00000000-0005-0000-0000-000015220000}"/>
    <cellStyle name="Normal 7 2 19 2" xfId="7972" xr:uid="{00000000-0005-0000-0000-000016220000}"/>
    <cellStyle name="Normal 7 2 19 2 2" xfId="7973" xr:uid="{00000000-0005-0000-0000-000017220000}"/>
    <cellStyle name="Normal 7 2 19 3" xfId="7974" xr:uid="{00000000-0005-0000-0000-000018220000}"/>
    <cellStyle name="Normal 7 2 2" xfId="7975" xr:uid="{00000000-0005-0000-0000-000019220000}"/>
    <cellStyle name="Normal 7 2 2 2" xfId="7976" xr:uid="{00000000-0005-0000-0000-00001A220000}"/>
    <cellStyle name="Normal 7 2 2 2 2" xfId="7977" xr:uid="{00000000-0005-0000-0000-00001B220000}"/>
    <cellStyle name="Normal 7 2 2 2 3" xfId="9943" xr:uid="{E322454A-33CE-4CBB-A23E-247E53BA9517}"/>
    <cellStyle name="Normal 7 2 2 2 4" xfId="11471" xr:uid="{3EB11BE6-1270-4ED6-B539-AC4BF1D07F5D}"/>
    <cellStyle name="Normal 7 2 2 2 5" xfId="9942" xr:uid="{ACC02649-24B5-478A-9685-41365CF1FD85}"/>
    <cellStyle name="Normal 7 2 2 3" xfId="7978" xr:uid="{00000000-0005-0000-0000-00001C220000}"/>
    <cellStyle name="Normal 7 2 2 4" xfId="9146" xr:uid="{00000000-0005-0000-0000-00001D220000}"/>
    <cellStyle name="Normal 7 2 2 4 2" xfId="12079" xr:uid="{C822C3C9-FF17-407B-A987-12546EC20FD5}"/>
    <cellStyle name="Normal 7 2 20" xfId="7979" xr:uid="{00000000-0005-0000-0000-00001E220000}"/>
    <cellStyle name="Normal 7 2 20 2" xfId="7980" xr:uid="{00000000-0005-0000-0000-00001F220000}"/>
    <cellStyle name="Normal 7 2 20 2 2" xfId="7981" xr:uid="{00000000-0005-0000-0000-000020220000}"/>
    <cellStyle name="Normal 7 2 20 3" xfId="7982" xr:uid="{00000000-0005-0000-0000-000021220000}"/>
    <cellStyle name="Normal 7 2 21" xfId="7983" xr:uid="{00000000-0005-0000-0000-000022220000}"/>
    <cellStyle name="Normal 7 2 21 2" xfId="7984" xr:uid="{00000000-0005-0000-0000-000023220000}"/>
    <cellStyle name="Normal 7 2 21 2 2" xfId="7985" xr:uid="{00000000-0005-0000-0000-000024220000}"/>
    <cellStyle name="Normal 7 2 21 3" xfId="7986" xr:uid="{00000000-0005-0000-0000-000025220000}"/>
    <cellStyle name="Normal 7 2 22" xfId="7987" xr:uid="{00000000-0005-0000-0000-000026220000}"/>
    <cellStyle name="Normal 7 2 22 2" xfId="7988" xr:uid="{00000000-0005-0000-0000-000027220000}"/>
    <cellStyle name="Normal 7 2 22 2 2" xfId="7989" xr:uid="{00000000-0005-0000-0000-000028220000}"/>
    <cellStyle name="Normal 7 2 22 3" xfId="7990" xr:uid="{00000000-0005-0000-0000-000029220000}"/>
    <cellStyle name="Normal 7 2 23" xfId="7991" xr:uid="{00000000-0005-0000-0000-00002A220000}"/>
    <cellStyle name="Normal 7 2 23 2" xfId="7992" xr:uid="{00000000-0005-0000-0000-00002B220000}"/>
    <cellStyle name="Normal 7 2 23 2 2" xfId="7993" xr:uid="{00000000-0005-0000-0000-00002C220000}"/>
    <cellStyle name="Normal 7 2 23 3" xfId="7994" xr:uid="{00000000-0005-0000-0000-00002D220000}"/>
    <cellStyle name="Normal 7 2 24" xfId="7995" xr:uid="{00000000-0005-0000-0000-00002E220000}"/>
    <cellStyle name="Normal 7 2 25" xfId="7996" xr:uid="{00000000-0005-0000-0000-00002F220000}"/>
    <cellStyle name="Normal 7 2 25 2" xfId="7997" xr:uid="{00000000-0005-0000-0000-000030220000}"/>
    <cellStyle name="Normal 7 2 26" xfId="7998" xr:uid="{00000000-0005-0000-0000-000031220000}"/>
    <cellStyle name="Normal 7 2 27" xfId="9124" xr:uid="{00000000-0005-0000-0000-000032220000}"/>
    <cellStyle name="Normal 7 2 3" xfId="7999" xr:uid="{00000000-0005-0000-0000-000033220000}"/>
    <cellStyle name="Normal 7 2 3 2" xfId="8000" xr:uid="{00000000-0005-0000-0000-000034220000}"/>
    <cellStyle name="Normal 7 2 3 2 2" xfId="8001" xr:uid="{00000000-0005-0000-0000-000035220000}"/>
    <cellStyle name="Normal 7 2 3 3" xfId="8002" xr:uid="{00000000-0005-0000-0000-000036220000}"/>
    <cellStyle name="Normal 7 2 3 4" xfId="9945" xr:uid="{56589019-64B2-414B-9935-D1BAF07F653E}"/>
    <cellStyle name="Normal 7 2 3 5" xfId="11472" xr:uid="{0D9FAA28-A274-475D-9CC1-47EC4280B54D}"/>
    <cellStyle name="Normal 7 2 3 6" xfId="9944" xr:uid="{6014E2D1-F5A1-4E59-9526-6E6897C0CD55}"/>
    <cellStyle name="Normal 7 2 4" xfId="8003" xr:uid="{00000000-0005-0000-0000-000037220000}"/>
    <cellStyle name="Normal 7 2 4 2" xfId="8004" xr:uid="{00000000-0005-0000-0000-000038220000}"/>
    <cellStyle name="Normal 7 2 4 2 2" xfId="8005" xr:uid="{00000000-0005-0000-0000-000039220000}"/>
    <cellStyle name="Normal 7 2 4 3" xfId="8006" xr:uid="{00000000-0005-0000-0000-00003A220000}"/>
    <cellStyle name="Normal 7 2 5" xfId="8007" xr:uid="{00000000-0005-0000-0000-00003B220000}"/>
    <cellStyle name="Normal 7 2 5 2" xfId="8008" xr:uid="{00000000-0005-0000-0000-00003C220000}"/>
    <cellStyle name="Normal 7 2 5 2 2" xfId="8009" xr:uid="{00000000-0005-0000-0000-00003D220000}"/>
    <cellStyle name="Normal 7 2 5 3" xfId="8010" xr:uid="{00000000-0005-0000-0000-00003E220000}"/>
    <cellStyle name="Normal 7 2 6" xfId="8011" xr:uid="{00000000-0005-0000-0000-00003F220000}"/>
    <cellStyle name="Normal 7 2 6 2" xfId="8012" xr:uid="{00000000-0005-0000-0000-000040220000}"/>
    <cellStyle name="Normal 7 2 6 2 2" xfId="8013" xr:uid="{00000000-0005-0000-0000-000041220000}"/>
    <cellStyle name="Normal 7 2 6 3" xfId="8014" xr:uid="{00000000-0005-0000-0000-000042220000}"/>
    <cellStyle name="Normal 7 2 7" xfId="8015" xr:uid="{00000000-0005-0000-0000-000043220000}"/>
    <cellStyle name="Normal 7 2 7 2" xfId="8016" xr:uid="{00000000-0005-0000-0000-000044220000}"/>
    <cellStyle name="Normal 7 2 7 2 2" xfId="8017" xr:uid="{00000000-0005-0000-0000-000045220000}"/>
    <cellStyle name="Normal 7 2 7 3" xfId="8018" xr:uid="{00000000-0005-0000-0000-000046220000}"/>
    <cellStyle name="Normal 7 2 8" xfId="8019" xr:uid="{00000000-0005-0000-0000-000047220000}"/>
    <cellStyle name="Normal 7 2 8 2" xfId="8020" xr:uid="{00000000-0005-0000-0000-000048220000}"/>
    <cellStyle name="Normal 7 2 8 2 2" xfId="8021" xr:uid="{00000000-0005-0000-0000-000049220000}"/>
    <cellStyle name="Normal 7 2 8 3" xfId="8022" xr:uid="{00000000-0005-0000-0000-00004A220000}"/>
    <cellStyle name="Normal 7 2 9" xfId="8023" xr:uid="{00000000-0005-0000-0000-00004B220000}"/>
    <cellStyle name="Normal 7 2 9 2" xfId="8024" xr:uid="{00000000-0005-0000-0000-00004C220000}"/>
    <cellStyle name="Normal 7 2 9 2 2" xfId="8025" xr:uid="{00000000-0005-0000-0000-00004D220000}"/>
    <cellStyle name="Normal 7 2 9 3" xfId="8026" xr:uid="{00000000-0005-0000-0000-00004E220000}"/>
    <cellStyle name="Normal 7 20" xfId="8027" xr:uid="{00000000-0005-0000-0000-00004F220000}"/>
    <cellStyle name="Normal 7 20 2" xfId="8028" xr:uid="{00000000-0005-0000-0000-000050220000}"/>
    <cellStyle name="Normal 7 20 2 2" xfId="8029" xr:uid="{00000000-0005-0000-0000-000051220000}"/>
    <cellStyle name="Normal 7 20 3" xfId="8030" xr:uid="{00000000-0005-0000-0000-000052220000}"/>
    <cellStyle name="Normal 7 21" xfId="8031" xr:uid="{00000000-0005-0000-0000-000053220000}"/>
    <cellStyle name="Normal 7 21 2" xfId="8032" xr:uid="{00000000-0005-0000-0000-000054220000}"/>
    <cellStyle name="Normal 7 21 2 2" xfId="8033" xr:uid="{00000000-0005-0000-0000-000055220000}"/>
    <cellStyle name="Normal 7 21 3" xfId="8034" xr:uid="{00000000-0005-0000-0000-000056220000}"/>
    <cellStyle name="Normal 7 22" xfId="8035" xr:uid="{00000000-0005-0000-0000-000057220000}"/>
    <cellStyle name="Normal 7 22 2" xfId="8036" xr:uid="{00000000-0005-0000-0000-000058220000}"/>
    <cellStyle name="Normal 7 22 2 2" xfId="8037" xr:uid="{00000000-0005-0000-0000-000059220000}"/>
    <cellStyle name="Normal 7 22 3" xfId="8038" xr:uid="{00000000-0005-0000-0000-00005A220000}"/>
    <cellStyle name="Normal 7 23" xfId="8039" xr:uid="{00000000-0005-0000-0000-00005B220000}"/>
    <cellStyle name="Normal 7 23 2" xfId="8040" xr:uid="{00000000-0005-0000-0000-00005C220000}"/>
    <cellStyle name="Normal 7 23 2 2" xfId="8041" xr:uid="{00000000-0005-0000-0000-00005D220000}"/>
    <cellStyle name="Normal 7 23 3" xfId="8042" xr:uid="{00000000-0005-0000-0000-00005E220000}"/>
    <cellStyle name="Normal 7 24" xfId="8043" xr:uid="{00000000-0005-0000-0000-00005F220000}"/>
    <cellStyle name="Normal 7 24 2" xfId="8044" xr:uid="{00000000-0005-0000-0000-000060220000}"/>
    <cellStyle name="Normal 7 24 2 2" xfId="8045" xr:uid="{00000000-0005-0000-0000-000061220000}"/>
    <cellStyle name="Normal 7 24 3" xfId="8046" xr:uid="{00000000-0005-0000-0000-000062220000}"/>
    <cellStyle name="Normal 7 25" xfId="8047" xr:uid="{00000000-0005-0000-0000-000063220000}"/>
    <cellStyle name="Normal 7 26" xfId="8048" xr:uid="{00000000-0005-0000-0000-000064220000}"/>
    <cellStyle name="Normal 7 26 2" xfId="8049" xr:uid="{00000000-0005-0000-0000-000065220000}"/>
    <cellStyle name="Normal 7 27" xfId="8050" xr:uid="{00000000-0005-0000-0000-000066220000}"/>
    <cellStyle name="Normal 7 28" xfId="9115" xr:uid="{00000000-0005-0000-0000-000067220000}"/>
    <cellStyle name="Normal 7 28 2" xfId="11764" xr:uid="{105767DE-B686-4D2D-AE90-225BE4DBB6CA}"/>
    <cellStyle name="Normal 7 29" xfId="10537" xr:uid="{6BE3889A-4327-4917-AF71-FA09C4B95031}"/>
    <cellStyle name="Normal 7 3" xfId="8051" xr:uid="{00000000-0005-0000-0000-000068220000}"/>
    <cellStyle name="Normal 7 3 2" xfId="8052" xr:uid="{00000000-0005-0000-0000-000069220000}"/>
    <cellStyle name="Normal 7 3 2 2" xfId="8053" xr:uid="{00000000-0005-0000-0000-00006A220000}"/>
    <cellStyle name="Normal 7 3 2 3" xfId="9142" xr:uid="{00000000-0005-0000-0000-00006B220000}"/>
    <cellStyle name="Normal 7 3 2 3 2" xfId="9948" xr:uid="{E41E2EAD-9F06-4E23-989C-5F3B3A3C4710}"/>
    <cellStyle name="Normal 7 3 2 4" xfId="11473" xr:uid="{B03D3911-5217-42FA-AB6C-F1A0E66E490B}"/>
    <cellStyle name="Normal 7 3 3" xfId="8054" xr:uid="{00000000-0005-0000-0000-00006C220000}"/>
    <cellStyle name="Normal 7 3 4" xfId="9120" xr:uid="{00000000-0005-0000-0000-00006D220000}"/>
    <cellStyle name="Normal 7 3 4 2" xfId="12080" xr:uid="{B2B9BD91-F269-411B-A88D-D8F47C7A67D9}"/>
    <cellStyle name="Normal 7 4" xfId="8055" xr:uid="{00000000-0005-0000-0000-00006E220000}"/>
    <cellStyle name="Normal 7 4 2" xfId="8056" xr:uid="{00000000-0005-0000-0000-00006F220000}"/>
    <cellStyle name="Normal 7 4 2 2" xfId="8057" xr:uid="{00000000-0005-0000-0000-000070220000}"/>
    <cellStyle name="Normal 7 4 3" xfId="8058" xr:uid="{00000000-0005-0000-0000-000071220000}"/>
    <cellStyle name="Normal 7 4 4" xfId="9140" xr:uid="{00000000-0005-0000-0000-000072220000}"/>
    <cellStyle name="Normal 7 4 4 2" xfId="9950" xr:uid="{BA50C028-6626-403A-8855-404214B65159}"/>
    <cellStyle name="Normal 7 4 5" xfId="9949" xr:uid="{225F7894-DA5D-4C28-9A54-5167AB25A921}"/>
    <cellStyle name="Normal 7 5" xfId="8059" xr:uid="{00000000-0005-0000-0000-000073220000}"/>
    <cellStyle name="Normal 7 5 2" xfId="8060" xr:uid="{00000000-0005-0000-0000-000074220000}"/>
    <cellStyle name="Normal 7 5 2 2" xfId="8061" xr:uid="{00000000-0005-0000-0000-000075220000}"/>
    <cellStyle name="Normal 7 5 3" xfId="8062" xr:uid="{00000000-0005-0000-0000-000076220000}"/>
    <cellStyle name="Normal 7 5 4" xfId="9952" xr:uid="{0FC1DEDE-D441-45A6-878C-E503D7E024AB}"/>
    <cellStyle name="Normal 7 5 5" xfId="11474" xr:uid="{B1A9F7C7-0FCC-4C4E-8251-BAA3ADB69C45}"/>
    <cellStyle name="Normal 7 5 6" xfId="9951" xr:uid="{10FCDC87-C568-4AC6-AF49-DF4E1135EE39}"/>
    <cellStyle name="Normal 7 6" xfId="8063" xr:uid="{00000000-0005-0000-0000-000077220000}"/>
    <cellStyle name="Normal 7 6 2" xfId="8064" xr:uid="{00000000-0005-0000-0000-000078220000}"/>
    <cellStyle name="Normal 7 6 2 2" xfId="8065" xr:uid="{00000000-0005-0000-0000-000079220000}"/>
    <cellStyle name="Normal 7 6 3" xfId="8066" xr:uid="{00000000-0005-0000-0000-00007A220000}"/>
    <cellStyle name="Normal 7 7" xfId="8067" xr:uid="{00000000-0005-0000-0000-00007B220000}"/>
    <cellStyle name="Normal 7 7 2" xfId="8068" xr:uid="{00000000-0005-0000-0000-00007C220000}"/>
    <cellStyle name="Normal 7 7 2 2" xfId="8069" xr:uid="{00000000-0005-0000-0000-00007D220000}"/>
    <cellStyle name="Normal 7 7 3" xfId="8070" xr:uid="{00000000-0005-0000-0000-00007E220000}"/>
    <cellStyle name="Normal 7 8" xfId="8071" xr:uid="{00000000-0005-0000-0000-00007F220000}"/>
    <cellStyle name="Normal 7 8 2" xfId="8072" xr:uid="{00000000-0005-0000-0000-000080220000}"/>
    <cellStyle name="Normal 7 8 2 2" xfId="8073" xr:uid="{00000000-0005-0000-0000-000081220000}"/>
    <cellStyle name="Normal 7 8 3" xfId="8074" xr:uid="{00000000-0005-0000-0000-000082220000}"/>
    <cellStyle name="Normal 7 9" xfId="8075" xr:uid="{00000000-0005-0000-0000-000083220000}"/>
    <cellStyle name="Normal 7 9 2" xfId="8076" xr:uid="{00000000-0005-0000-0000-000084220000}"/>
    <cellStyle name="Normal 7 9 2 2" xfId="8077" xr:uid="{00000000-0005-0000-0000-000085220000}"/>
    <cellStyle name="Normal 7 9 3" xfId="8078" xr:uid="{00000000-0005-0000-0000-000086220000}"/>
    <cellStyle name="Normal 70" xfId="12129" xr:uid="{79716ADF-D888-49A0-BC1C-C455AF3463BE}"/>
    <cellStyle name="Normal 71" xfId="12136" xr:uid="{1D0A1EED-26F9-4D1B-8F94-B4D799C1A9CF}"/>
    <cellStyle name="Normal 72" xfId="12137" xr:uid="{AF38EF63-CD13-4481-A74E-345981FC55DF}"/>
    <cellStyle name="Normal 73" xfId="12138" xr:uid="{94E098A9-6BDE-4FE1-94DE-89E37CAE385D}"/>
    <cellStyle name="Normal 74" xfId="9227" xr:uid="{6F449EA7-8097-438E-9C92-801159B492A3}"/>
    <cellStyle name="Normal 8" xfId="207" xr:uid="{00000000-0005-0000-0000-000087220000}"/>
    <cellStyle name="Normal 8 10" xfId="10541" xr:uid="{DC4CAB3C-F1EE-4F24-B071-CF8C1C8698DE}"/>
    <cellStyle name="Normal 8 2" xfId="208" xr:uid="{00000000-0005-0000-0000-000088220000}"/>
    <cellStyle name="Normal 8 2 2" xfId="8079" xr:uid="{00000000-0005-0000-0000-000089220000}"/>
    <cellStyle name="Normal 8 2 2 2" xfId="9147" xr:uid="{00000000-0005-0000-0000-00008A220000}"/>
    <cellStyle name="Normal 8 2 2 2 2" xfId="11475" xr:uid="{9E9E82B8-6151-4EA5-BF2B-C474D0725B31}"/>
    <cellStyle name="Normal 8 2 3" xfId="9125" xr:uid="{00000000-0005-0000-0000-00008B220000}"/>
    <cellStyle name="Normal 8 2 3 2" xfId="11476" xr:uid="{4DF4D359-A03B-4D0F-BBC3-4F037AF26C26}"/>
    <cellStyle name="Normal 8 2 4" xfId="9267" xr:uid="{4E19B408-757F-4633-BB85-2321D9656683}"/>
    <cellStyle name="Normal 8 3" xfId="8080" xr:uid="{00000000-0005-0000-0000-00008C220000}"/>
    <cellStyle name="Normal 8 3 2" xfId="8081" xr:uid="{00000000-0005-0000-0000-00008D220000}"/>
    <cellStyle name="Normal 8 3 2 2" xfId="10482" xr:uid="{272E5C89-70B4-4B8F-9094-4DE71CA0185B}"/>
    <cellStyle name="Normal 8 3 2 2 2" xfId="11800" xr:uid="{340C4EAF-FC8D-4148-BC47-427638F22232}"/>
    <cellStyle name="Normal 8 3 2 3" xfId="11477" xr:uid="{7AE42AB8-A409-4400-AEA8-69F28ADAB0E6}"/>
    <cellStyle name="Normal 8 3 2 4" xfId="11874" xr:uid="{23F40686-FB79-4654-B110-168F6C5519A4}"/>
    <cellStyle name="Normal 8 3 3" xfId="8082" xr:uid="{00000000-0005-0000-0000-00008E220000}"/>
    <cellStyle name="Normal 8 3 3 2" xfId="10512" xr:uid="{183B0A80-0BD6-4B1E-882D-A2581E6F4D50}"/>
    <cellStyle name="Normal 8 3 3 2 2" xfId="11814" xr:uid="{4FDD23A7-BABD-4751-8C64-AFF5BA022AF7}"/>
    <cellStyle name="Normal 8 3 3 3" xfId="11478" xr:uid="{620A6315-897A-42DE-9130-E75220296B15}"/>
    <cellStyle name="Normal 8 3 3 4" xfId="11888" xr:uid="{CEB5DFAE-BC8D-478A-B409-ACFA9F485FC7}"/>
    <cellStyle name="Normal 8 3 4" xfId="10434" xr:uid="{D2759654-55AD-4823-9266-86432128E42A}"/>
    <cellStyle name="Normal 8 3 4 2" xfId="11785" xr:uid="{95FEA6D2-3DF9-44D8-9BEB-C5EE7D0BE637}"/>
    <cellStyle name="Normal 8 3 4 3" xfId="12081" xr:uid="{FD395CDC-B4E0-473F-9027-E3A432F0A9BE}"/>
    <cellStyle name="Normal 8 3 5" xfId="10559" xr:uid="{FF643B10-9B25-4A70-894F-1289A05174A3}"/>
    <cellStyle name="Normal 8 3 6" xfId="11858" xr:uid="{7875CC38-A16D-42B9-A7E1-E9C8CF80DF81}"/>
    <cellStyle name="Normal 8 4" xfId="8083" xr:uid="{00000000-0005-0000-0000-00008F220000}"/>
    <cellStyle name="Normal 8 4 2" xfId="8084" xr:uid="{00000000-0005-0000-0000-000090220000}"/>
    <cellStyle name="Normal 8 4 2 2" xfId="10507" xr:uid="{D1A28BD9-8F44-4E46-81C8-221A591E428F}"/>
    <cellStyle name="Normal 8 4 2 2 2" xfId="11809" xr:uid="{1D2786D1-6777-453F-86DF-AF83A2D62A9B}"/>
    <cellStyle name="Normal 8 4 2 3" xfId="11479" xr:uid="{C74CF87A-1E5E-4DE6-A937-C80E97F4B802}"/>
    <cellStyle name="Normal 8 4 2 4" xfId="11883" xr:uid="{38646ECB-3FC3-47CE-95B4-01451F9F5E58}"/>
    <cellStyle name="Normal 8 4 3" xfId="8085" xr:uid="{00000000-0005-0000-0000-000091220000}"/>
    <cellStyle name="Normal 8 4 3 2" xfId="10521" xr:uid="{1BCCBAC8-608C-4F86-86C1-AFEE3142936E}"/>
    <cellStyle name="Normal 8 4 3 2 2" xfId="11823" xr:uid="{3A6737CD-900F-44A0-90DD-0254BB7169D4}"/>
    <cellStyle name="Normal 8 4 3 3" xfId="11480" xr:uid="{0644FC5E-BFED-4623-A9CB-0251C39676E0}"/>
    <cellStyle name="Normal 8 4 3 4" xfId="11897" xr:uid="{75C74140-DB0C-4A60-ABDC-DADC5B134BDE}"/>
    <cellStyle name="Normal 8 4 4" xfId="9955" xr:uid="{BA90A0F4-1201-496F-BC04-EEB652F23D75}"/>
    <cellStyle name="Normal 8 4 4 2" xfId="11481" xr:uid="{43CA64E6-F6C7-49E3-A00E-F963A41AB358}"/>
    <cellStyle name="Normal 8 4 5" xfId="10463" xr:uid="{9F5CC6CB-1781-4595-8DDA-369F69B1F038}"/>
    <cellStyle name="Normal 8 4 5 2" xfId="11794" xr:uid="{77BC3C62-B682-44B1-85EF-012A1B1D9730}"/>
    <cellStyle name="Normal 8 4 6" xfId="11868" xr:uid="{F091B9D0-582F-4B27-A042-25B2D6364E33}"/>
    <cellStyle name="Normal 8 4 7" xfId="9954" xr:uid="{ED3D9AE3-3DE3-4D5C-9F5E-D8B04CD8C7A7}"/>
    <cellStyle name="Normal 8 5" xfId="8086" xr:uid="{00000000-0005-0000-0000-000092220000}"/>
    <cellStyle name="Normal 8 5 2" xfId="9957" xr:uid="{5B33930B-962A-48D4-8A11-5888786AC941}"/>
    <cellStyle name="Normal 8 5 3" xfId="11482" xr:uid="{CBF5346E-7D0A-488D-B99A-F88CDF0A3F44}"/>
    <cellStyle name="Normal 8 5 4" xfId="9956" xr:uid="{2374CD32-88CF-4DE7-A144-B594A0F4253D}"/>
    <cellStyle name="Normal 8 6" xfId="8087" xr:uid="{00000000-0005-0000-0000-000093220000}"/>
    <cellStyle name="Normal 8 6 2" xfId="9959" xr:uid="{60A87E56-0A28-43F3-B1EB-D251CED8BF88}"/>
    <cellStyle name="Normal 8 6 2 2" xfId="11483" xr:uid="{6FFB75E5-E700-4940-BDF9-A9CACC8F39EA}"/>
    <cellStyle name="Normal 8 6 3" xfId="10479" xr:uid="{50BA6E7F-D214-481D-B37F-FE528393120E}"/>
    <cellStyle name="Normal 8 6 3 2" xfId="11797" xr:uid="{7FE65320-1C2C-404D-B1BD-9C13BCD64C5D}"/>
    <cellStyle name="Normal 8 6 4" xfId="11871" xr:uid="{37E1612F-1D47-47A6-86E6-4992D24A65CB}"/>
    <cellStyle name="Normal 8 6 5" xfId="9958" xr:uid="{E59042A3-685F-4D73-84E1-EC1664DEE149}"/>
    <cellStyle name="Normal 8 7" xfId="8088" xr:uid="{00000000-0005-0000-0000-000094220000}"/>
    <cellStyle name="Normal 8 7 2" xfId="10509" xr:uid="{208BF31F-BB58-405E-AAEE-466559D8840B}"/>
    <cellStyle name="Normal 8 7 2 2" xfId="11811" xr:uid="{C4AA921C-8C76-449D-8F41-7628D6736761}"/>
    <cellStyle name="Normal 8 7 3" xfId="11484" xr:uid="{EB8A96EF-1C75-4522-843C-A38B524B10B3}"/>
    <cellStyle name="Normal 8 7 4" xfId="11885" xr:uid="{2D60A902-990D-4C7C-AEB4-A49CAEC36A9A}"/>
    <cellStyle name="Normal 8 8" xfId="8089" xr:uid="{00000000-0005-0000-0000-000095220000}"/>
    <cellStyle name="Normal 8 8 2" xfId="10523" xr:uid="{4CFD492E-9FCA-46DF-BC98-B8AEB48D223F}"/>
    <cellStyle name="Normal 8 8 2 2" xfId="11825" xr:uid="{C8556FEB-041A-4F2A-8E60-E6CCA2D556BF}"/>
    <cellStyle name="Normal 8 8 3" xfId="11485" xr:uid="{7EC1613F-6D92-49B1-AA0A-C72B2E2F3EED}"/>
    <cellStyle name="Normal 8 8 4" xfId="11899" xr:uid="{20ACB17D-9B36-4767-88EE-41DF82F78864}"/>
    <cellStyle name="Normal 8 9" xfId="10340" xr:uid="{B9346F9F-3E5E-4044-B659-23CCEA6E6B0C}"/>
    <cellStyle name="Normal 8 9 2" xfId="11765" xr:uid="{19AEF72E-B8F5-405A-AE67-761F7F7C9C54}"/>
    <cellStyle name="Normal 9" xfId="209" xr:uid="{00000000-0005-0000-0000-000096220000}"/>
    <cellStyle name="Normal 9 2" xfId="210" xr:uid="{00000000-0005-0000-0000-000097220000}"/>
    <cellStyle name="Normal 9 2 2" xfId="8090" xr:uid="{00000000-0005-0000-0000-000098220000}"/>
    <cellStyle name="Normal 9 2 2 2" xfId="8911" xr:uid="{00000000-0005-0000-0000-000099220000}"/>
    <cellStyle name="Normal 9 2 2 3" xfId="10435" xr:uid="{AEB1439F-1EB7-428C-8319-53936B86E35A}"/>
    <cellStyle name="Normal 9 2 2 4" xfId="11486" xr:uid="{FFCCDBA9-D91A-4945-B587-59FD6FF9115A}"/>
    <cellStyle name="Normal 9 2 2 5" xfId="9960" xr:uid="{B67FB29F-5F61-409C-8036-2B37EC49E3C1}"/>
    <cellStyle name="Normal 9 2 3" xfId="9961" xr:uid="{7A82704A-A48C-4915-917C-C1B866BB5DC7}"/>
    <cellStyle name="Normal 9 2 3 2" xfId="11487" xr:uid="{9B5556FF-AC3A-4BD3-AA48-B421755DC03F}"/>
    <cellStyle name="Normal 9 3" xfId="349" xr:uid="{00000000-0005-0000-0000-00009A220000}"/>
    <cellStyle name="Normal 9 3 2" xfId="9963" xr:uid="{612DE94F-9FDA-465B-B489-9F180A4FDCB7}"/>
    <cellStyle name="Normal 9 3 2 2" xfId="11488" xr:uid="{D1E4196C-4675-485D-BEF1-84A3EC7D3542}"/>
    <cellStyle name="Normal 9 4" xfId="8091" xr:uid="{00000000-0005-0000-0000-00009B220000}"/>
    <cellStyle name="Normal 9 4 2" xfId="9965" xr:uid="{972133B9-16C3-4B15-AD20-34A3559CA36A}"/>
    <cellStyle name="Normal 9 4 3" xfId="11489" xr:uid="{2AC5E67E-FD4C-4E4B-AEA3-7E072CD6A813}"/>
    <cellStyle name="Normal 9 4 4" xfId="9964" xr:uid="{04A867EE-BA53-4E2A-ACBA-29E834B4E643}"/>
    <cellStyle name="Normal 9 5" xfId="8092" xr:uid="{00000000-0005-0000-0000-00009C220000}"/>
    <cellStyle name="Normal 9 6" xfId="9266" xr:uid="{9891894F-E5EE-4CA1-95C4-206E1DD2CB34}"/>
    <cellStyle name="Normal_EStarWASHERResTiersFY07v1_3_postJan07" xfId="8152" xr:uid="{00000000-0005-0000-0000-00009D220000}"/>
    <cellStyle name="Normal_EStarWASHERResTiersFY07v1_3_postJan07 2" xfId="9" xr:uid="{00000000-0005-0000-0000-00009E220000}"/>
    <cellStyle name="Normal_MTDUCT" xfId="8" xr:uid="{00000000-0005-0000-0000-00009F220000}"/>
    <cellStyle name="Normal_prodraft-248-c_TEDWtest" xfId="9097" xr:uid="{00000000-0005-0000-0000-0000A3220000}"/>
    <cellStyle name="Note 2" xfId="211" xr:uid="{00000000-0005-0000-0000-0000A4220000}"/>
    <cellStyle name="Note 2 10" xfId="9104" xr:uid="{00000000-0005-0000-0000-0000A5220000}"/>
    <cellStyle name="Note 2 10 2" xfId="9966" xr:uid="{1C37CC10-9742-4B57-AEB8-84BC5FBA9410}"/>
    <cellStyle name="Note 2 10 3" xfId="12139" xr:uid="{B8D66FA1-D77E-48C4-921E-1FC9EA3EE377}"/>
    <cellStyle name="Note 2 11" xfId="9215" xr:uid="{AAB891D7-658F-486B-AA17-7116E60E59AC}"/>
    <cellStyle name="Note 2 11 2" xfId="9967" xr:uid="{8C163C57-4DE2-4CD0-BD71-CAFC9DE67856}"/>
    <cellStyle name="Note 2 11 3" xfId="12140" xr:uid="{F20C274E-6D30-4A46-846E-21117E975176}"/>
    <cellStyle name="Note 2 12" xfId="9968" xr:uid="{7722E342-A10E-44C6-BB62-18935D092F66}"/>
    <cellStyle name="Note 2 12 2" xfId="12141" xr:uid="{9BDF1F5E-35CA-4419-AD87-0C905756D5B6}"/>
    <cellStyle name="Note 2 13" xfId="9969" xr:uid="{9BD9DF86-E9E9-42F8-B1C1-D22E12E3D2EA}"/>
    <cellStyle name="Note 2 13 2" xfId="12142" xr:uid="{781B9C4B-56B4-431D-A726-F26F4272726E}"/>
    <cellStyle name="Note 2 14" xfId="9970" xr:uid="{46329EF9-F03A-49F7-B086-68C172C6FE76}"/>
    <cellStyle name="Note 2 14 2" xfId="12143" xr:uid="{8906267F-D9E3-4B1C-9787-C3599B2CB220}"/>
    <cellStyle name="Note 2 15" xfId="9971" xr:uid="{E9432314-83C4-414A-8F9F-D17B8BBE81F0}"/>
    <cellStyle name="Note 2 15 2" xfId="12144" xr:uid="{D89C343E-8986-428D-8D0D-A47C5D4DC137}"/>
    <cellStyle name="Note 2 16" xfId="9972" xr:uid="{537C5700-E091-4626-A475-7B66686BCECA}"/>
    <cellStyle name="Note 2 16 2" xfId="12145" xr:uid="{F67E9066-74B0-4BFE-952D-905AF5FC0298}"/>
    <cellStyle name="Note 2 17" xfId="9973" xr:uid="{F97C0BB9-4275-4ED1-AB31-7AB6D5ECB078}"/>
    <cellStyle name="Note 2 17 2" xfId="12146" xr:uid="{044C9A80-D85B-482F-A874-EC6DF275F5CC}"/>
    <cellStyle name="Note 2 18" xfId="10545" xr:uid="{451B3FA9-08C2-4F68-8BF3-0C38D9A8825F}"/>
    <cellStyle name="Note 2 2" xfId="350" xr:uid="{00000000-0005-0000-0000-0000A6220000}"/>
    <cellStyle name="Note 2 2 10" xfId="9974" xr:uid="{A9A96E7A-3E55-4A6F-97FC-BB1DE1ECF71F}"/>
    <cellStyle name="Note 2 2 10 2" xfId="12147" xr:uid="{97B0D406-FEC6-4F6B-8AAF-94BAA76CFD15}"/>
    <cellStyle name="Note 2 2 11" xfId="9975" xr:uid="{F45C0601-B104-49FD-A758-FA48B0BA27EA}"/>
    <cellStyle name="Note 2 2 11 2" xfId="12148" xr:uid="{73D81E01-F79D-43D6-B507-AC1987A6C208}"/>
    <cellStyle name="Note 2 2 12" xfId="9976" xr:uid="{EB1F7679-3024-42D3-96D9-87DD11A390BF}"/>
    <cellStyle name="Note 2 2 12 2" xfId="12149" xr:uid="{B558D988-3FB9-4E0B-B7CC-4615192A578F}"/>
    <cellStyle name="Note 2 2 13" xfId="10341" xr:uid="{3D05F25D-E0D8-481D-A292-9DEFC2C9A5CB}"/>
    <cellStyle name="Note 2 2 13 2" xfId="11766" xr:uid="{67313700-7A1C-4530-8596-F1D89033F232}"/>
    <cellStyle name="Note 2 2 14" xfId="10562" xr:uid="{55846D25-D7C2-476D-B7E3-C7633D8C8936}"/>
    <cellStyle name="Note 2 2 2" xfId="8093" xr:uid="{00000000-0005-0000-0000-0000A7220000}"/>
    <cellStyle name="Note 2 2 2 10" xfId="9977" xr:uid="{EAC0F5A4-B121-4112-A634-4438079BF380}"/>
    <cellStyle name="Note 2 2 2 10 2" xfId="12150" xr:uid="{0F682D78-C1EF-4E29-93E0-23E4DDF3B9C1}"/>
    <cellStyle name="Note 2 2 2 11" xfId="9978" xr:uid="{B0A058F9-9031-420F-ADA2-A51BE0F7249C}"/>
    <cellStyle name="Note 2 2 2 11 2" xfId="12151" xr:uid="{93E2AA6F-5342-46CD-9261-4782101F0641}"/>
    <cellStyle name="Note 2 2 2 12" xfId="10503" xr:uid="{D80B4468-CEDE-4ADE-B40F-EB63EF3E889E}"/>
    <cellStyle name="Note 2 2 2 12 2" xfId="12348" xr:uid="{29B9DC23-0A58-44B8-B9BD-3737CA1D722E}"/>
    <cellStyle name="Note 2 2 2 13" xfId="11490" xr:uid="{1D81B3B2-38A0-463C-87D7-A41BFC250BB3}"/>
    <cellStyle name="Note 2 2 2 2" xfId="8912" xr:uid="{00000000-0005-0000-0000-0000A8220000}"/>
    <cellStyle name="Note 2 2 2 2 2" xfId="8913" xr:uid="{00000000-0005-0000-0000-0000A9220000}"/>
    <cellStyle name="Note 2 2 2 2 2 2" xfId="11491" xr:uid="{8FF15CFA-5AD3-4678-85D5-07E5CAC27B4A}"/>
    <cellStyle name="Note 2 2 2 2 3" xfId="9980" xr:uid="{71C860BF-DCC8-4101-AE48-4B07C47ACF0D}"/>
    <cellStyle name="Note 2 2 2 2 3 2" xfId="11492" xr:uid="{D45E9E41-57B2-4F69-A033-71016E89F032}"/>
    <cellStyle name="Note 2 2 2 2 4" xfId="12082" xr:uid="{EEDD1CDF-1FC1-4CD3-B5FC-0CB94BD26010}"/>
    <cellStyle name="Note 2 2 2 2 5" xfId="9979" xr:uid="{EDEA8FBF-B51F-44BE-B753-6E65B8056D78}"/>
    <cellStyle name="Note 2 2 2 2 6" xfId="12152" xr:uid="{A8A50BC8-C23B-46CE-86DF-0DC6E6BF5191}"/>
    <cellStyle name="Note 2 2 2 3" xfId="8914" xr:uid="{00000000-0005-0000-0000-0000AA220000}"/>
    <cellStyle name="Note 2 2 2 3 2" xfId="8915" xr:uid="{00000000-0005-0000-0000-0000AB220000}"/>
    <cellStyle name="Note 2 2 2 3 2 2" xfId="11493" xr:uid="{65389348-C1FD-4140-8706-1CB2CF25728D}"/>
    <cellStyle name="Note 2 2 2 3 3" xfId="9982" xr:uid="{B14F8B67-896C-4728-81C6-106CFA73338A}"/>
    <cellStyle name="Note 2 2 2 3 3 2" xfId="11494" xr:uid="{52A9104A-6C8B-455A-B89E-902F061D2E1B}"/>
    <cellStyle name="Note 2 2 2 3 4" xfId="9981" xr:uid="{527AED2E-8C30-474E-9659-55EB99D7FFBE}"/>
    <cellStyle name="Note 2 2 2 3 5" xfId="12153" xr:uid="{2EB85F63-E00D-4372-A808-613DA3C525A9}"/>
    <cellStyle name="Note 2 2 2 4" xfId="8916" xr:uid="{00000000-0005-0000-0000-0000AC220000}"/>
    <cellStyle name="Note 2 2 2 4 2" xfId="9984" xr:uid="{BF8327E8-0E4F-4C5F-9229-EE895E046199}"/>
    <cellStyle name="Note 2 2 2 4 2 2" xfId="11495" xr:uid="{C32217D6-3289-4856-AF76-6FB9CFF978C3}"/>
    <cellStyle name="Note 2 2 2 4 3" xfId="9983" xr:uid="{A735F7E0-94FD-42F2-990D-BAEB38E43EE3}"/>
    <cellStyle name="Note 2 2 2 4 4" xfId="12154" xr:uid="{5BB4DB0F-8830-4A65-BC99-2AC037A4748C}"/>
    <cellStyle name="Note 2 2 2 5" xfId="9985" xr:uid="{F3FE22A0-F3B1-46EC-8424-94F498DA5C1E}"/>
    <cellStyle name="Note 2 2 2 5 2" xfId="12155" xr:uid="{CE121F66-46CF-445A-AC60-E147141C16FA}"/>
    <cellStyle name="Note 2 2 2 6" xfId="9986" xr:uid="{8BA56173-750E-4A35-B520-D36C921F422C}"/>
    <cellStyle name="Note 2 2 2 6 2" xfId="12156" xr:uid="{F7435CAE-69AA-4A65-8149-D97F54742F23}"/>
    <cellStyle name="Note 2 2 2 7" xfId="9987" xr:uid="{35A03EA6-8462-4F97-AF6C-8722FD18D349}"/>
    <cellStyle name="Note 2 2 2 7 2" xfId="12157" xr:uid="{DB8A56F9-BAF1-4EE7-A712-E7FA738B7F9D}"/>
    <cellStyle name="Note 2 2 2 8" xfId="9988" xr:uid="{0109745C-EAE8-436F-8710-B62F6BE1BAF1}"/>
    <cellStyle name="Note 2 2 2 8 2" xfId="12158" xr:uid="{2E066BE8-64B7-420C-A97F-92730F0A7F26}"/>
    <cellStyle name="Note 2 2 2 9" xfId="9989" xr:uid="{7B602338-6CBF-4443-9169-AFB6D75095E9}"/>
    <cellStyle name="Note 2 2 2 9 2" xfId="12159" xr:uid="{7F75CCFE-A75E-485E-A9E0-D3DFC15DF95F}"/>
    <cellStyle name="Note 2 2 3" xfId="8917" xr:uid="{00000000-0005-0000-0000-0000AD220000}"/>
    <cellStyle name="Note 2 2 3 2" xfId="8918" xr:uid="{00000000-0005-0000-0000-0000AE220000}"/>
    <cellStyle name="Note 2 2 3 2 2" xfId="9992" xr:uid="{F5E47166-177F-4C03-92CF-4A470923B029}"/>
    <cellStyle name="Note 2 2 3 2 2 2" xfId="11496" xr:uid="{1944F6EE-7AF1-4C5C-94C7-DFFC4CE69D16}"/>
    <cellStyle name="Note 2 2 3 2 3" xfId="9991" xr:uid="{8AFDA493-42B9-4DCD-95BA-32BC614B3C3B}"/>
    <cellStyle name="Note 2 2 3 2 4" xfId="12161" xr:uid="{9BD9EF76-F788-4677-B456-0016787B09AA}"/>
    <cellStyle name="Note 2 2 3 3" xfId="9993" xr:uid="{C7CB95FA-844C-4751-AC83-50B629E2F225}"/>
    <cellStyle name="Note 2 2 3 3 2" xfId="11497" xr:uid="{9749ECE5-2CA3-4F7D-9461-38A97420D032}"/>
    <cellStyle name="Note 2 2 3 4" xfId="9990" xr:uid="{6AF092B6-1DA6-47E2-8CDA-9A10AF669B14}"/>
    <cellStyle name="Note 2 2 3 5" xfId="12160" xr:uid="{38E05B56-9AE7-403F-B8AD-C90A2B6E8E86}"/>
    <cellStyle name="Note 2 2 4" xfId="8919" xr:uid="{00000000-0005-0000-0000-0000AF220000}"/>
    <cellStyle name="Note 2 2 4 2" xfId="8920" xr:uid="{00000000-0005-0000-0000-0000B0220000}"/>
    <cellStyle name="Note 2 2 4 2 2" xfId="11498" xr:uid="{F1F627DB-514C-4B52-BC07-2F100514BD4C}"/>
    <cellStyle name="Note 2 2 4 3" xfId="9995" xr:uid="{52469EAC-4D57-4AAA-9805-A9B690584C48}"/>
    <cellStyle name="Note 2 2 4 3 2" xfId="11499" xr:uid="{7E114956-E5DA-4F4E-8685-D1A14479FBCE}"/>
    <cellStyle name="Note 2 2 4 4" xfId="9994" xr:uid="{89D85BD1-29C3-4855-B066-943FA1E9B033}"/>
    <cellStyle name="Note 2 2 4 5" xfId="12162" xr:uid="{774E09D8-B1D0-4CDC-A6FC-62C6C7E388AC}"/>
    <cellStyle name="Note 2 2 5" xfId="8921" xr:uid="{00000000-0005-0000-0000-0000B1220000}"/>
    <cellStyle name="Note 2 2 5 2" xfId="9997" xr:uid="{3BD7B5B6-EEBB-488E-9FB8-CB3E8E2884CD}"/>
    <cellStyle name="Note 2 2 5 2 2" xfId="12164" xr:uid="{F85B735B-D543-427C-BEDD-5C8BD75B88F4}"/>
    <cellStyle name="Note 2 2 5 3" xfId="9996" xr:uid="{ADABD80D-5A1D-4E75-9C51-2106F90C3EC0}"/>
    <cellStyle name="Note 2 2 5 4" xfId="12163" xr:uid="{58026627-C10C-4297-82EC-C4888F0B9DA1}"/>
    <cellStyle name="Note 2 2 6" xfId="8922" xr:uid="{00000000-0005-0000-0000-0000B2220000}"/>
    <cellStyle name="Note 2 2 6 2" xfId="9999" xr:uid="{29B29EF2-FE86-4A4B-B986-EBCF3A5F17C2}"/>
    <cellStyle name="Note 2 2 6 2 2" xfId="11500" xr:uid="{53D82E2F-6B20-4954-BED4-BC69D7D23DE7}"/>
    <cellStyle name="Note 2 2 6 3" xfId="9998" xr:uid="{A19A55EC-C819-43E9-92F0-1B1A3BB22D88}"/>
    <cellStyle name="Note 2 2 6 4" xfId="12165" xr:uid="{1BEF933F-BF25-4AA6-819C-A94FAA011003}"/>
    <cellStyle name="Note 2 2 7" xfId="9162" xr:uid="{00000000-0005-0000-0000-0000B3220000}"/>
    <cellStyle name="Note 2 2 7 2" xfId="10000" xr:uid="{03D4C033-9E09-4D9A-9D8F-37B0749863E9}"/>
    <cellStyle name="Note 2 2 7 3" xfId="12166" xr:uid="{7F1212AD-EE51-4EA0-B006-8FD4241CA13C}"/>
    <cellStyle name="Note 2 2 8" xfId="10001" xr:uid="{6F4FA6C7-1A7F-49A8-8368-25DE48E9A4F1}"/>
    <cellStyle name="Note 2 2 8 2" xfId="12167" xr:uid="{E15253A6-2CEF-4324-B0D7-49344C9226C3}"/>
    <cellStyle name="Note 2 2 9" xfId="10002" xr:uid="{E13E9EF8-79CC-4EFA-9184-24C5B898C431}"/>
    <cellStyle name="Note 2 2 9 2" xfId="12168" xr:uid="{3EE0E508-A086-40C3-AC54-7135055963AC}"/>
    <cellStyle name="Note 2 3" xfId="8094" xr:uid="{00000000-0005-0000-0000-0000B4220000}"/>
    <cellStyle name="Note 2 3 2" xfId="8095" xr:uid="{00000000-0005-0000-0000-0000B5220000}"/>
    <cellStyle name="Note 2 3 2 2" xfId="8923" xr:uid="{00000000-0005-0000-0000-0000B6220000}"/>
    <cellStyle name="Note 2 3 2 2 2" xfId="8924" xr:uid="{00000000-0005-0000-0000-0000B7220000}"/>
    <cellStyle name="Note 2 3 2 2 2 2" xfId="11503" xr:uid="{8E5F7D3F-DB45-4C7C-A128-4E1D0F6202B5}"/>
    <cellStyle name="Note 2 3 2 2 3" xfId="11502" xr:uid="{4CF24628-85C8-4D83-BDA2-C028ADA690E2}"/>
    <cellStyle name="Note 2 3 2 3" xfId="8925" xr:uid="{00000000-0005-0000-0000-0000B8220000}"/>
    <cellStyle name="Note 2 3 2 3 2" xfId="8926" xr:uid="{00000000-0005-0000-0000-0000B9220000}"/>
    <cellStyle name="Note 2 3 2 3 2 2" xfId="11505" xr:uid="{70B88A5D-E93B-4A0D-850E-366F92C1CE7B}"/>
    <cellStyle name="Note 2 3 2 3 3" xfId="11504" xr:uid="{3C051EF0-7577-489C-B6E6-635827B150F4}"/>
    <cellStyle name="Note 2 3 2 4" xfId="8927" xr:uid="{00000000-0005-0000-0000-0000BA220000}"/>
    <cellStyle name="Note 2 3 2 4 2" xfId="11506" xr:uid="{EA8557C3-0728-4335-AE5F-195BAE1A774F}"/>
    <cellStyle name="Note 2 3 2 5" xfId="11501" xr:uid="{BC9DB3E9-CDBE-4044-B28C-B440AFE96D6B}"/>
    <cellStyle name="Note 2 3 2 6" xfId="12084" xr:uid="{92A17C24-858A-498B-9E5E-E9493222B32D}"/>
    <cellStyle name="Note 2 3 3" xfId="8928" xr:uid="{00000000-0005-0000-0000-0000BB220000}"/>
    <cellStyle name="Note 2 3 3 2" xfId="8929" xr:uid="{00000000-0005-0000-0000-0000BC220000}"/>
    <cellStyle name="Note 2 3 3 2 2" xfId="11507" xr:uid="{627E8530-7F56-4A2F-989B-2C7712EDF20F}"/>
    <cellStyle name="Note 2 3 3 3" xfId="10004" xr:uid="{C6EC4C3B-40F6-4CB3-BBDF-2EE59450E936}"/>
    <cellStyle name="Note 2 3 3 3 2" xfId="11508" xr:uid="{00FDC9C5-EEC8-482B-AC0E-68246BEB7427}"/>
    <cellStyle name="Note 2 3 3 4" xfId="12083" xr:uid="{668F12D5-96BF-439C-A38C-B72A691AEA9F}"/>
    <cellStyle name="Note 2 3 3 5" xfId="10003" xr:uid="{44CA187A-97BA-4207-9668-6A7ACB17FDF5}"/>
    <cellStyle name="Note 2 3 4" xfId="8930" xr:uid="{00000000-0005-0000-0000-0000BD220000}"/>
    <cellStyle name="Note 2 3 4 2" xfId="8931" xr:uid="{00000000-0005-0000-0000-0000BE220000}"/>
    <cellStyle name="Note 2 3 4 2 2" xfId="11510" xr:uid="{0F14670C-B42B-4052-B52D-58CBCB1FA0FF}"/>
    <cellStyle name="Note 2 3 4 3" xfId="11509" xr:uid="{96798583-DE53-450B-80F5-27D5F5632D9B}"/>
    <cellStyle name="Note 2 3 5" xfId="8932" xr:uid="{00000000-0005-0000-0000-0000BF220000}"/>
    <cellStyle name="Note 2 3 5 2" xfId="11511" xr:uid="{C578CDC0-B624-489B-92A6-4975166D4161}"/>
    <cellStyle name="Note 2 3 6" xfId="10476" xr:uid="{C5C92635-E433-4268-9904-76430F7E3A35}"/>
    <cellStyle name="Note 2 3 6 2" xfId="12347" xr:uid="{B08282D1-33A4-4137-A229-0279D5D8CF22}"/>
    <cellStyle name="Note 2 3 7" xfId="9447" xr:uid="{8C4CEEFC-47C0-44C5-A049-AE478AF9D897}"/>
    <cellStyle name="Note 2 3 8" xfId="9947" xr:uid="{BFE313B5-F288-421D-A7EA-B145050E526A}"/>
    <cellStyle name="Note 2 4" xfId="8096" xr:uid="{00000000-0005-0000-0000-0000C0220000}"/>
    <cellStyle name="Note 2 4 10" xfId="10005" xr:uid="{93B7134F-524F-4465-A78F-FFE44558C7A7}"/>
    <cellStyle name="Note 2 4 10 2" xfId="12169" xr:uid="{085C99CC-4734-4D41-96BC-886616DCC313}"/>
    <cellStyle name="Note 2 4 11" xfId="10437" xr:uid="{A714CD6A-C3E1-4979-B209-D27EB9C5D11D}"/>
    <cellStyle name="Note 2 4 11 2" xfId="12345" xr:uid="{C5D3FA5D-30B3-4219-90D8-1167223B545B}"/>
    <cellStyle name="Note 2 4 12" xfId="11512" xr:uid="{491CD72E-EFFD-470A-8B75-4BD40715C539}"/>
    <cellStyle name="Note 2 4 2" xfId="8097" xr:uid="{00000000-0005-0000-0000-0000C1220000}"/>
    <cellStyle name="Note 2 4 2 2" xfId="8933" xr:uid="{00000000-0005-0000-0000-0000C2220000}"/>
    <cellStyle name="Note 2 4 2 2 2" xfId="8934" xr:uid="{00000000-0005-0000-0000-0000C3220000}"/>
    <cellStyle name="Note 2 4 2 2 2 2" xfId="11514" xr:uid="{4A13644B-9F82-4C09-9B28-A56E520F5DAB}"/>
    <cellStyle name="Note 2 4 2 2 3" xfId="10007" xr:uid="{F80B45DA-8ECD-4E9A-B2D9-DD9E39156605}"/>
    <cellStyle name="Note 2 4 2 2 3 2" xfId="11515" xr:uid="{9DA6A73E-0483-4215-AAB7-C85B76449DDC}"/>
    <cellStyle name="Note 2 4 2 2 4" xfId="10006" xr:uid="{6114C800-C3F6-4166-96D1-BAA4A0774217}"/>
    <cellStyle name="Note 2 4 2 2 5" xfId="12170" xr:uid="{6BBEBFEA-CB47-49E4-997A-4A20E8698680}"/>
    <cellStyle name="Note 2 4 2 3" xfId="8935" xr:uid="{00000000-0005-0000-0000-0000C4220000}"/>
    <cellStyle name="Note 2 4 2 3 2" xfId="8936" xr:uid="{00000000-0005-0000-0000-0000C5220000}"/>
    <cellStyle name="Note 2 4 2 3 2 2" xfId="11517" xr:uid="{DFAA4E8A-8D11-4AA3-87FE-75DC6EC5BBFA}"/>
    <cellStyle name="Note 2 4 2 3 3" xfId="11516" xr:uid="{3296B2D6-4167-4B24-93E1-1FBC1CE1A061}"/>
    <cellStyle name="Note 2 4 2 4" xfId="8937" xr:uid="{00000000-0005-0000-0000-0000C6220000}"/>
    <cellStyle name="Note 2 4 2 4 2" xfId="11518" xr:uid="{FE41DA98-AA43-42B5-8089-7F9C60D73034}"/>
    <cellStyle name="Note 2 4 2 5" xfId="11513" xr:uid="{48A491C2-EEBF-4595-80FD-062B80BD77F6}"/>
    <cellStyle name="Note 2 4 2 6" xfId="12086" xr:uid="{B6A89154-A0C8-405A-BF11-FB75C0A2B58F}"/>
    <cellStyle name="Note 2 4 3" xfId="8938" xr:uid="{00000000-0005-0000-0000-0000C7220000}"/>
    <cellStyle name="Note 2 4 3 2" xfId="8939" xr:uid="{00000000-0005-0000-0000-0000C8220000}"/>
    <cellStyle name="Note 2 4 3 2 2" xfId="11519" xr:uid="{BB929F1E-61C4-4F28-BFA1-FD2ACA7AC660}"/>
    <cellStyle name="Note 2 4 3 3" xfId="10009" xr:uid="{8A66600D-82FA-49F3-9F67-9FDB0080D80B}"/>
    <cellStyle name="Note 2 4 3 3 2" xfId="11520" xr:uid="{8293D00B-F4E6-4D09-9860-E0792688FCD5}"/>
    <cellStyle name="Note 2 4 3 4" xfId="12085" xr:uid="{F1BA93BF-0558-448B-A0A0-D9931C7BC61E}"/>
    <cellStyle name="Note 2 4 3 5" xfId="10008" xr:uid="{5B6E3443-3840-4693-83D7-6B40EF5282D3}"/>
    <cellStyle name="Note 2 4 3 6" xfId="12171" xr:uid="{A436632D-5A1D-4B98-8751-F4C22B9EBF6C}"/>
    <cellStyle name="Note 2 4 4" xfId="8940" xr:uid="{00000000-0005-0000-0000-0000C9220000}"/>
    <cellStyle name="Note 2 4 4 2" xfId="8941" xr:uid="{00000000-0005-0000-0000-0000CA220000}"/>
    <cellStyle name="Note 2 4 4 2 2" xfId="11521" xr:uid="{FFA7F8C7-0DD0-46A9-BCB7-DE5138C73D20}"/>
    <cellStyle name="Note 2 4 4 3" xfId="10011" xr:uid="{0C6AB2AA-DDD6-431F-A208-858B7D53F0BF}"/>
    <cellStyle name="Note 2 4 4 3 2" xfId="11522" xr:uid="{3E28B23C-0279-4D5A-92ED-17238606D257}"/>
    <cellStyle name="Note 2 4 4 4" xfId="10010" xr:uid="{3FA8EE62-CD2C-4AAC-BA56-BC8FEF89C0F7}"/>
    <cellStyle name="Note 2 4 4 5" xfId="12172" xr:uid="{ACB1B07E-6F84-49BE-B145-EE422F82FC2D}"/>
    <cellStyle name="Note 2 4 5" xfId="8942" xr:uid="{00000000-0005-0000-0000-0000CB220000}"/>
    <cellStyle name="Note 2 4 5 2" xfId="10013" xr:uid="{708AA8E4-0976-492E-9B23-6703E5E6160F}"/>
    <cellStyle name="Note 2 4 5 2 2" xfId="11523" xr:uid="{596A20CE-0C99-4554-A794-F542E80FC4D3}"/>
    <cellStyle name="Note 2 4 5 3" xfId="10012" xr:uid="{6A77EBCC-ACF3-4F70-A16C-77B7CFD2E38E}"/>
    <cellStyle name="Note 2 4 5 4" xfId="12173" xr:uid="{58F354EB-9758-4282-A23D-5A2D6EE4E62C}"/>
    <cellStyle name="Note 2 4 6" xfId="10014" xr:uid="{28CB257B-2096-449A-AAA5-F3A4372F6F94}"/>
    <cellStyle name="Note 2 4 6 2" xfId="12174" xr:uid="{070261F5-52BC-42E5-9419-F0B93B6E848B}"/>
    <cellStyle name="Note 2 4 7" xfId="10015" xr:uid="{F8FA31FF-DC4A-4341-8ABF-2A3277B66EFE}"/>
    <cellStyle name="Note 2 4 7 2" xfId="12175" xr:uid="{1FD14C37-AA91-47A4-8F50-EF33915C42D7}"/>
    <cellStyle name="Note 2 4 8" xfId="10016" xr:uid="{E2D5BB5C-B0B1-4C8A-BD51-1654F8A2DCE1}"/>
    <cellStyle name="Note 2 4 8 2" xfId="12176" xr:uid="{9C4559C3-FE30-42A1-9317-439ABE1D5508}"/>
    <cellStyle name="Note 2 4 9" xfId="10017" xr:uid="{EF07A40B-764E-40DB-8A0B-4C44EBF6FC6A}"/>
    <cellStyle name="Note 2 4 9 2" xfId="12177" xr:uid="{2AE4EE34-7301-4DFC-A453-F19137A8C8C6}"/>
    <cellStyle name="Note 2 5" xfId="8098" xr:uid="{00000000-0005-0000-0000-0000CC220000}"/>
    <cellStyle name="Note 2 5 10" xfId="10018" xr:uid="{B7101657-93C5-4003-9690-D319E3593C1C}"/>
    <cellStyle name="Note 2 5 10 2" xfId="12178" xr:uid="{FB6D6DCE-8FFC-4AAB-8060-0B9F25F9029F}"/>
    <cellStyle name="Note 2 5 11" xfId="11524" xr:uid="{F599BD10-98AB-4161-9A6C-6FE8B086EDB8}"/>
    <cellStyle name="Note 2 5 12" xfId="12087" xr:uid="{550D42D4-8EF4-4ECA-97AB-038B53C434C4}"/>
    <cellStyle name="Note 2 5 2" xfId="8943" xr:uid="{00000000-0005-0000-0000-0000CD220000}"/>
    <cellStyle name="Note 2 5 2 2" xfId="8944" xr:uid="{00000000-0005-0000-0000-0000CE220000}"/>
    <cellStyle name="Note 2 5 2 2 2" xfId="11525" xr:uid="{BA1FF625-EB84-4536-97C1-2FF5961BF12D}"/>
    <cellStyle name="Note 2 5 2 3" xfId="10020" xr:uid="{E65A537E-2098-4A93-B2BE-B5B73C1DA595}"/>
    <cellStyle name="Note 2 5 2 3 2" xfId="11526" xr:uid="{67D25243-FF99-4F5B-815B-1A938504A475}"/>
    <cellStyle name="Note 2 5 2 4" xfId="10019" xr:uid="{E1CE1178-FD90-438B-92A8-9DEDCA30BB0A}"/>
    <cellStyle name="Note 2 5 2 5" xfId="12179" xr:uid="{182256EC-EA13-4AE0-9ADC-D0950E54D6C9}"/>
    <cellStyle name="Note 2 5 3" xfId="8945" xr:uid="{00000000-0005-0000-0000-0000CF220000}"/>
    <cellStyle name="Note 2 5 3 2" xfId="8946" xr:uid="{00000000-0005-0000-0000-0000D0220000}"/>
    <cellStyle name="Note 2 5 3 2 2" xfId="11527" xr:uid="{2064BC4B-EA4A-4EFB-9EF7-8796F850AB11}"/>
    <cellStyle name="Note 2 5 3 3" xfId="10022" xr:uid="{C6FDD8F4-B00F-479D-8616-D299DAA0EA65}"/>
    <cellStyle name="Note 2 5 3 3 2" xfId="11528" xr:uid="{0959EF01-41F4-44CD-A96F-197162341E0A}"/>
    <cellStyle name="Note 2 5 3 4" xfId="10021" xr:uid="{6098E1AB-8F77-4641-AABD-CD49BDBEE29B}"/>
    <cellStyle name="Note 2 5 3 5" xfId="12180" xr:uid="{6E8EF3DA-E841-4662-A314-937028320CF9}"/>
    <cellStyle name="Note 2 5 4" xfId="8947" xr:uid="{00000000-0005-0000-0000-0000D1220000}"/>
    <cellStyle name="Note 2 5 4 2" xfId="10024" xr:uid="{768BCAAC-CB3D-4A6A-B3EB-D86FFC46F336}"/>
    <cellStyle name="Note 2 5 4 2 2" xfId="11529" xr:uid="{82A0FD13-4D79-4C05-AD33-813ACE3C963E}"/>
    <cellStyle name="Note 2 5 4 3" xfId="10023" xr:uid="{67B24FA3-5451-48B2-991D-A9D2AC8B9FB5}"/>
    <cellStyle name="Note 2 5 4 4" xfId="12181" xr:uid="{E4091735-D188-4185-9B4F-8816E1B5C963}"/>
    <cellStyle name="Note 2 5 5" xfId="10025" xr:uid="{5D8F65FF-0061-417F-BFF8-501D846CFFB5}"/>
    <cellStyle name="Note 2 5 5 2" xfId="12182" xr:uid="{780EF8F2-5ADF-4CD8-8FCA-D6F41EAD9F57}"/>
    <cellStyle name="Note 2 5 6" xfId="10026" xr:uid="{C8618501-E489-4CB9-A501-42F146EA7C6D}"/>
    <cellStyle name="Note 2 5 6 2" xfId="12183" xr:uid="{3FA4032F-A983-4FB5-AFC1-394C6F3633B0}"/>
    <cellStyle name="Note 2 5 7" xfId="10027" xr:uid="{9C9F9DF5-9305-44D8-8AAA-FAEFB78CF493}"/>
    <cellStyle name="Note 2 5 7 2" xfId="12184" xr:uid="{6EF52B88-CB63-49E0-A6BE-FD1AD1710545}"/>
    <cellStyle name="Note 2 5 8" xfId="10028" xr:uid="{A1D4BB41-59D0-4C42-BA40-7F9F9D9D9B2A}"/>
    <cellStyle name="Note 2 5 8 2" xfId="12185" xr:uid="{E15BFAF3-C2E1-4FF5-AB3E-A1950CBC0C11}"/>
    <cellStyle name="Note 2 5 9" xfId="10029" xr:uid="{F3159B7C-FEA5-4876-AC6D-F7F166C5A86E}"/>
    <cellStyle name="Note 2 5 9 2" xfId="12186" xr:uid="{50E29381-F235-43D9-8890-3F3C8CFBAF21}"/>
    <cellStyle name="Note 2 6" xfId="8948" xr:uid="{00000000-0005-0000-0000-0000D2220000}"/>
    <cellStyle name="Note 2 6 10" xfId="10031" xr:uid="{79E81F48-8EF7-4C4E-9621-433AA1D5143D}"/>
    <cellStyle name="Note 2 6 10 2" xfId="12187" xr:uid="{D7C5BFBD-30C1-4DAF-85AA-2E4604E13C1E}"/>
    <cellStyle name="Note 2 6 11" xfId="10032" xr:uid="{133EC681-5679-4532-83B0-0EF1BB9136A0}"/>
    <cellStyle name="Note 2 6 11 2" xfId="11530" xr:uid="{CA374DE0-10F3-491E-ACA7-C1E10716A44F}"/>
    <cellStyle name="Note 2 6 12" xfId="10030" xr:uid="{27C1FC8C-8A9B-4562-A861-D3C05743D769}"/>
    <cellStyle name="Note 2 6 2" xfId="8949" xr:uid="{00000000-0005-0000-0000-0000D3220000}"/>
    <cellStyle name="Note 2 6 2 2" xfId="10034" xr:uid="{B776AAE1-C4A2-461A-8520-3BA60AA57FE0}"/>
    <cellStyle name="Note 2 6 2 2 2" xfId="11531" xr:uid="{045A865E-28F7-41EB-82FC-548638AF4CC2}"/>
    <cellStyle name="Note 2 6 2 3" xfId="10033" xr:uid="{79A2618B-E11E-4507-BFB4-3C76802A9F04}"/>
    <cellStyle name="Note 2 6 2 4" xfId="12188" xr:uid="{6CF324EC-D8FF-43A8-B050-7A4E2F3E9114}"/>
    <cellStyle name="Note 2 6 3" xfId="10035" xr:uid="{61E5BE3D-A371-40A8-9BC0-6E83D3B18136}"/>
    <cellStyle name="Note 2 6 3 2" xfId="12189" xr:uid="{F3D04A15-C0CF-4684-931F-3A241405144C}"/>
    <cellStyle name="Note 2 6 4" xfId="10036" xr:uid="{8760D1BF-7F07-4567-83FD-85C39DECEE15}"/>
    <cellStyle name="Note 2 6 4 2" xfId="12190" xr:uid="{A71AA42D-B8B3-42EE-9C78-F790B1B3E983}"/>
    <cellStyle name="Note 2 6 5" xfId="10037" xr:uid="{2AC045D3-82AE-4C72-9691-49EBB7C63387}"/>
    <cellStyle name="Note 2 6 5 2" xfId="12191" xr:uid="{75B63AC6-6792-4C4E-B78A-05713546AF9A}"/>
    <cellStyle name="Note 2 6 6" xfId="10038" xr:uid="{C435BAD7-9021-4AE6-ADB4-5195F5ECB242}"/>
    <cellStyle name="Note 2 6 6 2" xfId="12192" xr:uid="{6E6084AF-5A1F-4545-83D7-92CB0DCC31AE}"/>
    <cellStyle name="Note 2 6 7" xfId="10039" xr:uid="{CC2DE81A-936E-4D9E-A37B-837EBAABEFB2}"/>
    <cellStyle name="Note 2 6 7 2" xfId="12193" xr:uid="{25F07C1D-9AD8-4D53-86C5-866AC8BAC96F}"/>
    <cellStyle name="Note 2 6 8" xfId="10040" xr:uid="{533AF85D-2323-446B-B388-2A1EEC1A2E64}"/>
    <cellStyle name="Note 2 6 8 2" xfId="12194" xr:uid="{CBD35D71-6A9A-43EC-83AD-6BC3D56DEFF8}"/>
    <cellStyle name="Note 2 6 9" xfId="10041" xr:uid="{ED09EE77-87D7-43FC-9453-A135A2EDA1AC}"/>
    <cellStyle name="Note 2 6 9 2" xfId="12195" xr:uid="{B1617D83-0294-4922-B547-EB0F3008524A}"/>
    <cellStyle name="Note 2 7" xfId="8950" xr:uid="{00000000-0005-0000-0000-0000D4220000}"/>
    <cellStyle name="Note 2 7 2" xfId="8951" xr:uid="{00000000-0005-0000-0000-0000D5220000}"/>
    <cellStyle name="Note 2 7 2 2" xfId="11533" xr:uid="{D6984749-BEC8-45C6-B1C0-D4B2E69CF886}"/>
    <cellStyle name="Note 2 7 3" xfId="11532" xr:uid="{58B0DA64-83DC-470F-AA18-348BEB82B6AD}"/>
    <cellStyle name="Note 2 8" xfId="8952" xr:uid="{00000000-0005-0000-0000-0000D6220000}"/>
    <cellStyle name="Note 2 8 2" xfId="8953" xr:uid="{00000000-0005-0000-0000-0000D7220000}"/>
    <cellStyle name="Note 2 8 2 2" xfId="11534" xr:uid="{EEEE2829-895E-4392-ACE7-7A6703663466}"/>
    <cellStyle name="Note 2 8 3" xfId="10043" xr:uid="{771C9DF8-8C91-44FF-A039-15BF5DB6A85B}"/>
    <cellStyle name="Note 2 8 3 2" xfId="11535" xr:uid="{52FA4654-5F4B-4F8B-A037-598F001EEDBC}"/>
    <cellStyle name="Note 2 8 4" xfId="10042" xr:uid="{5D08B3AF-B7FB-461B-BF14-8B5AA029A007}"/>
    <cellStyle name="Note 2 8 5" xfId="12196" xr:uid="{1CA7CA14-8423-48BE-B30A-F9DC8C132520}"/>
    <cellStyle name="Note 2 9" xfId="9107" xr:uid="{00000000-0005-0000-0000-0000D8220000}"/>
    <cellStyle name="Note 2 9 2" xfId="10044" xr:uid="{25B81FD1-EB29-4354-A120-0CBBA50BCF23}"/>
    <cellStyle name="Note 2 9 3" xfId="12197" xr:uid="{E76D3DFB-0D52-41D7-9A5A-3A4EB6348241}"/>
    <cellStyle name="Note 3" xfId="212" xr:uid="{00000000-0005-0000-0000-0000D9220000}"/>
    <cellStyle name="Note 3 2" xfId="9158" xr:uid="{00000000-0005-0000-0000-0000DA220000}"/>
    <cellStyle name="Note 3 2 2" xfId="10343" xr:uid="{06A8EC25-3347-4EF6-8FBE-307F662F2BBF}"/>
    <cellStyle name="Note 3 2 2 2" xfId="11767" xr:uid="{7ABD8913-8716-4E42-A871-6B8DCAA00C86}"/>
    <cellStyle name="Note 3 2 3" xfId="10570" xr:uid="{62F6FB28-973E-4BF8-B66A-680D6267CB55}"/>
    <cellStyle name="Note 3 2 4" xfId="9318" xr:uid="{9E7064BE-8A9E-421A-A03A-00E53D05137E}"/>
    <cellStyle name="Note 3 3" xfId="9214" xr:uid="{559AD5DC-1B72-48F9-AA6A-1D299B5BE733}"/>
    <cellStyle name="Note 3 3 2" xfId="10045" xr:uid="{A0BBDD44-2533-4436-B8CB-8B13AA6B9BC0}"/>
    <cellStyle name="Note 3 4" xfId="10046" xr:uid="{E3BB85E4-500A-4304-B5D5-05CFB45B70CE}"/>
    <cellStyle name="Note 3 5" xfId="10047" xr:uid="{FBD251BF-1741-4A21-8A36-513EB4220DC8}"/>
    <cellStyle name="Note 3 5 2" xfId="12198" xr:uid="{DB937305-DE5D-4BDF-A31D-94433627A21F}"/>
    <cellStyle name="Note 3 6" xfId="10342" xr:uid="{FFEA250C-7EF0-4FDE-A330-0ED52ABA20DC}"/>
    <cellStyle name="Note 3 7" xfId="10553" xr:uid="{675A933B-6C64-40E9-B5AD-D24522C4665D}"/>
    <cellStyle name="Note 3 8" xfId="9281" xr:uid="{801E670E-25E1-43E5-A4C0-EC1A5594A30B}"/>
    <cellStyle name="Note 4" xfId="8099" xr:uid="{00000000-0005-0000-0000-0000DB220000}"/>
    <cellStyle name="Note 4 2" xfId="9169" xr:uid="{00000000-0005-0000-0000-0000DC220000}"/>
    <cellStyle name="Note 4 2 2" xfId="10436" xr:uid="{7F92A7EA-6C4E-481A-95E1-0048FEAD3C86}"/>
    <cellStyle name="Note 4 2 3" xfId="12344" xr:uid="{F38E79AC-76AD-4E25-A1B5-998AE5E7495B}"/>
    <cellStyle name="Note 4 3" xfId="9282" xr:uid="{9E40D1D8-0731-4A2E-87F8-2451E422B33A}"/>
    <cellStyle name="Note 5" xfId="8100" xr:uid="{00000000-0005-0000-0000-0000DD220000}"/>
    <cellStyle name="Note 5 2" xfId="8101" xr:uid="{00000000-0005-0000-0000-0000DE220000}"/>
    <cellStyle name="Note 5 2 2" xfId="9171" xr:uid="{00000000-0005-0000-0000-0000DF220000}"/>
    <cellStyle name="Note 5 2 3" xfId="10049" xr:uid="{74828A1F-D6D9-445C-8FE3-A8945C44EC43}"/>
    <cellStyle name="Note 5 2 4" xfId="12200" xr:uid="{7FD5BFE6-2601-457D-9EF0-849375905E6E}"/>
    <cellStyle name="Note 5 3" xfId="9170" xr:uid="{00000000-0005-0000-0000-0000E0220000}"/>
    <cellStyle name="Note 5 3 2" xfId="10344" xr:uid="{D0D62D52-9FEA-4681-B4CD-765CD08E84E4}"/>
    <cellStyle name="Note 5 4" xfId="10048" xr:uid="{08560084-0285-46AA-85BD-9EAC4137792C}"/>
    <cellStyle name="Note 5 5" xfId="12199" xr:uid="{A507CAE0-7C55-44F5-98C3-0B8706403E13}"/>
    <cellStyle name="Note 6" xfId="10536" xr:uid="{1A0A3E21-599A-4C83-B44A-38204816F4D2}"/>
    <cellStyle name="Note 7" xfId="12123" xr:uid="{4204BA13-92C5-4D3D-9ED2-260B95125239}"/>
    <cellStyle name="Note 8" xfId="9233" xr:uid="{5ABEC68D-28A7-4A84-B0A3-F5F65B7F1CAE}"/>
    <cellStyle name="Oregon" xfId="9373" xr:uid="{CD5F5D63-7A9D-4C43-B510-4EC1AE6DAE7F}"/>
    <cellStyle name="Output 2" xfId="213" xr:uid="{00000000-0005-0000-0000-0000E1220000}"/>
    <cellStyle name="Output 2 10" xfId="10050" xr:uid="{4F496B27-8FC7-4BDC-B06E-4A5634604750}"/>
    <cellStyle name="Output 2 10 2" xfId="12201" xr:uid="{20992996-AD5B-42DF-8A3A-16E19009CD7C}"/>
    <cellStyle name="Output 2 11" xfId="10051" xr:uid="{F332B4CA-5B64-4E75-8754-531C7366ACB1}"/>
    <cellStyle name="Output 2 11 2" xfId="12202" xr:uid="{6668DEA5-10F5-44AB-BC90-657416B8065C}"/>
    <cellStyle name="Output 2 12" xfId="10052" xr:uid="{DED5AE30-4952-4DDD-8658-31CD861CB470}"/>
    <cellStyle name="Output 2 12 2" xfId="12203" xr:uid="{CD23A29D-90F8-4BB4-93AF-28228916486D}"/>
    <cellStyle name="Output 2 13" xfId="10053" xr:uid="{120C53C4-FA6A-4252-A4FB-0342B7CC2DF6}"/>
    <cellStyle name="Output 2 13 2" xfId="12204" xr:uid="{F647ACF5-26A6-49FA-BC48-6B8E0BA70DBD}"/>
    <cellStyle name="Output 2 14" xfId="10054" xr:uid="{5E90123F-90E9-44AA-87C3-17669A6EDB2E}"/>
    <cellStyle name="Output 2 14 2" xfId="12205" xr:uid="{13AA71EF-3244-4D6D-A5A3-4E691E822467}"/>
    <cellStyle name="Output 2 15" xfId="10055" xr:uid="{AF53AD77-C576-4B6F-8687-69DD7F62E0F7}"/>
    <cellStyle name="Output 2 15 2" xfId="12206" xr:uid="{97F28C94-1796-4FFE-B551-2CA30C8671A3}"/>
    <cellStyle name="Output 2 16" xfId="10056" xr:uid="{3738FDD8-3C01-47DC-B9F2-EB7074217E08}"/>
    <cellStyle name="Output 2 16 2" xfId="12207" xr:uid="{342C3A29-7234-487C-842B-4EEAA902AB04}"/>
    <cellStyle name="Output 2 17" xfId="10057" xr:uid="{E2FCBD66-0A79-47BC-86D9-263239460F68}"/>
    <cellStyle name="Output 2 17 2" xfId="12208" xr:uid="{004948A7-6382-4EBF-827B-64899F3810F8}"/>
    <cellStyle name="Output 2 18" xfId="10058" xr:uid="{B8A42D51-6B9C-4A75-B97C-5C56BC4A3571}"/>
    <cellStyle name="Output 2 19" xfId="10059" xr:uid="{C3909D11-1048-42F8-A0FD-DB52328DAC65}"/>
    <cellStyle name="Output 2 19 2" xfId="12209" xr:uid="{1714FECD-03C3-4817-8F77-5EF4264197D6}"/>
    <cellStyle name="Output 2 2" xfId="351" xr:uid="{00000000-0005-0000-0000-0000E2220000}"/>
    <cellStyle name="Output 2 2 10" xfId="10060" xr:uid="{96DFBCBB-A7CE-4543-97F2-CD34EF6B2428}"/>
    <cellStyle name="Output 2 2 10 2" xfId="12210" xr:uid="{D1F999FD-0391-44BC-84E1-86E677B44B4A}"/>
    <cellStyle name="Output 2 2 11" xfId="10061" xr:uid="{7E67E891-D419-47A2-8B04-6E1777C006C1}"/>
    <cellStyle name="Output 2 2 11 2" xfId="12211" xr:uid="{A29E4356-A34D-49E6-AB55-82927715B8EC}"/>
    <cellStyle name="Output 2 2 12" xfId="10345" xr:uid="{DFE46748-0A37-4DC1-B61D-29DEEDE9D59B}"/>
    <cellStyle name="Output 2 2 12 2" xfId="12318" xr:uid="{E9CEEE4A-5169-47C1-9316-B2CAB08A44C8}"/>
    <cellStyle name="Output 2 2 13" xfId="9319" xr:uid="{30533E54-CAC0-42BE-8B2F-227BE7DE2BF0}"/>
    <cellStyle name="Output 2 2 14" xfId="10141" xr:uid="{E8AECCF5-711F-4CEA-88F8-8B243EB96EFE}"/>
    <cellStyle name="Output 2 2 2" xfId="8158" xr:uid="{00000000-0005-0000-0000-0000E3220000}"/>
    <cellStyle name="Output 2 2 2 2" xfId="10346" xr:uid="{949F9D76-C81A-4823-8E22-27A2A14A5FBE}"/>
    <cellStyle name="Output 2 2 2 2 2" xfId="12319" xr:uid="{5E4D0818-209E-4B5B-A2EB-640379C5AC6F}"/>
    <cellStyle name="Output 2 2 2 3" xfId="10062" xr:uid="{02517C8A-9DE8-44B3-8D16-DCAB2B5B8BB4}"/>
    <cellStyle name="Output 2 2 2 4" xfId="12212" xr:uid="{8EE73FDE-79F7-4FE7-9087-1D5365E3B0CA}"/>
    <cellStyle name="Output 2 2 3" xfId="9163" xr:uid="{00000000-0005-0000-0000-0000E4220000}"/>
    <cellStyle name="Output 2 2 3 2" xfId="10063" xr:uid="{F01FC46B-B986-4CF2-8899-B9D839F6729D}"/>
    <cellStyle name="Output 2 2 3 3" xfId="12213" xr:uid="{71948F6F-B542-47DB-AEAE-485FDA7EDBEB}"/>
    <cellStyle name="Output 2 2 4" xfId="10064" xr:uid="{9667D338-41BE-4CBD-90B9-19A02DE397FA}"/>
    <cellStyle name="Output 2 2 4 2" xfId="12214" xr:uid="{DB308DF3-D455-4A25-9182-D7CA3BB85467}"/>
    <cellStyle name="Output 2 2 5" xfId="10065" xr:uid="{87F377B2-DC22-4470-891D-2DB692DE845F}"/>
    <cellStyle name="Output 2 2 5 2" xfId="12215" xr:uid="{A7730FF4-71A4-4674-A5E6-A9009867E876}"/>
    <cellStyle name="Output 2 2 6" xfId="10066" xr:uid="{95483A3B-4745-4770-BDB0-4F41C3FFFCAA}"/>
    <cellStyle name="Output 2 2 6 2" xfId="12216" xr:uid="{AF1F31A2-9064-4521-A9E9-BCCF08CE32DC}"/>
    <cellStyle name="Output 2 2 7" xfId="10067" xr:uid="{3F992187-445F-4513-95B0-1DC45F1DBE2B}"/>
    <cellStyle name="Output 2 2 7 2" xfId="12217" xr:uid="{790ECB8E-6993-4CA7-AFFE-F5D5AE186D5E}"/>
    <cellStyle name="Output 2 2 8" xfId="10068" xr:uid="{84697E16-4F30-4117-8255-063362D9DF9E}"/>
    <cellStyle name="Output 2 2 8 2" xfId="12218" xr:uid="{29FD25F1-3DB4-4DB7-8C9E-D6478EB527DC}"/>
    <cellStyle name="Output 2 2 9" xfId="10069" xr:uid="{B7FE0D4C-1A73-4904-BAD8-B008808C7E46}"/>
    <cellStyle name="Output 2 2 9 2" xfId="12219" xr:uid="{6DA6E43B-9E77-4F42-82AA-AEB3D67DD73C}"/>
    <cellStyle name="Output 2 20" xfId="9283" xr:uid="{3CA17AFA-733D-4A64-8AD5-3800E374DE64}"/>
    <cellStyle name="Output 2 21" xfId="10158" xr:uid="{1CC9884E-EE65-45AC-81FF-0EAD64F5F931}"/>
    <cellStyle name="Output 2 3" xfId="8155" xr:uid="{00000000-0005-0000-0000-0000E5220000}"/>
    <cellStyle name="Output 2 3 10" xfId="10070" xr:uid="{B8EA670D-1A18-42DE-AA43-8ED76FC887A7}"/>
    <cellStyle name="Output 2 3 10 2" xfId="12220" xr:uid="{3B7123ED-B3FA-45DD-8928-1742C85C2FCA}"/>
    <cellStyle name="Output 2 3 11" xfId="10071" xr:uid="{C5030922-2C6F-4578-8218-9E8FCE937A82}"/>
    <cellStyle name="Output 2 3 11 2" xfId="12221" xr:uid="{E438DDB4-D3F4-40B3-A046-3F64643DFF0C}"/>
    <cellStyle name="Output 2 3 12" xfId="9327" xr:uid="{AA12169F-9465-4C14-AFA0-5080F79FA605}"/>
    <cellStyle name="Output 2 3 13" xfId="10133" xr:uid="{8E63A27A-781A-4EE6-9D4B-D9A0EA3445AA}"/>
    <cellStyle name="Output 2 3 2" xfId="10072" xr:uid="{EAB55CC5-8884-4810-BA6C-8DE10E6A66B2}"/>
    <cellStyle name="Output 2 3 2 2" xfId="10347" xr:uid="{E8473D4D-EC7B-4BE1-9354-74CF9717DAFB}"/>
    <cellStyle name="Output 2 3 2 2 2" xfId="12320" xr:uid="{179FB184-F506-4419-9174-5B9FC4A1029E}"/>
    <cellStyle name="Output 2 3 2 3" xfId="12222" xr:uid="{8399458D-A516-4E14-B44F-7FF0F0286D49}"/>
    <cellStyle name="Output 2 3 3" xfId="10073" xr:uid="{C294CC3A-8EDE-4F60-8DE3-661878A1A644}"/>
    <cellStyle name="Output 2 3 3 2" xfId="12223" xr:uid="{6B6BA18A-E6A3-41D0-84F8-F8B28D587306}"/>
    <cellStyle name="Output 2 3 4" xfId="10074" xr:uid="{FB1AA101-5A65-4D70-B496-2F505BC75E5A}"/>
    <cellStyle name="Output 2 3 4 2" xfId="12224" xr:uid="{BA1936E0-9A37-457E-BB76-F00433A284D4}"/>
    <cellStyle name="Output 2 3 5" xfId="10075" xr:uid="{4D495E85-0705-4CE8-B10B-F4E9320E09C6}"/>
    <cellStyle name="Output 2 3 5 2" xfId="12225" xr:uid="{26307AB6-A5A3-4F86-813D-36C2BC7C49E2}"/>
    <cellStyle name="Output 2 3 6" xfId="10076" xr:uid="{070D5FA6-C347-4C29-ADA4-14BEE3A8D68E}"/>
    <cellStyle name="Output 2 3 6 2" xfId="12226" xr:uid="{675BEE3E-41B7-45B5-AB6D-90796B3CBF7A}"/>
    <cellStyle name="Output 2 3 7" xfId="10077" xr:uid="{403DBE07-1A77-464D-A0FB-9DE4B5ACA84D}"/>
    <cellStyle name="Output 2 3 7 2" xfId="12227" xr:uid="{6BC2E5D7-20FC-4947-9186-7FBD37BDA144}"/>
    <cellStyle name="Output 2 3 8" xfId="10078" xr:uid="{255EE4C0-842E-4FF8-AA40-FE8F772C7BD1}"/>
    <cellStyle name="Output 2 3 8 2" xfId="12228" xr:uid="{F251B339-FC0F-4351-8A95-3FA9ED5ADBA9}"/>
    <cellStyle name="Output 2 3 9" xfId="10079" xr:uid="{6E00FEE7-DC0E-4AD4-9456-9C8B1541538D}"/>
    <cellStyle name="Output 2 3 9 2" xfId="12229" xr:uid="{8AD14BE8-A773-4C6F-ADEB-7468B223565C}"/>
    <cellStyle name="Output 2 4" xfId="9108" xr:uid="{00000000-0005-0000-0000-0000E6220000}"/>
    <cellStyle name="Output 2 4 10" xfId="10348" xr:uid="{8AB8957E-FBDA-48C1-BD88-46F7C6521815}"/>
    <cellStyle name="Output 2 4 10 2" xfId="12321" xr:uid="{A2B84935-EF0F-4906-B55A-A1CD9E675C5E}"/>
    <cellStyle name="Output 2 4 11" xfId="10080" xr:uid="{7011CD18-3780-4AE3-AD7D-690B21166866}"/>
    <cellStyle name="Output 2 4 12" xfId="12230" xr:uid="{60118C07-3A62-4678-8498-7EA12FF06947}"/>
    <cellStyle name="Output 2 4 2" xfId="10081" xr:uid="{804FC65B-3730-4024-BFEF-9698BA1D17D6}"/>
    <cellStyle name="Output 2 4 2 2" xfId="12231" xr:uid="{39F410B4-0C0D-4407-9963-B5E9F3D08057}"/>
    <cellStyle name="Output 2 4 3" xfId="10082" xr:uid="{CA004263-0126-431B-AFC2-AF2FB586A5E9}"/>
    <cellStyle name="Output 2 4 3 2" xfId="12232" xr:uid="{A44D9C68-CE34-4D26-9847-B6B5DC3C7DFD}"/>
    <cellStyle name="Output 2 4 4" xfId="10083" xr:uid="{74FA5D46-DAA7-4814-A64B-C12CA0744525}"/>
    <cellStyle name="Output 2 4 4 2" xfId="12233" xr:uid="{DFF1E18A-80FB-486D-9ADB-1E3CD34A80F3}"/>
    <cellStyle name="Output 2 4 5" xfId="10084" xr:uid="{5FFCFBBC-BB33-499B-81AE-BDC6F8C3129C}"/>
    <cellStyle name="Output 2 4 5 2" xfId="12234" xr:uid="{B6579388-7434-4961-B275-D4B22C4AEC4A}"/>
    <cellStyle name="Output 2 4 6" xfId="10085" xr:uid="{B06EDFA7-C019-4B19-BDDD-670FAA1961B3}"/>
    <cellStyle name="Output 2 4 6 2" xfId="12235" xr:uid="{111EB2CF-C544-4B18-8164-D3B48C943DD7}"/>
    <cellStyle name="Output 2 4 7" xfId="10086" xr:uid="{74AC2594-6B4C-4F75-BEEA-5DA0042B4663}"/>
    <cellStyle name="Output 2 4 7 2" xfId="12236" xr:uid="{BF1477CA-272E-42DB-BE23-6FD8E67416F3}"/>
    <cellStyle name="Output 2 4 8" xfId="10087" xr:uid="{BF9E2CD7-5870-41D4-B9F4-F399167F40B4}"/>
    <cellStyle name="Output 2 4 8 2" xfId="12237" xr:uid="{9A8DCA1A-DCAA-476D-9087-036BBDDC0271}"/>
    <cellStyle name="Output 2 4 9" xfId="10088" xr:uid="{0C6069EB-3D59-48B5-8C9B-A3405204BBC2}"/>
    <cellStyle name="Output 2 4 9 2" xfId="12238" xr:uid="{56AA08FE-B6E8-4158-94E8-3D07F1AD981B}"/>
    <cellStyle name="Output 2 5" xfId="10089" xr:uid="{9FEF2324-AEE0-4484-97AE-09605DA1A53E}"/>
    <cellStyle name="Output 2 5 10" xfId="12239" xr:uid="{9954B390-2775-4ECB-AF99-E971AE607F6E}"/>
    <cellStyle name="Output 2 5 2" xfId="10090" xr:uid="{AF00CA4C-8B7D-4EF5-8279-11C799052751}"/>
    <cellStyle name="Output 2 5 2 2" xfId="12240" xr:uid="{6E67A48B-FE21-4BED-A9AE-26F6A1B5384A}"/>
    <cellStyle name="Output 2 5 3" xfId="10091" xr:uid="{D823C85C-12DF-4BE9-A69D-7E007FAA4C4E}"/>
    <cellStyle name="Output 2 5 3 2" xfId="12241" xr:uid="{612FE17D-3F33-4B78-A4C2-32D1CE8AC41D}"/>
    <cellStyle name="Output 2 5 4" xfId="10092" xr:uid="{9AA89D90-CD1B-45F7-AB2F-398008B95114}"/>
    <cellStyle name="Output 2 5 4 2" xfId="12242" xr:uid="{61AF0D56-4593-4D3B-9E68-F7BEAA1B03DD}"/>
    <cellStyle name="Output 2 5 5" xfId="10093" xr:uid="{532C4DB5-3181-4C7A-9D80-260B92417670}"/>
    <cellStyle name="Output 2 5 5 2" xfId="12243" xr:uid="{913D0157-A396-4855-AE59-C28A02CE2E25}"/>
    <cellStyle name="Output 2 5 6" xfId="10094" xr:uid="{A0BCE809-B70D-4A06-A859-F914A3767CE5}"/>
    <cellStyle name="Output 2 5 6 2" xfId="12244" xr:uid="{B4D9051F-09E3-40A2-A85B-EE91BF1795F4}"/>
    <cellStyle name="Output 2 5 7" xfId="10095" xr:uid="{DE0FC44B-90BA-4F9D-8D7C-3092CF595EE6}"/>
    <cellStyle name="Output 2 5 7 2" xfId="12245" xr:uid="{6D58723F-26E5-4DA2-92CC-C2C922EBB03D}"/>
    <cellStyle name="Output 2 5 8" xfId="10096" xr:uid="{F1E82B0B-656A-4992-B38A-5CCC3210C032}"/>
    <cellStyle name="Output 2 5 8 2" xfId="12246" xr:uid="{961AED39-2443-4745-A928-EFF26F10F5D4}"/>
    <cellStyle name="Output 2 5 9" xfId="10097" xr:uid="{46C34257-2DA0-4543-95DC-3699E8BC8F8E}"/>
    <cellStyle name="Output 2 5 9 2" xfId="12247" xr:uid="{67D375F1-F448-4F78-93AB-CACFE201E094}"/>
    <cellStyle name="Output 2 6" xfId="10098" xr:uid="{D588325C-BD11-4AC7-9053-DFE51052CB65}"/>
    <cellStyle name="Output 2 6 10" xfId="12248" xr:uid="{DCF7BD7A-9693-47D7-B080-9417735BCE8F}"/>
    <cellStyle name="Output 2 6 2" xfId="10099" xr:uid="{D75A5F33-CFCC-4A0B-B33E-D446270F3F52}"/>
    <cellStyle name="Output 2 6 2 2" xfId="12249" xr:uid="{810FC64A-AE08-4689-9119-96C03FB8835E}"/>
    <cellStyle name="Output 2 6 3" xfId="10100" xr:uid="{A7EF2197-E006-44B4-BA43-DDC0244A6CEC}"/>
    <cellStyle name="Output 2 6 3 2" xfId="12250" xr:uid="{856DC592-A00B-437E-BD49-7E176CFBD864}"/>
    <cellStyle name="Output 2 6 4" xfId="10101" xr:uid="{17EC9539-008B-4275-8BFB-BB1F9A666E1A}"/>
    <cellStyle name="Output 2 6 4 2" xfId="12251" xr:uid="{3DEA685D-2100-40EF-A396-00706F46F637}"/>
    <cellStyle name="Output 2 6 5" xfId="10102" xr:uid="{61433649-BA01-4813-AE1F-EEE900754EF5}"/>
    <cellStyle name="Output 2 6 5 2" xfId="12252" xr:uid="{AB27BF85-183D-4D4D-B44C-FACA1E6D2561}"/>
    <cellStyle name="Output 2 6 6" xfId="10103" xr:uid="{53BBD829-3E6D-488B-8283-F8C526E92698}"/>
    <cellStyle name="Output 2 6 6 2" xfId="12253" xr:uid="{E2323F1B-9EA8-4F5D-B890-56F2ACCBE9E8}"/>
    <cellStyle name="Output 2 6 7" xfId="10104" xr:uid="{D67F60AA-C689-486F-A856-15567D462046}"/>
    <cellStyle name="Output 2 6 7 2" xfId="12254" xr:uid="{705810E3-1AE1-4E6B-95BD-EF0D68436FDD}"/>
    <cellStyle name="Output 2 6 8" xfId="10105" xr:uid="{B2F5A186-3910-4280-AFF4-57A96BEA39A8}"/>
    <cellStyle name="Output 2 6 8 2" xfId="12255" xr:uid="{BA2A4C2B-5F6F-47DC-9DA4-63DE712C4770}"/>
    <cellStyle name="Output 2 6 9" xfId="10106" xr:uid="{7CA5492D-D8EE-4228-9478-B672D19DA114}"/>
    <cellStyle name="Output 2 6 9 2" xfId="12256" xr:uid="{FC443074-0A72-4D6A-BB5D-1CA67E418305}"/>
    <cellStyle name="Output 2 7" xfId="10107" xr:uid="{23726903-78FC-481D-AE29-E6A5C3E2C10E}"/>
    <cellStyle name="Output 2 8" xfId="10108" xr:uid="{23603611-9B1E-4C18-99FF-70C58819AFC3}"/>
    <cellStyle name="Output 2 8 2" xfId="12257" xr:uid="{4E27167F-BDA3-4EB7-9375-4581A7246407}"/>
    <cellStyle name="Output 2 9" xfId="10109" xr:uid="{70642F52-F38E-483F-9519-09D9D757E5C1}"/>
    <cellStyle name="Output 2 9 2" xfId="12258" xr:uid="{F2996E83-747E-49C9-9B3F-0186808AC59D}"/>
    <cellStyle name="Output 3" xfId="352" xr:uid="{00000000-0005-0000-0000-0000E7220000}"/>
    <cellStyle name="Output 3 2" xfId="8159" xr:uid="{00000000-0005-0000-0000-0000E8220000}"/>
    <cellStyle name="Output 3 2 2" xfId="10111" xr:uid="{2F7E1890-FAC4-4077-9BBD-E1440A25FF13}"/>
    <cellStyle name="Output 3 3" xfId="9164" xr:uid="{00000000-0005-0000-0000-0000E9220000}"/>
    <cellStyle name="Output 3 3 2" xfId="10112" xr:uid="{6ECDD6B9-2412-4ACF-95CE-9F7EFEEBB6AB}"/>
    <cellStyle name="Output 3 3 3" xfId="12260" xr:uid="{7B2017CA-8F58-48FD-9328-62D1F1E81AE5}"/>
    <cellStyle name="Output 3 4" xfId="10110" xr:uid="{1E6DE65F-09F4-4D03-83E9-B3845E41DCDB}"/>
    <cellStyle name="Output 3 5" xfId="12259" xr:uid="{0C9B05E0-5CA2-4052-BA57-93B9D07AFCFD}"/>
    <cellStyle name="Output 4" xfId="10113" xr:uid="{64180B68-C301-48EC-9343-C321D385B535}"/>
    <cellStyle name="Percent" xfId="2" builtinId="5"/>
    <cellStyle name="Percent [0]" xfId="9246" xr:uid="{103279DC-3663-4705-9F34-B66FD342FEFD}"/>
    <cellStyle name="Percent [1]" xfId="9247" xr:uid="{0F7C879C-7412-43E4-AF92-82D01C8408A8}"/>
    <cellStyle name="Percent 10" xfId="7" xr:uid="{00000000-0005-0000-0000-0000EB220000}"/>
    <cellStyle name="Percent 10 2" xfId="9374" xr:uid="{C6F6128C-2A4E-4591-8A61-79B9AC82749A}"/>
    <cellStyle name="Percent 11" xfId="10114" xr:uid="{04BE90FA-1462-453E-89A2-E52EC6675889}"/>
    <cellStyle name="Percent 12" xfId="10115" xr:uid="{75C3F86A-DC3A-4A86-A1FA-A926788AE6CC}"/>
    <cellStyle name="Percent 13" xfId="10257" xr:uid="{E37EA392-925A-4AAC-9694-0F12C487565D}"/>
    <cellStyle name="Percent 13 2" xfId="11710" xr:uid="{15F0E01D-0DA1-4CB1-BBF1-A5FB38F356F6}"/>
    <cellStyle name="Percent 14" xfId="10373" xr:uid="{17F2511B-1936-4AA1-AA08-D953614C5C8F}"/>
    <cellStyle name="Percent 14 2" xfId="11771" xr:uid="{41F03014-6B13-401C-9734-617EA3EBB672}"/>
    <cellStyle name="Percent 15" xfId="10116" xr:uid="{12DFDC7C-4A39-4480-8392-58747CC16317}"/>
    <cellStyle name="Percent 15 2" xfId="11536" xr:uid="{B6D21055-9BDB-48D6-810F-14369806033C}"/>
    <cellStyle name="Percent 16" xfId="10533" xr:uid="{1E745348-A668-42D4-8001-AA821E89F388}"/>
    <cellStyle name="Percent 17" xfId="11836" xr:uid="{C48EE838-4042-486F-AAB5-81D7D5F1EB6C}"/>
    <cellStyle name="Percent 17 2" xfId="12119" xr:uid="{2CE131C4-4975-4588-9054-CCCF11E161A0}"/>
    <cellStyle name="Percent 18" xfId="11859" xr:uid="{1950FB13-4BA3-432E-8A18-452D21E0C089}"/>
    <cellStyle name="Percent 19" xfId="12127" xr:uid="{D773B5D9-83E9-44E5-80E4-8E32F5EF83C1}"/>
    <cellStyle name="Percent 2" xfId="214" xr:uid="{00000000-0005-0000-0000-0000EC220000}"/>
    <cellStyle name="Percent 2 10" xfId="12" xr:uid="{00000000-0005-0000-0000-0000ED220000}"/>
    <cellStyle name="Percent 2 11" xfId="9114" xr:uid="{00000000-0005-0000-0000-0000EE220000}"/>
    <cellStyle name="Percent 2 11 2" xfId="11768" xr:uid="{F7B4349D-D959-4E31-A897-6DDBA7F41D7A}"/>
    <cellStyle name="Percent 2 11 3" xfId="11843" xr:uid="{306DE303-EED1-4CF9-A174-EF067DF3B88C}"/>
    <cellStyle name="Percent 2 11 4" xfId="10349" xr:uid="{E40936F1-A3AF-43D0-823C-EC0311658558}"/>
    <cellStyle name="Percent 2 12" xfId="9173" xr:uid="{66B266C3-9B17-4322-846A-8B803B0CCE24}"/>
    <cellStyle name="Percent 2 2" xfId="215" xr:uid="{00000000-0005-0000-0000-0000EF220000}"/>
    <cellStyle name="Percent 2 2 2" xfId="216" xr:uid="{00000000-0005-0000-0000-0000F0220000}"/>
    <cellStyle name="Percent 2 2 2 2" xfId="217" xr:uid="{00000000-0005-0000-0000-0000F1220000}"/>
    <cellStyle name="Percent 2 2 2 2 2" xfId="8102" xr:uid="{00000000-0005-0000-0000-0000F2220000}"/>
    <cellStyle name="Percent 2 2 2 2 2 2" xfId="9154" xr:uid="{00000000-0005-0000-0000-0000F3220000}"/>
    <cellStyle name="Percent 2 2 2 2 2 2 2" xfId="10117" xr:uid="{488C93AA-F646-4B51-8F27-D09D3D9D7521}"/>
    <cellStyle name="Percent 2 2 2 2 2 3" xfId="11537" xr:uid="{D2A75728-EAA4-48DF-BBC6-6A29555EFF53}"/>
    <cellStyle name="Percent 2 2 2 2 3" xfId="9138" xr:uid="{00000000-0005-0000-0000-0000F4220000}"/>
    <cellStyle name="Percent 2 2 2 3" xfId="353" xr:uid="{00000000-0005-0000-0000-0000F5220000}"/>
    <cellStyle name="Percent 2 2 2 4" xfId="8103" xr:uid="{00000000-0005-0000-0000-0000F6220000}"/>
    <cellStyle name="Percent 2 2 2 4 2" xfId="10120" xr:uid="{82CCA11A-A163-47A1-9AAC-57561484AC8C}"/>
    <cellStyle name="Percent 2 2 2 4 3" xfId="10119" xr:uid="{8C9CF5BE-2075-4B37-99C0-2FED7D66B7EA}"/>
    <cellStyle name="Percent 2 2 3" xfId="218" xr:uid="{00000000-0005-0000-0000-0000F7220000}"/>
    <cellStyle name="Percent 2 2 3 2" xfId="8954" xr:uid="{00000000-0005-0000-0000-0000F8220000}"/>
    <cellStyle name="Percent 2 2 3 2 2" xfId="10122" xr:uid="{8C4D4302-25FB-4C8A-A673-2A857428246A}"/>
    <cellStyle name="Percent 2 2 3 2 3" xfId="11538" xr:uid="{97074216-C9C7-4ACE-A6A6-18633EE373BB}"/>
    <cellStyle name="Percent 2 2 3 2 4" xfId="10121" xr:uid="{8F02A9B4-E995-474C-A7B1-40C8EF6EC9D6}"/>
    <cellStyle name="Percent 2 2 4" xfId="354" xr:uid="{00000000-0005-0000-0000-0000F9220000}"/>
    <cellStyle name="Percent 2 2 4 2" xfId="8104" xr:uid="{00000000-0005-0000-0000-0000FA220000}"/>
    <cellStyle name="Percent 2 2 5" xfId="8105" xr:uid="{00000000-0005-0000-0000-0000FB220000}"/>
    <cellStyle name="Percent 2 2 5 2" xfId="10124" xr:uid="{410840F6-0D0D-48A7-8A1E-041D15F7A2BC}"/>
    <cellStyle name="Percent 2 2 5 3" xfId="10123" xr:uid="{BBA30080-DF69-4591-AEB0-714206EB720D}"/>
    <cellStyle name="Percent 2 2 6" xfId="8106" xr:uid="{00000000-0005-0000-0000-0000FC220000}"/>
    <cellStyle name="Percent 2 2 7" xfId="8107" xr:uid="{00000000-0005-0000-0000-0000FD220000}"/>
    <cellStyle name="Percent 2 2 7 2" xfId="10526" xr:uid="{448BC1A8-DA1A-4F21-9495-54CAD02A0499}"/>
    <cellStyle name="Percent 2 2 7 2 2" xfId="11827" xr:uid="{998C1D3C-F6B3-409B-91B5-1E69DDE43D14}"/>
    <cellStyle name="Percent 2 2 7 3" xfId="11539" xr:uid="{C529729E-1A46-4877-B5EE-1E5BD0E879AC}"/>
    <cellStyle name="Percent 2 2 7 4" xfId="11901" xr:uid="{DD8E6D0E-296E-4904-96EF-A33787140413}"/>
    <cellStyle name="Percent 2 2 8" xfId="8108" xr:uid="{00000000-0005-0000-0000-0000FE220000}"/>
    <cellStyle name="Percent 2 2 9" xfId="9216" xr:uid="{8EA80EEC-6C98-4FE0-8687-C9A5F2608B20}"/>
    <cellStyle name="Percent 2 2 9 2" xfId="10629" xr:uid="{2D8FD672-555E-455B-851F-B71D72822F8E}"/>
    <cellStyle name="Percent 2 3" xfId="219" xr:uid="{00000000-0005-0000-0000-0000FF220000}"/>
    <cellStyle name="Percent 2 3 2" xfId="355" xr:uid="{00000000-0005-0000-0000-000000230000}"/>
    <cellStyle name="Percent 2 3 2 10" xfId="8955" xr:uid="{00000000-0005-0000-0000-000001230000}"/>
    <cellStyle name="Percent 2 3 2 10 2" xfId="11541" xr:uid="{7BB06DA7-EB1D-49EA-827A-A305BCCB6127}"/>
    <cellStyle name="Percent 2 3 2 11" xfId="11540" xr:uid="{9653BF94-203E-499D-BE8B-281AF427BFB4}"/>
    <cellStyle name="Percent 2 3 2 12" xfId="11990" xr:uid="{53D26B62-D158-4427-8189-C856DCCDF052}"/>
    <cellStyle name="Percent 2 3 2 2" xfId="8109" xr:uid="{00000000-0005-0000-0000-000002230000}"/>
    <cellStyle name="Percent 2 3 2 2 2" xfId="8110" xr:uid="{00000000-0005-0000-0000-000003230000}"/>
    <cellStyle name="Percent 2 3 2 2 2 2" xfId="8956" xr:uid="{00000000-0005-0000-0000-000004230000}"/>
    <cellStyle name="Percent 2 3 2 2 2 2 2" xfId="8957" xr:uid="{00000000-0005-0000-0000-000005230000}"/>
    <cellStyle name="Percent 2 3 2 2 2 2 2 2" xfId="11545" xr:uid="{D80E171E-4730-4D1A-9B9D-B90DF4081F14}"/>
    <cellStyle name="Percent 2 3 2 2 2 2 3" xfId="11544" xr:uid="{5ACED1FB-1046-4BB8-A731-2F66290FC26D}"/>
    <cellStyle name="Percent 2 3 2 2 2 3" xfId="8958" xr:uid="{00000000-0005-0000-0000-000006230000}"/>
    <cellStyle name="Percent 2 3 2 2 2 3 2" xfId="8959" xr:uid="{00000000-0005-0000-0000-000007230000}"/>
    <cellStyle name="Percent 2 3 2 2 2 3 2 2" xfId="11547" xr:uid="{FD0F7C16-EBBA-4967-8A2C-531523526998}"/>
    <cellStyle name="Percent 2 3 2 2 2 3 3" xfId="11546" xr:uid="{B02239BF-A7E3-4091-8E74-24BA81334011}"/>
    <cellStyle name="Percent 2 3 2 2 2 4" xfId="8960" xr:uid="{00000000-0005-0000-0000-000008230000}"/>
    <cellStyle name="Percent 2 3 2 2 2 4 2" xfId="11548" xr:uid="{90DADB94-39D7-4437-B297-64EB7D41B8D0}"/>
    <cellStyle name="Percent 2 3 2 2 2 5" xfId="11543" xr:uid="{A192A328-B325-4952-9B37-CFE730BA2E79}"/>
    <cellStyle name="Percent 2 3 2 2 2 6" xfId="12089" xr:uid="{32ABCFF7-82BD-4E11-8A09-91C4F777C3BA}"/>
    <cellStyle name="Percent 2 3 2 2 3" xfId="8961" xr:uid="{00000000-0005-0000-0000-000009230000}"/>
    <cellStyle name="Percent 2 3 2 2 3 2" xfId="8962" xr:uid="{00000000-0005-0000-0000-00000A230000}"/>
    <cellStyle name="Percent 2 3 2 2 3 2 2" xfId="11550" xr:uid="{1ECAF82B-4B1B-4391-B52F-B6C64307F15B}"/>
    <cellStyle name="Percent 2 3 2 2 3 3" xfId="11549" xr:uid="{5D8AC055-2B5C-435D-910F-C40BAD2D6DF2}"/>
    <cellStyle name="Percent 2 3 2 2 4" xfId="8963" xr:uid="{00000000-0005-0000-0000-00000B230000}"/>
    <cellStyle name="Percent 2 3 2 2 4 2" xfId="8964" xr:uid="{00000000-0005-0000-0000-00000C230000}"/>
    <cellStyle name="Percent 2 3 2 2 4 2 2" xfId="11552" xr:uid="{ED24558F-B581-4367-A58B-B625F004C47C}"/>
    <cellStyle name="Percent 2 3 2 2 4 3" xfId="11551" xr:uid="{86B35840-50C3-4DE6-85B7-6A764A2E0E6A}"/>
    <cellStyle name="Percent 2 3 2 2 5" xfId="8965" xr:uid="{00000000-0005-0000-0000-00000D230000}"/>
    <cellStyle name="Percent 2 3 2 2 5 2" xfId="11553" xr:uid="{EF47023E-55E3-43FB-865D-F16C8FD25CD7}"/>
    <cellStyle name="Percent 2 3 2 2 6" xfId="11542" xr:uid="{A0922980-4214-405C-BD77-40D779962664}"/>
    <cellStyle name="Percent 2 3 2 2 7" xfId="12088" xr:uid="{54018B10-2D08-44AB-BC30-54FBA359A9B1}"/>
    <cellStyle name="Percent 2 3 2 3" xfId="8111" xr:uid="{00000000-0005-0000-0000-00000E230000}"/>
    <cellStyle name="Percent 2 3 2 3 2" xfId="8112" xr:uid="{00000000-0005-0000-0000-00000F230000}"/>
    <cellStyle name="Percent 2 3 2 3 2 2" xfId="8966" xr:uid="{00000000-0005-0000-0000-000010230000}"/>
    <cellStyle name="Percent 2 3 2 3 2 2 2" xfId="8967" xr:uid="{00000000-0005-0000-0000-000011230000}"/>
    <cellStyle name="Percent 2 3 2 3 2 2 2 2" xfId="11557" xr:uid="{0E2E5319-FE42-4426-A0B4-77A620AD8DD6}"/>
    <cellStyle name="Percent 2 3 2 3 2 2 3" xfId="11556" xr:uid="{CAAAEEDF-BD58-4BA8-B24D-A030295EC2E9}"/>
    <cellStyle name="Percent 2 3 2 3 2 3" xfId="8968" xr:uid="{00000000-0005-0000-0000-000012230000}"/>
    <cellStyle name="Percent 2 3 2 3 2 3 2" xfId="8969" xr:uid="{00000000-0005-0000-0000-000013230000}"/>
    <cellStyle name="Percent 2 3 2 3 2 3 2 2" xfId="11559" xr:uid="{D5C0827F-16F4-4841-85A6-3D93D0AD00EA}"/>
    <cellStyle name="Percent 2 3 2 3 2 3 3" xfId="11558" xr:uid="{C4E18DE5-046F-47D3-A674-15C2878DBB94}"/>
    <cellStyle name="Percent 2 3 2 3 2 4" xfId="8970" xr:uid="{00000000-0005-0000-0000-000014230000}"/>
    <cellStyle name="Percent 2 3 2 3 2 4 2" xfId="11560" xr:uid="{E2E26C50-C7DE-46E7-900F-7B0E44CF2DE0}"/>
    <cellStyle name="Percent 2 3 2 3 2 5" xfId="11555" xr:uid="{DEAEC071-2CAC-4360-AC38-A5B975AB6377}"/>
    <cellStyle name="Percent 2 3 2 3 2 6" xfId="12091" xr:uid="{B400B6E7-DBB6-46F8-A63B-283150AA2823}"/>
    <cellStyle name="Percent 2 3 2 3 3" xfId="8971" xr:uid="{00000000-0005-0000-0000-000015230000}"/>
    <cellStyle name="Percent 2 3 2 3 3 2" xfId="8972" xr:uid="{00000000-0005-0000-0000-000016230000}"/>
    <cellStyle name="Percent 2 3 2 3 3 2 2" xfId="11562" xr:uid="{F7943043-66E2-48AB-940E-A18C0FC56AF2}"/>
    <cellStyle name="Percent 2 3 2 3 3 3" xfId="11561" xr:uid="{D4386561-1B73-4AD1-8B60-19364D827009}"/>
    <cellStyle name="Percent 2 3 2 3 4" xfId="8973" xr:uid="{00000000-0005-0000-0000-000017230000}"/>
    <cellStyle name="Percent 2 3 2 3 4 2" xfId="8974" xr:uid="{00000000-0005-0000-0000-000018230000}"/>
    <cellStyle name="Percent 2 3 2 3 4 2 2" xfId="11564" xr:uid="{DA4A2137-E2C6-4D24-9EB1-39D22944847C}"/>
    <cellStyle name="Percent 2 3 2 3 4 3" xfId="11563" xr:uid="{FBBE37F9-264D-4F53-A7CB-3494D3FC7C37}"/>
    <cellStyle name="Percent 2 3 2 3 5" xfId="8975" xr:uid="{00000000-0005-0000-0000-000019230000}"/>
    <cellStyle name="Percent 2 3 2 3 5 2" xfId="11565" xr:uid="{CB6201B2-75DC-4F00-AA4B-0746FCC86AF3}"/>
    <cellStyle name="Percent 2 3 2 3 6" xfId="11554" xr:uid="{D84E720E-9497-4048-837C-0B32CF4A694B}"/>
    <cellStyle name="Percent 2 3 2 3 7" xfId="12090" xr:uid="{00AD83F6-4318-4C72-89BB-9EA55F963466}"/>
    <cellStyle name="Percent 2 3 2 4" xfId="8113" xr:uid="{00000000-0005-0000-0000-00001A230000}"/>
    <cellStyle name="Percent 2 3 2 4 2" xfId="8114" xr:uid="{00000000-0005-0000-0000-00001B230000}"/>
    <cellStyle name="Percent 2 3 2 4 2 2" xfId="8976" xr:uid="{00000000-0005-0000-0000-00001C230000}"/>
    <cellStyle name="Percent 2 3 2 4 2 2 2" xfId="8977" xr:uid="{00000000-0005-0000-0000-00001D230000}"/>
    <cellStyle name="Percent 2 3 2 4 2 2 2 2" xfId="11569" xr:uid="{6CAF4642-6B86-43DA-88AB-3B8E2E464DF6}"/>
    <cellStyle name="Percent 2 3 2 4 2 2 3" xfId="11568" xr:uid="{E61BC144-5A48-48B1-BB1C-F7613127D634}"/>
    <cellStyle name="Percent 2 3 2 4 2 3" xfId="8978" xr:uid="{00000000-0005-0000-0000-00001E230000}"/>
    <cellStyle name="Percent 2 3 2 4 2 3 2" xfId="8979" xr:uid="{00000000-0005-0000-0000-00001F230000}"/>
    <cellStyle name="Percent 2 3 2 4 2 3 2 2" xfId="11571" xr:uid="{B8BCA611-0FBD-4496-8034-CC8527D13967}"/>
    <cellStyle name="Percent 2 3 2 4 2 3 3" xfId="11570" xr:uid="{195D3484-4ECD-4AC3-B25F-4247548BEBA6}"/>
    <cellStyle name="Percent 2 3 2 4 2 4" xfId="8980" xr:uid="{00000000-0005-0000-0000-000020230000}"/>
    <cellStyle name="Percent 2 3 2 4 2 4 2" xfId="11572" xr:uid="{8D9C0081-502F-4A42-8093-5B9AD537A33F}"/>
    <cellStyle name="Percent 2 3 2 4 2 5" xfId="11567" xr:uid="{19CE39F4-3DC1-407E-B5B2-8E52DBE2C5C7}"/>
    <cellStyle name="Percent 2 3 2 4 2 6" xfId="12093" xr:uid="{A614B496-F410-45CD-A494-2BC581D96908}"/>
    <cellStyle name="Percent 2 3 2 4 3" xfId="8981" xr:uid="{00000000-0005-0000-0000-000021230000}"/>
    <cellStyle name="Percent 2 3 2 4 3 2" xfId="8982" xr:uid="{00000000-0005-0000-0000-000022230000}"/>
    <cellStyle name="Percent 2 3 2 4 3 2 2" xfId="11574" xr:uid="{7969A043-0270-4C0E-9082-3B7B8B93A0E1}"/>
    <cellStyle name="Percent 2 3 2 4 3 3" xfId="11573" xr:uid="{91933239-E115-4532-AE53-8EF1050BCCC9}"/>
    <cellStyle name="Percent 2 3 2 4 4" xfId="8983" xr:uid="{00000000-0005-0000-0000-000023230000}"/>
    <cellStyle name="Percent 2 3 2 4 4 2" xfId="8984" xr:uid="{00000000-0005-0000-0000-000024230000}"/>
    <cellStyle name="Percent 2 3 2 4 4 2 2" xfId="11576" xr:uid="{625088F5-D8AA-4E29-9E70-C372E0CEA1C4}"/>
    <cellStyle name="Percent 2 3 2 4 4 3" xfId="11575" xr:uid="{2E3C49FE-0D1B-405E-B7CE-DFBEB48F8918}"/>
    <cellStyle name="Percent 2 3 2 4 5" xfId="8985" xr:uid="{00000000-0005-0000-0000-000025230000}"/>
    <cellStyle name="Percent 2 3 2 4 5 2" xfId="11577" xr:uid="{5FD82474-181F-4CF1-92D8-4ED641100262}"/>
    <cellStyle name="Percent 2 3 2 4 6" xfId="11566" xr:uid="{736276DD-D037-4F85-8119-3C702B59A753}"/>
    <cellStyle name="Percent 2 3 2 4 7" xfId="12092" xr:uid="{DA80F409-E847-44C5-8D07-8FACA1FCA94E}"/>
    <cellStyle name="Percent 2 3 2 5" xfId="8115" xr:uid="{00000000-0005-0000-0000-000026230000}"/>
    <cellStyle name="Percent 2 3 2 5 2" xfId="8986" xr:uid="{00000000-0005-0000-0000-000027230000}"/>
    <cellStyle name="Percent 2 3 2 5 2 2" xfId="8987" xr:uid="{00000000-0005-0000-0000-000028230000}"/>
    <cellStyle name="Percent 2 3 2 5 2 2 2" xfId="11580" xr:uid="{F01ACD5D-7356-48E7-8FC3-C9A50867AF63}"/>
    <cellStyle name="Percent 2 3 2 5 2 3" xfId="11579" xr:uid="{C08814FD-D959-4521-A9B7-EE4A59969B8D}"/>
    <cellStyle name="Percent 2 3 2 5 3" xfId="8988" xr:uid="{00000000-0005-0000-0000-000029230000}"/>
    <cellStyle name="Percent 2 3 2 5 3 2" xfId="8989" xr:uid="{00000000-0005-0000-0000-00002A230000}"/>
    <cellStyle name="Percent 2 3 2 5 3 2 2" xfId="11582" xr:uid="{0660D4B0-47A3-435D-A0EF-EB8D6AABB942}"/>
    <cellStyle name="Percent 2 3 2 5 3 3" xfId="11581" xr:uid="{4F4A9854-E4E0-407B-A349-140109D9975B}"/>
    <cellStyle name="Percent 2 3 2 5 4" xfId="8990" xr:uid="{00000000-0005-0000-0000-00002B230000}"/>
    <cellStyle name="Percent 2 3 2 5 4 2" xfId="11583" xr:uid="{0C779C3C-A2F5-4AC2-8D1F-B1EE19E5EBE9}"/>
    <cellStyle name="Percent 2 3 2 5 5" xfId="11578" xr:uid="{7DDA787F-BB13-48F8-99AA-CD343013AF55}"/>
    <cellStyle name="Percent 2 3 2 5 6" xfId="12094" xr:uid="{9D852EC2-D21B-4E9C-9205-10A77A0342B1}"/>
    <cellStyle name="Percent 2 3 2 6" xfId="8116" xr:uid="{00000000-0005-0000-0000-00002C230000}"/>
    <cellStyle name="Percent 2 3 2 6 2" xfId="8991" xr:uid="{00000000-0005-0000-0000-00002D230000}"/>
    <cellStyle name="Percent 2 3 2 6 2 2" xfId="8992" xr:uid="{00000000-0005-0000-0000-00002E230000}"/>
    <cellStyle name="Percent 2 3 2 6 2 2 2" xfId="11586" xr:uid="{58ACC050-B65A-43C8-A4D4-E83BAAB6FF25}"/>
    <cellStyle name="Percent 2 3 2 6 2 3" xfId="11585" xr:uid="{E619DAC1-A4E4-4A9F-836A-35F9B05E0556}"/>
    <cellStyle name="Percent 2 3 2 6 3" xfId="8993" xr:uid="{00000000-0005-0000-0000-00002F230000}"/>
    <cellStyle name="Percent 2 3 2 6 3 2" xfId="8994" xr:uid="{00000000-0005-0000-0000-000030230000}"/>
    <cellStyle name="Percent 2 3 2 6 3 2 2" xfId="11588" xr:uid="{E5126399-5BAD-4E5E-AA78-5EAE2F104890}"/>
    <cellStyle name="Percent 2 3 2 6 3 3" xfId="11587" xr:uid="{CCA3AD50-FC29-4B3C-91DE-230C26B7E74E}"/>
    <cellStyle name="Percent 2 3 2 6 4" xfId="8995" xr:uid="{00000000-0005-0000-0000-000031230000}"/>
    <cellStyle name="Percent 2 3 2 6 4 2" xfId="11589" xr:uid="{0B57EF23-A433-45C2-A371-2B43022462B5}"/>
    <cellStyle name="Percent 2 3 2 6 5" xfId="11584" xr:uid="{5F398DEA-29EC-455F-A02D-41A6ECB65366}"/>
    <cellStyle name="Percent 2 3 2 6 6" xfId="12095" xr:uid="{1499B3ED-DCF2-4F23-852F-E0A155A34411}"/>
    <cellStyle name="Percent 2 3 2 7" xfId="8996" xr:uid="{00000000-0005-0000-0000-000032230000}"/>
    <cellStyle name="Percent 2 3 2 7 2" xfId="8997" xr:uid="{00000000-0005-0000-0000-000033230000}"/>
    <cellStyle name="Percent 2 3 2 7 2 2" xfId="11591" xr:uid="{24516FC2-CC2C-429E-83EE-5576D280E71D}"/>
    <cellStyle name="Percent 2 3 2 7 3" xfId="11590" xr:uid="{4EC84874-3D51-4202-81C4-223F620D5A44}"/>
    <cellStyle name="Percent 2 3 2 8" xfId="8998" xr:uid="{00000000-0005-0000-0000-000034230000}"/>
    <cellStyle name="Percent 2 3 2 8 2" xfId="8999" xr:uid="{00000000-0005-0000-0000-000035230000}"/>
    <cellStyle name="Percent 2 3 2 8 2 2" xfId="11593" xr:uid="{AB52E291-0A01-4B87-869B-6E937478F3C4}"/>
    <cellStyle name="Percent 2 3 2 8 3" xfId="11592" xr:uid="{502B0591-75F4-416B-A294-B89ED952E285}"/>
    <cellStyle name="Percent 2 3 2 9" xfId="9000" xr:uid="{00000000-0005-0000-0000-000036230000}"/>
    <cellStyle name="Percent 2 3 2 9 2" xfId="11594" xr:uid="{08CE1D32-9636-4F10-AE5E-43A03C644541}"/>
    <cellStyle name="Percent 2 3 3" xfId="356" xr:uid="{00000000-0005-0000-0000-000037230000}"/>
    <cellStyle name="Percent 2 3 3 2" xfId="11595" xr:uid="{92FB8AE2-A396-4FD9-A13D-A74D13096582}"/>
    <cellStyle name="Percent 2 3 3 3" xfId="11991" xr:uid="{8C322C78-D16B-4572-8193-CA4509D0B46A}"/>
    <cellStyle name="Percent 2 3 4" xfId="9118" xr:uid="{00000000-0005-0000-0000-000038230000}"/>
    <cellStyle name="Percent 2 3 4 2" xfId="11989" xr:uid="{CB0A3FF7-45D9-45D5-88D3-5278A82D6F0B}"/>
    <cellStyle name="Percent 2 4" xfId="8117" xr:uid="{00000000-0005-0000-0000-000039230000}"/>
    <cellStyle name="Percent 2 4 2" xfId="8118" xr:uid="{00000000-0005-0000-0000-00003A230000}"/>
    <cellStyle name="Percent 2 4 2 2" xfId="9001" xr:uid="{00000000-0005-0000-0000-00003B230000}"/>
    <cellStyle name="Percent 2 4 2 2 2" xfId="9002" xr:uid="{00000000-0005-0000-0000-00003C230000}"/>
    <cellStyle name="Percent 2 4 2 2 2 2" xfId="11598" xr:uid="{91C33B83-4DD0-46B5-AA30-E8D6194706D9}"/>
    <cellStyle name="Percent 2 4 2 2 3" xfId="11597" xr:uid="{22ECD78B-9DDC-419D-8A7C-563289E11DA8}"/>
    <cellStyle name="Percent 2 4 2 3" xfId="9003" xr:uid="{00000000-0005-0000-0000-00003D230000}"/>
    <cellStyle name="Percent 2 4 2 3 2" xfId="9004" xr:uid="{00000000-0005-0000-0000-00003E230000}"/>
    <cellStyle name="Percent 2 4 2 3 2 2" xfId="11600" xr:uid="{439A719E-69A4-4BFA-A515-AA8EA3BF5710}"/>
    <cellStyle name="Percent 2 4 2 3 3" xfId="11599" xr:uid="{9A9244B5-AE22-4D00-A52B-77A00F49C07E}"/>
    <cellStyle name="Percent 2 4 2 4" xfId="9005" xr:uid="{00000000-0005-0000-0000-00003F230000}"/>
    <cellStyle name="Percent 2 4 2 4 2" xfId="11601" xr:uid="{1F9336E6-5329-4E8B-BA79-7E8AFC29BD90}"/>
    <cellStyle name="Percent 2 4 2 5" xfId="11596" xr:uid="{796B0363-3DAC-4603-8A6A-B79DE3F3A1B3}"/>
    <cellStyle name="Percent 2 4 2 6" xfId="12097" xr:uid="{8E3E7237-4F90-4C3E-84A2-804B47CE1B9F}"/>
    <cellStyle name="Percent 2 4 3" xfId="8119" xr:uid="{00000000-0005-0000-0000-000040230000}"/>
    <cellStyle name="Percent 2 4 3 2" xfId="9006" xr:uid="{00000000-0005-0000-0000-000041230000}"/>
    <cellStyle name="Percent 2 4 3 2 2" xfId="9007" xr:uid="{00000000-0005-0000-0000-000042230000}"/>
    <cellStyle name="Percent 2 4 3 2 2 2" xfId="11604" xr:uid="{8A9DA1D8-9138-4B84-B1A3-DB7532C015D4}"/>
    <cellStyle name="Percent 2 4 3 2 3" xfId="11603" xr:uid="{9B7B89FA-E699-49DD-993E-4ED3BD53A540}"/>
    <cellStyle name="Percent 2 4 3 3" xfId="9008" xr:uid="{00000000-0005-0000-0000-000043230000}"/>
    <cellStyle name="Percent 2 4 3 3 2" xfId="9009" xr:uid="{00000000-0005-0000-0000-000044230000}"/>
    <cellStyle name="Percent 2 4 3 3 2 2" xfId="11606" xr:uid="{91FF1FCB-DA53-4161-8A86-F4B44330333E}"/>
    <cellStyle name="Percent 2 4 3 3 3" xfId="11605" xr:uid="{5608C816-56AC-460A-B41F-BA3614A15B3D}"/>
    <cellStyle name="Percent 2 4 3 4" xfId="9010" xr:uid="{00000000-0005-0000-0000-000045230000}"/>
    <cellStyle name="Percent 2 4 3 4 2" xfId="11607" xr:uid="{58AE7938-E226-4E22-B751-6112B753BA3C}"/>
    <cellStyle name="Percent 2 4 3 5" xfId="11602" xr:uid="{250C75E9-9FB9-40A7-A015-73AA2592A2FC}"/>
    <cellStyle name="Percent 2 4 3 6" xfId="12098" xr:uid="{ABC72973-49A9-45AD-B01D-A40ECE589DB5}"/>
    <cellStyle name="Percent 2 4 4" xfId="10438" xr:uid="{D8F85F8E-273A-45E9-9373-19A20034CF5C}"/>
    <cellStyle name="Percent 2 4 4 2" xfId="12096" xr:uid="{416788EA-A140-4C03-8B7B-CCCB2EE3E7C9}"/>
    <cellStyle name="Percent 2 5" xfId="8120" xr:uid="{00000000-0005-0000-0000-000046230000}"/>
    <cellStyle name="Percent 2 5 2" xfId="8121" xr:uid="{00000000-0005-0000-0000-000047230000}"/>
    <cellStyle name="Percent 2 5 2 2" xfId="9011" xr:uid="{00000000-0005-0000-0000-000048230000}"/>
    <cellStyle name="Percent 2 5 2 2 2" xfId="9012" xr:uid="{00000000-0005-0000-0000-000049230000}"/>
    <cellStyle name="Percent 2 5 2 2 2 2" xfId="11611" xr:uid="{759D82E8-913B-4038-8B97-AF6A03FA32DA}"/>
    <cellStyle name="Percent 2 5 2 2 3" xfId="11610" xr:uid="{534D0A9C-166A-4E40-977A-5B6FC0959466}"/>
    <cellStyle name="Percent 2 5 2 3" xfId="9013" xr:uid="{00000000-0005-0000-0000-00004A230000}"/>
    <cellStyle name="Percent 2 5 2 3 2" xfId="9014" xr:uid="{00000000-0005-0000-0000-00004B230000}"/>
    <cellStyle name="Percent 2 5 2 3 2 2" xfId="11613" xr:uid="{59ED3A25-CEC3-4EA8-BEA8-FBE3D7B71650}"/>
    <cellStyle name="Percent 2 5 2 3 3" xfId="11612" xr:uid="{52456AC3-3069-4ACF-84F3-8A36319EF777}"/>
    <cellStyle name="Percent 2 5 2 4" xfId="9015" xr:uid="{00000000-0005-0000-0000-00004C230000}"/>
    <cellStyle name="Percent 2 5 2 4 2" xfId="11614" xr:uid="{8EDC7A17-A934-4CAC-AC12-F1B45F36F08D}"/>
    <cellStyle name="Percent 2 5 2 5" xfId="11609" xr:uid="{C351E764-8E6D-437F-9482-49313F96FF84}"/>
    <cellStyle name="Percent 2 5 2 6" xfId="12100" xr:uid="{97C080A4-7AE0-4B01-B4D9-E18E3725FBB0}"/>
    <cellStyle name="Percent 2 5 3" xfId="9016" xr:uid="{00000000-0005-0000-0000-00004D230000}"/>
    <cellStyle name="Percent 2 5 3 2" xfId="9017" xr:uid="{00000000-0005-0000-0000-00004E230000}"/>
    <cellStyle name="Percent 2 5 3 2 2" xfId="11616" xr:uid="{9ECEA506-2134-4D0C-8BFF-637FFE5453CD}"/>
    <cellStyle name="Percent 2 5 3 3" xfId="11615" xr:uid="{81BD224E-3D53-4777-98F3-8C8AFA4AE216}"/>
    <cellStyle name="Percent 2 5 4" xfId="9018" xr:uid="{00000000-0005-0000-0000-00004F230000}"/>
    <cellStyle name="Percent 2 5 4 2" xfId="9019" xr:uid="{00000000-0005-0000-0000-000050230000}"/>
    <cellStyle name="Percent 2 5 4 2 2" xfId="11618" xr:uid="{7FA0E22D-5B4E-49A9-A27F-63816FDD2029}"/>
    <cellStyle name="Percent 2 5 4 3" xfId="11617" xr:uid="{93BFD30E-7419-440E-9070-5ADD34777909}"/>
    <cellStyle name="Percent 2 5 5" xfId="9020" xr:uid="{00000000-0005-0000-0000-000051230000}"/>
    <cellStyle name="Percent 2 5 5 2" xfId="11619" xr:uid="{F91E4AA9-7AE5-41A2-B4EB-1A335F7BD5F5}"/>
    <cellStyle name="Percent 2 5 6" xfId="11608" xr:uid="{59719B11-B1A9-49F7-96CA-F6471615F51C}"/>
    <cellStyle name="Percent 2 5 7" xfId="12099" xr:uid="{F368ECCD-BC54-416E-9A87-7B58D06D5709}"/>
    <cellStyle name="Percent 2 6" xfId="8122" xr:uid="{00000000-0005-0000-0000-000052230000}"/>
    <cellStyle name="Percent 2 6 2" xfId="8123" xr:uid="{00000000-0005-0000-0000-000053230000}"/>
    <cellStyle name="Percent 2 6 2 2" xfId="9021" xr:uid="{00000000-0005-0000-0000-000054230000}"/>
    <cellStyle name="Percent 2 6 2 2 2" xfId="9022" xr:uid="{00000000-0005-0000-0000-000055230000}"/>
    <cellStyle name="Percent 2 6 2 2 2 2" xfId="11623" xr:uid="{5597014F-0FF1-48F1-9E3F-BCCC3A74E82E}"/>
    <cellStyle name="Percent 2 6 2 2 3" xfId="11622" xr:uid="{8B8DF1D3-CDB3-4973-9ACF-F4E19443A03E}"/>
    <cellStyle name="Percent 2 6 2 3" xfId="9023" xr:uid="{00000000-0005-0000-0000-000056230000}"/>
    <cellStyle name="Percent 2 6 2 3 2" xfId="9024" xr:uid="{00000000-0005-0000-0000-000057230000}"/>
    <cellStyle name="Percent 2 6 2 3 2 2" xfId="11625" xr:uid="{AEE37416-1DA4-4CFB-B63C-0C46DFCF4079}"/>
    <cellStyle name="Percent 2 6 2 3 3" xfId="11624" xr:uid="{CF0E9A01-904F-4A15-8329-3AEAD86118B2}"/>
    <cellStyle name="Percent 2 6 2 4" xfId="9025" xr:uid="{00000000-0005-0000-0000-000058230000}"/>
    <cellStyle name="Percent 2 6 2 4 2" xfId="11626" xr:uid="{8AD92860-0749-4FA9-A17C-8BF45012BB42}"/>
    <cellStyle name="Percent 2 6 2 5" xfId="11621" xr:uid="{9F9C69B0-E709-4548-9E58-C3C99018B947}"/>
    <cellStyle name="Percent 2 6 2 6" xfId="12102" xr:uid="{6D094430-FE8D-4ED3-99E0-909F77CA3186}"/>
    <cellStyle name="Percent 2 6 3" xfId="9026" xr:uid="{00000000-0005-0000-0000-000059230000}"/>
    <cellStyle name="Percent 2 6 3 2" xfId="9027" xr:uid="{00000000-0005-0000-0000-00005A230000}"/>
    <cellStyle name="Percent 2 6 3 2 2" xfId="11628" xr:uid="{E2CC92EE-A590-40EF-9382-C5E10D1A087C}"/>
    <cellStyle name="Percent 2 6 3 3" xfId="11627" xr:uid="{979BD10F-E52C-4768-ACF9-F8A321E6A7A2}"/>
    <cellStyle name="Percent 2 6 4" xfId="9028" xr:uid="{00000000-0005-0000-0000-00005B230000}"/>
    <cellStyle name="Percent 2 6 4 2" xfId="9029" xr:uid="{00000000-0005-0000-0000-00005C230000}"/>
    <cellStyle name="Percent 2 6 4 2 2" xfId="11630" xr:uid="{FCAB578E-BF49-44F2-B249-F610B66C36E5}"/>
    <cellStyle name="Percent 2 6 4 3" xfId="11629" xr:uid="{E2E7254A-6EC8-4DAC-B574-A505845926A1}"/>
    <cellStyle name="Percent 2 6 5" xfId="9030" xr:uid="{00000000-0005-0000-0000-00005D230000}"/>
    <cellStyle name="Percent 2 6 5 2" xfId="11631" xr:uid="{73C5F0E9-2C19-4FD5-85B4-9CB8B6ED46AA}"/>
    <cellStyle name="Percent 2 6 6" xfId="11620" xr:uid="{F576DFEB-12B2-4767-836A-692907DC0C1C}"/>
    <cellStyle name="Percent 2 6 7" xfId="12101" xr:uid="{25066DB9-B45E-448B-9A0E-051968DC4FB6}"/>
    <cellStyle name="Percent 2 7" xfId="8124" xr:uid="{00000000-0005-0000-0000-00005E230000}"/>
    <cellStyle name="Percent 2 7 2" xfId="8125" xr:uid="{00000000-0005-0000-0000-00005F230000}"/>
    <cellStyle name="Percent 2 7 2 2" xfId="9031" xr:uid="{00000000-0005-0000-0000-000060230000}"/>
    <cellStyle name="Percent 2 7 2 2 2" xfId="9032" xr:uid="{00000000-0005-0000-0000-000061230000}"/>
    <cellStyle name="Percent 2 7 2 2 2 2" xfId="11635" xr:uid="{642E5BFF-32E0-4C12-858B-C4BFFC2ACBB5}"/>
    <cellStyle name="Percent 2 7 2 2 3" xfId="11634" xr:uid="{FC2F135A-9409-47E7-B70F-B1DF4F612967}"/>
    <cellStyle name="Percent 2 7 2 3" xfId="9033" xr:uid="{00000000-0005-0000-0000-000062230000}"/>
    <cellStyle name="Percent 2 7 2 3 2" xfId="9034" xr:uid="{00000000-0005-0000-0000-000063230000}"/>
    <cellStyle name="Percent 2 7 2 3 2 2" xfId="11637" xr:uid="{042F0263-86CF-4C79-9F8F-BC91D104C032}"/>
    <cellStyle name="Percent 2 7 2 3 3" xfId="11636" xr:uid="{BFA77ACA-5EB9-4334-9291-FF14CB79228E}"/>
    <cellStyle name="Percent 2 7 2 4" xfId="9035" xr:uid="{00000000-0005-0000-0000-000064230000}"/>
    <cellStyle name="Percent 2 7 2 4 2" xfId="11638" xr:uid="{6C55E96E-45F6-4E66-869A-4C39619E5956}"/>
    <cellStyle name="Percent 2 7 2 5" xfId="11633" xr:uid="{B6491331-99C7-4D91-95AE-E85987DDC2CE}"/>
    <cellStyle name="Percent 2 7 2 6" xfId="12104" xr:uid="{179C3384-ED30-4EC2-BEBB-E3B925847EBF}"/>
    <cellStyle name="Percent 2 7 3" xfId="9036" xr:uid="{00000000-0005-0000-0000-000065230000}"/>
    <cellStyle name="Percent 2 7 3 2" xfId="9037" xr:uid="{00000000-0005-0000-0000-000066230000}"/>
    <cellStyle name="Percent 2 7 3 2 2" xfId="11640" xr:uid="{5FA74A69-CB62-4B8F-9AC8-DE47B49639A1}"/>
    <cellStyle name="Percent 2 7 3 3" xfId="11639" xr:uid="{A30985A0-2D2A-4CB8-AF96-1E92BA4BBFF5}"/>
    <cellStyle name="Percent 2 7 4" xfId="9038" xr:uid="{00000000-0005-0000-0000-000067230000}"/>
    <cellStyle name="Percent 2 7 4 2" xfId="9039" xr:uid="{00000000-0005-0000-0000-000068230000}"/>
    <cellStyle name="Percent 2 7 4 2 2" xfId="11642" xr:uid="{B3CDAF3F-2CAD-414C-BBEF-17B03CACD007}"/>
    <cellStyle name="Percent 2 7 4 3" xfId="11641" xr:uid="{3BC16875-E3FC-4755-BAFF-9186F1919CE3}"/>
    <cellStyle name="Percent 2 7 5" xfId="9040" xr:uid="{00000000-0005-0000-0000-000069230000}"/>
    <cellStyle name="Percent 2 7 5 2" xfId="11643" xr:uid="{46EB17CB-0F8E-4356-8933-AEE883252188}"/>
    <cellStyle name="Percent 2 7 6" xfId="11632" xr:uid="{A3DA8D64-6F42-4292-8438-638967B9451F}"/>
    <cellStyle name="Percent 2 7 7" xfId="12103" xr:uid="{D97E2104-09A6-4A17-842F-52DDBFBC081A}"/>
    <cellStyle name="Percent 2 8" xfId="8126" xr:uid="{00000000-0005-0000-0000-00006A230000}"/>
    <cellStyle name="Percent 2 8 2" xfId="9041" xr:uid="{00000000-0005-0000-0000-00006B230000}"/>
    <cellStyle name="Percent 2 8 2 2" xfId="9042" xr:uid="{00000000-0005-0000-0000-00006C230000}"/>
    <cellStyle name="Percent 2 8 2 2 2" xfId="11646" xr:uid="{5B3D9C81-753C-4F66-A63F-312DFDBF03E2}"/>
    <cellStyle name="Percent 2 8 2 3" xfId="11645" xr:uid="{F284CF72-FD77-49C8-A66D-BD16801AD186}"/>
    <cellStyle name="Percent 2 8 3" xfId="9043" xr:uid="{00000000-0005-0000-0000-00006D230000}"/>
    <cellStyle name="Percent 2 8 3 2" xfId="9044" xr:uid="{00000000-0005-0000-0000-00006E230000}"/>
    <cellStyle name="Percent 2 8 3 2 2" xfId="11648" xr:uid="{BBD531CD-DA9E-4C04-AB4A-E0258960ACA7}"/>
    <cellStyle name="Percent 2 8 3 3" xfId="11647" xr:uid="{089ABFB1-82DE-4C04-A11A-4A8C09D43096}"/>
    <cellStyle name="Percent 2 8 4" xfId="9045" xr:uid="{00000000-0005-0000-0000-00006F230000}"/>
    <cellStyle name="Percent 2 8 4 2" xfId="11649" xr:uid="{25286D71-F7AD-4AD0-AEEA-A1880AF1EB5B}"/>
    <cellStyle name="Percent 2 8 5" xfId="11644" xr:uid="{6A0902A4-8307-423B-ACBF-9ECCF3E86749}"/>
    <cellStyle name="Percent 2 8 6" xfId="12105" xr:uid="{D1C14A7B-4D9D-42B8-9304-01B4504B00CE}"/>
    <cellStyle name="Percent 2 9" xfId="8127" xr:uid="{00000000-0005-0000-0000-000070230000}"/>
    <cellStyle name="Percent 20" xfId="12131" xr:uid="{4395FD67-4C06-4181-BAA8-F75119D724DD}"/>
    <cellStyle name="Percent 21" xfId="12134" xr:uid="{949E6FA7-5C31-47E2-BEAE-A02AEA51A580}"/>
    <cellStyle name="Percent 22" xfId="9292" xr:uid="{1EFF0441-8D92-4667-BEE0-BCF1A68B4B39}"/>
    <cellStyle name="Percent 3" xfId="220" xr:uid="{00000000-0005-0000-0000-000071230000}"/>
    <cellStyle name="Percent 3 2" xfId="221" xr:uid="{00000000-0005-0000-0000-000072230000}"/>
    <cellStyle name="Percent 3 2 10" xfId="9217" xr:uid="{760389B2-B96E-4C15-B2C8-92D893C54210}"/>
    <cellStyle name="Percent 3 2 2" xfId="222" xr:uid="{00000000-0005-0000-0000-000073230000}"/>
    <cellStyle name="Percent 3 2 2 2" xfId="8128" xr:uid="{00000000-0005-0000-0000-000074230000}"/>
    <cellStyle name="Percent 3 2 2 2 2" xfId="9046" xr:uid="{00000000-0005-0000-0000-000075230000}"/>
    <cellStyle name="Percent 3 2 2 2 2 2" xfId="9047" xr:uid="{00000000-0005-0000-0000-000076230000}"/>
    <cellStyle name="Percent 3 2 2 2 2 2 2" xfId="11652" xr:uid="{03F1FBB7-D909-4B99-83C2-9CB81C75ACD8}"/>
    <cellStyle name="Percent 3 2 2 2 2 3" xfId="11651" xr:uid="{9CB44082-D28B-4EBC-8C06-69C4EF46AE7B}"/>
    <cellStyle name="Percent 3 2 2 2 3" xfId="9048" xr:uid="{00000000-0005-0000-0000-000077230000}"/>
    <cellStyle name="Percent 3 2 2 2 3 2" xfId="9049" xr:uid="{00000000-0005-0000-0000-000078230000}"/>
    <cellStyle name="Percent 3 2 2 2 3 2 2" xfId="11654" xr:uid="{442130BF-838E-41E4-96FB-B091BBE94E65}"/>
    <cellStyle name="Percent 3 2 2 2 3 3" xfId="11653" xr:uid="{4F022039-E040-4399-B01D-6C8EB75DC334}"/>
    <cellStyle name="Percent 3 2 2 2 4" xfId="9050" xr:uid="{00000000-0005-0000-0000-000079230000}"/>
    <cellStyle name="Percent 3 2 2 2 5" xfId="9051" xr:uid="{00000000-0005-0000-0000-00007A230000}"/>
    <cellStyle name="Percent 3 2 2 2 5 2" xfId="11655" xr:uid="{36216EC9-71E3-4AB7-9013-730E34B547B0}"/>
    <cellStyle name="Percent 3 2 2 2 6" xfId="11650" xr:uid="{C7C60952-E661-41FF-B0BB-ADD3205BCD84}"/>
    <cellStyle name="Percent 3 2 2 2 7" xfId="12106" xr:uid="{E482705E-C427-4AA2-8D9A-F5ED621AB2A6}"/>
    <cellStyle name="Percent 3 2 3" xfId="357" xr:uid="{00000000-0005-0000-0000-00007B230000}"/>
    <cellStyle name="Percent 3 2 3 2" xfId="8129" xr:uid="{00000000-0005-0000-0000-00007C230000}"/>
    <cellStyle name="Percent 3 2 3 2 2" xfId="9052" xr:uid="{00000000-0005-0000-0000-00007D230000}"/>
    <cellStyle name="Percent 3 2 3 2 2 2" xfId="9053" xr:uid="{00000000-0005-0000-0000-00007E230000}"/>
    <cellStyle name="Percent 3 2 3 2 2 2 2" xfId="11658" xr:uid="{86D81D23-FE3A-4CE4-B958-6C15C1120275}"/>
    <cellStyle name="Percent 3 2 3 2 2 3" xfId="11657" xr:uid="{49293E9E-D21E-4514-8562-6913F208C649}"/>
    <cellStyle name="Percent 3 2 3 2 3" xfId="9054" xr:uid="{00000000-0005-0000-0000-00007F230000}"/>
    <cellStyle name="Percent 3 2 3 2 3 2" xfId="9055" xr:uid="{00000000-0005-0000-0000-000080230000}"/>
    <cellStyle name="Percent 3 2 3 2 3 2 2" xfId="11660" xr:uid="{E8876A84-FF3F-4799-B787-49DC9CA51586}"/>
    <cellStyle name="Percent 3 2 3 2 3 3" xfId="11659" xr:uid="{36B64027-142C-4283-A8AC-30682A9E7211}"/>
    <cellStyle name="Percent 3 2 3 2 4" xfId="9056" xr:uid="{00000000-0005-0000-0000-000081230000}"/>
    <cellStyle name="Percent 3 2 3 2 4 2" xfId="11661" xr:uid="{351481F0-CA8C-4B47-9F59-8EB024D2E983}"/>
    <cellStyle name="Percent 3 2 3 2 5" xfId="11656" xr:uid="{CF5DBCF4-2CD5-40C0-B248-4EFFCF232F0F}"/>
    <cellStyle name="Percent 3 2 3 2 6" xfId="12107" xr:uid="{F54FC020-7FAC-4C26-9573-B7A5C5636923}"/>
    <cellStyle name="Percent 3 2 3 3" xfId="9057" xr:uid="{00000000-0005-0000-0000-000082230000}"/>
    <cellStyle name="Percent 3 2 3 3 2" xfId="9058" xr:uid="{00000000-0005-0000-0000-000083230000}"/>
    <cellStyle name="Percent 3 2 3 3 2 2" xfId="11663" xr:uid="{CA91D74C-B385-41FE-A3DB-371A43781BA1}"/>
    <cellStyle name="Percent 3 2 3 3 3" xfId="11662" xr:uid="{5B315DFF-9E3E-4330-AE06-A4A8AAD244C1}"/>
    <cellStyle name="Percent 3 2 3 4" xfId="9059" xr:uid="{00000000-0005-0000-0000-000084230000}"/>
    <cellStyle name="Percent 3 2 3 4 2" xfId="9060" xr:uid="{00000000-0005-0000-0000-000085230000}"/>
    <cellStyle name="Percent 3 2 3 4 2 2" xfId="11665" xr:uid="{27F99301-F648-4038-8208-A7CEA9FB5756}"/>
    <cellStyle name="Percent 3 2 3 4 3" xfId="11664" xr:uid="{3A107269-C4D4-4168-8E03-723D1A16AD75}"/>
    <cellStyle name="Percent 3 2 3 5" xfId="9061" xr:uid="{00000000-0005-0000-0000-000086230000}"/>
    <cellStyle name="Percent 3 2 3 6" xfId="9062" xr:uid="{00000000-0005-0000-0000-000087230000}"/>
    <cellStyle name="Percent 3 2 3 6 2" xfId="11666" xr:uid="{8D5C7B69-3A89-42E8-AB54-690F5600E57C}"/>
    <cellStyle name="Percent 3 2 4" xfId="8130" xr:uid="{00000000-0005-0000-0000-000088230000}"/>
    <cellStyle name="Percent 3 2 4 2" xfId="8131" xr:uid="{00000000-0005-0000-0000-000089230000}"/>
    <cellStyle name="Percent 3 2 4 2 2" xfId="9063" xr:uid="{00000000-0005-0000-0000-00008A230000}"/>
    <cellStyle name="Percent 3 2 4 2 2 2" xfId="9064" xr:uid="{00000000-0005-0000-0000-00008B230000}"/>
    <cellStyle name="Percent 3 2 4 2 2 2 2" xfId="11670" xr:uid="{A418E58D-1024-4994-B6A2-EA5624E3EBED}"/>
    <cellStyle name="Percent 3 2 4 2 2 3" xfId="11669" xr:uid="{5A6FFF7E-8234-4038-BB50-83B7A8BC1790}"/>
    <cellStyle name="Percent 3 2 4 2 3" xfId="9065" xr:uid="{00000000-0005-0000-0000-00008C230000}"/>
    <cellStyle name="Percent 3 2 4 2 3 2" xfId="9066" xr:uid="{00000000-0005-0000-0000-00008D230000}"/>
    <cellStyle name="Percent 3 2 4 2 3 2 2" xfId="11672" xr:uid="{82686A20-F44B-403D-A5CD-9AA2BF14228B}"/>
    <cellStyle name="Percent 3 2 4 2 3 3" xfId="11671" xr:uid="{D0B205F2-2037-4934-B660-AA734CC7E1B4}"/>
    <cellStyle name="Percent 3 2 4 2 4" xfId="9067" xr:uid="{00000000-0005-0000-0000-00008E230000}"/>
    <cellStyle name="Percent 3 2 4 2 4 2" xfId="11673" xr:uid="{5337E68C-A25A-4605-B2A1-81EC1DBF8FCA}"/>
    <cellStyle name="Percent 3 2 4 2 5" xfId="11668" xr:uid="{F08C1803-AB11-49D8-ADA6-CE6B76DBA95E}"/>
    <cellStyle name="Percent 3 2 4 2 6" xfId="12109" xr:uid="{D1AD100E-21FF-4552-8471-E5CD9AE569B7}"/>
    <cellStyle name="Percent 3 2 4 3" xfId="9068" xr:uid="{00000000-0005-0000-0000-00008F230000}"/>
    <cellStyle name="Percent 3 2 4 3 2" xfId="9069" xr:uid="{00000000-0005-0000-0000-000090230000}"/>
    <cellStyle name="Percent 3 2 4 3 2 2" xfId="11675" xr:uid="{303FF204-1CF0-4402-A22B-3BDE9BB4C36D}"/>
    <cellStyle name="Percent 3 2 4 3 3" xfId="11674" xr:uid="{A7FF4595-EA2A-47F3-9268-24E3BA119051}"/>
    <cellStyle name="Percent 3 2 4 3 4" xfId="12108" xr:uid="{4BABC736-DA42-4F9D-A210-950664999D6C}"/>
    <cellStyle name="Percent 3 2 4 4" xfId="9070" xr:uid="{00000000-0005-0000-0000-000091230000}"/>
    <cellStyle name="Percent 3 2 4 4 2" xfId="9071" xr:uid="{00000000-0005-0000-0000-000092230000}"/>
    <cellStyle name="Percent 3 2 4 4 2 2" xfId="11677" xr:uid="{DD1D7404-4A20-48AC-A1FF-E0CC3FE8F013}"/>
    <cellStyle name="Percent 3 2 4 4 3" xfId="11676" xr:uid="{AFFB74D7-8ADB-4856-96C5-F36729574533}"/>
    <cellStyle name="Percent 3 2 4 5" xfId="9072" xr:uid="{00000000-0005-0000-0000-000093230000}"/>
    <cellStyle name="Percent 3 2 4 5 2" xfId="11678" xr:uid="{3E63929E-160C-4372-8A47-5FC0E2EE34B9}"/>
    <cellStyle name="Percent 3 2 4 6" xfId="10393" xr:uid="{1AB7279C-A36A-4924-969C-13C2038634FC}"/>
    <cellStyle name="Percent 3 2 4 7" xfId="11667" xr:uid="{9F98E904-FC32-41CB-8465-5C93CF06BA35}"/>
    <cellStyle name="Percent 3 2 5" xfId="8132" xr:uid="{00000000-0005-0000-0000-000094230000}"/>
    <cellStyle name="Percent 3 2 5 2" xfId="8133" xr:uid="{00000000-0005-0000-0000-000095230000}"/>
    <cellStyle name="Percent 3 2 5 2 2" xfId="9073" xr:uid="{00000000-0005-0000-0000-000096230000}"/>
    <cellStyle name="Percent 3 2 5 2 2 2" xfId="9074" xr:uid="{00000000-0005-0000-0000-000097230000}"/>
    <cellStyle name="Percent 3 2 5 2 2 2 2" xfId="11682" xr:uid="{E7895420-482C-4416-BDD2-625708B63FFC}"/>
    <cellStyle name="Percent 3 2 5 2 2 3" xfId="11681" xr:uid="{C0A3766A-D8F0-472D-996D-CC3020E384D7}"/>
    <cellStyle name="Percent 3 2 5 2 3" xfId="9075" xr:uid="{00000000-0005-0000-0000-000098230000}"/>
    <cellStyle name="Percent 3 2 5 2 3 2" xfId="9076" xr:uid="{00000000-0005-0000-0000-000099230000}"/>
    <cellStyle name="Percent 3 2 5 2 3 2 2" xfId="11684" xr:uid="{49CB9399-F879-4517-8DAE-C7A234EB424A}"/>
    <cellStyle name="Percent 3 2 5 2 3 3" xfId="11683" xr:uid="{03E9BEA8-D8DC-43C5-8EA7-BB1941226CC8}"/>
    <cellStyle name="Percent 3 2 5 2 4" xfId="9077" xr:uid="{00000000-0005-0000-0000-00009A230000}"/>
    <cellStyle name="Percent 3 2 5 2 4 2" xfId="11685" xr:uid="{3BC9ECBB-46C1-45F3-BF4E-F58FAA0980CE}"/>
    <cellStyle name="Percent 3 2 5 2 5" xfId="11680" xr:uid="{64278823-157D-4792-97DC-8CB3E299122F}"/>
    <cellStyle name="Percent 3 2 5 2 6" xfId="12111" xr:uid="{B54B048F-E04F-42F7-AA61-8D0A1424C1D3}"/>
    <cellStyle name="Percent 3 2 5 3" xfId="9078" xr:uid="{00000000-0005-0000-0000-00009B230000}"/>
    <cellStyle name="Percent 3 2 5 3 2" xfId="9079" xr:uid="{00000000-0005-0000-0000-00009C230000}"/>
    <cellStyle name="Percent 3 2 5 3 2 2" xfId="11687" xr:uid="{0E0B68E6-E704-4139-A58C-1D14AF635138}"/>
    <cellStyle name="Percent 3 2 5 3 3" xfId="11686" xr:uid="{593A2D07-5046-4F73-B66E-30AAA6A8A9B4}"/>
    <cellStyle name="Percent 3 2 5 4" xfId="9080" xr:uid="{00000000-0005-0000-0000-00009D230000}"/>
    <cellStyle name="Percent 3 2 5 4 2" xfId="9081" xr:uid="{00000000-0005-0000-0000-00009E230000}"/>
    <cellStyle name="Percent 3 2 5 4 2 2" xfId="11689" xr:uid="{BA290201-5C86-4C99-B40F-90BB8110B6DF}"/>
    <cellStyle name="Percent 3 2 5 4 3" xfId="11688" xr:uid="{1F6E1204-9463-4B56-B971-67AC31E201DA}"/>
    <cellStyle name="Percent 3 2 5 5" xfId="9082" xr:uid="{00000000-0005-0000-0000-00009F230000}"/>
    <cellStyle name="Percent 3 2 5 5 2" xfId="11690" xr:uid="{6E44EDAB-EDCF-42A9-8D5D-35CFFEDFF318}"/>
    <cellStyle name="Percent 3 2 5 6" xfId="11679" xr:uid="{EF61A76C-E9CB-4CC3-A96D-35404E30F7BF}"/>
    <cellStyle name="Percent 3 2 5 7" xfId="12110" xr:uid="{2517F6EB-D6C9-4E33-99DE-F5C7ABFA5A21}"/>
    <cellStyle name="Percent 3 2 6" xfId="8134" xr:uid="{00000000-0005-0000-0000-0000A0230000}"/>
    <cellStyle name="Percent 3 2 7" xfId="8135" xr:uid="{00000000-0005-0000-0000-0000A1230000}"/>
    <cellStyle name="Percent 3 2 7 2" xfId="9083" xr:uid="{00000000-0005-0000-0000-0000A2230000}"/>
    <cellStyle name="Percent 3 2 7 2 2" xfId="9084" xr:uid="{00000000-0005-0000-0000-0000A3230000}"/>
    <cellStyle name="Percent 3 2 7 2 2 2" xfId="11693" xr:uid="{99B2A40A-B154-4FC8-95B1-525B6F621BBA}"/>
    <cellStyle name="Percent 3 2 7 2 3" xfId="11692" xr:uid="{DF88D47E-3479-4DB5-AA09-8E4CCEF677E3}"/>
    <cellStyle name="Percent 3 2 7 3" xfId="9085" xr:uid="{00000000-0005-0000-0000-0000A4230000}"/>
    <cellStyle name="Percent 3 2 7 3 2" xfId="9086" xr:uid="{00000000-0005-0000-0000-0000A5230000}"/>
    <cellStyle name="Percent 3 2 7 3 2 2" xfId="11695" xr:uid="{0C57F90D-67B1-46AB-8829-E69DF646E8DF}"/>
    <cellStyle name="Percent 3 2 7 3 3" xfId="11694" xr:uid="{87396112-AC4A-49BD-9036-68173E7B1054}"/>
    <cellStyle name="Percent 3 2 7 4" xfId="9087" xr:uid="{00000000-0005-0000-0000-0000A6230000}"/>
    <cellStyle name="Percent 3 2 7 4 2" xfId="11696" xr:uid="{F9121122-9C7B-4467-AA79-A9C183DF8F1F}"/>
    <cellStyle name="Percent 3 2 7 5" xfId="11691" xr:uid="{5233AA3A-ED61-4740-A9AD-8A18312536FE}"/>
    <cellStyle name="Percent 3 2 7 6" xfId="12112" xr:uid="{B413E2EB-5F20-4391-A9E0-7A2DAD3F9977}"/>
    <cellStyle name="Percent 3 2 8" xfId="8136" xr:uid="{00000000-0005-0000-0000-0000A7230000}"/>
    <cellStyle name="Percent 3 2 9" xfId="9088" xr:uid="{00000000-0005-0000-0000-0000A8230000}"/>
    <cellStyle name="Percent 3 3" xfId="223" xr:uid="{00000000-0005-0000-0000-0000A9230000}"/>
    <cellStyle name="Percent 3 3 2" xfId="9089" xr:uid="{00000000-0005-0000-0000-0000AA230000}"/>
    <cellStyle name="Percent 3 3 3" xfId="9139" xr:uid="{00000000-0005-0000-0000-0000AB230000}"/>
    <cellStyle name="Percent 3 4" xfId="358" xr:uid="{00000000-0005-0000-0000-0000AC230000}"/>
    <cellStyle name="Percent 3 4 2" xfId="8137" xr:uid="{00000000-0005-0000-0000-0000AD230000}"/>
    <cellStyle name="Percent 3 5" xfId="8138" xr:uid="{00000000-0005-0000-0000-0000AE230000}"/>
    <cellStyle name="Percent 3 6" xfId="8139" xr:uid="{00000000-0005-0000-0000-0000AF230000}"/>
    <cellStyle name="Percent 3 6 2" xfId="9090" xr:uid="{00000000-0005-0000-0000-0000B0230000}"/>
    <cellStyle name="Percent 3 6 3" xfId="10524" xr:uid="{AA2FB8BC-5B85-47B9-86EE-2B43F7175C41}"/>
    <cellStyle name="Percent 3 6 4" xfId="10161" xr:uid="{26E1ECEE-65A3-4C09-BC49-C5DA0CC75E17}"/>
    <cellStyle name="Percent 3 7" xfId="11904" xr:uid="{141069C8-B893-4E42-A18F-24F8601688CC}"/>
    <cellStyle name="Percent 4" xfId="224" xr:uid="{00000000-0005-0000-0000-0000B1230000}"/>
    <cellStyle name="Percent 4 2" xfId="225" xr:uid="{00000000-0005-0000-0000-0000B2230000}"/>
    <cellStyle name="Percent 4 2 2" xfId="8140" xr:uid="{00000000-0005-0000-0000-0000B3230000}"/>
    <cellStyle name="Percent 4 2 2 2" xfId="9144" xr:uid="{00000000-0005-0000-0000-0000B4230000}"/>
    <cellStyle name="Percent 4 2 3" xfId="9122" xr:uid="{00000000-0005-0000-0000-0000B5230000}"/>
    <cellStyle name="Percent 4 3" xfId="8141" xr:uid="{00000000-0005-0000-0000-0000B6230000}"/>
    <cellStyle name="Percent 4 3 2" xfId="9141" xr:uid="{00000000-0005-0000-0000-0000B7230000}"/>
    <cellStyle name="Percent 4 3 2 2" xfId="12113" xr:uid="{2088B8E7-D887-4534-B69B-8BD8F71A5FD6}"/>
    <cellStyle name="Percent 4 3 2 3" xfId="10439" xr:uid="{89DE1774-8ABA-4A2E-BF27-B1B47827502C}"/>
    <cellStyle name="Percent 4 4" xfId="8142" xr:uid="{00000000-0005-0000-0000-0000B8230000}"/>
    <cellStyle name="Percent 4 4 2" xfId="8143" xr:uid="{00000000-0005-0000-0000-0000B9230000}"/>
    <cellStyle name="Percent 4 4 3" xfId="10163" xr:uid="{CE8669C6-66E7-423F-88F2-3F7D70AE3115}"/>
    <cellStyle name="Percent 4 4 4" xfId="10162" xr:uid="{122ECF93-242B-4EA8-895C-A8EC510A9DC5}"/>
    <cellStyle name="Percent 4 5" xfId="8144" xr:uid="{00000000-0005-0000-0000-0000BA230000}"/>
    <cellStyle name="Percent 4 6" xfId="9119" xr:uid="{00000000-0005-0000-0000-0000BB230000}"/>
    <cellStyle name="Percent 4 6 2" xfId="11769" xr:uid="{5BD4B1C0-75CD-43CF-844A-70D0B0395917}"/>
    <cellStyle name="Percent 4 7" xfId="10544" xr:uid="{F2BA453F-52A7-41F4-93D3-5222537F2E2A}"/>
    <cellStyle name="Percent 5" xfId="226" xr:uid="{00000000-0005-0000-0000-0000BC230000}"/>
    <cellStyle name="Percent 5 2" xfId="8145" xr:uid="{00000000-0005-0000-0000-0000BD230000}"/>
    <cellStyle name="Percent 5 2 2" xfId="9150" xr:uid="{00000000-0005-0000-0000-0000BE230000}"/>
    <cellStyle name="Percent 5 2 2 2" xfId="12114" xr:uid="{651BE734-25AA-45D1-AFC6-82DAA1163455}"/>
    <cellStyle name="Percent 5 2 2 3" xfId="10440" xr:uid="{5190ECC0-6703-42B4-AAB6-1CA38DA1E2AF}"/>
    <cellStyle name="Percent 5 2 3" xfId="10568" xr:uid="{68F74FB9-D70E-46DB-8866-B4A20F29B5B6}"/>
    <cellStyle name="Percent 5 3" xfId="8146" xr:uid="{00000000-0005-0000-0000-0000BF230000}"/>
    <cellStyle name="Percent 5 4" xfId="9128" xr:uid="{00000000-0005-0000-0000-0000C0230000}"/>
    <cellStyle name="Percent 5 4 2" xfId="11770" xr:uid="{23B29790-789C-4095-98FB-1B8A89049B77}"/>
    <cellStyle name="Percent 5 5" xfId="10550" xr:uid="{4C7BE8E4-F3D6-4EC9-843C-EAB8116D2074}"/>
    <cellStyle name="Percent 6" xfId="227" xr:uid="{00000000-0005-0000-0000-0000C1230000}"/>
    <cellStyle name="Percent 6 2" xfId="228" xr:uid="{00000000-0005-0000-0000-0000C2230000}"/>
    <cellStyle name="Percent 6 3" xfId="8147" xr:uid="{00000000-0005-0000-0000-0000C3230000}"/>
    <cellStyle name="Percent 7" xfId="229" xr:uid="{00000000-0005-0000-0000-0000C4230000}"/>
    <cellStyle name="Percent 7 2" xfId="8206" xr:uid="{00000000-0005-0000-0000-0000C5230000}"/>
    <cellStyle name="Percent 7 2 2" xfId="11992" xr:uid="{D22E0585-DD2C-4593-BE7B-5939E02B769F}"/>
    <cellStyle name="Percent 8" xfId="230" xr:uid="{00000000-0005-0000-0000-0000C6230000}"/>
    <cellStyle name="Percent 8 2" xfId="8207" xr:uid="{00000000-0005-0000-0000-0000C7230000}"/>
    <cellStyle name="Percent 8 2 2" xfId="11993" xr:uid="{E87A4EAD-DC88-4A3A-B3C1-98BAE4E7ED9B}"/>
    <cellStyle name="Percent 8 3" xfId="10583" xr:uid="{AA7BF6AF-F529-45A3-B8B8-048CCF959B25}"/>
    <cellStyle name="Percent 9" xfId="8148" xr:uid="{00000000-0005-0000-0000-0000C8230000}"/>
    <cellStyle name="Percent 9 2" xfId="8170" xr:uid="{00000000-0005-0000-0000-0000C9230000}"/>
    <cellStyle name="Percent 9 2 2" xfId="11697" xr:uid="{5E470FF0-DA80-408D-9797-7E7DFBDA9D43}"/>
    <cellStyle name="Percent 9 2 3" xfId="10164" xr:uid="{45226842-4694-41B8-A603-729CD71D6D4F}"/>
    <cellStyle name="Percent 9 3" xfId="9091" xr:uid="{00000000-0005-0000-0000-0000CA230000}"/>
    <cellStyle name="Percent 9 3 2" xfId="10350" xr:uid="{5AF8D632-5612-4C11-B3EA-51F72F07A1CC}"/>
    <cellStyle name="Percent 9 4" xfId="10633" xr:uid="{FE048230-94A7-47C3-85D0-211A62DBC6CF}"/>
    <cellStyle name="Percent 9 5" xfId="12118" xr:uid="{BB5A82D2-AD47-4BF9-88C6-1AB3D212BE89}"/>
    <cellStyle name="Percent2 [0]" xfId="9248" xr:uid="{A6539CE5-0135-4203-BA4F-B8B4976B5F8B}"/>
    <cellStyle name="Percent2 [1]" xfId="9249" xr:uid="{1AD1AC77-A8BE-4FC5-97E0-BFEE7575CB10}"/>
    <cellStyle name="PercentF [0]" xfId="9250" xr:uid="{6F918DC5-B82F-4DE8-8891-B64C0A8D0CB6}"/>
    <cellStyle name="PercentF [1]" xfId="9251" xr:uid="{B5235E4D-C43F-468E-97B8-0DD6E41F4ECA}"/>
    <cellStyle name="Pivotal Value" xfId="9375" xr:uid="{42B5257B-E310-4686-934E-B1A10D48F633}"/>
    <cellStyle name="Plain" xfId="9252" xr:uid="{C2897AF0-AB29-4688-9C73-7C39A9F56D80}"/>
    <cellStyle name="Planning_Input" xfId="8162" xr:uid="{00000000-0005-0000-0000-0000CB230000}"/>
    <cellStyle name="PowerPlan" xfId="9376" xr:uid="{AFC8BCF5-6C1E-4E85-9E28-D76AAD6B743F}"/>
    <cellStyle name="PP title" xfId="9263" xr:uid="{68C22E81-3B4F-41E5-8AB4-E30AC4077555}"/>
    <cellStyle name="Projection" xfId="9377" xr:uid="{B4E16960-D201-42EB-8DD2-A1514C2E343F}"/>
    <cellStyle name="PSChar" xfId="9253" xr:uid="{E8F54235-0D32-4509-9A5C-B509AE6A649E}"/>
    <cellStyle name="PSDate" xfId="9254" xr:uid="{74A51F33-172B-4C7F-9ACC-82300A294378}"/>
    <cellStyle name="Regional_Market" xfId="9378" xr:uid="{9ACC9186-428F-4AB5-9A60-872E9F446C9C}"/>
    <cellStyle name="Required_Input_Field" xfId="9379" xr:uid="{4865FCB4-E75E-4FC0-8ED4-F104FB90F510}"/>
    <cellStyle name="Retirements" xfId="9380" xr:uid="{2104303E-5B24-42FA-BA6E-02045B7608DE}"/>
    <cellStyle name="SAPBEXchaText" xfId="10165" xr:uid="{0BE8CBBA-EAAE-4260-BE0A-48B074DA55D9}"/>
    <cellStyle name="Section Heading" xfId="9218" xr:uid="{B465F0DA-9F6F-4653-A167-A4B149B57603}"/>
    <cellStyle name="Service Level Standard" xfId="9239" xr:uid="{9F6CCECC-A8F9-4054-9335-61A6111E757E}"/>
    <cellStyle name="Sheet Title" xfId="231" xr:uid="{00000000-0005-0000-0000-0000CC230000}"/>
    <cellStyle name="Small_Tanks" xfId="9448" xr:uid="{7B88205C-A2C6-49CB-B338-8BE2E40D305D}"/>
    <cellStyle name="Source" xfId="9449" xr:uid="{55FCB695-B866-4044-A7B5-4921E7A050EB}"/>
    <cellStyle name="Style 1" xfId="232" xr:uid="{00000000-0005-0000-0000-0000CD230000}"/>
    <cellStyle name="Style 1 2" xfId="233" xr:uid="{00000000-0005-0000-0000-0000CE230000}"/>
    <cellStyle name="Style 1 3" xfId="11994" xr:uid="{3D7D76E6-BF05-459E-91CB-DD0E1916C184}"/>
    <cellStyle name="Style 21" xfId="9284" xr:uid="{CD3B1653-C6BE-42B0-88C7-9D99CEB93805}"/>
    <cellStyle name="Style 21 2" xfId="9320" xr:uid="{4C5149F0-7288-40F9-813E-C9AE9B145A9E}"/>
    <cellStyle name="Style 21 2 2" xfId="10352" xr:uid="{99007032-0D11-44C6-82D0-C2D0510BAFB0}"/>
    <cellStyle name="Style 21 2 2 2" xfId="12323" xr:uid="{9A4F4A21-5001-4765-939C-746E937ECDD8}"/>
    <cellStyle name="Style 21 2 3" xfId="10351" xr:uid="{533266CC-27FF-48F4-8F5A-EAD82E9E3D9F}"/>
    <cellStyle name="Style 21 2 3 2" xfId="12322" xr:uid="{8D0E415A-06CA-497A-AD2D-F89E6911E746}"/>
    <cellStyle name="Style 21 2 4" xfId="10140" xr:uid="{F3BB49BC-DF20-4A9D-9E7F-C289FE43DCA6}"/>
    <cellStyle name="Style 21 3" xfId="9328" xr:uid="{715DFC15-553C-44EB-8FEE-73D5E4978E7A}"/>
    <cellStyle name="Style 21 3 2" xfId="10353" xr:uid="{FFED6185-E550-41E8-AAAB-5D8C42B0FCAF}"/>
    <cellStyle name="Style 21 3 2 2" xfId="12324" xr:uid="{89A254A4-9A30-4166-AA2F-0CF716E644BC}"/>
    <cellStyle name="Style 21 3 3" xfId="10132" xr:uid="{61E26124-0461-4522-933B-0DEE2A70EB5F}"/>
    <cellStyle name="Style 21 4" xfId="9311" xr:uid="{E93D8038-DCDB-4A77-9617-241D3D5A0580}"/>
    <cellStyle name="Style 21 4 2" xfId="10148" xr:uid="{F9CF7D31-514C-4BFE-B2E7-4DFD08C92AFF}"/>
    <cellStyle name="Style 21 5" xfId="10157" xr:uid="{74657846-3E52-485E-BB81-9E114619DA0F}"/>
    <cellStyle name="Style 22" xfId="9285" xr:uid="{A8F5FC70-07BE-44CF-B999-B0ED63DCC56A}"/>
    <cellStyle name="Style 22 2" xfId="9321" xr:uid="{22126136-777D-4458-B895-93D373BD3E59}"/>
    <cellStyle name="Style 22 2 2" xfId="10355" xr:uid="{F5ECE65A-E070-491D-A88D-9F9007BCD076}"/>
    <cellStyle name="Style 22 2 2 2" xfId="12326" xr:uid="{50E969BB-A8A3-4F12-8042-9ABB721AE1BD}"/>
    <cellStyle name="Style 22 2 3" xfId="10354" xr:uid="{5FA85BE4-327D-43FB-81B3-C0DC00569E4E}"/>
    <cellStyle name="Style 22 2 3 2" xfId="12325" xr:uid="{9715BA3E-4A58-49D2-9163-DFDA0DBFBFB5}"/>
    <cellStyle name="Style 22 2 4" xfId="10139" xr:uid="{8CECD759-2632-4F48-9E2B-8880EE5FB5FC}"/>
    <cellStyle name="Style 22 3" xfId="9329" xr:uid="{3491803E-87AA-478A-93F1-B12DBFDAEE36}"/>
    <cellStyle name="Style 22 3 2" xfId="10356" xr:uid="{22127043-B594-423E-BC53-B319930E5099}"/>
    <cellStyle name="Style 22 3 2 2" xfId="12327" xr:uid="{28054EE6-2C8D-48CF-A017-004AA321C57E}"/>
    <cellStyle name="Style 22 3 3" xfId="10131" xr:uid="{394C4F1D-A747-4781-94EC-8FDF98F283B1}"/>
    <cellStyle name="Style 22 4" xfId="9303" xr:uid="{1629B919-7A5C-4337-9EE5-7CD93B192407}"/>
    <cellStyle name="Style 22 4 2" xfId="10150" xr:uid="{9E53055C-624D-4A68-A76A-F95C9BF0ED2F}"/>
    <cellStyle name="Style 22 5" xfId="10156" xr:uid="{13A7F674-0D4C-4783-A3B3-13418B9B0636}"/>
    <cellStyle name="Style 23" xfId="9286" xr:uid="{3935C941-50F7-4F9D-A54D-811339043E8B}"/>
    <cellStyle name="Style 23 2" xfId="9322" xr:uid="{F8A3DA10-91EB-4CCC-9025-9B3C547F5F08}"/>
    <cellStyle name="Style 23 2 2" xfId="10358" xr:uid="{72671A1F-6B58-422B-889D-763436AB7482}"/>
    <cellStyle name="Style 23 2 2 2" xfId="12329" xr:uid="{D87F8B79-E151-4821-B14C-EACD391A6BFC}"/>
    <cellStyle name="Style 23 2 3" xfId="10357" xr:uid="{9DFCE418-5F93-4755-A7ED-81FA6269CDF3}"/>
    <cellStyle name="Style 23 2 3 2" xfId="12328" xr:uid="{6EE023FA-5F6B-40F9-9CAF-F1D3B105E487}"/>
    <cellStyle name="Style 23 2 4" xfId="10138" xr:uid="{C71144A1-FFFD-44BB-8DED-E19ACE11356A}"/>
    <cellStyle name="Style 23 3" xfId="9330" xr:uid="{1F88D772-E7D8-401F-8678-1A79045BB2E2}"/>
    <cellStyle name="Style 23 3 2" xfId="10359" xr:uid="{9E6C57BF-E67D-4887-984B-AAF009653D09}"/>
    <cellStyle name="Style 23 3 2 2" xfId="12330" xr:uid="{C9DB8579-67E9-4331-8539-D28FBBBA7793}"/>
    <cellStyle name="Style 23 3 3" xfId="10130" xr:uid="{807A8DC0-E54E-46BC-9C65-BF278BA6D47D}"/>
    <cellStyle name="Style 23 4" xfId="9312" xr:uid="{C1501A80-C7F1-4B57-86B9-7EEF7ABA7145}"/>
    <cellStyle name="Style 23 4 2" xfId="10147" xr:uid="{8BBD4BCB-FFC4-4170-A1E8-AC86D84A0DFA}"/>
    <cellStyle name="Style 23 5" xfId="10155" xr:uid="{6A30F575-D281-4D64-882F-2DB471B94B12}"/>
    <cellStyle name="Style 24" xfId="9287" xr:uid="{15E8D356-A8D5-4E95-885F-D0546ABAA844}"/>
    <cellStyle name="Style 24 2" xfId="9323" xr:uid="{6402E06C-D2E6-4E97-88AC-716C808DDB1B}"/>
    <cellStyle name="Style 24 2 2" xfId="10361" xr:uid="{E875C3C6-3F7B-49B3-BF27-A9198C1BE74F}"/>
    <cellStyle name="Style 24 2 2 2" xfId="12332" xr:uid="{5AE39DBD-8D30-4CBA-BA43-0CE0E6896DC3}"/>
    <cellStyle name="Style 24 2 3" xfId="10360" xr:uid="{9969C23C-691F-4EEE-A53F-7C1D5E324F33}"/>
    <cellStyle name="Style 24 2 3 2" xfId="12331" xr:uid="{CEB61A81-E94F-4E03-8A7E-FABF08B17B73}"/>
    <cellStyle name="Style 24 2 4" xfId="10137" xr:uid="{E29BDAF7-4DE6-4233-B9B3-DDF5AC0CC0ED}"/>
    <cellStyle name="Style 24 3" xfId="9331" xr:uid="{286E4864-A253-4EDB-B448-F8E0EB252D56}"/>
    <cellStyle name="Style 24 3 2" xfId="10362" xr:uid="{CC86B9D0-72D2-4864-AE5F-B78ED1A3C104}"/>
    <cellStyle name="Style 24 3 2 2" xfId="12333" xr:uid="{84664401-9E67-4CB9-8B9D-1467012174BB}"/>
    <cellStyle name="Style 24 3 3" xfId="10129" xr:uid="{2EA1F3FF-69B6-4A15-9D58-42564350A116}"/>
    <cellStyle name="Style 24 4" xfId="9313" xr:uid="{B4EDEDD9-FEB5-4A31-950F-ECC3BAB48752}"/>
    <cellStyle name="Style 24 4 2" xfId="10146" xr:uid="{D42AC9B0-261E-49BC-A746-34C4440A7081}"/>
    <cellStyle name="Style 24 5" xfId="10154" xr:uid="{690653A1-0F76-4F1D-A472-770BECC7C236}"/>
    <cellStyle name="Style 25" xfId="9288" xr:uid="{692F086D-EDA7-419A-B30C-DB9AFF6BB66F}"/>
    <cellStyle name="Style 25 2" xfId="9324" xr:uid="{8BC4CEAB-6E3A-4EFD-9EDE-5BA6E41322CF}"/>
    <cellStyle name="Style 25 2 2" xfId="10364" xr:uid="{1BE6D939-3186-4F5D-9BA6-61C0B5D00F16}"/>
    <cellStyle name="Style 25 2 2 2" xfId="12335" xr:uid="{E7FAD5E4-C1D2-413A-9494-F7B99642B00E}"/>
    <cellStyle name="Style 25 2 3" xfId="10363" xr:uid="{A1F893EF-A082-48F3-8330-676664C97A21}"/>
    <cellStyle name="Style 25 2 3 2" xfId="12334" xr:uid="{D8CD96BB-50DF-46E1-8F9A-1953707418FD}"/>
    <cellStyle name="Style 25 2 4" xfId="10136" xr:uid="{6F9C5E60-32C7-46CF-8331-18F3275BF643}"/>
    <cellStyle name="Style 25 3" xfId="9332" xr:uid="{FB2EAC02-0E51-4E46-825C-DE7556C695F7}"/>
    <cellStyle name="Style 25 3 2" xfId="10365" xr:uid="{65353272-5831-4A6F-8E1C-CF02B98D1872}"/>
    <cellStyle name="Style 25 3 2 2" xfId="12336" xr:uid="{E1AC2998-A8D1-4431-8471-C5E56E061B01}"/>
    <cellStyle name="Style 25 3 3" xfId="10128" xr:uid="{03626B7F-660A-49DF-9C55-D2967609DC76}"/>
    <cellStyle name="Style 25 4" xfId="9314" xr:uid="{CF8DB3B7-68DD-4D82-8C32-091235B53942}"/>
    <cellStyle name="Style 25 4 2" xfId="10145" xr:uid="{E3AD9035-1342-4F93-845D-4AD440EF3E80}"/>
    <cellStyle name="Style 25 5" xfId="10153" xr:uid="{A72DCB80-D2DF-4B43-BC08-2E14EDB66990}"/>
    <cellStyle name="Style 26" xfId="9289" xr:uid="{A985275F-71B5-4C11-B3BA-21305EB285D1}"/>
    <cellStyle name="Style 26 2" xfId="9325" xr:uid="{2FE6C3CF-1516-4302-A4B5-04AE52BF98A4}"/>
    <cellStyle name="Style 26 2 2" xfId="10367" xr:uid="{67ED0DD4-4D6F-4FBD-BDCB-A101B24EABF3}"/>
    <cellStyle name="Style 26 2 2 2" xfId="12338" xr:uid="{1A4E1B31-E8AC-4C15-8710-5043207EE473}"/>
    <cellStyle name="Style 26 2 3" xfId="10366" xr:uid="{D3DBDB6B-96D2-439A-9F7B-59CD7FCE9C44}"/>
    <cellStyle name="Style 26 2 3 2" xfId="12337" xr:uid="{9CA7824A-7F05-4802-A02B-2C8FCE2E43DA}"/>
    <cellStyle name="Style 26 2 4" xfId="10135" xr:uid="{E76B4D38-EA90-4D10-AE42-009D82EC00FC}"/>
    <cellStyle name="Style 26 3" xfId="9333" xr:uid="{AD86E140-5594-4B2E-AB8F-4D26A8F7AA7D}"/>
    <cellStyle name="Style 26 3 2" xfId="10368" xr:uid="{97DCDAF9-B2D7-48AF-B9D8-442AE5265331}"/>
    <cellStyle name="Style 26 3 2 2" xfId="12339" xr:uid="{8BABF87B-F113-4741-9C58-BF85F5A50341}"/>
    <cellStyle name="Style 26 3 3" xfId="10127" xr:uid="{56185626-F8C9-4D5C-B5AA-B1B7CEDCABAF}"/>
    <cellStyle name="Style 26 4" xfId="9315" xr:uid="{4180E8C8-F14A-4F1C-A270-BB9EF52504F2}"/>
    <cellStyle name="Style 26 4 2" xfId="10144" xr:uid="{D86AAE8C-237A-4027-829D-5470F96B8FE4}"/>
    <cellStyle name="Style 26 5" xfId="10152" xr:uid="{18861147-87E6-47B8-82BB-79A2D2EAB5B4}"/>
    <cellStyle name="Style 27" xfId="9290" xr:uid="{3FAEAFF7-ADF0-479C-B413-A29A43937EBB}"/>
    <cellStyle name="Style 28" xfId="359" xr:uid="{00000000-0005-0000-0000-0000CF230000}"/>
    <cellStyle name="Table Entry L" xfId="10166" xr:uid="{3FDE000A-394C-4A9F-A54C-B26FF7821FCA}"/>
    <cellStyle name="Table Entry R ($0)" xfId="10167" xr:uid="{7ECB401C-481E-4266-9774-1F631B8F316A}"/>
    <cellStyle name="Table Entry R (n0)" xfId="10168" xr:uid="{4A376925-712B-4D8E-8852-0419E29D8D21}"/>
    <cellStyle name="Table Entry R (p0)" xfId="10169" xr:uid="{0B94287F-C755-4336-8DC3-C40E5E7013D9}"/>
    <cellStyle name="Table Header L" xfId="10170" xr:uid="{98570082-C8D6-42B5-90A1-4FEBC6631A42}"/>
    <cellStyle name="Table Header R" xfId="10171" xr:uid="{C97F80FE-0E11-4B90-A3B2-6A4537C81F10}"/>
    <cellStyle name="Table Name" xfId="9381" xr:uid="{740DCC5B-C3F8-4D0C-93DE-ABB384E40FD3}"/>
    <cellStyle name="Text" xfId="9240" xr:uid="{52AD7C12-04BB-45B1-B3D8-361A09174178}"/>
    <cellStyle name="Title 2" xfId="234" xr:uid="{00000000-0005-0000-0000-0000D0230000}"/>
    <cellStyle name="Title 2 2" xfId="360" xr:uid="{00000000-0005-0000-0000-0000D1230000}"/>
    <cellStyle name="Title 2 2 2" xfId="10172" xr:uid="{6ED289D1-B885-4C2E-B83D-6894728D4F11}"/>
    <cellStyle name="Title 2 3" xfId="10173" xr:uid="{95CC4DE3-A95B-420C-B15D-D68D9F82DE7A}"/>
    <cellStyle name="Title 2 4" xfId="10174" xr:uid="{7598A6BF-B8DA-4039-ADB3-D5E9AFF11365}"/>
    <cellStyle name="Title 3" xfId="361" xr:uid="{00000000-0005-0000-0000-0000D2230000}"/>
    <cellStyle name="Title 3 2" xfId="10175" xr:uid="{D62C0408-5C5C-4E03-95FE-C42CAF18290B}"/>
    <cellStyle name="Title 3 3" xfId="10176" xr:uid="{BE4ED980-56A9-467C-ACFE-AD25A3459A8B}"/>
    <cellStyle name="Total 2" xfId="235" xr:uid="{00000000-0005-0000-0000-0000D3230000}"/>
    <cellStyle name="Total 2 10" xfId="10177" xr:uid="{DAC003A6-5BF1-40FB-88AC-0F69C584BB51}"/>
    <cellStyle name="Total 2 10 2" xfId="12261" xr:uid="{8A4FE6F2-418E-49A3-9A16-7447948CE5AC}"/>
    <cellStyle name="Total 2 11" xfId="10178" xr:uid="{00628B03-8B22-401A-AECC-391450C8CF4F}"/>
    <cellStyle name="Total 2 11 2" xfId="12262" xr:uid="{2823B7C8-9F2F-400C-8348-4CDFF543A86C}"/>
    <cellStyle name="Total 2 12" xfId="10179" xr:uid="{DC09BE2B-D9AE-4776-8DBC-FE4B635B2EFF}"/>
    <cellStyle name="Total 2 12 2" xfId="12263" xr:uid="{55CF8316-031E-4625-B451-026F47C139A5}"/>
    <cellStyle name="Total 2 13" xfId="10180" xr:uid="{4D4C55E5-03B1-47E6-A317-5183D4165134}"/>
    <cellStyle name="Total 2 13 2" xfId="12264" xr:uid="{AFC779AC-EFEF-4705-A0EA-8B9682B5017B}"/>
    <cellStyle name="Total 2 14" xfId="10181" xr:uid="{A277CC26-FB2A-43B0-8828-281DF04E79BA}"/>
    <cellStyle name="Total 2 14 2" xfId="12265" xr:uid="{B77F8133-0014-42AB-B684-CF6B52C354DE}"/>
    <cellStyle name="Total 2 15" xfId="10182" xr:uid="{151F0936-EC03-4232-906E-3E0FB83C187C}"/>
    <cellStyle name="Total 2 15 2" xfId="12266" xr:uid="{F461DF22-DFAF-4DFB-8E4A-F32EFA256F33}"/>
    <cellStyle name="Total 2 16" xfId="9291" xr:uid="{D24C2CDB-75AB-46A0-AC03-F7058401387D}"/>
    <cellStyle name="Total 2 17" xfId="10151" xr:uid="{49222BED-ACB7-4BE8-A785-6DFC994FC36D}"/>
    <cellStyle name="Total 2 2" xfId="362" xr:uid="{00000000-0005-0000-0000-0000D4230000}"/>
    <cellStyle name="Total 2 2 10" xfId="10183" xr:uid="{F847A36E-1640-4CA4-951D-4E5037801BE4}"/>
    <cellStyle name="Total 2 2 10 2" xfId="12267" xr:uid="{0189A3CD-AA69-4CF2-B0AB-EBF3A2206703}"/>
    <cellStyle name="Total 2 2 11" xfId="10184" xr:uid="{8F4A4003-B7E1-46BC-83C8-BD09BDC2D444}"/>
    <cellStyle name="Total 2 2 11 2" xfId="12268" xr:uid="{3B5B1D4F-E246-4D87-BB6E-09A928F0AE9E}"/>
    <cellStyle name="Total 2 2 12" xfId="10369" xr:uid="{225CDBD0-8DA2-475F-A5E7-6A2D7660D022}"/>
    <cellStyle name="Total 2 2 12 2" xfId="12340" xr:uid="{787964B4-6D81-4189-8D3D-ED78E1126472}"/>
    <cellStyle name="Total 2 2 13" xfId="9326" xr:uid="{AAE26952-66D5-45B0-AE34-4C74F5FEF19C}"/>
    <cellStyle name="Total 2 2 14" xfId="10134" xr:uid="{F9941CB9-BEFB-4B67-86F5-A92C88061AD1}"/>
    <cellStyle name="Total 2 2 2" xfId="8160" xr:uid="{00000000-0005-0000-0000-0000D5230000}"/>
    <cellStyle name="Total 2 2 2 2" xfId="10370" xr:uid="{8A4EE807-67FE-4680-AC43-91D96ECA08D1}"/>
    <cellStyle name="Total 2 2 2 2 2" xfId="12341" xr:uid="{9772E241-3E88-474B-8197-CCE3C12E0E9E}"/>
    <cellStyle name="Total 2 2 2 3" xfId="10185" xr:uid="{510B5C3B-27F0-4355-8155-B2105E68921F}"/>
    <cellStyle name="Total 2 2 2 4" xfId="12269" xr:uid="{40208494-8789-4196-A307-DEC2B6993310}"/>
    <cellStyle name="Total 2 2 3" xfId="9165" xr:uid="{00000000-0005-0000-0000-0000D6230000}"/>
    <cellStyle name="Total 2 2 3 2" xfId="10186" xr:uid="{31008A4A-2710-4D88-97B4-2D695DBA724B}"/>
    <cellStyle name="Total 2 2 3 3" xfId="12270" xr:uid="{DDF98C5F-C2D8-411F-98AB-5CA034BB02BF}"/>
    <cellStyle name="Total 2 2 4" xfId="10187" xr:uid="{E6DE9EF6-628F-4EE1-AF88-9ECA58B49971}"/>
    <cellStyle name="Total 2 2 4 2" xfId="12271" xr:uid="{D1F9D84A-3B1F-4F16-A25C-87A5B0F1BAC3}"/>
    <cellStyle name="Total 2 2 5" xfId="10188" xr:uid="{65469983-8FAA-432B-AD32-84183DBB2CAA}"/>
    <cellStyle name="Total 2 2 5 2" xfId="12272" xr:uid="{21E5F64D-50FD-448B-AF0C-72127D664919}"/>
    <cellStyle name="Total 2 2 6" xfId="10189" xr:uid="{4E7A401C-87C6-4EF5-B458-63DA7D2EF3A7}"/>
    <cellStyle name="Total 2 2 6 2" xfId="12273" xr:uid="{3E8B7E21-F8CB-4256-8A4D-DB8FE27835BA}"/>
    <cellStyle name="Total 2 2 7" xfId="10190" xr:uid="{69E25092-8B29-48B2-93C4-D83068A30C5E}"/>
    <cellStyle name="Total 2 2 7 2" xfId="12274" xr:uid="{9179E8EA-4B2C-4CC3-8DFD-8E6EB749CBDE}"/>
    <cellStyle name="Total 2 2 8" xfId="10191" xr:uid="{CF72B7D0-4CCB-40AA-B4DD-6F1BCEAA04BB}"/>
    <cellStyle name="Total 2 2 8 2" xfId="12275" xr:uid="{57E91B9E-082A-4E18-961E-08705939B839}"/>
    <cellStyle name="Total 2 2 9" xfId="10192" xr:uid="{617C9F19-93E0-4EF1-9284-B782C5C9D12D}"/>
    <cellStyle name="Total 2 2 9 2" xfId="12276" xr:uid="{CC54BC6F-5140-440E-853E-3C0C92515311}"/>
    <cellStyle name="Total 2 3" xfId="8156" xr:uid="{00000000-0005-0000-0000-0000D7230000}"/>
    <cellStyle name="Total 2 3 10" xfId="10193" xr:uid="{6BF9D133-9BD2-499E-A7D8-F21B73C0991D}"/>
    <cellStyle name="Total 2 3 10 2" xfId="12277" xr:uid="{6294263F-0E5A-4020-8522-1DB94A4C2FC0}"/>
    <cellStyle name="Total 2 3 11" xfId="10371" xr:uid="{AFBD2384-5907-4885-92D7-7141DB4084BA}"/>
    <cellStyle name="Total 2 3 11 2" xfId="12342" xr:uid="{87635B52-D486-4E5C-9D79-8E460FDE3E22}"/>
    <cellStyle name="Total 2 3 12" xfId="9334" xr:uid="{607F49AC-72C6-4ABB-8674-84B9E54B65A7}"/>
    <cellStyle name="Total 2 3 13" xfId="10126" xr:uid="{3EA0DE15-D7B1-4D8C-82B6-EA7A591A720E}"/>
    <cellStyle name="Total 2 3 2" xfId="10194" xr:uid="{8276923B-BFBE-4D90-BDC6-EBB87D46B99A}"/>
    <cellStyle name="Total 2 3 2 2" xfId="10372" xr:uid="{1DA3A048-43D4-4F8E-871D-31BC26D403EA}"/>
    <cellStyle name="Total 2 3 2 2 2" xfId="12343" xr:uid="{E64C6571-7724-483D-BA40-3B3A6793DAC6}"/>
    <cellStyle name="Total 2 3 2 3" xfId="12278" xr:uid="{141D51B7-7FE1-451A-B969-00BD8CC3C848}"/>
    <cellStyle name="Total 2 3 3" xfId="10195" xr:uid="{1A978035-D188-4D59-B07A-8DACD4EE824B}"/>
    <cellStyle name="Total 2 3 3 2" xfId="12279" xr:uid="{3335D0B6-3FBB-4B4F-82D5-D0316E090736}"/>
    <cellStyle name="Total 2 3 4" xfId="10196" xr:uid="{74ED17B9-9BAF-468C-8A63-BFB81D155B81}"/>
    <cellStyle name="Total 2 3 4 2" xfId="12280" xr:uid="{2D6737BF-1807-4B08-BF36-D0EED2284C1A}"/>
    <cellStyle name="Total 2 3 5" xfId="10197" xr:uid="{D2935471-B97F-454E-874E-5FF52A2B3F46}"/>
    <cellStyle name="Total 2 3 5 2" xfId="12281" xr:uid="{4AB1A139-260F-4222-A5FB-4B75984EBD58}"/>
    <cellStyle name="Total 2 3 6" xfId="10198" xr:uid="{03E6D862-64A2-4349-9EDC-C8C154108169}"/>
    <cellStyle name="Total 2 3 6 2" xfId="12282" xr:uid="{E03B8699-BCA8-4A8E-B18C-DA680AB7870A}"/>
    <cellStyle name="Total 2 3 7" xfId="10199" xr:uid="{44500194-DAD5-440D-AD16-AA88B3A462CE}"/>
    <cellStyle name="Total 2 3 7 2" xfId="12283" xr:uid="{180B9E35-362A-4375-BD9D-1C9F97FFC324}"/>
    <cellStyle name="Total 2 3 8" xfId="10200" xr:uid="{3A58E454-54B1-4E5B-8031-15DE130FF578}"/>
    <cellStyle name="Total 2 3 8 2" xfId="12284" xr:uid="{810BAD25-87E7-4AFB-9A67-F5EAF0B18847}"/>
    <cellStyle name="Total 2 3 9" xfId="10201" xr:uid="{57A6CBEA-F56E-486B-8390-690220F90885}"/>
    <cellStyle name="Total 2 3 9 2" xfId="12285" xr:uid="{1710E0A5-F76F-4B75-9582-529241F1A2C2}"/>
    <cellStyle name="Total 2 4" xfId="9109" xr:uid="{00000000-0005-0000-0000-0000D8230000}"/>
    <cellStyle name="Total 2 4 10" xfId="9316" xr:uid="{AC84636B-6EC1-422C-B3D4-4E7DEA3AFE38}"/>
    <cellStyle name="Total 2 4 11" xfId="10143" xr:uid="{73A18718-426B-4207-8722-FAC9D8920B76}"/>
    <cellStyle name="Total 2 4 2" xfId="10202" xr:uid="{FD0C301C-6FBB-418C-A75E-8399E0C4251C}"/>
    <cellStyle name="Total 2 4 2 2" xfId="12286" xr:uid="{C6FABB21-ECA6-4D60-936A-CFA86259983A}"/>
    <cellStyle name="Total 2 4 3" xfId="10203" xr:uid="{266FF492-AB87-41FC-B18E-E9343D059C12}"/>
    <cellStyle name="Total 2 4 3 2" xfId="12287" xr:uid="{14C68031-747E-4A32-9E80-4FE0BE2ED23D}"/>
    <cellStyle name="Total 2 4 4" xfId="10204" xr:uid="{2779656D-EB1C-47F2-A373-117AA72BF751}"/>
    <cellStyle name="Total 2 4 4 2" xfId="12288" xr:uid="{13DA72FE-D411-40B6-ACE1-7E2C041B6737}"/>
    <cellStyle name="Total 2 4 5" xfId="10205" xr:uid="{60BCF966-B0DD-4BFC-A5D9-3619D0777361}"/>
    <cellStyle name="Total 2 4 5 2" xfId="12289" xr:uid="{0557BB55-6E2E-4F03-BE33-27B60E85EE72}"/>
    <cellStyle name="Total 2 4 6" xfId="10206" xr:uid="{C8BFD88D-E25F-4B00-8713-306AD1CF4C35}"/>
    <cellStyle name="Total 2 4 6 2" xfId="12290" xr:uid="{385D1FFB-5470-4057-ACBC-801043A6E153}"/>
    <cellStyle name="Total 2 4 7" xfId="10207" xr:uid="{660CF80F-FE8F-4328-A6D9-DF0E6C8374CF}"/>
    <cellStyle name="Total 2 4 7 2" xfId="12291" xr:uid="{1B315814-4123-47F9-BB25-E6D7244E2CB5}"/>
    <cellStyle name="Total 2 4 8" xfId="10208" xr:uid="{01198620-F624-4670-BD17-579E96E281A5}"/>
    <cellStyle name="Total 2 4 8 2" xfId="12292" xr:uid="{DF75F580-D845-43C3-BAAD-A907E35330C0}"/>
    <cellStyle name="Total 2 4 9" xfId="10209" xr:uid="{7CB4A7EB-2E8B-4E2E-A0CF-CB9F53704A7F}"/>
    <cellStyle name="Total 2 4 9 2" xfId="12293" xr:uid="{BDC79924-3DFB-4CF2-9D3F-E2AAEDF3B5AE}"/>
    <cellStyle name="Total 2 5" xfId="9103" xr:uid="{00000000-0005-0000-0000-0000D9230000}"/>
    <cellStyle name="Total 2 5 10" xfId="10210" xr:uid="{DE1A0C10-54F4-4BAF-93AD-2F852B588FC5}"/>
    <cellStyle name="Total 2 5 11" xfId="12294" xr:uid="{DE5A65DF-F676-4E96-BDF0-EF2EE99D87BC}"/>
    <cellStyle name="Total 2 5 2" xfId="10211" xr:uid="{6131DC55-4967-46D7-B737-6C5AEFEBFD72}"/>
    <cellStyle name="Total 2 5 2 2" xfId="12295" xr:uid="{A060C4F9-5824-4B50-AAEB-A7198D78B2B8}"/>
    <cellStyle name="Total 2 5 3" xfId="10212" xr:uid="{6958EC85-F758-4084-9769-C9D1C5843262}"/>
    <cellStyle name="Total 2 5 3 2" xfId="12296" xr:uid="{D58E07ED-9539-4BC8-8E1F-57638A16F9A7}"/>
    <cellStyle name="Total 2 5 4" xfId="10213" xr:uid="{C2702280-E59D-41C4-B66C-D7E36F139D98}"/>
    <cellStyle name="Total 2 5 4 2" xfId="12297" xr:uid="{063D8148-6691-4DFC-B2CF-75EA13EE22C8}"/>
    <cellStyle name="Total 2 5 5" xfId="10214" xr:uid="{A641B099-7DBF-4148-A74A-3F1A6CA249F5}"/>
    <cellStyle name="Total 2 5 5 2" xfId="12298" xr:uid="{3FDAA26B-6AE4-4FB5-84B9-E5F13F713266}"/>
    <cellStyle name="Total 2 5 6" xfId="10215" xr:uid="{039A8D5F-BD8A-4E39-8CAC-3FFAC9425D37}"/>
    <cellStyle name="Total 2 5 6 2" xfId="12299" xr:uid="{8A4986DE-0223-4A7F-AB0B-68FEB0CDDE8C}"/>
    <cellStyle name="Total 2 5 7" xfId="10216" xr:uid="{6B95FB18-B63D-4F62-8107-DA66CD3AF4EC}"/>
    <cellStyle name="Total 2 5 7 2" xfId="12300" xr:uid="{E65B99F6-84A7-435C-853D-98D3BF2C82BB}"/>
    <cellStyle name="Total 2 5 8" xfId="10217" xr:uid="{6E5689BE-2301-4F2E-8411-9AF1D9E7790D}"/>
    <cellStyle name="Total 2 5 8 2" xfId="12301" xr:uid="{644DBF4F-85F0-4B8B-A56C-63D5E8D00D96}"/>
    <cellStyle name="Total 2 5 9" xfId="10218" xr:uid="{C6DE431D-3F17-4040-B7EB-44D7B0F2BB1A}"/>
    <cellStyle name="Total 2 5 9 2" xfId="12302" xr:uid="{94AC2237-6890-41E2-A5DE-BCA9553475F8}"/>
    <cellStyle name="Total 2 6" xfId="10219" xr:uid="{EFEA9E0F-2580-4189-8EFE-10228B0FF455}"/>
    <cellStyle name="Total 2 6 10" xfId="12303" xr:uid="{59B7438A-A3EF-4FDC-AF59-6F627097BE1B}"/>
    <cellStyle name="Total 2 6 2" xfId="10220" xr:uid="{500CBDD4-2B50-41E7-BF52-8A94FB0F3A96}"/>
    <cellStyle name="Total 2 6 2 2" xfId="12304" xr:uid="{DD54C05E-4416-459B-BFC5-FCC9DA8B3AC9}"/>
    <cellStyle name="Total 2 6 3" xfId="10221" xr:uid="{3E657D96-FF5A-4689-B86D-29E5923BA8B2}"/>
    <cellStyle name="Total 2 6 3 2" xfId="12305" xr:uid="{D091FCB4-C859-4F70-8F0C-EAE0096EE9AD}"/>
    <cellStyle name="Total 2 6 4" xfId="10222" xr:uid="{927E6167-7089-445E-82F7-2B3AD7AD54F7}"/>
    <cellStyle name="Total 2 6 4 2" xfId="12306" xr:uid="{60C72D5E-1C82-473E-BF6C-250ED0DA6029}"/>
    <cellStyle name="Total 2 6 5" xfId="10223" xr:uid="{032F8C14-1A17-4954-902A-F40559C4E02D}"/>
    <cellStyle name="Total 2 6 5 2" xfId="12307" xr:uid="{B4692BC9-8E75-4B35-9ED7-5DBA77483B50}"/>
    <cellStyle name="Total 2 6 6" xfId="10224" xr:uid="{9F52D94F-96A4-4919-8B02-D38771000E3D}"/>
    <cellStyle name="Total 2 6 6 2" xfId="12308" xr:uid="{33FBFFE3-5061-450A-9CD0-888ABFE6B82B}"/>
    <cellStyle name="Total 2 6 7" xfId="10225" xr:uid="{CA911B8B-D1E6-4E8E-9C48-3B17441B5B63}"/>
    <cellStyle name="Total 2 6 7 2" xfId="12309" xr:uid="{8DD8CE28-49A0-4D18-ADEF-485B541B34F7}"/>
    <cellStyle name="Total 2 6 8" xfId="10226" xr:uid="{B29018E6-EC43-49F5-9AF6-E05939C9E799}"/>
    <cellStyle name="Total 2 6 8 2" xfId="12310" xr:uid="{DE5F4908-F7FF-47DA-A7DB-EA879AA1449E}"/>
    <cellStyle name="Total 2 6 9" xfId="10227" xr:uid="{8C88F98B-62FF-4692-9FE7-877F92E73896}"/>
    <cellStyle name="Total 2 6 9 2" xfId="12311" xr:uid="{458B1526-31C1-4EC0-A31D-A2CBD85818AE}"/>
    <cellStyle name="Total 2 7" xfId="10228" xr:uid="{5D02BC0F-EEE6-4D2B-BFD0-B1D7BB12EBE6}"/>
    <cellStyle name="Total 2 7 2" xfId="12312" xr:uid="{B719D996-5B02-4627-B48E-0224D977D632}"/>
    <cellStyle name="Total 2 8" xfId="10229" xr:uid="{680EBA5A-9801-4D89-9010-32F9970CE44E}"/>
    <cellStyle name="Total 2 8 2" xfId="12313" xr:uid="{F2FEEA56-C915-441E-93EF-C8B885D34990}"/>
    <cellStyle name="Total 2 9" xfId="10230" xr:uid="{F4048293-B7B0-4953-831A-4FB475A5882D}"/>
    <cellStyle name="Total 2 9 2" xfId="12314" xr:uid="{21440CE8-A9F9-4B14-891F-74B7B31F411F}"/>
    <cellStyle name="Total 3" xfId="363" xr:uid="{00000000-0005-0000-0000-0000DA230000}"/>
    <cellStyle name="Total 3 2" xfId="8161" xr:uid="{00000000-0005-0000-0000-0000DB230000}"/>
    <cellStyle name="Total 3 2 2" xfId="11995" xr:uid="{017619F9-A874-4174-8054-2067E01D51D5}"/>
    <cellStyle name="Total 3 2 2 2" xfId="12351" xr:uid="{170E8C6F-4F87-4056-9F77-4EBCC41CF05F}"/>
    <cellStyle name="Total 3 2 3" xfId="10232" xr:uid="{6083BE18-17AC-4A84-B568-800502943E3A}"/>
    <cellStyle name="Total 3 3" xfId="9166" xr:uid="{00000000-0005-0000-0000-0000DC230000}"/>
    <cellStyle name="Total 3 3 2" xfId="10233" xr:uid="{32F70D9D-7835-4E25-B49E-A25D9ED59758}"/>
    <cellStyle name="Total 3 3 3" xfId="12316" xr:uid="{DBE0962B-539C-48E1-9CF3-65C14E2D48C2}"/>
    <cellStyle name="Total 3 4" xfId="10441" xr:uid="{62B18A2D-8E97-4F1C-9C9C-DDF95DBF7A6A}"/>
    <cellStyle name="Total 3 4 2" xfId="12346" xr:uid="{1844A8A0-06D6-41BD-8B5D-796EE9BF9C6A}"/>
    <cellStyle name="Total 3 5" xfId="10231" xr:uid="{EE5A14A8-B22C-480E-B23B-FD0FE8506ECE}"/>
    <cellStyle name="Total 3 6" xfId="12315" xr:uid="{97A09235-15EF-471C-9DC3-5A4B831EE996}"/>
    <cellStyle name="TRS" xfId="9450" xr:uid="{F5D41041-64A5-4689-AA7B-D0913135F419}"/>
    <cellStyle name="voluntary" xfId="9382" xr:uid="{57C5F7AA-12CF-4EDF-AF16-AE78F09A99C8}"/>
    <cellStyle name="Warning Text 2" xfId="236" xr:uid="{00000000-0005-0000-0000-0000DD230000}"/>
    <cellStyle name="Warning Text 2 2" xfId="10234" xr:uid="{AF8A5D5D-EDC7-4B32-BFD1-E06EB7672990}"/>
    <cellStyle name="Warning Text 3" xfId="364" xr:uid="{00000000-0005-0000-0000-0000DE230000}"/>
    <cellStyle name="Washington" xfId="9383" xr:uid="{13F14D25-3FCA-4AAE-8602-A6077A4F848D}"/>
    <cellStyle name="XLConnect.Header" xfId="10236" xr:uid="{222AD388-7604-47D5-A75A-6179C55B7450}"/>
    <cellStyle name="XLConnect.Numeric" xfId="10237" xr:uid="{940EBA80-7CEF-4530-843F-0E08DA2207D5}"/>
    <cellStyle name="XLConnect.String" xfId="10238" xr:uid="{701416DA-A24B-4B1C-B6B0-EE863977CBE0}"/>
    <cellStyle name="표준 10" xfId="10239" xr:uid="{B5D67F3F-FF97-43DC-A2D8-74726EC67674}"/>
    <cellStyle name="표준 2" xfId="10240" xr:uid="{45237786-5CAB-4114-B586-44E7C66A3C4E}"/>
    <cellStyle name="표준 3" xfId="10241" xr:uid="{1E8AE52A-7F3A-40C6-96E1-2362E5B5E0C6}"/>
    <cellStyle name="표준 3 2" xfId="10242" xr:uid="{C2AD0E30-AFD8-4A8E-A137-EA966DF3645C}"/>
    <cellStyle name="표준 3 2 2" xfId="10243" xr:uid="{CFA291C7-E039-4E4E-AFDE-0148F98E27D4}"/>
    <cellStyle name="표준 3 2 2 2" xfId="10244" xr:uid="{EA8B5689-C180-404C-8273-825328D8F6A3}"/>
    <cellStyle name="표준 3 2 2 2 2" xfId="11701" xr:uid="{90589BF9-FB08-4E60-B2D7-FA60B6AB6C4E}"/>
    <cellStyle name="표준 3 2 2 3" xfId="11700" xr:uid="{FBFE9EF1-67C9-4D10-96E6-B957120AF3BD}"/>
    <cellStyle name="표준 3 2 3" xfId="10245" xr:uid="{30D702EB-6B4E-4875-B1D6-0A64E7D78656}"/>
    <cellStyle name="표준 3 2 3 2" xfId="11702" xr:uid="{690D6B7F-9818-4361-83D1-193C00011CAE}"/>
    <cellStyle name="표준 3 2 4" xfId="11699" xr:uid="{C875FDE9-2BED-4C59-8B66-0CE7C5C8EAA5}"/>
    <cellStyle name="표준 3 3" xfId="10246" xr:uid="{25D5F00F-06DD-4B59-BCBF-1BE601E78467}"/>
    <cellStyle name="표준 3 3 2" xfId="10247" xr:uid="{718714AC-11D4-4011-9A8A-5C314FE5AC2F}"/>
    <cellStyle name="표준 3 3 2 2" xfId="11704" xr:uid="{E49C33DD-9042-492D-B2CA-E01DD9B4CCB8}"/>
    <cellStyle name="표준 3 3 3" xfId="11703" xr:uid="{BFDFEA6E-B619-4BCD-A73C-59DE769B418F}"/>
    <cellStyle name="표준 3 4" xfId="10248" xr:uid="{910FD5BA-BD78-425A-B14E-1F95627178AF}"/>
    <cellStyle name="표준 3 4 2" xfId="11705" xr:uid="{23057CE3-9ABE-445E-AAF2-894930AA3535}"/>
    <cellStyle name="표준 3 5" xfId="11698" xr:uid="{F888A91D-C141-4637-B65E-4B50ABD592FC}"/>
    <cellStyle name="표준 8" xfId="10249" xr:uid="{6C9F377A-C964-4A2C-AD00-4FAE251EFFD3}"/>
    <cellStyle name="표준_ENERGY CONSUMP" xfId="237" xr:uid="{00000000-0005-0000-0000-0000E0230000}"/>
    <cellStyle name="一般 2 2" xfId="10250" xr:uid="{F71B3B43-B1B2-4F61-84E9-95FD89B647F1}"/>
    <cellStyle name="常规_海外市场服务网站资料操作BOM" xfId="238" xr:uid="{00000000-0005-0000-0000-0000E1230000}"/>
    <cellStyle name="標準 2" xfId="10251" xr:uid="{010360E9-BC5D-453C-A752-654F41C91C56}"/>
    <cellStyle name="標準_ENERGY STAR Register FORM (TVs V4.0)_LCD_20101203" xfId="10252" xr:uid="{88433FF0-6E53-4989-BE45-A07B743FB8CB}"/>
  </cellStyles>
  <dxfs count="21">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4" formatCode="0.00%"/>
    </dxf>
    <dxf>
      <numFmt numFmtId="14" formatCode="0.00%"/>
    </dxf>
    <dxf>
      <numFmt numFmtId="14" formatCode="0.00%"/>
    </dxf>
    <dxf>
      <numFmt numFmtId="14" formatCode="0.00%"/>
    </dxf>
    <dxf>
      <numFmt numFmtId="2" formatCode="0.00"/>
    </dxf>
    <dxf>
      <numFmt numFmtId="2" formatCode="0.00"/>
    </dxf>
    <dxf>
      <numFmt numFmtId="2" formatCode="0.00"/>
    </dxf>
    <dxf>
      <fill>
        <patternFill>
          <bgColor rgb="FFCCFFCC"/>
        </patternFill>
      </fill>
    </dxf>
    <dxf>
      <fill>
        <patternFill>
          <bgColor rgb="FF99CCFF"/>
        </patternFill>
      </fill>
      <border>
        <top style="double">
          <color auto="1"/>
        </top>
      </border>
    </dxf>
    <dxf>
      <fill>
        <patternFill>
          <bgColor rgb="FF99CCFF"/>
        </patternFill>
      </fill>
      <border>
        <bottom style="double">
          <color auto="1"/>
        </bottom>
      </border>
    </dxf>
    <dxf>
      <border>
        <left style="thin">
          <color auto="1"/>
        </left>
        <right style="thin">
          <color auto="1"/>
        </right>
        <top style="thin">
          <color auto="1"/>
        </top>
        <bottom style="thin">
          <color auto="1"/>
        </bottom>
        <vertical style="thin">
          <color auto="1"/>
        </vertical>
      </border>
    </dxf>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20"/>
      <tableStyleElement type="headerRow" dxfId="19"/>
    </tableStyle>
    <tableStyle name="ERS Report" pivot="0" count="4" xr9:uid="{210ACAD5-DAD8-4433-9CB1-31C016675D97}">
      <tableStyleElement type="wholeTable" dxfId="18"/>
      <tableStyleElement type="headerRow" dxfId="17"/>
      <tableStyleElement type="totalRow" dxfId="16"/>
      <tableStyleElement type="secondRowStripe" dxfId="15"/>
    </tableStyle>
  </tableStyles>
  <colors>
    <mruColors>
      <color rgb="FF8CC646"/>
      <color rgb="FF0083CA"/>
      <color rgb="FF7FCDE8"/>
      <color rgb="FFFFFFCC"/>
      <color rgb="FFFDEA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customXml" Target="../customXml/item2.xml"/><Relationship Id="rId68" Type="http://schemas.openxmlformats.org/officeDocument/2006/relationships/customXml" Target="../customXml/item7.xml"/><Relationship Id="rId84" Type="http://schemas.openxmlformats.org/officeDocument/2006/relationships/customXml" Target="../customXml/item23.xml"/><Relationship Id="rId89" Type="http://schemas.openxmlformats.org/officeDocument/2006/relationships/customXml" Target="../customXml/item2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pivotCacheDefinition" Target="pivotCache/pivotCacheDefinition6.xml"/><Relationship Id="rId58" Type="http://schemas.openxmlformats.org/officeDocument/2006/relationships/sharedStrings" Target="sharedStrings.xml"/><Relationship Id="rId74" Type="http://schemas.openxmlformats.org/officeDocument/2006/relationships/customXml" Target="../customXml/item13.xml"/><Relationship Id="rId79" Type="http://schemas.openxmlformats.org/officeDocument/2006/relationships/customXml" Target="../customXml/item18.xml"/><Relationship Id="rId5" Type="http://schemas.openxmlformats.org/officeDocument/2006/relationships/worksheet" Target="worksheets/sheet5.xml"/><Relationship Id="rId90" Type="http://schemas.openxmlformats.org/officeDocument/2006/relationships/customXml" Target="../customXml/item2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pivotCacheDefinition" Target="pivotCache/pivotCacheDefinition1.xml"/><Relationship Id="rId56" Type="http://schemas.openxmlformats.org/officeDocument/2006/relationships/connections" Target="connections.xml"/><Relationship Id="rId64" Type="http://schemas.openxmlformats.org/officeDocument/2006/relationships/customXml" Target="../customXml/item3.xml"/><Relationship Id="rId69" Type="http://schemas.openxmlformats.org/officeDocument/2006/relationships/customXml" Target="../customXml/item8.xml"/><Relationship Id="rId77" Type="http://schemas.openxmlformats.org/officeDocument/2006/relationships/customXml" Target="../customXml/item16.xml"/><Relationship Id="rId8" Type="http://schemas.openxmlformats.org/officeDocument/2006/relationships/worksheet" Target="worksheets/sheet8.xml"/><Relationship Id="rId51" Type="http://schemas.openxmlformats.org/officeDocument/2006/relationships/pivotCacheDefinition" Target="pivotCache/pivotCacheDefinition4.xml"/><Relationship Id="rId72" Type="http://schemas.openxmlformats.org/officeDocument/2006/relationships/customXml" Target="../customXml/item11.xml"/><Relationship Id="rId85" Type="http://schemas.openxmlformats.org/officeDocument/2006/relationships/customXml" Target="../customXml/item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sheetMetadata" Target="metadata.xml"/><Relationship Id="rId67" Type="http://schemas.openxmlformats.org/officeDocument/2006/relationships/customXml" Target="../customXml/item6.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pivotCacheDefinition" Target="pivotCache/pivotCacheDefinition7.xml"/><Relationship Id="rId62" Type="http://schemas.openxmlformats.org/officeDocument/2006/relationships/customXml" Target="../customXml/item1.xml"/><Relationship Id="rId70" Type="http://schemas.openxmlformats.org/officeDocument/2006/relationships/customXml" Target="../customXml/item9.xml"/><Relationship Id="rId75" Type="http://schemas.openxmlformats.org/officeDocument/2006/relationships/customXml" Target="../customXml/item14.xml"/><Relationship Id="rId83" Type="http://schemas.openxmlformats.org/officeDocument/2006/relationships/customXml" Target="../customXml/item22.xml"/><Relationship Id="rId88" Type="http://schemas.openxmlformats.org/officeDocument/2006/relationships/customXml" Target="../customXml/item27.xml"/><Relationship Id="rId91" Type="http://schemas.openxmlformats.org/officeDocument/2006/relationships/customXml" Target="../customXml/item3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2.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pivotCacheDefinition" Target="pivotCache/pivotCacheDefinition5.xml"/><Relationship Id="rId60" Type="http://schemas.openxmlformats.org/officeDocument/2006/relationships/powerPivotData" Target="model/item.data"/><Relationship Id="rId65" Type="http://schemas.openxmlformats.org/officeDocument/2006/relationships/customXml" Target="../customXml/item4.xml"/><Relationship Id="rId73" Type="http://schemas.openxmlformats.org/officeDocument/2006/relationships/customXml" Target="../customXml/item12.xml"/><Relationship Id="rId78" Type="http://schemas.openxmlformats.org/officeDocument/2006/relationships/customXml" Target="../customXml/item17.xml"/><Relationship Id="rId81" Type="http://schemas.openxmlformats.org/officeDocument/2006/relationships/customXml" Target="../customXml/item20.xml"/><Relationship Id="rId86" Type="http://schemas.openxmlformats.org/officeDocument/2006/relationships/customXml" Target="../customXml/item2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pivotCacheDefinition" Target="pivotCache/pivotCacheDefinition3.xml"/><Relationship Id="rId55" Type="http://schemas.openxmlformats.org/officeDocument/2006/relationships/theme" Target="theme/theme1.xml"/><Relationship Id="rId76" Type="http://schemas.openxmlformats.org/officeDocument/2006/relationships/customXml" Target="../customXml/item15.xml"/><Relationship Id="rId7" Type="http://schemas.openxmlformats.org/officeDocument/2006/relationships/worksheet" Target="worksheets/sheet7.xml"/><Relationship Id="rId71" Type="http://schemas.openxmlformats.org/officeDocument/2006/relationships/customXml" Target="../customXml/item1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customXml" Target="../customXml/item5.xml"/><Relationship Id="rId87" Type="http://schemas.openxmlformats.org/officeDocument/2006/relationships/customXml" Target="../customXml/item26.xml"/><Relationship Id="rId61" Type="http://schemas.openxmlformats.org/officeDocument/2006/relationships/calcChain" Target="calcChain.xml"/><Relationship Id="rId82" Type="http://schemas.openxmlformats.org/officeDocument/2006/relationships/customXml" Target="../customXml/item21.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9881353446331"/>
          <c:y val="4.8468825732540209E-2"/>
          <c:w val="0.85142014671018496"/>
          <c:h val="0.77936379895672325"/>
        </c:manualLayout>
      </c:layout>
      <c:barChart>
        <c:barDir val="col"/>
        <c:grouping val="clustered"/>
        <c:varyColors val="0"/>
        <c:ser>
          <c:idx val="0"/>
          <c:order val="0"/>
          <c:tx>
            <c:strRef>
              <c:f>'format for memo'!$E$10</c:f>
              <c:strCache>
                <c:ptCount val="1"/>
                <c:pt idx="0">
                  <c:v>Reported</c:v>
                </c:pt>
              </c:strCache>
            </c:strRef>
          </c:tx>
          <c:spPr>
            <a:solidFill>
              <a:schemeClr val="accent6">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'format for memo'!$F$9:$K$9</c:f>
              <c:numCache>
                <c:formatCode>General</c:formatCode>
                <c:ptCount val="6"/>
                <c:pt idx="0">
                  <c:v>2020</c:v>
                </c:pt>
                <c:pt idx="1">
                  <c:v>2021</c:v>
                </c:pt>
                <c:pt idx="2">
                  <c:v>2022</c:v>
                </c:pt>
                <c:pt idx="3">
                  <c:v>2023</c:v>
                </c:pt>
                <c:pt idx="4">
                  <c:v>2024</c:v>
                </c:pt>
                <c:pt idx="5">
                  <c:v>2025</c:v>
                </c:pt>
              </c:numCache>
            </c:numRef>
          </c:cat>
          <c:val>
            <c:numRef>
              <c:f>'format for memo'!$F$10:$I$10</c:f>
              <c:numCache>
                <c:formatCode>General</c:formatCode>
                <c:ptCount val="4"/>
                <c:pt idx="0">
                  <c:v>3.61</c:v>
                </c:pt>
                <c:pt idx="1">
                  <c:v>3.83</c:v>
                </c:pt>
                <c:pt idx="2">
                  <c:v>2.0699999999999998</c:v>
                </c:pt>
                <c:pt idx="3">
                  <c:v>2.48</c:v>
                </c:pt>
              </c:numCache>
            </c:numRef>
          </c:val>
          <c:extLst>
            <c:ext xmlns:c16="http://schemas.microsoft.com/office/drawing/2014/chart" uri="{C3380CC4-5D6E-409C-BE32-E72D297353CC}">
              <c16:uniqueId val="{00000000-3ACB-433A-8361-D1296C96E77A}"/>
            </c:ext>
          </c:extLst>
        </c:ser>
        <c:ser>
          <c:idx val="1"/>
          <c:order val="1"/>
          <c:tx>
            <c:strRef>
              <c:f>'format for memo'!$E$11</c:f>
              <c:strCache>
                <c:ptCount val="1"/>
                <c:pt idx="0">
                  <c:v>Targets</c:v>
                </c:pt>
              </c:strCache>
            </c:strRef>
          </c:tx>
          <c:spPr>
            <a:noFill/>
            <a:ln w="19050">
              <a:solidFill>
                <a:schemeClr val="tx1"/>
              </a:solidFill>
            </a:ln>
            <a:effectLst/>
          </c:spPr>
          <c:invertIfNegative val="0"/>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2F-49FE-8045-B760CB25557C}"/>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2F-49FE-8045-B760CB2555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'format for memo'!$F$9:$K$9</c:f>
              <c:numCache>
                <c:formatCode>General</c:formatCode>
                <c:ptCount val="6"/>
                <c:pt idx="0">
                  <c:v>2020</c:v>
                </c:pt>
                <c:pt idx="1">
                  <c:v>2021</c:v>
                </c:pt>
                <c:pt idx="2">
                  <c:v>2022</c:v>
                </c:pt>
                <c:pt idx="3">
                  <c:v>2023</c:v>
                </c:pt>
                <c:pt idx="4">
                  <c:v>2024</c:v>
                </c:pt>
                <c:pt idx="5">
                  <c:v>2025</c:v>
                </c:pt>
              </c:numCache>
            </c:numRef>
          </c:cat>
          <c:val>
            <c:numRef>
              <c:f>'format for memo'!$F$11:$K$11</c:f>
              <c:numCache>
                <c:formatCode>General</c:formatCode>
                <c:ptCount val="6"/>
                <c:pt idx="0">
                  <c:v>2.75</c:v>
                </c:pt>
                <c:pt idx="1">
                  <c:v>2.91</c:v>
                </c:pt>
                <c:pt idx="2">
                  <c:v>1.93</c:v>
                </c:pt>
                <c:pt idx="3">
                  <c:v>2.3199999999999998</c:v>
                </c:pt>
                <c:pt idx="4" formatCode="0.00">
                  <c:v>2.8018868800257843</c:v>
                </c:pt>
                <c:pt idx="5" formatCode="0.00">
                  <c:v>3.5471138726861291</c:v>
                </c:pt>
              </c:numCache>
            </c:numRef>
          </c:val>
          <c:extLst>
            <c:ext xmlns:c16="http://schemas.microsoft.com/office/drawing/2014/chart" uri="{C3380CC4-5D6E-409C-BE32-E72D297353CC}">
              <c16:uniqueId val="{00000001-3ACB-433A-8361-D1296C96E77A}"/>
            </c:ext>
          </c:extLst>
        </c:ser>
        <c:ser>
          <c:idx val="2"/>
          <c:order val="2"/>
          <c:tx>
            <c:strRef>
              <c:f>'format for memo'!$E$18</c:f>
              <c:strCache>
                <c:ptCount val="1"/>
                <c:pt idx="0">
                  <c:v>Share of Savings C&amp;S</c:v>
                </c:pt>
              </c:strCache>
            </c:strRef>
          </c:tx>
          <c:spPr>
            <a:pattFill prst="wdUpDiag">
              <a:fgClr>
                <a:schemeClr val="accent6">
                  <a:lumMod val="20000"/>
                  <a:lumOff val="80000"/>
                </a:schemeClr>
              </a:fgClr>
              <a:bgClr>
                <a:schemeClr val="bg1"/>
              </a:bgClr>
            </a:pattFill>
            <a:ln>
              <a:noFill/>
            </a:ln>
            <a:effectLst/>
          </c:spPr>
          <c:invertIfNegative val="0"/>
          <c:cat>
            <c:numRef>
              <c:f>'format for memo'!$F$9:$K$9</c:f>
              <c:numCache>
                <c:formatCode>General</c:formatCode>
                <c:ptCount val="6"/>
                <c:pt idx="0">
                  <c:v>2020</c:v>
                </c:pt>
                <c:pt idx="1">
                  <c:v>2021</c:v>
                </c:pt>
                <c:pt idx="2">
                  <c:v>2022</c:v>
                </c:pt>
                <c:pt idx="3">
                  <c:v>2023</c:v>
                </c:pt>
                <c:pt idx="4">
                  <c:v>2024</c:v>
                </c:pt>
                <c:pt idx="5">
                  <c:v>2025</c:v>
                </c:pt>
              </c:numCache>
            </c:numRef>
          </c:cat>
          <c:val>
            <c:numRef>
              <c:f>'format for memo'!$F$18:$K$18</c:f>
              <c:numCache>
                <c:formatCode>_(* #,##0.0_);_(* \(#,##0.0\);_(* "-"??_);_(@_)</c:formatCode>
                <c:ptCount val="6"/>
                <c:pt idx="0">
                  <c:v>1.57</c:v>
                </c:pt>
                <c:pt idx="1">
                  <c:v>1.91</c:v>
                </c:pt>
                <c:pt idx="2">
                  <c:v>0.44</c:v>
                </c:pt>
                <c:pt idx="3">
                  <c:v>0.5</c:v>
                </c:pt>
                <c:pt idx="4">
                  <c:v>0.89302008406010125</c:v>
                </c:pt>
                <c:pt idx="5">
                  <c:v>1.3808183758032184</c:v>
                </c:pt>
              </c:numCache>
            </c:numRef>
          </c:val>
          <c:extLst>
            <c:ext xmlns:c16="http://schemas.microsoft.com/office/drawing/2014/chart" uri="{C3380CC4-5D6E-409C-BE32-E72D297353CC}">
              <c16:uniqueId val="{00000000-132F-49FE-8045-B760CB25557C}"/>
            </c:ext>
          </c:extLst>
        </c:ser>
        <c:dLbls>
          <c:showLegendKey val="0"/>
          <c:showVal val="0"/>
          <c:showCatName val="0"/>
          <c:showSerName val="0"/>
          <c:showPercent val="0"/>
          <c:showBubbleSize val="0"/>
        </c:dLbls>
        <c:gapWidth val="150"/>
        <c:overlap val="100"/>
        <c:axId val="1318504447"/>
        <c:axId val="1318530367"/>
      </c:barChart>
      <c:catAx>
        <c:axId val="1318504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8530367"/>
        <c:crosses val="autoZero"/>
        <c:auto val="1"/>
        <c:lblAlgn val="ctr"/>
        <c:lblOffset val="100"/>
        <c:noMultiLvlLbl val="0"/>
      </c:catAx>
      <c:valAx>
        <c:axId val="1318530367"/>
        <c:scaling>
          <c:orientation val="minMax"/>
          <c:max val="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Savings (aMW)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8504447"/>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84718</xdr:colOff>
      <xdr:row>21</xdr:row>
      <xdr:rowOff>128214</xdr:rowOff>
    </xdr:to>
    <xdr:sp macro="" textlink="">
      <xdr:nvSpPr>
        <xdr:cNvPr id="2" name="TextBox 1">
          <a:extLst>
            <a:ext uri="{FF2B5EF4-FFF2-40B4-BE49-F238E27FC236}">
              <a16:creationId xmlns:a16="http://schemas.microsoft.com/office/drawing/2014/main" id="{4BE006D8-F77C-4CF5-AE41-A23D4D7AC743}"/>
            </a:ext>
          </a:extLst>
        </xdr:cNvPr>
        <xdr:cNvSpPr txBox="1"/>
      </xdr:nvSpPr>
      <xdr:spPr>
        <a:xfrm>
          <a:off x="609600" y="381000"/>
          <a:ext cx="5571118" cy="3747714"/>
        </a:xfrm>
        <a:prstGeom prst="rect">
          <a:avLst/>
        </a:prstGeom>
        <a:solidFill>
          <a:srgbClr val="FFFF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100" baseline="0">
              <a:solidFill>
                <a:srgbClr val="0083CA"/>
              </a:solidFill>
              <a:effectLst/>
              <a:latin typeface="+mn-lt"/>
              <a:ea typeface="+mn-ea"/>
              <a:cs typeface="+mn-cs"/>
            </a:rPr>
            <a:t>MH</a:t>
          </a:r>
        </a:p>
        <a:p>
          <a:r>
            <a:rPr lang="en-US" sz="1100" baseline="0">
              <a:solidFill>
                <a:srgbClr val="0083CA"/>
              </a:solidFill>
              <a:effectLst/>
              <a:latin typeface="+mn-lt"/>
              <a:ea typeface="+mn-ea"/>
              <a:cs typeface="+mn-cs"/>
            </a:rPr>
            <a:t>(From Aaron) Here is what I did:</a:t>
          </a:r>
        </a:p>
        <a:p>
          <a:r>
            <a:rPr lang="en-US" sz="1100" baseline="0">
              <a:solidFill>
                <a:srgbClr val="0083CA"/>
              </a:solidFill>
              <a:effectLst/>
              <a:latin typeface="+mn-lt"/>
              <a:ea typeface="+mn-ea"/>
              <a:cs typeface="+mn-cs"/>
            </a:rPr>
            <a:t>1. Removed HUD tier.</a:t>
          </a:r>
          <a:endParaRPr lang="en-US">
            <a:solidFill>
              <a:srgbClr val="0083CA"/>
            </a:solidFill>
            <a:effectLst/>
          </a:endParaRPr>
        </a:p>
        <a:p>
          <a:r>
            <a:rPr lang="en-US" sz="1100" baseline="0">
              <a:solidFill>
                <a:srgbClr val="0083CA"/>
              </a:solidFill>
              <a:effectLst/>
              <a:latin typeface="+mn-lt"/>
              <a:ea typeface="+mn-ea"/>
              <a:cs typeface="+mn-cs"/>
            </a:rPr>
            <a:t>2. I assume the HUD 2023 standard will be fully in effect by the start of 2024. There is currently some uncertainty about this.</a:t>
          </a:r>
          <a:endParaRPr lang="en-US">
            <a:solidFill>
              <a:srgbClr val="0083CA"/>
            </a:solidFill>
            <a:effectLst/>
          </a:endParaRPr>
        </a:p>
        <a:p>
          <a:r>
            <a:rPr lang="en-US" sz="1100" baseline="0">
              <a:solidFill>
                <a:srgbClr val="0083CA"/>
              </a:solidFill>
              <a:effectLst/>
              <a:latin typeface="+mn-lt"/>
              <a:ea typeface="+mn-ea"/>
              <a:cs typeface="+mn-cs"/>
            </a:rPr>
            <a:t>3. For the units forecast for NEEM 1.1 and NEEM Plus, I assume they don't gain or lose market share when HUD 2023 hits, so I left the Total Regional Savings Units unchanged (even though the savings rates for a portion of the units goes to zero - that shows up in the weighted savings rates).</a:t>
          </a:r>
          <a:endParaRPr lang="en-US">
            <a:solidFill>
              <a:srgbClr val="0083CA"/>
            </a:solidFill>
            <a:effectLst/>
          </a:endParaRPr>
        </a:p>
        <a:p>
          <a:r>
            <a:rPr lang="en-US" sz="1100" baseline="0">
              <a:solidFill>
                <a:srgbClr val="0083CA"/>
              </a:solidFill>
              <a:effectLst/>
              <a:latin typeface="+mn-lt"/>
              <a:ea typeface="+mn-ea"/>
              <a:cs typeface="+mn-cs"/>
            </a:rPr>
            <a:t>4. For Multi-Wides (assuming 86% of market - even across efficiencies), I assume HUD 2023 is close enough to NEEM 1.1 that we won't count additional savings; so I zeroed out the savings rates for NEEM 1.1 Multi-Widess in the calcs. For NEEM Plus Multi-Wides, I kept the portion of the savings rate that is above NEEM 1.1 / HUD 2023.</a:t>
          </a:r>
          <a:endParaRPr lang="en-US">
            <a:solidFill>
              <a:srgbClr val="0083CA"/>
            </a:solidFill>
            <a:effectLst/>
          </a:endParaRPr>
        </a:p>
        <a:p>
          <a:r>
            <a:rPr lang="en-US" sz="1100" baseline="0">
              <a:solidFill>
                <a:srgbClr val="0083CA"/>
              </a:solidFill>
              <a:effectLst/>
              <a:latin typeface="+mn-lt"/>
              <a:ea typeface="+mn-ea"/>
              <a:cs typeface="+mn-cs"/>
            </a:rPr>
            <a:t>5. For Single-Wides, (assuming 14% of market - even across efficiencies), I assume HUD 2023 doesn't make a significant difference in base (inefficient) unit efficiency; so I kept the same savings rates for both NEEM 1.1 and NEEM Plus Single-Wides.</a:t>
          </a:r>
          <a:endParaRPr lang="en-US">
            <a:solidFill>
              <a:srgbClr val="0083CA"/>
            </a:solidFill>
            <a:effectLst/>
          </a:endParaRPr>
        </a:p>
        <a:p>
          <a:r>
            <a:rPr lang="en-US" sz="1100" baseline="0">
              <a:solidFill>
                <a:srgbClr val="0083CA"/>
              </a:solidFill>
              <a:effectLst/>
              <a:latin typeface="+mn-lt"/>
              <a:ea typeface="+mn-ea"/>
              <a:cs typeface="+mn-cs"/>
            </a:rPr>
            <a:t>6. for Local Programs, I use existing assumptions for NEEM Plus, while I assume local programs for NEEM 1.1 units will only be viable for Single-Wides (14%), and apply a consistent fraction from 2022 NEEM 1.1 LPs (31.5%). </a:t>
          </a:r>
          <a:endParaRPr lang="en-US">
            <a:solidFill>
              <a:srgbClr val="0083CA"/>
            </a:solidFill>
            <a:effectLst/>
          </a:endParaRPr>
        </a:p>
      </xdr:txBody>
    </xdr:sp>
    <xdr:clientData/>
  </xdr:twoCellAnchor>
  <xdr:twoCellAnchor>
    <xdr:from>
      <xdr:col>12</xdr:col>
      <xdr:colOff>0</xdr:colOff>
      <xdr:row>2</xdr:row>
      <xdr:rowOff>0</xdr:rowOff>
    </xdr:from>
    <xdr:to>
      <xdr:col>19</xdr:col>
      <xdr:colOff>359621</xdr:colOff>
      <xdr:row>19</xdr:row>
      <xdr:rowOff>23073</xdr:rowOff>
    </xdr:to>
    <xdr:sp macro="" textlink="">
      <xdr:nvSpPr>
        <xdr:cNvPr id="3" name="TextBox 2">
          <a:extLst>
            <a:ext uri="{FF2B5EF4-FFF2-40B4-BE49-F238E27FC236}">
              <a16:creationId xmlns:a16="http://schemas.microsoft.com/office/drawing/2014/main" id="{ECA98724-DB97-4ECC-A0DC-16B64D0EC2DB}"/>
            </a:ext>
          </a:extLst>
        </xdr:cNvPr>
        <xdr:cNvSpPr txBox="1"/>
      </xdr:nvSpPr>
      <xdr:spPr>
        <a:xfrm>
          <a:off x="7315200" y="381000"/>
          <a:ext cx="4626821" cy="3261573"/>
        </a:xfrm>
        <a:prstGeom prst="rect">
          <a:avLst/>
        </a:prstGeom>
        <a:solidFill>
          <a:srgbClr val="FFFF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100">
              <a:solidFill>
                <a:srgbClr val="FF0000"/>
              </a:solidFill>
            </a:rPr>
            <a:t>Dryers</a:t>
          </a:r>
        </a:p>
        <a:p>
          <a:endParaRPr lang="en-US" sz="1100">
            <a:solidFill>
              <a:srgbClr val="FF0000"/>
            </a:solidFill>
          </a:endParaRPr>
        </a:p>
        <a:p>
          <a:r>
            <a:rPr lang="en-US" sz="1100">
              <a:solidFill>
                <a:srgbClr val="FF0000"/>
              </a:solidFill>
            </a:rPr>
            <a:t>Christina,</a:t>
          </a:r>
        </a:p>
        <a:p>
          <a:r>
            <a:rPr lang="en-US" sz="1100" baseline="0">
              <a:solidFill>
                <a:schemeClr val="dk1"/>
              </a:solidFill>
              <a:effectLst/>
              <a:latin typeface="+mn-lt"/>
              <a:ea typeface="+mn-ea"/>
              <a:cs typeface="+mn-cs"/>
            </a:rPr>
            <a:t>Check the forecast. Is it reasonable? Do you think it will be achievable? We do not want to over-forecast the savings. But we also want to show value.</a:t>
          </a:r>
        </a:p>
        <a:p>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I manually adjusted 2026 and 2027 here, still need to have 	conversations with team about standards reforecasting after 	recent developments, dryers timing is likely pushed out</a:t>
          </a:r>
          <a:endParaRPr lang="en-US">
            <a:solidFill>
              <a:srgbClr val="FF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xdr:colOff>
      <xdr:row>0</xdr:row>
      <xdr:rowOff>0</xdr:rowOff>
    </xdr:from>
    <xdr:to>
      <xdr:col>1</xdr:col>
      <xdr:colOff>815764</xdr:colOff>
      <xdr:row>3</xdr:row>
      <xdr:rowOff>93444</xdr:rowOff>
    </xdr:to>
    <xdr:pic>
      <xdr:nvPicPr>
        <xdr:cNvPr id="2" name="Picture 1">
          <a:extLst>
            <a:ext uri="{FF2B5EF4-FFF2-40B4-BE49-F238E27FC236}">
              <a16:creationId xmlns:a16="http://schemas.microsoft.com/office/drawing/2014/main" id="{AFE3FE54-13D0-4B8E-A0D1-EFB2572F32D8}"/>
            </a:ext>
          </a:extLst>
        </xdr:cNvPr>
        <xdr:cNvPicPr>
          <a:picLocks noChangeAspect="1"/>
        </xdr:cNvPicPr>
      </xdr:nvPicPr>
      <xdr:blipFill>
        <a:blip xmlns:r="http://schemas.openxmlformats.org/officeDocument/2006/relationships" r:embed="rId1"/>
        <a:stretch>
          <a:fillRect/>
        </a:stretch>
      </xdr:blipFill>
      <xdr:spPr>
        <a:xfrm>
          <a:off x="76199" y="0"/>
          <a:ext cx="1310218" cy="1081504"/>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457200</xdr:colOff>
      <xdr:row>1</xdr:row>
      <xdr:rowOff>25717</xdr:rowOff>
    </xdr:from>
    <xdr:to>
      <xdr:col>20</xdr:col>
      <xdr:colOff>148590</xdr:colOff>
      <xdr:row>16</xdr:row>
      <xdr:rowOff>12382</xdr:rowOff>
    </xdr:to>
    <xdr:graphicFrame macro="">
      <xdr:nvGraphicFramePr>
        <xdr:cNvPr id="3" name="Chart 2">
          <a:extLst>
            <a:ext uri="{FF2B5EF4-FFF2-40B4-BE49-F238E27FC236}">
              <a16:creationId xmlns:a16="http://schemas.microsoft.com/office/drawing/2014/main" id="{DFB817F1-1259-5972-8E1F-A62C48A589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2095500</xdr:colOff>
      <xdr:row>113</xdr:row>
      <xdr:rowOff>0</xdr:rowOff>
    </xdr:from>
    <xdr:to>
      <xdr:col>6</xdr:col>
      <xdr:colOff>1019175</xdr:colOff>
      <xdr:row>113</xdr:row>
      <xdr:rowOff>0</xdr:rowOff>
    </xdr:to>
    <xdr:sp macro="" textlink="">
      <xdr:nvSpPr>
        <xdr:cNvPr id="29" name="AutoShape 1">
          <a:extLst>
            <a:ext uri="{FF2B5EF4-FFF2-40B4-BE49-F238E27FC236}">
              <a16:creationId xmlns:a16="http://schemas.microsoft.com/office/drawing/2014/main" id="{F209B2BC-EE34-4536-AA35-858CFC98BF3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0" name="AutoShape 2">
          <a:extLst>
            <a:ext uri="{FF2B5EF4-FFF2-40B4-BE49-F238E27FC236}">
              <a16:creationId xmlns:a16="http://schemas.microsoft.com/office/drawing/2014/main" id="{9B2CEA2E-356A-495B-904A-2862F1E566C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1" name="AutoShape 3">
          <a:extLst>
            <a:ext uri="{FF2B5EF4-FFF2-40B4-BE49-F238E27FC236}">
              <a16:creationId xmlns:a16="http://schemas.microsoft.com/office/drawing/2014/main" id="{3055E874-85D5-45D1-9694-A1D0B67DB5C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2" name="AutoShape 4">
          <a:extLst>
            <a:ext uri="{FF2B5EF4-FFF2-40B4-BE49-F238E27FC236}">
              <a16:creationId xmlns:a16="http://schemas.microsoft.com/office/drawing/2014/main" id="{A17AAF10-F6D1-48EA-B640-50481E43BD68}"/>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3" name="AutoShape 5">
          <a:extLst>
            <a:ext uri="{FF2B5EF4-FFF2-40B4-BE49-F238E27FC236}">
              <a16:creationId xmlns:a16="http://schemas.microsoft.com/office/drawing/2014/main" id="{7AF86372-94CB-487A-889B-A2A6AA15C14F}"/>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4" name="AutoShape 6">
          <a:extLst>
            <a:ext uri="{FF2B5EF4-FFF2-40B4-BE49-F238E27FC236}">
              <a16:creationId xmlns:a16="http://schemas.microsoft.com/office/drawing/2014/main" id="{CC13C4F1-5CCD-4B7E-A8F4-E0AF0DCEA26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5" name="AutoShape 7">
          <a:extLst>
            <a:ext uri="{FF2B5EF4-FFF2-40B4-BE49-F238E27FC236}">
              <a16:creationId xmlns:a16="http://schemas.microsoft.com/office/drawing/2014/main" id="{68F32594-E5B3-4031-917C-34F2FDB1D5ED}"/>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6" name="AutoShape 8">
          <a:extLst>
            <a:ext uri="{FF2B5EF4-FFF2-40B4-BE49-F238E27FC236}">
              <a16:creationId xmlns:a16="http://schemas.microsoft.com/office/drawing/2014/main" id="{1D407F86-9D5E-481D-BFB1-47F883E1144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7" name="AutoShape 9">
          <a:extLst>
            <a:ext uri="{FF2B5EF4-FFF2-40B4-BE49-F238E27FC236}">
              <a16:creationId xmlns:a16="http://schemas.microsoft.com/office/drawing/2014/main" id="{633C1D56-A342-4FCD-BEEA-54E1356DABF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8" name="AutoShape 10">
          <a:extLst>
            <a:ext uri="{FF2B5EF4-FFF2-40B4-BE49-F238E27FC236}">
              <a16:creationId xmlns:a16="http://schemas.microsoft.com/office/drawing/2014/main" id="{E33EAFB3-0262-4AFB-986E-FF719739DEC3}"/>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9" name="AutoShape 11">
          <a:extLst>
            <a:ext uri="{FF2B5EF4-FFF2-40B4-BE49-F238E27FC236}">
              <a16:creationId xmlns:a16="http://schemas.microsoft.com/office/drawing/2014/main" id="{96DC8151-8B3F-4685-8007-1A6130AB0FAB}"/>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0" name="AutoShape 12">
          <a:extLst>
            <a:ext uri="{FF2B5EF4-FFF2-40B4-BE49-F238E27FC236}">
              <a16:creationId xmlns:a16="http://schemas.microsoft.com/office/drawing/2014/main" id="{4453E419-0266-41F9-B346-E1B01222444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1" name="AutoShape 13">
          <a:extLst>
            <a:ext uri="{FF2B5EF4-FFF2-40B4-BE49-F238E27FC236}">
              <a16:creationId xmlns:a16="http://schemas.microsoft.com/office/drawing/2014/main" id="{DBC118B3-7991-43E2-A0B7-1E0C232CB181}"/>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2" name="AutoShape 14">
          <a:extLst>
            <a:ext uri="{FF2B5EF4-FFF2-40B4-BE49-F238E27FC236}">
              <a16:creationId xmlns:a16="http://schemas.microsoft.com/office/drawing/2014/main" id="{B5CE4671-669A-48E7-8F5F-D5CD2E2725A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3" name="AutoShape 15">
          <a:extLst>
            <a:ext uri="{FF2B5EF4-FFF2-40B4-BE49-F238E27FC236}">
              <a16:creationId xmlns:a16="http://schemas.microsoft.com/office/drawing/2014/main" id="{AD5FA784-C28C-42C5-9225-EEAF54F75070}"/>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4" name="AutoShape 16">
          <a:extLst>
            <a:ext uri="{FF2B5EF4-FFF2-40B4-BE49-F238E27FC236}">
              <a16:creationId xmlns:a16="http://schemas.microsoft.com/office/drawing/2014/main" id="{44F9ED3F-95FC-498F-84FD-EA7350860DCB}"/>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5" name="AutoShape 17">
          <a:extLst>
            <a:ext uri="{FF2B5EF4-FFF2-40B4-BE49-F238E27FC236}">
              <a16:creationId xmlns:a16="http://schemas.microsoft.com/office/drawing/2014/main" id="{6B0CB64A-43C1-4565-B2A2-27A3927A2592}"/>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6" name="AutoShape 18">
          <a:extLst>
            <a:ext uri="{FF2B5EF4-FFF2-40B4-BE49-F238E27FC236}">
              <a16:creationId xmlns:a16="http://schemas.microsoft.com/office/drawing/2014/main" id="{A6911427-A374-49FF-A3CD-6F2EC6DFFDE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7" name="AutoShape 19">
          <a:extLst>
            <a:ext uri="{FF2B5EF4-FFF2-40B4-BE49-F238E27FC236}">
              <a16:creationId xmlns:a16="http://schemas.microsoft.com/office/drawing/2014/main" id="{21263598-CB04-4128-AE78-0B802863CDB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8" name="AutoShape 20">
          <a:extLst>
            <a:ext uri="{FF2B5EF4-FFF2-40B4-BE49-F238E27FC236}">
              <a16:creationId xmlns:a16="http://schemas.microsoft.com/office/drawing/2014/main" id="{313C5754-AB68-4511-91AC-A1D531F15F6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9" name="AutoShape 21">
          <a:extLst>
            <a:ext uri="{FF2B5EF4-FFF2-40B4-BE49-F238E27FC236}">
              <a16:creationId xmlns:a16="http://schemas.microsoft.com/office/drawing/2014/main" id="{662BF947-AF0A-4F7F-BEFA-9986F77267AD}"/>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0" name="AutoShape 22">
          <a:extLst>
            <a:ext uri="{FF2B5EF4-FFF2-40B4-BE49-F238E27FC236}">
              <a16:creationId xmlns:a16="http://schemas.microsoft.com/office/drawing/2014/main" id="{2036308F-5097-4713-8457-49F1123D322F}"/>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1" name="AutoShape 23">
          <a:extLst>
            <a:ext uri="{FF2B5EF4-FFF2-40B4-BE49-F238E27FC236}">
              <a16:creationId xmlns:a16="http://schemas.microsoft.com/office/drawing/2014/main" id="{404E2F62-10E4-4583-BA71-189D3E3BE25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2" name="AutoShape 24">
          <a:extLst>
            <a:ext uri="{FF2B5EF4-FFF2-40B4-BE49-F238E27FC236}">
              <a16:creationId xmlns:a16="http://schemas.microsoft.com/office/drawing/2014/main" id="{528D952C-AC79-48F9-B958-213B6FBDDA7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3" name="AutoShape 25">
          <a:extLst>
            <a:ext uri="{FF2B5EF4-FFF2-40B4-BE49-F238E27FC236}">
              <a16:creationId xmlns:a16="http://schemas.microsoft.com/office/drawing/2014/main" id="{0F1E8626-76A4-4D71-8C9F-7EA9BB370220}"/>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4" name="AutoShape 26">
          <a:extLst>
            <a:ext uri="{FF2B5EF4-FFF2-40B4-BE49-F238E27FC236}">
              <a16:creationId xmlns:a16="http://schemas.microsoft.com/office/drawing/2014/main" id="{96993FDD-5B41-4346-A265-5FEE8E69CC7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5" name="AutoShape 27">
          <a:extLst>
            <a:ext uri="{FF2B5EF4-FFF2-40B4-BE49-F238E27FC236}">
              <a16:creationId xmlns:a16="http://schemas.microsoft.com/office/drawing/2014/main" id="{71675328-4530-498C-801A-A025AA388FF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56" name="AutoShape 1">
          <a:extLst>
            <a:ext uri="{FF2B5EF4-FFF2-40B4-BE49-F238E27FC236}">
              <a16:creationId xmlns:a16="http://schemas.microsoft.com/office/drawing/2014/main" id="{7A558DA2-D32D-49EB-B1D0-7683D6EA5E6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57" name="AutoShape 2">
          <a:extLst>
            <a:ext uri="{FF2B5EF4-FFF2-40B4-BE49-F238E27FC236}">
              <a16:creationId xmlns:a16="http://schemas.microsoft.com/office/drawing/2014/main" id="{2336F300-ACAE-4CD9-8ADF-C19ECB15A95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58" name="AutoShape 3">
          <a:extLst>
            <a:ext uri="{FF2B5EF4-FFF2-40B4-BE49-F238E27FC236}">
              <a16:creationId xmlns:a16="http://schemas.microsoft.com/office/drawing/2014/main" id="{6BC73557-92F3-465C-BA4A-630D2322739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59" name="AutoShape 4">
          <a:extLst>
            <a:ext uri="{FF2B5EF4-FFF2-40B4-BE49-F238E27FC236}">
              <a16:creationId xmlns:a16="http://schemas.microsoft.com/office/drawing/2014/main" id="{EB2BD4A4-7CD9-491B-98CB-675D481B006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0" name="AutoShape 5">
          <a:extLst>
            <a:ext uri="{FF2B5EF4-FFF2-40B4-BE49-F238E27FC236}">
              <a16:creationId xmlns:a16="http://schemas.microsoft.com/office/drawing/2014/main" id="{FD097701-9702-4A20-BAA5-55F71D8358E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1" name="AutoShape 6">
          <a:extLst>
            <a:ext uri="{FF2B5EF4-FFF2-40B4-BE49-F238E27FC236}">
              <a16:creationId xmlns:a16="http://schemas.microsoft.com/office/drawing/2014/main" id="{83F2FD15-1A63-4062-97F5-AA35370AC44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2" name="AutoShape 7">
          <a:extLst>
            <a:ext uri="{FF2B5EF4-FFF2-40B4-BE49-F238E27FC236}">
              <a16:creationId xmlns:a16="http://schemas.microsoft.com/office/drawing/2014/main" id="{8CE68A59-D81C-43A3-9412-BB8BDFA18540}"/>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3" name="AutoShape 8">
          <a:extLst>
            <a:ext uri="{FF2B5EF4-FFF2-40B4-BE49-F238E27FC236}">
              <a16:creationId xmlns:a16="http://schemas.microsoft.com/office/drawing/2014/main" id="{042E93AA-6C42-4917-B0A9-00879050D956}"/>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4" name="AutoShape 9">
          <a:extLst>
            <a:ext uri="{FF2B5EF4-FFF2-40B4-BE49-F238E27FC236}">
              <a16:creationId xmlns:a16="http://schemas.microsoft.com/office/drawing/2014/main" id="{F9C38345-DF97-4F4F-A14C-6382F5E7E81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5" name="AutoShape 10">
          <a:extLst>
            <a:ext uri="{FF2B5EF4-FFF2-40B4-BE49-F238E27FC236}">
              <a16:creationId xmlns:a16="http://schemas.microsoft.com/office/drawing/2014/main" id="{44EF66AE-92B6-4EC4-8157-CD005E83B40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6" name="AutoShape 11">
          <a:extLst>
            <a:ext uri="{FF2B5EF4-FFF2-40B4-BE49-F238E27FC236}">
              <a16:creationId xmlns:a16="http://schemas.microsoft.com/office/drawing/2014/main" id="{0A1B359F-16B3-4C3F-9C2C-FF9C74E90D8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7" name="AutoShape 12">
          <a:extLst>
            <a:ext uri="{FF2B5EF4-FFF2-40B4-BE49-F238E27FC236}">
              <a16:creationId xmlns:a16="http://schemas.microsoft.com/office/drawing/2014/main" id="{ABFC717F-2816-4059-A9AC-8260EA0867B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8" name="AutoShape 13">
          <a:extLst>
            <a:ext uri="{FF2B5EF4-FFF2-40B4-BE49-F238E27FC236}">
              <a16:creationId xmlns:a16="http://schemas.microsoft.com/office/drawing/2014/main" id="{995F4207-DAE5-42CF-B543-24892EE1EDD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9" name="AutoShape 14">
          <a:extLst>
            <a:ext uri="{FF2B5EF4-FFF2-40B4-BE49-F238E27FC236}">
              <a16:creationId xmlns:a16="http://schemas.microsoft.com/office/drawing/2014/main" id="{3CE2ABC1-DEF0-4066-853B-1C35E66ED66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0" name="AutoShape 15">
          <a:extLst>
            <a:ext uri="{FF2B5EF4-FFF2-40B4-BE49-F238E27FC236}">
              <a16:creationId xmlns:a16="http://schemas.microsoft.com/office/drawing/2014/main" id="{1764B312-F650-40DD-8F5B-37D0FB5BEF4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1" name="AutoShape 16">
          <a:extLst>
            <a:ext uri="{FF2B5EF4-FFF2-40B4-BE49-F238E27FC236}">
              <a16:creationId xmlns:a16="http://schemas.microsoft.com/office/drawing/2014/main" id="{6FD631DD-2577-49E3-B7F4-93D7C5727BF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2" name="AutoShape 17">
          <a:extLst>
            <a:ext uri="{FF2B5EF4-FFF2-40B4-BE49-F238E27FC236}">
              <a16:creationId xmlns:a16="http://schemas.microsoft.com/office/drawing/2014/main" id="{91128094-6846-4E20-829A-03D97575C46E}"/>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3" name="AutoShape 18">
          <a:extLst>
            <a:ext uri="{FF2B5EF4-FFF2-40B4-BE49-F238E27FC236}">
              <a16:creationId xmlns:a16="http://schemas.microsoft.com/office/drawing/2014/main" id="{BB3B8695-7CB2-4BF3-9DB1-EA98D82EAE70}"/>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4" name="AutoShape 19">
          <a:extLst>
            <a:ext uri="{FF2B5EF4-FFF2-40B4-BE49-F238E27FC236}">
              <a16:creationId xmlns:a16="http://schemas.microsoft.com/office/drawing/2014/main" id="{0DD69B0A-972E-4FBD-BEFA-F6212645ADA8}"/>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5" name="AutoShape 20">
          <a:extLst>
            <a:ext uri="{FF2B5EF4-FFF2-40B4-BE49-F238E27FC236}">
              <a16:creationId xmlns:a16="http://schemas.microsoft.com/office/drawing/2014/main" id="{42F2D631-314F-40FC-9CAC-8C74D8C6AE1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6" name="AutoShape 21">
          <a:extLst>
            <a:ext uri="{FF2B5EF4-FFF2-40B4-BE49-F238E27FC236}">
              <a16:creationId xmlns:a16="http://schemas.microsoft.com/office/drawing/2014/main" id="{B029837C-A21C-428F-8C1F-F576909FD91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7" name="AutoShape 22">
          <a:extLst>
            <a:ext uri="{FF2B5EF4-FFF2-40B4-BE49-F238E27FC236}">
              <a16:creationId xmlns:a16="http://schemas.microsoft.com/office/drawing/2014/main" id="{AA95ACC7-21A1-4D56-8ECC-98805D8C93DA}"/>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8" name="AutoShape 23">
          <a:extLst>
            <a:ext uri="{FF2B5EF4-FFF2-40B4-BE49-F238E27FC236}">
              <a16:creationId xmlns:a16="http://schemas.microsoft.com/office/drawing/2014/main" id="{1F95F598-BD6A-48E3-966B-D8213AC6CE6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9" name="AutoShape 24">
          <a:extLst>
            <a:ext uri="{FF2B5EF4-FFF2-40B4-BE49-F238E27FC236}">
              <a16:creationId xmlns:a16="http://schemas.microsoft.com/office/drawing/2014/main" id="{ADFFDF8A-7BA9-480D-B87A-B9EEC4FE763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0" name="AutoShape 25">
          <a:extLst>
            <a:ext uri="{FF2B5EF4-FFF2-40B4-BE49-F238E27FC236}">
              <a16:creationId xmlns:a16="http://schemas.microsoft.com/office/drawing/2014/main" id="{98499032-6A57-4386-A781-452CD31EC7A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1" name="AutoShape 26">
          <a:extLst>
            <a:ext uri="{FF2B5EF4-FFF2-40B4-BE49-F238E27FC236}">
              <a16:creationId xmlns:a16="http://schemas.microsoft.com/office/drawing/2014/main" id="{D9DB8A3B-A97E-4EAD-AF30-C4295BB3E08B}"/>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2" name="AutoShape 27">
          <a:extLst>
            <a:ext uri="{FF2B5EF4-FFF2-40B4-BE49-F238E27FC236}">
              <a16:creationId xmlns:a16="http://schemas.microsoft.com/office/drawing/2014/main" id="{0335D914-763B-4D00-B83D-5FE99943416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 name="AutoShape 1">
          <a:extLst>
            <a:ext uri="{FF2B5EF4-FFF2-40B4-BE49-F238E27FC236}">
              <a16:creationId xmlns:a16="http://schemas.microsoft.com/office/drawing/2014/main" id="{12115730-4D22-449B-A30C-C5A8E933CCA9}"/>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 name="AutoShape 2">
          <a:extLst>
            <a:ext uri="{FF2B5EF4-FFF2-40B4-BE49-F238E27FC236}">
              <a16:creationId xmlns:a16="http://schemas.microsoft.com/office/drawing/2014/main" id="{172CD84F-BE86-4A0D-8786-F4BED095C67B}"/>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 name="AutoShape 3">
          <a:extLst>
            <a:ext uri="{FF2B5EF4-FFF2-40B4-BE49-F238E27FC236}">
              <a16:creationId xmlns:a16="http://schemas.microsoft.com/office/drawing/2014/main" id="{8AFEF6D8-7AE8-4820-B493-B6203C8D6439}"/>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 name="AutoShape 4">
          <a:extLst>
            <a:ext uri="{FF2B5EF4-FFF2-40B4-BE49-F238E27FC236}">
              <a16:creationId xmlns:a16="http://schemas.microsoft.com/office/drawing/2014/main" id="{03A13AD6-6674-4808-A111-13EAE5A13F5B}"/>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6" name="AutoShape 5">
          <a:extLst>
            <a:ext uri="{FF2B5EF4-FFF2-40B4-BE49-F238E27FC236}">
              <a16:creationId xmlns:a16="http://schemas.microsoft.com/office/drawing/2014/main" id="{2552C384-5FC9-468A-8AF8-D27AA60BD37F}"/>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7" name="AutoShape 6">
          <a:extLst>
            <a:ext uri="{FF2B5EF4-FFF2-40B4-BE49-F238E27FC236}">
              <a16:creationId xmlns:a16="http://schemas.microsoft.com/office/drawing/2014/main" id="{65C534ED-5A20-4591-8C17-281820AA3C99}"/>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8" name="AutoShape 7">
          <a:extLst>
            <a:ext uri="{FF2B5EF4-FFF2-40B4-BE49-F238E27FC236}">
              <a16:creationId xmlns:a16="http://schemas.microsoft.com/office/drawing/2014/main" id="{0E1D2B3A-AC71-4B5D-A5AC-A1D62581E858}"/>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9" name="AutoShape 8">
          <a:extLst>
            <a:ext uri="{FF2B5EF4-FFF2-40B4-BE49-F238E27FC236}">
              <a16:creationId xmlns:a16="http://schemas.microsoft.com/office/drawing/2014/main" id="{FA82185A-AC7C-4897-8878-F1E0B481E11B}"/>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0" name="AutoShape 9">
          <a:extLst>
            <a:ext uri="{FF2B5EF4-FFF2-40B4-BE49-F238E27FC236}">
              <a16:creationId xmlns:a16="http://schemas.microsoft.com/office/drawing/2014/main" id="{40BD2066-5F01-4D47-9A99-9B062C833412}"/>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1" name="AutoShape 10">
          <a:extLst>
            <a:ext uri="{FF2B5EF4-FFF2-40B4-BE49-F238E27FC236}">
              <a16:creationId xmlns:a16="http://schemas.microsoft.com/office/drawing/2014/main" id="{9E47E6A8-3C64-491C-A3CB-698C3698C86D}"/>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2" name="AutoShape 11">
          <a:extLst>
            <a:ext uri="{FF2B5EF4-FFF2-40B4-BE49-F238E27FC236}">
              <a16:creationId xmlns:a16="http://schemas.microsoft.com/office/drawing/2014/main" id="{BA57E416-52D6-4974-AB02-B429182A12C4}"/>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3" name="AutoShape 12">
          <a:extLst>
            <a:ext uri="{FF2B5EF4-FFF2-40B4-BE49-F238E27FC236}">
              <a16:creationId xmlns:a16="http://schemas.microsoft.com/office/drawing/2014/main" id="{7584B982-72DB-49CF-92A3-EFA54DF4C231}"/>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4" name="AutoShape 13">
          <a:extLst>
            <a:ext uri="{FF2B5EF4-FFF2-40B4-BE49-F238E27FC236}">
              <a16:creationId xmlns:a16="http://schemas.microsoft.com/office/drawing/2014/main" id="{B2F4FEC8-9D19-4A1E-87FF-C5B566F893A8}"/>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5" name="AutoShape 14">
          <a:extLst>
            <a:ext uri="{FF2B5EF4-FFF2-40B4-BE49-F238E27FC236}">
              <a16:creationId xmlns:a16="http://schemas.microsoft.com/office/drawing/2014/main" id="{767A10AC-7FCA-447E-9B0C-882F7B8AA0A9}"/>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6" name="AutoShape 15">
          <a:extLst>
            <a:ext uri="{FF2B5EF4-FFF2-40B4-BE49-F238E27FC236}">
              <a16:creationId xmlns:a16="http://schemas.microsoft.com/office/drawing/2014/main" id="{C826C0F4-564D-46F7-A53F-E2FE889B90DD}"/>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7" name="AutoShape 16">
          <a:extLst>
            <a:ext uri="{FF2B5EF4-FFF2-40B4-BE49-F238E27FC236}">
              <a16:creationId xmlns:a16="http://schemas.microsoft.com/office/drawing/2014/main" id="{EEE6DAAF-F000-44C4-B427-0686E1983B25}"/>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8" name="AutoShape 17">
          <a:extLst>
            <a:ext uri="{FF2B5EF4-FFF2-40B4-BE49-F238E27FC236}">
              <a16:creationId xmlns:a16="http://schemas.microsoft.com/office/drawing/2014/main" id="{23FEA7D5-EFC3-4879-95AC-008D89EC15EC}"/>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9" name="AutoShape 18">
          <a:extLst>
            <a:ext uri="{FF2B5EF4-FFF2-40B4-BE49-F238E27FC236}">
              <a16:creationId xmlns:a16="http://schemas.microsoft.com/office/drawing/2014/main" id="{F478D25E-A48B-40A8-B59C-5F534966C1FA}"/>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0" name="AutoShape 19">
          <a:extLst>
            <a:ext uri="{FF2B5EF4-FFF2-40B4-BE49-F238E27FC236}">
              <a16:creationId xmlns:a16="http://schemas.microsoft.com/office/drawing/2014/main" id="{0C252C6C-5DB2-4F7B-BE8A-D7E86BDE1BE0}"/>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1" name="AutoShape 20">
          <a:extLst>
            <a:ext uri="{FF2B5EF4-FFF2-40B4-BE49-F238E27FC236}">
              <a16:creationId xmlns:a16="http://schemas.microsoft.com/office/drawing/2014/main" id="{7B04B054-C44D-4500-9303-B187021D7975}"/>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2" name="AutoShape 21">
          <a:extLst>
            <a:ext uri="{FF2B5EF4-FFF2-40B4-BE49-F238E27FC236}">
              <a16:creationId xmlns:a16="http://schemas.microsoft.com/office/drawing/2014/main" id="{92E54CAA-9F89-4DD3-832A-AB0B423712DD}"/>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3" name="AutoShape 22">
          <a:extLst>
            <a:ext uri="{FF2B5EF4-FFF2-40B4-BE49-F238E27FC236}">
              <a16:creationId xmlns:a16="http://schemas.microsoft.com/office/drawing/2014/main" id="{F9CB1ADD-A099-472B-8A9A-9C3AAA658C5D}"/>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4" name="AutoShape 23">
          <a:extLst>
            <a:ext uri="{FF2B5EF4-FFF2-40B4-BE49-F238E27FC236}">
              <a16:creationId xmlns:a16="http://schemas.microsoft.com/office/drawing/2014/main" id="{6AFA59F8-F99E-4095-9B87-762CE77A8311}"/>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5" name="AutoShape 24">
          <a:extLst>
            <a:ext uri="{FF2B5EF4-FFF2-40B4-BE49-F238E27FC236}">
              <a16:creationId xmlns:a16="http://schemas.microsoft.com/office/drawing/2014/main" id="{825704A8-D559-40A1-82C5-63BB3F1FFE7C}"/>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6" name="AutoShape 25">
          <a:extLst>
            <a:ext uri="{FF2B5EF4-FFF2-40B4-BE49-F238E27FC236}">
              <a16:creationId xmlns:a16="http://schemas.microsoft.com/office/drawing/2014/main" id="{0C55406C-B7BA-4D37-9D36-84D81F4A0924}"/>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7" name="AutoShape 26">
          <a:extLst>
            <a:ext uri="{FF2B5EF4-FFF2-40B4-BE49-F238E27FC236}">
              <a16:creationId xmlns:a16="http://schemas.microsoft.com/office/drawing/2014/main" id="{269F956C-8CD3-4550-9672-361F4E3D44EF}"/>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8" name="AutoShape 27">
          <a:extLst>
            <a:ext uri="{FF2B5EF4-FFF2-40B4-BE49-F238E27FC236}">
              <a16:creationId xmlns:a16="http://schemas.microsoft.com/office/drawing/2014/main" id="{8ECD556B-5B48-4DC7-83EF-FF71D68ED8F1}"/>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3" name="AutoShape 1">
          <a:extLst>
            <a:ext uri="{FF2B5EF4-FFF2-40B4-BE49-F238E27FC236}">
              <a16:creationId xmlns:a16="http://schemas.microsoft.com/office/drawing/2014/main" id="{A418B788-ADB3-4DF0-9EFD-B2184F753F6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4" name="AutoShape 2">
          <a:extLst>
            <a:ext uri="{FF2B5EF4-FFF2-40B4-BE49-F238E27FC236}">
              <a16:creationId xmlns:a16="http://schemas.microsoft.com/office/drawing/2014/main" id="{ACC1146B-9714-4CF5-99FD-50E2DE685393}"/>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5" name="AutoShape 3">
          <a:extLst>
            <a:ext uri="{FF2B5EF4-FFF2-40B4-BE49-F238E27FC236}">
              <a16:creationId xmlns:a16="http://schemas.microsoft.com/office/drawing/2014/main" id="{5A158C74-E157-4EC1-B062-90E5EAC0A82C}"/>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6" name="AutoShape 4">
          <a:extLst>
            <a:ext uri="{FF2B5EF4-FFF2-40B4-BE49-F238E27FC236}">
              <a16:creationId xmlns:a16="http://schemas.microsoft.com/office/drawing/2014/main" id="{D2358A6E-3307-4E4C-B945-28A7C71ABB7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7" name="AutoShape 5">
          <a:extLst>
            <a:ext uri="{FF2B5EF4-FFF2-40B4-BE49-F238E27FC236}">
              <a16:creationId xmlns:a16="http://schemas.microsoft.com/office/drawing/2014/main" id="{74D14E21-314E-4051-BD49-33E26E5DCE0A}"/>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8" name="AutoShape 6">
          <a:extLst>
            <a:ext uri="{FF2B5EF4-FFF2-40B4-BE49-F238E27FC236}">
              <a16:creationId xmlns:a16="http://schemas.microsoft.com/office/drawing/2014/main" id="{C50CCEFF-4025-4250-AB91-74EBFFD1E32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9" name="AutoShape 7">
          <a:extLst>
            <a:ext uri="{FF2B5EF4-FFF2-40B4-BE49-F238E27FC236}">
              <a16:creationId xmlns:a16="http://schemas.microsoft.com/office/drawing/2014/main" id="{F5849B22-74E5-4013-A111-862AAF1FDE11}"/>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0" name="AutoShape 8">
          <a:extLst>
            <a:ext uri="{FF2B5EF4-FFF2-40B4-BE49-F238E27FC236}">
              <a16:creationId xmlns:a16="http://schemas.microsoft.com/office/drawing/2014/main" id="{98827699-7E74-4805-8627-AC342E4CD56F}"/>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1" name="AutoShape 9">
          <a:extLst>
            <a:ext uri="{FF2B5EF4-FFF2-40B4-BE49-F238E27FC236}">
              <a16:creationId xmlns:a16="http://schemas.microsoft.com/office/drawing/2014/main" id="{CE5EA52A-54D6-49DB-8B7B-58F52B93645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2" name="AutoShape 10">
          <a:extLst>
            <a:ext uri="{FF2B5EF4-FFF2-40B4-BE49-F238E27FC236}">
              <a16:creationId xmlns:a16="http://schemas.microsoft.com/office/drawing/2014/main" id="{934F2EFA-E8ED-4224-9C96-EF5E283E3FF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3" name="AutoShape 11">
          <a:extLst>
            <a:ext uri="{FF2B5EF4-FFF2-40B4-BE49-F238E27FC236}">
              <a16:creationId xmlns:a16="http://schemas.microsoft.com/office/drawing/2014/main" id="{99BBF0E2-37EC-4179-A907-56AE79AF097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4" name="AutoShape 12">
          <a:extLst>
            <a:ext uri="{FF2B5EF4-FFF2-40B4-BE49-F238E27FC236}">
              <a16:creationId xmlns:a16="http://schemas.microsoft.com/office/drawing/2014/main" id="{3A137725-6692-410B-8CE6-9622627AE01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5" name="AutoShape 13">
          <a:extLst>
            <a:ext uri="{FF2B5EF4-FFF2-40B4-BE49-F238E27FC236}">
              <a16:creationId xmlns:a16="http://schemas.microsoft.com/office/drawing/2014/main" id="{121EEFA0-5B84-470C-9B58-530058D0533B}"/>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6" name="AutoShape 14">
          <a:extLst>
            <a:ext uri="{FF2B5EF4-FFF2-40B4-BE49-F238E27FC236}">
              <a16:creationId xmlns:a16="http://schemas.microsoft.com/office/drawing/2014/main" id="{44B578BD-7FE5-411A-873C-543C572605D6}"/>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7" name="AutoShape 15">
          <a:extLst>
            <a:ext uri="{FF2B5EF4-FFF2-40B4-BE49-F238E27FC236}">
              <a16:creationId xmlns:a16="http://schemas.microsoft.com/office/drawing/2014/main" id="{9207AEB1-8CEE-4402-B545-9888AF181A34}"/>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8" name="AutoShape 16">
          <a:extLst>
            <a:ext uri="{FF2B5EF4-FFF2-40B4-BE49-F238E27FC236}">
              <a16:creationId xmlns:a16="http://schemas.microsoft.com/office/drawing/2014/main" id="{7BCB75D2-105B-4E14-BA3D-C67990870F8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9" name="AutoShape 17">
          <a:extLst>
            <a:ext uri="{FF2B5EF4-FFF2-40B4-BE49-F238E27FC236}">
              <a16:creationId xmlns:a16="http://schemas.microsoft.com/office/drawing/2014/main" id="{94137FE6-00CB-4472-B86D-69ACBA769BA6}"/>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0" name="AutoShape 18">
          <a:extLst>
            <a:ext uri="{FF2B5EF4-FFF2-40B4-BE49-F238E27FC236}">
              <a16:creationId xmlns:a16="http://schemas.microsoft.com/office/drawing/2014/main" id="{6C08D4C9-AFE4-4829-AC71-EE81FFAF1DE7}"/>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1" name="AutoShape 19">
          <a:extLst>
            <a:ext uri="{FF2B5EF4-FFF2-40B4-BE49-F238E27FC236}">
              <a16:creationId xmlns:a16="http://schemas.microsoft.com/office/drawing/2014/main" id="{B2450168-4E82-4555-A631-9EC2D41681E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2" name="AutoShape 20">
          <a:extLst>
            <a:ext uri="{FF2B5EF4-FFF2-40B4-BE49-F238E27FC236}">
              <a16:creationId xmlns:a16="http://schemas.microsoft.com/office/drawing/2014/main" id="{1F63D806-9A5C-4342-90A6-A25BA995B9EB}"/>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3" name="AutoShape 21">
          <a:extLst>
            <a:ext uri="{FF2B5EF4-FFF2-40B4-BE49-F238E27FC236}">
              <a16:creationId xmlns:a16="http://schemas.microsoft.com/office/drawing/2014/main" id="{CF7D5F05-CDA1-43D3-88BD-87F5A7B955A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4" name="AutoShape 22">
          <a:extLst>
            <a:ext uri="{FF2B5EF4-FFF2-40B4-BE49-F238E27FC236}">
              <a16:creationId xmlns:a16="http://schemas.microsoft.com/office/drawing/2014/main" id="{B8A713DA-A337-4552-A664-D5CD76A6DD41}"/>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5" name="AutoShape 23">
          <a:extLst>
            <a:ext uri="{FF2B5EF4-FFF2-40B4-BE49-F238E27FC236}">
              <a16:creationId xmlns:a16="http://schemas.microsoft.com/office/drawing/2014/main" id="{E4765E44-B109-4437-8D22-34D5DA9D258E}"/>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6" name="AutoShape 24">
          <a:extLst>
            <a:ext uri="{FF2B5EF4-FFF2-40B4-BE49-F238E27FC236}">
              <a16:creationId xmlns:a16="http://schemas.microsoft.com/office/drawing/2014/main" id="{1757AF19-00F3-49E8-BA11-D3A98F24B3BE}"/>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7" name="AutoShape 25">
          <a:extLst>
            <a:ext uri="{FF2B5EF4-FFF2-40B4-BE49-F238E27FC236}">
              <a16:creationId xmlns:a16="http://schemas.microsoft.com/office/drawing/2014/main" id="{81A94093-6F97-4480-BB04-91EC87135E0E}"/>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8" name="AutoShape 26">
          <a:extLst>
            <a:ext uri="{FF2B5EF4-FFF2-40B4-BE49-F238E27FC236}">
              <a16:creationId xmlns:a16="http://schemas.microsoft.com/office/drawing/2014/main" id="{E3DC6060-7A49-421C-BCF0-0D50BBB3F766}"/>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9" name="AutoShape 27">
          <a:extLst>
            <a:ext uri="{FF2B5EF4-FFF2-40B4-BE49-F238E27FC236}">
              <a16:creationId xmlns:a16="http://schemas.microsoft.com/office/drawing/2014/main" id="{701AC1F1-F937-4C27-BAB9-1ACAA987573B}"/>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149088</xdr:colOff>
      <xdr:row>118</xdr:row>
      <xdr:rowOff>16565</xdr:rowOff>
    </xdr:from>
    <xdr:to>
      <xdr:col>14</xdr:col>
      <xdr:colOff>447262</xdr:colOff>
      <xdr:row>135</xdr:row>
      <xdr:rowOff>107673</xdr:rowOff>
    </xdr:to>
    <xdr:sp macro="" textlink="">
      <xdr:nvSpPr>
        <xdr:cNvPr id="2" name="Right Brace 1">
          <a:extLst>
            <a:ext uri="{FF2B5EF4-FFF2-40B4-BE49-F238E27FC236}">
              <a16:creationId xmlns:a16="http://schemas.microsoft.com/office/drawing/2014/main" id="{43E7B397-4A4C-4B62-AF52-7A09E7F3674A}"/>
            </a:ext>
          </a:extLst>
        </xdr:cNvPr>
        <xdr:cNvSpPr/>
      </xdr:nvSpPr>
      <xdr:spPr>
        <a:xfrm>
          <a:off x="8921613" y="26269950"/>
          <a:ext cx="298174" cy="0"/>
        </a:xfrm>
        <a:prstGeom prst="rightBrace">
          <a:avLst>
            <a:gd name="adj1" fmla="val 41666"/>
            <a:gd name="adj2" fmla="val 3176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149088</xdr:colOff>
      <xdr:row>77</xdr:row>
      <xdr:rowOff>16565</xdr:rowOff>
    </xdr:from>
    <xdr:to>
      <xdr:col>14</xdr:col>
      <xdr:colOff>447262</xdr:colOff>
      <xdr:row>94</xdr:row>
      <xdr:rowOff>107673</xdr:rowOff>
    </xdr:to>
    <xdr:sp macro="" textlink="">
      <xdr:nvSpPr>
        <xdr:cNvPr id="3" name="Right Brace 2">
          <a:extLst>
            <a:ext uri="{FF2B5EF4-FFF2-40B4-BE49-F238E27FC236}">
              <a16:creationId xmlns:a16="http://schemas.microsoft.com/office/drawing/2014/main" id="{D2AB660E-455F-4F95-9D48-97A0CB19665F}"/>
            </a:ext>
          </a:extLst>
        </xdr:cNvPr>
        <xdr:cNvSpPr/>
      </xdr:nvSpPr>
      <xdr:spPr>
        <a:xfrm>
          <a:off x="17998110" y="11794435"/>
          <a:ext cx="298174" cy="2907195"/>
        </a:xfrm>
        <a:prstGeom prst="rightBrace">
          <a:avLst>
            <a:gd name="adj1" fmla="val 41666"/>
            <a:gd name="adj2" fmla="val 3176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5</xdr:row>
      <xdr:rowOff>0</xdr:rowOff>
    </xdr:from>
    <xdr:to>
      <xdr:col>8</xdr:col>
      <xdr:colOff>530718</xdr:colOff>
      <xdr:row>8</xdr:row>
      <xdr:rowOff>338125</xdr:rowOff>
    </xdr:to>
    <xdr:sp macro="" textlink="">
      <xdr:nvSpPr>
        <xdr:cNvPr id="2" name="TextBox 1">
          <a:extLst>
            <a:ext uri="{FF2B5EF4-FFF2-40B4-BE49-F238E27FC236}">
              <a16:creationId xmlns:a16="http://schemas.microsoft.com/office/drawing/2014/main" id="{BBCD67C2-63CC-4D41-8D60-2CDCAA9A7ED2}"/>
            </a:ext>
          </a:extLst>
        </xdr:cNvPr>
        <xdr:cNvSpPr txBox="1"/>
      </xdr:nvSpPr>
      <xdr:spPr>
        <a:xfrm>
          <a:off x="8805333" y="1566333"/>
          <a:ext cx="2721468" cy="1893875"/>
        </a:xfrm>
        <a:prstGeom prst="rect">
          <a:avLst/>
        </a:prstGeom>
        <a:solidFill>
          <a:srgbClr val="FFFF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100">
              <a:solidFill>
                <a:srgbClr val="FF0000"/>
              </a:solidFill>
            </a:rPr>
            <a:t>Hello, To</a:t>
          </a:r>
          <a:r>
            <a:rPr lang="en-US" sz="1100" baseline="0">
              <a:solidFill>
                <a:srgbClr val="FF0000"/>
              </a:solidFill>
            </a:rPr>
            <a:t> the right is the hardcoded text for the index description for Window Attachments.</a:t>
          </a:r>
        </a:p>
        <a:p>
          <a:endParaRPr lang="en-US" sz="1100" baseline="0">
            <a:solidFill>
              <a:srgbClr val="FF0000"/>
            </a:solidFill>
          </a:endParaRPr>
        </a:p>
        <a:p>
          <a:r>
            <a:rPr lang="en-US" sz="1100" baseline="0">
              <a:solidFill>
                <a:srgbClr val="FF0000"/>
              </a:solidFill>
            </a:rPr>
            <a:t>We are trying to use formulas as much as possible. Please review the current Initiative Description in AMMO.  Please reach out to AMMOHelp@ </a:t>
          </a:r>
        </a:p>
        <a:p>
          <a:r>
            <a:rPr lang="en-US" sz="1100" baseline="0">
              <a:solidFill>
                <a:srgbClr val="FF0000"/>
              </a:solidFill>
            </a:rPr>
            <a:t>if you would like to update the initiative description.</a:t>
          </a:r>
          <a:endParaRPr 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vings%20Forecast%202020-2021%20Benton%20PUD_201907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06_MANAGEMENT\CE%20MODELING%20and%20%20AMW%20REPORTING\SAVINGS%20REPORT\AMMO\Analysis%20of%20Data\Table%20for%20Funder%20Reports\Stakeholder%20Savings%20Report%20Template%202016V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cost/References/RTFStandardInformationWorkbook_v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MMO_NEE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emp%20Presentation/Reports/NEEA%20Savings%20Report%20websit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rocost/NEEA%20ProCost%20Tools/Admin%20Cost%20Too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06_MANAGEMENT\CE%20MODELING%20and%20%20AMW%20REPORTING\AMMO%20Master%20ACE%20Model\Model_Com_Stds.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neeanet.neea.org/departments/mp/Funder%20Report%20Templates/Washington%20IOUs/Report%20Templates/WA%20IOUs%20Savings%20Report%202022-2023%20Targets.xlsx" TargetMode="External"/><Relationship Id="rId1" Type="http://schemas.openxmlformats.org/officeDocument/2006/relationships/externalLinkPath" Target="WA%20IOUs%20Savings%20Report%202022-2023%20Targe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_SummaryCondense"/>
      <sheetName val="Copyright Notice"/>
      <sheetName val="Selection"/>
      <sheetName val="Cover Page"/>
      <sheetName val="Peak and Carbon"/>
      <sheetName val="Outline"/>
      <sheetName val="Overview"/>
      <sheetName val="Outline NWPCC"/>
      <sheetName val="Overview NWPCC"/>
      <sheetName val="NEEA Tracked Summary"/>
      <sheetName val="Report_Year"/>
      <sheetName val="WA IOUs"/>
      <sheetName val="Total Market"/>
      <sheetName val="Council Request"/>
      <sheetName val="Report_ProgramByYear"/>
      <sheetName val="Table View"/>
      <sheetName val="Report_Summary"/>
      <sheetName val="Report_Program"/>
      <sheetName val="Manufactured_Homes"/>
      <sheetName val="Definitions"/>
      <sheetName val="Savings Data Sources"/>
      <sheetName val="CE Data Sources"/>
      <sheetName val="DHP"/>
      <sheetName val="HPWH"/>
      <sheetName val="Res_Lighting"/>
      <sheetName val="Res_NewConst"/>
      <sheetName val="Computers"/>
      <sheetName val="Frige_freezer"/>
      <sheetName val="Clothes_Washers"/>
      <sheetName val="Room_AC"/>
      <sheetName val="Sheet2"/>
      <sheetName val="Total Market Analysis TBD"/>
      <sheetName val="Total Market Analysis"/>
      <sheetName val="Programs"/>
      <sheetName val="Historical Updates"/>
      <sheetName val="CE Assumptions"/>
      <sheetName val="to do list"/>
      <sheetName val="HomeAudio"/>
      <sheetName val="Air_Cleaners"/>
      <sheetName val="Clothes_Dryers"/>
      <sheetName val="BOCE"/>
      <sheetName val="Commissioning"/>
      <sheetName val="CRE_EBR"/>
      <sheetName val="Com_NewConst"/>
      <sheetName val="LLLC"/>
      <sheetName val="NonRes_Stds"/>
      <sheetName val="RWLR"/>
      <sheetName val="CRES"/>
      <sheetName val="Drive_Power"/>
      <sheetName val="Report_Regional Change"/>
      <sheetName val="Res_Lighting1"/>
      <sheetName val="Com_Code"/>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A2" t="str">
            <v>Regional</v>
          </cell>
          <cell r="B2" t="str">
            <v>Regional</v>
          </cell>
          <cell r="C2" t="str">
            <v>Northwest Power and Conservation Council</v>
          </cell>
          <cell r="D2">
            <v>2016</v>
          </cell>
          <cell r="E2" t="str">
            <v>Funder Share</v>
          </cell>
          <cell r="F2">
            <v>2015</v>
          </cell>
          <cell r="G2" t="str">
            <v>2015 Annual Report</v>
          </cell>
        </row>
        <row r="3">
          <cell r="A3" t="str">
            <v>Avista Utilities</v>
          </cell>
          <cell r="B3" t="str">
            <v>Montana</v>
          </cell>
          <cell r="C3" t="str">
            <v>Other</v>
          </cell>
          <cell r="D3">
            <v>2017</v>
          </cell>
          <cell r="E3" t="str">
            <v>Regional</v>
          </cell>
          <cell r="F3">
            <v>2016</v>
          </cell>
          <cell r="G3" t="str">
            <v>2016 Annual Report</v>
          </cell>
        </row>
        <row r="4">
          <cell r="A4" t="str">
            <v>Bonneville Power Administration</v>
          </cell>
          <cell r="B4" t="str">
            <v>Oregon</v>
          </cell>
          <cell r="C4" t="str">
            <v>Public Utilities</v>
          </cell>
          <cell r="D4">
            <v>2018</v>
          </cell>
          <cell r="F4">
            <v>2017</v>
          </cell>
          <cell r="G4" t="str">
            <v>2017 Annual Report</v>
          </cell>
        </row>
        <row r="5">
          <cell r="A5" t="str">
            <v>Bonneville Power Administration Plus Publics</v>
          </cell>
          <cell r="B5" t="str">
            <v>Idaho</v>
          </cell>
          <cell r="C5" t="str">
            <v>Washington Investor Owned</v>
          </cell>
          <cell r="D5">
            <v>2019</v>
          </cell>
          <cell r="F5">
            <v>2018</v>
          </cell>
          <cell r="G5" t="str">
            <v>2016 Q4 Forecast</v>
          </cell>
        </row>
        <row r="6">
          <cell r="A6" t="str">
            <v>Chelan County PUD</v>
          </cell>
          <cell r="B6" t="str">
            <v>Washington</v>
          </cell>
          <cell r="C6"/>
          <cell r="D6" t="str">
            <v>2016-2017</v>
          </cell>
          <cell r="F6">
            <v>2019</v>
          </cell>
          <cell r="G6" t="str">
            <v>2016 Q4 Forecast Funder Adjusted</v>
          </cell>
        </row>
        <row r="7">
          <cell r="A7" t="str">
            <v>Clark Public Utilities</v>
          </cell>
          <cell r="C7"/>
          <cell r="D7" t="str">
            <v>2018-2019</v>
          </cell>
          <cell r="F7">
            <v>2020</v>
          </cell>
          <cell r="G7" t="str">
            <v>2016 Q4 Update</v>
          </cell>
        </row>
        <row r="8">
          <cell r="A8" t="str">
            <v>Cowlitz County PUD</v>
          </cell>
          <cell r="C8"/>
          <cell r="D8" t="str">
            <v>2016-2021</v>
          </cell>
          <cell r="F8">
            <v>2021</v>
          </cell>
          <cell r="G8" t="str">
            <v>2017 Q1 Update</v>
          </cell>
        </row>
        <row r="9">
          <cell r="A9" t="str">
            <v>Douglas County PUD</v>
          </cell>
          <cell r="G9" t="str">
            <v>Draft 2018-2019 Targets</v>
          </cell>
        </row>
        <row r="10">
          <cell r="A10" t="str">
            <v>Energy Trust of Oregon</v>
          </cell>
          <cell r="G10" t="str">
            <v>Targets 2016 and 2017</v>
          </cell>
        </row>
        <row r="11">
          <cell r="A11" t="str">
            <v>Eugene Water &amp; Electric Board</v>
          </cell>
          <cell r="G11" t="str">
            <v>WA IOU 2016-2017 Targets</v>
          </cell>
        </row>
        <row r="12">
          <cell r="A12" t="str">
            <v>Grant County PUD</v>
          </cell>
          <cell r="G12" t="str">
            <v>2017 Q4 Update</v>
          </cell>
        </row>
        <row r="13">
          <cell r="A13" t="str">
            <v>Idaho Power Company</v>
          </cell>
          <cell r="G13" t="str">
            <v>2018 Q1 Update</v>
          </cell>
        </row>
        <row r="14">
          <cell r="A14" t="str">
            <v>NorthWestern Energy</v>
          </cell>
          <cell r="G14" t="str">
            <v>2018 Q4 Update</v>
          </cell>
        </row>
        <row r="15">
          <cell r="A15" t="str">
            <v>Pacific Power</v>
          </cell>
        </row>
        <row r="16">
          <cell r="A16" t="str">
            <v>Puget Sound Energy</v>
          </cell>
        </row>
        <row r="17">
          <cell r="A17" t="str">
            <v>Rocky Mountain Power</v>
          </cell>
        </row>
        <row r="18">
          <cell r="A18" t="str">
            <v>Seattle City Light</v>
          </cell>
        </row>
        <row r="19">
          <cell r="A19" t="str">
            <v>Snohomish County PUD</v>
          </cell>
        </row>
        <row r="20">
          <cell r="A20" t="str">
            <v>Tacoma Power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election"/>
      <sheetName val="5. Funder Share Table"/>
      <sheetName val="Language"/>
      <sheetName val="Report Archive"/>
      <sheetName val="Overview"/>
      <sheetName val="1. 2015"/>
      <sheetName val="1. Report Summary BPA"/>
      <sheetName val="1. Report Summary Publics"/>
      <sheetName val="2. Program Savings by Year"/>
      <sheetName val="2a. Report Detail 6thPP"/>
      <sheetName val="2b. Report Detail 7thPP"/>
      <sheetName val="1. Report Summay IOU"/>
      <sheetName val="2. Program Savings by Yr"/>
      <sheetName val="2c. Report Detail NEEA"/>
      <sheetName val="4. Methodolgy"/>
      <sheetName val="Select Allocation Method"/>
      <sheetName val="Custom Baseline Calcs"/>
      <sheetName val="Custom Savings Rate"/>
      <sheetName val="Sheet2"/>
      <sheetName val="1. NW Savings Report"/>
      <sheetName val="Resid Ductless HP"/>
      <sheetName val="ES New Const."/>
      <sheetName val="ES TV's"/>
      <sheetName val="Resid - Multi-family code"/>
      <sheetName val="Next Step Home"/>
      <sheetName val="Resid - Single Family code"/>
      <sheetName val="Retail Products Portfolio"/>
      <sheetName val="Residential Standards"/>
      <sheetName val="Super Efficient Dryers"/>
      <sheetName val="Commissioning"/>
      <sheetName val="Commercial Lighting"/>
      <sheetName val="Commercial Standards"/>
      <sheetName val="Drive Power"/>
      <sheetName val="Commercial Codes"/>
      <sheetName val="Heat Pump Water Heaters"/>
      <sheetName val="BOC"/>
      <sheetName val="Industrial Standards"/>
      <sheetName val="CRES"/>
      <sheetName val="ES Dishwashers"/>
      <sheetName val="80+ &amp; ES 5.0"/>
      <sheetName val="Existing Building Renewal"/>
      <sheetName val="Local Programs AMMO"/>
      <sheetName val="SavingsPP7th"/>
      <sheetName val="3. Savings by Initiative"/>
      <sheetName val="SavingsPP"/>
      <sheetName val="1. NEEA Savings Summary"/>
      <sheetName val="7. Archive"/>
      <sheetName val="Savings Rate Table"/>
      <sheetName val="Initiative"/>
      <sheetName val="Savings"/>
      <sheetName val="Local Programs Table"/>
      <sheetName val="AMMO Output"/>
      <sheetName val="Sheet4"/>
      <sheetName val="Tables and Fields"/>
      <sheetName val="ES Refrig"/>
      <sheetName val="ES Windows"/>
      <sheetName val="Verdiem"/>
      <sheetName val="Better Bricks"/>
      <sheetName val="Evap Fan VFD"/>
      <sheetName val="MagnaDrive"/>
      <sheetName val="IEA"/>
      <sheetName val="AM 400 Data Logger"/>
      <sheetName val="1. Commission Report ST"/>
      <sheetName val="Allocation Method"/>
      <sheetName val="Service Territory Share"/>
      <sheetName val="Check"/>
      <sheetName val="Savings AMMO Calc"/>
      <sheetName val="Market"/>
      <sheetName val="Flags "/>
      <sheetName val="Funder Share"/>
      <sheetName val="Funder Share fix"/>
      <sheetName val="Sheet1"/>
      <sheetName val="Funder Share Commission Report"/>
      <sheetName val="Commission Report"/>
      <sheetName val="Key Assumptions"/>
      <sheetName val="lists"/>
      <sheetName val="Sheet5"/>
      <sheetName val="Allocation Correction Tool"/>
      <sheetName val="State Shares"/>
    </sheetNames>
    <sheetDataSet>
      <sheetData sheetId="0">
        <row r="2">
          <cell r="B2" t="str">
            <v>Pacific Power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4">
          <cell r="F4" t="str">
            <v>Funding Cycle</v>
          </cell>
        </row>
      </sheetData>
      <sheetData sheetId="43"/>
      <sheetData sheetId="44"/>
      <sheetData sheetId="45"/>
      <sheetData sheetId="46"/>
      <sheetData sheetId="47">
        <row r="4">
          <cell r="E4" t="str">
            <v>Savings Rate 7th Power Plan</v>
          </cell>
        </row>
      </sheetData>
      <sheetData sheetId="48">
        <row r="1">
          <cell r="A1" t="str">
            <v>Is Current</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4">
          <cell r="F4" t="str">
            <v>IsStandard</v>
          </cell>
        </row>
      </sheetData>
      <sheetData sheetId="69">
        <row r="5">
          <cell r="I5" t="str">
            <v>C1&amp;C2</v>
          </cell>
        </row>
      </sheetData>
      <sheetData sheetId="70"/>
      <sheetData sheetId="71"/>
      <sheetData sheetId="72"/>
      <sheetData sheetId="73"/>
      <sheetData sheetId="74">
        <row r="5">
          <cell r="G5" t="str">
            <v>Source</v>
          </cell>
        </row>
      </sheetData>
      <sheetData sheetId="75">
        <row r="5">
          <cell r="C5" t="str">
            <v>Avista Utilities</v>
          </cell>
          <cell r="E5" t="str">
            <v>OR</v>
          </cell>
          <cell r="M5" t="str">
            <v>2016 Q4 Forecast</v>
          </cell>
        </row>
        <row r="6">
          <cell r="C6" t="str">
            <v>Bonneville Power Administration</v>
          </cell>
          <cell r="E6" t="str">
            <v>WA</v>
          </cell>
          <cell r="I6">
            <v>2010</v>
          </cell>
          <cell r="K6" t="str">
            <v>Yes</v>
          </cell>
          <cell r="L6" t="str">
            <v>TRUE</v>
          </cell>
          <cell r="M6" t="str">
            <v>2016 Q4 Update</v>
          </cell>
        </row>
        <row r="7">
          <cell r="C7" t="str">
            <v>Chelan County PUD</v>
          </cell>
          <cell r="E7" t="str">
            <v>ID</v>
          </cell>
          <cell r="I7">
            <v>2011</v>
          </cell>
          <cell r="K7" t="str">
            <v>No</v>
          </cell>
          <cell r="L7" t="str">
            <v>FALSE</v>
          </cell>
          <cell r="M7" t="str">
            <v>2014-2015 Targets</v>
          </cell>
        </row>
        <row r="8">
          <cell r="C8" t="str">
            <v>Clark Public Utilities</v>
          </cell>
          <cell r="E8" t="str">
            <v>MT</v>
          </cell>
          <cell r="I8">
            <v>2012</v>
          </cell>
        </row>
        <row r="9">
          <cell r="C9" t="str">
            <v>Cowlitz County PUD</v>
          </cell>
          <cell r="E9" t="str">
            <v>Regional</v>
          </cell>
          <cell r="I9">
            <v>2013</v>
          </cell>
        </row>
        <row r="10">
          <cell r="C10" t="str">
            <v>Douglas County PUD</v>
          </cell>
          <cell r="E10"/>
          <cell r="I10">
            <v>2014</v>
          </cell>
        </row>
        <row r="11">
          <cell r="C11" t="str">
            <v>Energy Trust of Oregon</v>
          </cell>
          <cell r="I11">
            <v>2015</v>
          </cell>
        </row>
        <row r="12">
          <cell r="C12" t="str">
            <v>Eugene Water &amp; Electric Board</v>
          </cell>
          <cell r="I12">
            <v>2016</v>
          </cell>
        </row>
        <row r="13">
          <cell r="C13" t="str">
            <v>Grant County PUD</v>
          </cell>
          <cell r="I13">
            <v>2017</v>
          </cell>
        </row>
        <row r="14">
          <cell r="C14" t="str">
            <v>Idaho Power Company</v>
          </cell>
          <cell r="I14">
            <v>2018</v>
          </cell>
        </row>
        <row r="15">
          <cell r="C15" t="str">
            <v>NorthWestern Energy</v>
          </cell>
          <cell r="I15">
            <v>2019</v>
          </cell>
        </row>
        <row r="16">
          <cell r="C16" t="str">
            <v>Other</v>
          </cell>
          <cell r="I16">
            <v>2020</v>
          </cell>
        </row>
        <row r="17">
          <cell r="C17" t="str">
            <v>Pacific Power</v>
          </cell>
        </row>
        <row r="18">
          <cell r="C18" t="str">
            <v>Puget Sound Energy</v>
          </cell>
        </row>
        <row r="19">
          <cell r="C19" t="str">
            <v>Rocky Mountain Power</v>
          </cell>
        </row>
        <row r="20">
          <cell r="C20" t="str">
            <v>Seattle City Light</v>
          </cell>
        </row>
        <row r="21">
          <cell r="C21" t="str">
            <v>Snohomish County PUD</v>
          </cell>
        </row>
        <row r="22">
          <cell r="C22" t="str">
            <v>Tacoma Power</v>
          </cell>
        </row>
        <row r="23">
          <cell r="C23" t="str">
            <v>Regional</v>
          </cell>
        </row>
        <row r="24">
          <cell r="C24" t="str">
            <v>Bonneville Power Administration Plus Publics</v>
          </cell>
        </row>
      </sheetData>
      <sheetData sheetId="76"/>
      <sheetData sheetId="77"/>
      <sheetData sheetId="7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Version Log"/>
      <sheetName val="GDP Deflator"/>
      <sheetName val="Labor"/>
      <sheetName val="Equipment Mark-ups"/>
      <sheetName val="Equipment Rental Costs"/>
      <sheetName val="Water and Wastewater"/>
      <sheetName val="Water Energy"/>
      <sheetName val="Detergent"/>
      <sheetName val="Wood Fuel Credit"/>
      <sheetName val="Residential Lighting"/>
      <sheetName val="SF Insulation"/>
      <sheetName val="MF Insulation"/>
      <sheetName val="SF Window "/>
      <sheetName val="MF Window"/>
      <sheetName val="Air Source HP"/>
      <sheetName val="PTCS Duct Sealing"/>
      <sheetName val="PTCS HPC"/>
      <sheetName val="HP Water Heater"/>
      <sheetName val="Tank Water Heater"/>
      <sheetName val="Weighting Factors"/>
      <sheetName val="Com HVAC Interaction Factors"/>
      <sheetName val="Res HVAC Interaction Factors"/>
      <sheetName val="EER Values"/>
      <sheetName val="Water Heater Recovery Eff."/>
      <sheetName val="Lifetime Reference Tabl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Program Tracking Data</v>
          </cell>
        </row>
        <row r="3">
          <cell r="A3" t="str">
            <v>In-Store Retail</v>
          </cell>
        </row>
        <row r="4">
          <cell r="A4" t="str">
            <v>Contractor and Project Invoices</v>
          </cell>
        </row>
        <row r="5">
          <cell r="A5" t="str">
            <v>Contractor Price Sheets</v>
          </cell>
        </row>
        <row r="6">
          <cell r="A6" t="str">
            <v>Online Retail</v>
          </cell>
        </row>
        <row r="7">
          <cell r="A7" t="str">
            <v>DOE / Other Standard Setting Process</v>
          </cell>
        </row>
        <row r="8">
          <cell r="A8" t="str">
            <v>Contractor Interview</v>
          </cell>
        </row>
        <row r="9">
          <cell r="A9" t="str">
            <v>Distributor Interview</v>
          </cell>
        </row>
        <row r="10">
          <cell r="A10" t="str">
            <v>Market Actor Interviews</v>
          </cell>
        </row>
        <row r="11">
          <cell r="A11" t="str">
            <v>Maintenance Staff Interviews</v>
          </cell>
        </row>
        <row r="12">
          <cell r="A12" t="str">
            <v>Professional Judgment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Check 1"/>
      <sheetName val="Check"/>
      <sheetName val="NEEA"/>
      <sheetName val="Market Adoption"/>
      <sheetName val="Market Size"/>
      <sheetName val="Flags"/>
      <sheetName val="Stakeholders"/>
      <sheetName val="Sheet5"/>
      <sheetName val="Sheet2"/>
      <sheetName val="NEEA_Units"/>
      <sheetName val="Measures"/>
      <sheetName val="Sheet7"/>
      <sheetName val="NEEA_FundingCyle"/>
      <sheetName val="Allocation Shares"/>
      <sheetName val="ReportArchive"/>
      <sheetName val="Local Programs"/>
      <sheetName val="Allocation Selection"/>
      <sheetName val="NME"/>
      <sheetName val="Sheet1"/>
      <sheetName val="Measure"/>
      <sheetName val="temp"/>
    </sheetNames>
    <sheetDataSet>
      <sheetData sheetId="0" refreshError="1">
        <row r="2">
          <cell r="B2" t="str">
            <v>03 {Ag}</v>
          </cell>
          <cell r="C2" t="str">
            <v>171 {7th PP Baseline Adjustment}</v>
          </cell>
          <cell r="D2" t="str">
            <v>169 {7th PP Baseline Adjustment}</v>
          </cell>
          <cell r="E2" t="str">
            <v>1 {Idaho}</v>
          </cell>
        </row>
        <row r="3">
          <cell r="B3" t="str">
            <v>04 {AM400 Data Logger}</v>
          </cell>
          <cell r="C3" t="str">
            <v>41 {Ag Data Logger}</v>
          </cell>
          <cell r="D3" t="str">
            <v>38 {80 PLUS}</v>
          </cell>
          <cell r="E3" t="str">
            <v>2 {Montana}</v>
          </cell>
        </row>
        <row r="4">
          <cell r="B4" t="str">
            <v>05 {BacGen Waste Water Optimization Service}</v>
          </cell>
          <cell r="C4" t="str">
            <v>76 {Ag Irrigation}</v>
          </cell>
          <cell r="D4" t="str">
            <v>110 {All Product Classes}</v>
          </cell>
          <cell r="E4" t="str">
            <v>3 {Oregon}</v>
          </cell>
        </row>
        <row r="5">
          <cell r="B5" t="str">
            <v>06 {Building Operations (Non-target Markets)}</v>
          </cell>
          <cell r="C5" t="str">
            <v>123 {Air Cleaner}</v>
          </cell>
          <cell r="D5" t="str">
            <v>36 {AM 400}</v>
          </cell>
          <cell r="E5" t="str">
            <v>5 {Regional}</v>
          </cell>
        </row>
        <row r="6">
          <cell r="B6" t="str">
            <v>07 {Building Operator Certification}</v>
          </cell>
          <cell r="C6" t="str">
            <v>79 {ASiMi }</v>
          </cell>
          <cell r="D6" t="str">
            <v>40 {Below Fed Stnd (IMEF 0.88-1.02)}</v>
          </cell>
          <cell r="E6" t="str">
            <v>4 {Washington}</v>
          </cell>
        </row>
        <row r="7">
          <cell r="B7" t="str">
            <v>08 {Building Operator Certification Expansion}</v>
          </cell>
          <cell r="C7" t="str">
            <v>78 {ASiMI And Silicon}</v>
          </cell>
          <cell r="D7" t="str">
            <v>41 {Below Fed Stnd (IMEF 1.03-1.31)}</v>
          </cell>
        </row>
        <row r="8">
          <cell r="B8" t="str">
            <v>41 {Certified Refrigeration Energy Specialist (CRES)}</v>
          </cell>
          <cell r="C8" t="str">
            <v>52 {BacGen}</v>
          </cell>
          <cell r="D8" t="str">
            <v>177 {Below Min Efficiency Level for Program}</v>
          </cell>
        </row>
        <row r="9">
          <cell r="B9" t="str">
            <v>09 {Clothes Washers}</v>
          </cell>
          <cell r="C9" t="str">
            <v>6 {Battery Chargers}</v>
          </cell>
          <cell r="D9" t="str">
            <v>127 {CEE Tier 1}</v>
          </cell>
        </row>
        <row r="10">
          <cell r="B10" t="str">
            <v>58 {Commercial Code Enhancement}</v>
          </cell>
          <cell r="C10" t="str">
            <v>53 {BOC}</v>
          </cell>
          <cell r="D10" t="str">
            <v>128 {CEE Tier 2}</v>
          </cell>
        </row>
        <row r="11">
          <cell r="B11" t="str">
            <v>10 {Commercial Lighting Solutions}</v>
          </cell>
          <cell r="C11" t="str">
            <v>54 {BOC_Expansion}</v>
          </cell>
          <cell r="D11" t="str">
            <v>129 {CEE Tier 3}</v>
          </cell>
        </row>
        <row r="12">
          <cell r="B12" t="str">
            <v>12 {Commercial Real Estate}</v>
          </cell>
          <cell r="C12" t="str">
            <v>55 {Building Operations}</v>
          </cell>
          <cell r="D12" t="str">
            <v>174 {Change above the 7th Power Plan Baseline}</v>
          </cell>
        </row>
        <row r="13">
          <cell r="B13" t="str">
            <v>57 {Commercial Window Attachments}</v>
          </cell>
          <cell r="C13" t="str">
            <v>146 {BuiltGreen WA}</v>
          </cell>
          <cell r="D13" t="str">
            <v>164 {Delete}</v>
          </cell>
        </row>
        <row r="14">
          <cell r="B14" t="str">
            <v>13 {Commissioning Buildings}</v>
          </cell>
          <cell r="C14" t="str">
            <v>161 {BuiltGreen WA Multifamily}</v>
          </cell>
          <cell r="D14" t="str">
            <v>62 {Energy Factor 52}</v>
          </cell>
        </row>
        <row r="15">
          <cell r="B15" t="str">
            <v>14 {Desktop PCs}</v>
          </cell>
          <cell r="C15" t="str">
            <v>12 {CFL General Purpose}</v>
          </cell>
          <cell r="D15" t="str">
            <v>63 {Energy Factor 58}</v>
          </cell>
        </row>
        <row r="16">
          <cell r="B16" t="str">
            <v>15 {Desktop Power Supplies}</v>
          </cell>
          <cell r="C16" t="str">
            <v>36 {CFL Specialty}</v>
          </cell>
          <cell r="D16" t="str">
            <v>64 {Energy Factor 65}</v>
          </cell>
        </row>
        <row r="17">
          <cell r="B17" t="str">
            <v>16 {Dishwashers}</v>
          </cell>
          <cell r="C17" t="str">
            <v>159 {Chest Freezers}</v>
          </cell>
          <cell r="D17" t="str">
            <v>65 {Energy Factor 68}</v>
          </cell>
        </row>
        <row r="18">
          <cell r="B18" t="str">
            <v>17 {Distribution Efficiency}</v>
          </cell>
          <cell r="C18" t="str">
            <v>9 {Clothes Dryers}</v>
          </cell>
          <cell r="D18" t="str">
            <v>70 {Energy Star}</v>
          </cell>
        </row>
        <row r="19">
          <cell r="B19" t="str">
            <v>18 {Drive Power}</v>
          </cell>
          <cell r="C19" t="str">
            <v>57 {Clothes Washers}</v>
          </cell>
          <cell r="D19" t="str">
            <v>126 {Energy Star (IMEF 2.06-2.37)}</v>
          </cell>
        </row>
        <row r="20">
          <cell r="B20" t="str">
            <v>19 {Ductless Heat Pumps}</v>
          </cell>
          <cell r="C20" t="str">
            <v>172 {Clothes Washers Front Loading}</v>
          </cell>
          <cell r="D20" t="str">
            <v>135 {ENERGY STAR +&gt;20%}</v>
          </cell>
        </row>
        <row r="21">
          <cell r="B21" t="str">
            <v>56 {Dummy Model}</v>
          </cell>
          <cell r="C21" t="str">
            <v>173 {Clothes Washers Top Loading}</v>
          </cell>
          <cell r="D21" t="str">
            <v>133 {ENERGY STAR +10%}</v>
          </cell>
        </row>
        <row r="22">
          <cell r="B22" t="str">
            <v>20 {Efficient Homes}</v>
          </cell>
          <cell r="C22" t="str">
            <v>56 {Commercial Desktops}</v>
          </cell>
          <cell r="D22" t="str">
            <v>166 {ENERGY STAR +10-15% above Standard (CEE Tier 1)}</v>
          </cell>
        </row>
        <row r="23">
          <cell r="B23" t="str">
            <v>21 {Existing Building Renewal}</v>
          </cell>
          <cell r="C23" t="str">
            <v>65 {Commercial Lighting}</v>
          </cell>
          <cell r="D23" t="str">
            <v>112 {ENERGY STAR +15%}</v>
          </cell>
        </row>
        <row r="24">
          <cell r="B24" t="str">
            <v>22 {Food Processors}</v>
          </cell>
          <cell r="C24" t="str">
            <v>153 {Commercial Package Air Conditioners and Heat Pumps}</v>
          </cell>
          <cell r="D24" t="str">
            <v>167 {ENERGY STAR +15-20% above Standard (CEE Tier 2; 2016 and 2017 ENERGY STAR Most Efficient)}</v>
          </cell>
        </row>
        <row r="25">
          <cell r="B25" t="str">
            <v>23 {Grocery}</v>
          </cell>
          <cell r="C25" t="str">
            <v>118 {Commercial Refrigeration Equipment}</v>
          </cell>
          <cell r="D25" t="str">
            <v>134 {ENERGY STAR +20%}</v>
          </cell>
        </row>
        <row r="26">
          <cell r="B26" t="str">
            <v>24 {Healthcare}</v>
          </cell>
          <cell r="C26" t="str">
            <v>160 {Commercial SEM}</v>
          </cell>
          <cell r="D26" t="str">
            <v>168 {ENERGY STAR +20% or better above Standard (CEE Tier 3)}</v>
          </cell>
        </row>
        <row r="27">
          <cell r="B27" t="str">
            <v>25 {Heat Pump Water Heaters}</v>
          </cell>
          <cell r="C27" t="str">
            <v>162 {Compact Freezers}</v>
          </cell>
          <cell r="D27" t="str">
            <v>111 {ENERGY STAR +30%}</v>
          </cell>
        </row>
        <row r="28">
          <cell r="B28" t="str">
            <v>26 {Irrigation}</v>
          </cell>
          <cell r="C28" t="str">
            <v>85 {CRE SEM}</v>
          </cell>
          <cell r="D28" t="str">
            <v>149 {ENERGY STAR +35%}</v>
          </cell>
        </row>
        <row r="29">
          <cell r="B29" t="str">
            <v>27 {Lighting Fixtures}</v>
          </cell>
          <cell r="C29" t="str">
            <v>86 {CRES Certified Operator}</v>
          </cell>
          <cell r="D29" t="str">
            <v>132 {ENERGY STAR +5%}</v>
          </cell>
        </row>
        <row r="30">
          <cell r="B30" t="str">
            <v>28 {Luminaire Level Lighting Controls}</v>
          </cell>
          <cell r="C30" t="str">
            <v>66 {Cx}</v>
          </cell>
          <cell r="D30" t="str">
            <v>130 {ENERGY STAR +50%}</v>
          </cell>
        </row>
        <row r="31">
          <cell r="B31" t="str">
            <v>29 {MagnaDrive Innovative Industrial Speed Control}</v>
          </cell>
          <cell r="C31" t="str">
            <v>70 {Deep Energy Retrofits}</v>
          </cell>
          <cell r="D31" t="str">
            <v>136 {ENERGY STAR +TBD%}</v>
          </cell>
        </row>
        <row r="32">
          <cell r="B32" t="str">
            <v>59 {Manufactured Homes}</v>
          </cell>
          <cell r="C32" t="str">
            <v>42 {DEI}</v>
          </cell>
          <cell r="D32" t="str">
            <v>82 {ENERGY STAR 2003}</v>
          </cell>
        </row>
        <row r="33">
          <cell r="B33" t="str">
            <v>30 {Microelectronics (Asimi, Silicon Crystal Growing Facilities)}</v>
          </cell>
          <cell r="C33" t="str">
            <v>51 {DHP FAF}</v>
          </cell>
          <cell r="D33" t="str">
            <v>83 {ENERGY STAR 2008}</v>
          </cell>
        </row>
        <row r="34">
          <cell r="B34" t="str">
            <v>31 {New Construction (Commercial)}</v>
          </cell>
          <cell r="C34" t="str">
            <v>120 {DHP MH FAF}</v>
          </cell>
          <cell r="D34" t="str">
            <v>12 {ENERGY STAR 3.0 +30%}</v>
          </cell>
        </row>
        <row r="35">
          <cell r="B35" t="str">
            <v>33 {Other Codes (Commercial)}</v>
          </cell>
          <cell r="C35" t="str">
            <v>50 {DHP Zonal}</v>
          </cell>
          <cell r="D35" t="str">
            <v>13 {ENERGY STAR 4.1}</v>
          </cell>
        </row>
        <row r="36">
          <cell r="B36" t="str">
            <v>34 {Other Codes (Multifamily)}</v>
          </cell>
          <cell r="C36" t="str">
            <v>8 {Dishwashers}</v>
          </cell>
          <cell r="D36" t="str">
            <v>39 {ENERGY STAR 5.0}</v>
          </cell>
        </row>
        <row r="37">
          <cell r="B37" t="str">
            <v>35 {Other Non-Residential Standards}</v>
          </cell>
          <cell r="C37" t="str">
            <v>33 {Efficient Motor Rewinds}</v>
          </cell>
          <cell r="D37" t="str">
            <v>14 {ENERGY STAR 5.3}</v>
          </cell>
        </row>
        <row r="38">
          <cell r="B38" t="str">
            <v>36 {Other Residential Standards}</v>
          </cell>
          <cell r="C38" t="str">
            <v>128 {Electric Motors}</v>
          </cell>
          <cell r="D38" t="str">
            <v>15 {ENERGY STAR 5.3 +20%}</v>
          </cell>
        </row>
        <row r="39">
          <cell r="B39" t="str">
            <v>55 {Other Strategic Energy Management}</v>
          </cell>
          <cell r="C39" t="str">
            <v>166 {Energy Performance Score}</v>
          </cell>
          <cell r="D39" t="str">
            <v>16 {ENERGY STAR 5.3 +35%}</v>
          </cell>
        </row>
        <row r="40">
          <cell r="B40" t="str">
            <v>37 {Pneu-Logic (Sav-Air)}</v>
          </cell>
          <cell r="C40" t="str">
            <v>127 {External Power Supplies}</v>
          </cell>
          <cell r="D40" t="str">
            <v>154 {ENERGY STAR 6.0}</v>
          </cell>
        </row>
        <row r="41">
          <cell r="B41" t="str">
            <v>38 {Pulp and Paper}</v>
          </cell>
          <cell r="C41" t="str">
            <v>59 {Fed. Std. Vending Machines}</v>
          </cell>
          <cell r="D41" t="str">
            <v>17 {ENERGY STAR 6.2 +20%}</v>
          </cell>
        </row>
        <row r="42">
          <cell r="B42" t="str">
            <v>11 {Reduced Wattage Lamp Replacement}</v>
          </cell>
          <cell r="C42" t="str">
            <v>58 {Fluorescent Lamp Ballasts}</v>
          </cell>
          <cell r="D42" t="str">
            <v>31 {ENERGY STAR 7}</v>
          </cell>
        </row>
        <row r="43">
          <cell r="B43" t="str">
            <v>39 {Refrigerators}</v>
          </cell>
          <cell r="C43" t="str">
            <v>72 {Food Processors SEM}</v>
          </cell>
          <cell r="D43" t="str">
            <v>118 {ENERGY STAR 7+20% (UHD)}</v>
          </cell>
        </row>
        <row r="44">
          <cell r="B44" t="str">
            <v>40 {Residential Lighting}</v>
          </cell>
          <cell r="C44" t="str">
            <v>10 {Freezers}</v>
          </cell>
          <cell r="D44" t="str">
            <v>175 {ENERGY STAR 7+35% (UHD)}</v>
          </cell>
        </row>
        <row r="45">
          <cell r="B45" t="str">
            <v>32 {Residential New Construction/Next Step Homes}</v>
          </cell>
          <cell r="C45" t="str">
            <v>11 {Furnace Fans}</v>
          </cell>
          <cell r="D45" t="str">
            <v>172 {ENERGY STAR Most Efficient}</v>
          </cell>
        </row>
        <row r="46">
          <cell r="B46" t="str">
            <v>42 {Retail Product Portfolio}</v>
          </cell>
          <cell r="C46" t="str">
            <v>47 {Groceries}</v>
          </cell>
          <cell r="D46" t="str">
            <v>173 {ENERGY STAR Most Efficient +5%}</v>
          </cell>
        </row>
        <row r="47">
          <cell r="B47" t="str">
            <v>43 {Small/Medium Industrials}</v>
          </cell>
          <cell r="C47" t="str">
            <v>177 {HD Televisions}</v>
          </cell>
          <cell r="D47" t="str">
            <v>42 {Fed Standard (IMEF 1.32-1.58)}</v>
          </cell>
        </row>
        <row r="48">
          <cell r="B48" t="str">
            <v>44 {Solid State Streetlights with Controls}</v>
          </cell>
          <cell r="C48" t="str">
            <v>73 {Healthcare SEM}</v>
          </cell>
          <cell r="D48" t="str">
            <v>43 {Fed Standard (IMEF 1.59-2.05)}</v>
          </cell>
        </row>
        <row r="49">
          <cell r="B49" t="str">
            <v>46 {Super Good Cents Manufactured Homes}</v>
          </cell>
          <cell r="C49" t="str">
            <v>113 {Heat Pump}</v>
          </cell>
          <cell r="D49" t="str">
            <v>98 {Final Next Step Homes Code}</v>
          </cell>
        </row>
        <row r="50">
          <cell r="B50" t="str">
            <v>45 {Super-Efficient Dryers}</v>
          </cell>
          <cell r="C50" t="str">
            <v>148 {HERS and National ENERGY STAR Homes ID}</v>
          </cell>
          <cell r="D50" t="str">
            <v>115 {Future Code Cycle}</v>
          </cell>
        </row>
        <row r="51">
          <cell r="B51" t="str">
            <v>47 {Televisions}</v>
          </cell>
          <cell r="C51" t="str">
            <v>149 {HERS and National ENERGY STAR Homes MT}</v>
          </cell>
          <cell r="D51" t="str">
            <v>155 {HUD Code}</v>
          </cell>
        </row>
        <row r="52">
          <cell r="B52" t="str">
            <v>48 {Top Tier Trade Ally}</v>
          </cell>
          <cell r="C52" t="str">
            <v>150 {HERS and National ENERGY STAR Homes OR}</v>
          </cell>
          <cell r="D52" t="str">
            <v>45 {ID 2000 &amp; 2003 IECC}</v>
          </cell>
        </row>
        <row r="53">
          <cell r="B53" t="str">
            <v>49 {Variable Frequency Drives}</v>
          </cell>
          <cell r="C53" t="str">
            <v>151 {HERS and National ENERGY STAR Homes WA}</v>
          </cell>
          <cell r="D53" t="str">
            <v>46 {ID 2006 IECC}</v>
          </cell>
        </row>
        <row r="54">
          <cell r="B54" t="str">
            <v>50 {Verdiem Network Energy Management}</v>
          </cell>
          <cell r="C54" t="str">
            <v>121 {Home Audio}</v>
          </cell>
          <cell r="D54" t="str">
            <v>47 {ID 2009 IECC}</v>
          </cell>
        </row>
        <row r="55">
          <cell r="B55" t="str">
            <v>51 {Windows}</v>
          </cell>
          <cell r="C55" t="str">
            <v>74 {HPWH (&lt;=55 gallons)}</v>
          </cell>
          <cell r="D55" t="str">
            <v>94 {ID 2012 IECC}</v>
          </cell>
        </row>
        <row r="56">
          <cell r="B56"/>
          <cell r="C56" t="str">
            <v>75 {HPWH (&gt;55 gallons)}</v>
          </cell>
          <cell r="D56" t="str">
            <v>108 {ID Code 2018-2021}</v>
          </cell>
        </row>
        <row r="57">
          <cell r="B57"/>
          <cell r="C57" t="str">
            <v>71 {ID Code}</v>
          </cell>
          <cell r="D57" t="str">
            <v>104 {ID Code 2021-2024}</v>
          </cell>
        </row>
        <row r="58">
          <cell r="B58"/>
          <cell r="C58" t="str">
            <v>61 {ID Commercial Codes}</v>
          </cell>
          <cell r="D58" t="str">
            <v>68 {IECC 2003 w MT amend.}</v>
          </cell>
        </row>
        <row r="59">
          <cell r="B59"/>
          <cell r="C59" t="str">
            <v>165 {ID CRE SEM}</v>
          </cell>
          <cell r="D59" t="str">
            <v>66 {IECC 2006}</v>
          </cell>
        </row>
        <row r="60">
          <cell r="B60"/>
          <cell r="C60" t="str">
            <v>96 {ID Homes (ENERGY STAR)}</v>
          </cell>
          <cell r="D60" t="str">
            <v>71 {IECC 2009}</v>
          </cell>
        </row>
        <row r="61">
          <cell r="B61"/>
          <cell r="C61" t="str">
            <v>100 {ID Homes (Next Step)}</v>
          </cell>
          <cell r="D61" t="str">
            <v>73 {IECC 2009 w MT amend.}</v>
          </cell>
        </row>
        <row r="62">
          <cell r="B62"/>
          <cell r="C62" t="str">
            <v>154 {ID Manufactured Home}</v>
          </cell>
          <cell r="D62" t="str">
            <v>99 {IECC 2012 w ID amend.}</v>
          </cell>
        </row>
        <row r="63">
          <cell r="B63"/>
          <cell r="C63" t="str">
            <v>81 {ID Multifamily Code}</v>
          </cell>
          <cell r="D63" t="str">
            <v>100 {IECC 2012 w MT amend.}</v>
          </cell>
        </row>
        <row r="64">
          <cell r="B64"/>
          <cell r="C64" t="str">
            <v>129 {ID Multifamily Homes}</v>
          </cell>
          <cell r="D64" t="str">
            <v>117 {IECC 2015}</v>
          </cell>
        </row>
        <row r="65">
          <cell r="B65"/>
          <cell r="C65" t="str">
            <v>107 {Industrial SEM}</v>
          </cell>
          <cell r="D65" t="str">
            <v>161 {IECC 2018}</v>
          </cell>
        </row>
        <row r="66">
          <cell r="B66"/>
          <cell r="C66" t="str">
            <v>169 {LED General Purpose}</v>
          </cell>
          <cell r="D66" t="str">
            <v>162 {IECC 2021}</v>
          </cell>
        </row>
        <row r="67">
          <cell r="B67"/>
          <cell r="C67" t="str">
            <v>170 {LED Specialty}</v>
          </cell>
          <cell r="D67" t="str">
            <v>80 {Level 1}</v>
          </cell>
        </row>
        <row r="68">
          <cell r="B68"/>
          <cell r="C68" t="str">
            <v>77 {Lighting Controls}</v>
          </cell>
          <cell r="D68" t="str">
            <v>81 {LLC}</v>
          </cell>
        </row>
        <row r="69">
          <cell r="B69"/>
          <cell r="C69" t="str">
            <v>4 {MagnaDrive ASD}</v>
          </cell>
          <cell r="D69" t="str">
            <v>18 {Most Efficient 2013}</v>
          </cell>
        </row>
        <row r="70">
          <cell r="B70"/>
          <cell r="C70" t="str">
            <v>7 {MagnaDrive Couplings}</v>
          </cell>
          <cell r="D70" t="str">
            <v>119 {Most Efficient 2015}</v>
          </cell>
        </row>
        <row r="71">
          <cell r="B71"/>
          <cell r="C71" t="str">
            <v>14 {Motors Federal Standard}</v>
          </cell>
          <cell r="D71" t="str">
            <v>49 {MT 2003 IECC w/ Amend}</v>
          </cell>
        </row>
        <row r="72">
          <cell r="B72"/>
          <cell r="C72" t="str">
            <v>15 {MT Code}</v>
          </cell>
          <cell r="D72" t="str">
            <v>50 {MT 2009 IECC w/ Amend}</v>
          </cell>
        </row>
        <row r="73">
          <cell r="B73"/>
          <cell r="C73" t="str">
            <v>62 {MT Commercial Codes}</v>
          </cell>
          <cell r="D73" t="str">
            <v>95 {MT 2012 IECC}</v>
          </cell>
        </row>
        <row r="74">
          <cell r="B74"/>
          <cell r="C74" t="str">
            <v>95 {MT Homes (ENERGY STAR)}</v>
          </cell>
          <cell r="D74" t="str">
            <v>101 {MT Code 2017-2020}</v>
          </cell>
        </row>
        <row r="75">
          <cell r="B75"/>
          <cell r="C75" t="str">
            <v>99 {MT Homes (Next Step)}</v>
          </cell>
          <cell r="D75" t="str">
            <v>105 {MT Code 2020-2023}</v>
          </cell>
        </row>
        <row r="76">
          <cell r="B76"/>
          <cell r="C76" t="str">
            <v>155 {MT Manufactured Home}</v>
          </cell>
          <cell r="D76" t="str">
            <v>156 {NEEM Tier 1}</v>
          </cell>
        </row>
        <row r="77">
          <cell r="B77"/>
          <cell r="C77" t="str">
            <v>82 {MT Multifamily Code}</v>
          </cell>
          <cell r="D77" t="str">
            <v>157 {NEEM Tier 2}</v>
          </cell>
        </row>
        <row r="78">
          <cell r="B78"/>
          <cell r="C78" t="str">
            <v>130 {MT Multifamily Homes}</v>
          </cell>
          <cell r="D78" t="str">
            <v>75 {Next Code}</v>
          </cell>
        </row>
        <row r="79">
          <cell r="B79"/>
          <cell r="C79" t="str">
            <v>143 {National Green Building Standard ID}</v>
          </cell>
          <cell r="D79" t="str">
            <v>85 {Next Step Home}</v>
          </cell>
        </row>
        <row r="80">
          <cell r="B80"/>
          <cell r="C80" t="str">
            <v>144 {National Green Building Standard MT}</v>
          </cell>
          <cell r="D80" t="str">
            <v>131 {Non Qualifying}</v>
          </cell>
        </row>
        <row r="81">
          <cell r="B81"/>
          <cell r="C81" t="str">
            <v>145 {National Green Building Standard OR}</v>
          </cell>
          <cell r="D81" t="str">
            <v>87 {Not Applicable}</v>
          </cell>
        </row>
        <row r="82">
          <cell r="B82"/>
          <cell r="C82" t="str">
            <v>147 {National Green Building Standard WA}</v>
          </cell>
          <cell r="D82" t="str">
            <v>52 {OR 2004 OSSC}</v>
          </cell>
        </row>
        <row r="83">
          <cell r="B83"/>
          <cell r="C83" t="str">
            <v>69 {NEMA Premium Motors (Non-Standard)}</v>
          </cell>
          <cell r="D83" t="str">
            <v>53 {OR 2007 OSSC}</v>
          </cell>
        </row>
        <row r="84">
          <cell r="B84"/>
          <cell r="C84" t="str">
            <v>67 {New Commercial Construction}</v>
          </cell>
          <cell r="D84" t="str">
            <v>54 {OR 2009 OEESC}</v>
          </cell>
        </row>
        <row r="85">
          <cell r="B85"/>
          <cell r="C85" t="str">
            <v>102 {Northwest}</v>
          </cell>
          <cell r="D85" t="str">
            <v>96 {OR 2014 OEESC}</v>
          </cell>
        </row>
        <row r="86">
          <cell r="B86"/>
          <cell r="C86" t="str">
            <v>17 {OR Code}</v>
          </cell>
          <cell r="D86" t="str">
            <v>102 {OR Code 2017-2020}</v>
          </cell>
        </row>
        <row r="87">
          <cell r="B87"/>
          <cell r="C87" t="str">
            <v>63 {OR Commercial Codes}</v>
          </cell>
          <cell r="D87" t="str">
            <v>106 {OR Code 2020-2023}</v>
          </cell>
        </row>
        <row r="88">
          <cell r="B88"/>
          <cell r="C88" t="str">
            <v>164 {OR CRE SEM}</v>
          </cell>
          <cell r="D88" t="str">
            <v>69 {Or. Res Specialty 2008}</v>
          </cell>
        </row>
        <row r="89">
          <cell r="B89"/>
          <cell r="C89" t="str">
            <v>94 {OR Homes (ENERGY STAR)}</v>
          </cell>
          <cell r="D89" t="str">
            <v>74 {Or. Res Specialty 2011}</v>
          </cell>
        </row>
        <row r="90">
          <cell r="B90"/>
          <cell r="C90" t="str">
            <v>98 {OR Homes (Next Step)}</v>
          </cell>
          <cell r="D90" t="str">
            <v>114 {Or. Specialty Code 2017}</v>
          </cell>
        </row>
        <row r="91">
          <cell r="B91"/>
          <cell r="C91" t="str">
            <v>156 {OR Manufactured Home}</v>
          </cell>
          <cell r="D91" t="str">
            <v>116 {Or. Specialty Code 2020}</v>
          </cell>
        </row>
        <row r="92">
          <cell r="B92"/>
          <cell r="C92" t="str">
            <v>83 {OR Multifamily Code}</v>
          </cell>
          <cell r="D92" t="str">
            <v>163 {Or. Specialty Code 2023}</v>
          </cell>
        </row>
        <row r="93">
          <cell r="B93"/>
          <cell r="C93" t="str">
            <v>131 {OR Multifamily Homes}</v>
          </cell>
          <cell r="D93" t="str">
            <v>61 {Pilot}</v>
          </cell>
        </row>
        <row r="94">
          <cell r="B94"/>
          <cell r="C94" t="str">
            <v>178 {Other General Purpose}</v>
          </cell>
          <cell r="D94" t="str">
            <v>160 {Retail Below ENERGY STAR}</v>
          </cell>
        </row>
        <row r="95">
          <cell r="B95"/>
          <cell r="C95" t="str">
            <v>179 {Other Specialty}</v>
          </cell>
          <cell r="D95" t="str">
            <v>159 {Retail ENERGY STAR}</v>
          </cell>
        </row>
        <row r="96">
          <cell r="B96"/>
          <cell r="C96" t="str">
            <v>124 {Other Standards}</v>
          </cell>
          <cell r="D96" t="str">
            <v>158 {Retail Non ENERGY STAR Freezers}</v>
          </cell>
        </row>
        <row r="97">
          <cell r="B97"/>
          <cell r="C97" t="str">
            <v>92 {Pneu-Logic}</v>
          </cell>
          <cell r="D97" t="str">
            <v>8 {Single Tier}</v>
          </cell>
        </row>
        <row r="98">
          <cell r="B98"/>
          <cell r="C98" t="str">
            <v>110 {Portfolio TBD}</v>
          </cell>
          <cell r="D98" t="str">
            <v>44 {Standard}</v>
          </cell>
        </row>
        <row r="99">
          <cell r="B99"/>
          <cell r="C99" t="str">
            <v>48 {Pulp and Paper Sem}</v>
          </cell>
          <cell r="D99" t="str">
            <v>113 {TBD}</v>
          </cell>
        </row>
        <row r="100">
          <cell r="B100"/>
          <cell r="C100" t="str">
            <v>133 {Pumps}</v>
          </cell>
          <cell r="D100" t="str">
            <v>34 {Tier 1}</v>
          </cell>
        </row>
        <row r="101">
          <cell r="B101"/>
          <cell r="C101" t="str">
            <v>68 {rCx}</v>
          </cell>
          <cell r="D101" t="str">
            <v>79 {Tier 2}</v>
          </cell>
        </row>
        <row r="102">
          <cell r="B102"/>
          <cell r="C102" t="str">
            <v>32 {Refrigerators}</v>
          </cell>
          <cell r="D102" t="str">
            <v>32 {Tier 9}</v>
          </cell>
        </row>
        <row r="103">
          <cell r="B103"/>
          <cell r="C103" t="str">
            <v>176 {Refrigerators- Bottom Freezers}</v>
          </cell>
          <cell r="D103" t="str">
            <v>170 {Total Market}</v>
          </cell>
        </row>
        <row r="104">
          <cell r="B104"/>
          <cell r="C104" t="str">
            <v>174 {Refrigerators- Other}</v>
          </cell>
          <cell r="D104" t="str">
            <v>176 {Total Market Change Less RPP}</v>
          </cell>
        </row>
        <row r="105">
          <cell r="B105"/>
          <cell r="C105" t="str">
            <v>175 {Refrigerators- Side Freezers}</v>
          </cell>
          <cell r="D105" t="str">
            <v>84 {U Factor 0.35}</v>
          </cell>
        </row>
        <row r="106">
          <cell r="B106"/>
          <cell r="C106" t="str">
            <v>105 {Residential Central AC}</v>
          </cell>
          <cell r="D106" t="str">
            <v>120 {UCEF 3.00 to 3.39}</v>
          </cell>
        </row>
        <row r="107">
          <cell r="B107"/>
          <cell r="C107" t="str">
            <v>109 {Residential Dryers}</v>
          </cell>
          <cell r="D107" t="str">
            <v>121 {UCEF 3.40 to 3.99}</v>
          </cell>
        </row>
        <row r="108">
          <cell r="B108"/>
          <cell r="C108" t="str">
            <v>46 {Residential Fixtures}</v>
          </cell>
          <cell r="D108" t="str">
            <v>122 {UCEF 4.00 to 4.99}</v>
          </cell>
        </row>
        <row r="109">
          <cell r="B109"/>
          <cell r="C109" t="str">
            <v>2 {Residential Heat Pumps}</v>
          </cell>
          <cell r="D109" t="str">
            <v>123 {UCEF 5.00 to 5.99}</v>
          </cell>
        </row>
        <row r="110">
          <cell r="B110"/>
          <cell r="C110" t="str">
            <v>111 {Residential Windows (Existing Construction)}</v>
          </cell>
          <cell r="D110" t="str">
            <v>124 {UCEF 6.00 to 6.99}</v>
          </cell>
        </row>
        <row r="111">
          <cell r="B111"/>
          <cell r="C111" t="str">
            <v>91 {Residential Windows (New and Existing Construction)}</v>
          </cell>
          <cell r="D111" t="str">
            <v>125 {UCEF 7.00 to 7.99}</v>
          </cell>
        </row>
        <row r="112">
          <cell r="B112"/>
          <cell r="C112" t="str">
            <v>112 {Residential Windows (New Construction)}</v>
          </cell>
          <cell r="D112" t="str">
            <v>147 {Voluntary New Homes Program}</v>
          </cell>
        </row>
        <row r="113">
          <cell r="B113"/>
          <cell r="C113" t="str">
            <v>122 {Room AC}</v>
          </cell>
          <cell r="D113" t="str">
            <v>146 {Voluntary Program}</v>
          </cell>
        </row>
        <row r="114">
          <cell r="B114"/>
          <cell r="C114" t="str">
            <v>80 {Silicon}</v>
          </cell>
          <cell r="D114" t="str">
            <v>56 {WA 2000 &amp; 2003 WSEC}</v>
          </cell>
        </row>
        <row r="115">
          <cell r="B115"/>
          <cell r="C115" t="str">
            <v>16 {Single Product}</v>
          </cell>
          <cell r="D115" t="str">
            <v>57 {WA 2004 WSEC}</v>
          </cell>
        </row>
        <row r="116">
          <cell r="B116"/>
          <cell r="C116" t="str">
            <v>117 {Small Electric Motors}</v>
          </cell>
          <cell r="D116" t="str">
            <v>58 {WA 2006 WSEC}</v>
          </cell>
        </row>
        <row r="117">
          <cell r="B117"/>
          <cell r="C117" t="str">
            <v>87 {Small Medium Industrial SEM}</v>
          </cell>
          <cell r="D117" t="str">
            <v>59 {WA 2009 WSEC}</v>
          </cell>
        </row>
        <row r="118">
          <cell r="B118"/>
          <cell r="C118" t="str">
            <v>103 {Solid State Street Lights}</v>
          </cell>
          <cell r="D118" t="str">
            <v>97 {WA 2012 WSEC}</v>
          </cell>
        </row>
        <row r="119">
          <cell r="B119"/>
          <cell r="C119" t="str">
            <v>88 {Super Good Cents Manufactured Homes}</v>
          </cell>
          <cell r="D119" t="str">
            <v>103 {WA Code 2016-2019}</v>
          </cell>
        </row>
        <row r="120">
          <cell r="B120"/>
          <cell r="C120" t="str">
            <v>115 {T8 Fluorescent 25W- Commercial}</v>
          </cell>
          <cell r="D120" t="str">
            <v>107 {WA Code 2020-2023}</v>
          </cell>
        </row>
        <row r="121">
          <cell r="B121"/>
          <cell r="C121" t="str">
            <v>168 {T8 Fluorescent 25W- Industrial}</v>
          </cell>
          <cell r="D121" t="str">
            <v>67 {WSEC 2006}</v>
          </cell>
        </row>
        <row r="122">
          <cell r="B122"/>
          <cell r="C122" t="str">
            <v>104 {T8 Fluorescent 28W- Commercial}</v>
          </cell>
          <cell r="D122" t="str">
            <v>72 {WSEC 2009}</v>
          </cell>
        </row>
        <row r="123">
          <cell r="B123"/>
          <cell r="C123" t="str">
            <v>167 {T8 Fluorescent 28W- Industrial}</v>
          </cell>
          <cell r="D123" t="str">
            <v>109 {WSEC 2012}</v>
          </cell>
        </row>
        <row r="124">
          <cell r="B124"/>
          <cell r="C124" t="str">
            <v>89 {Televisions}</v>
          </cell>
          <cell r="D124" t="str">
            <v>76 {WSEC 2015}</v>
          </cell>
        </row>
        <row r="125">
          <cell r="B125"/>
          <cell r="C125" t="str">
            <v>114 {Test}</v>
          </cell>
          <cell r="D125" t="str">
            <v>77 {WSEC 2018}</v>
          </cell>
        </row>
        <row r="126">
          <cell r="B126"/>
          <cell r="C126" t="str">
            <v>152 {UHD Televisions}</v>
          </cell>
          <cell r="D126" t="str">
            <v>165 {WSEC 2021-2023}</v>
          </cell>
        </row>
        <row r="127">
          <cell r="B127"/>
          <cell r="C127" t="str">
            <v>158 {Upright Freezers}</v>
          </cell>
        </row>
        <row r="128">
          <cell r="B128"/>
          <cell r="C128" t="str">
            <v>49 {Verdiem}</v>
          </cell>
        </row>
        <row r="129">
          <cell r="B129"/>
          <cell r="C129" t="str">
            <v>45 {VFD}</v>
          </cell>
        </row>
        <row r="130">
          <cell r="B130"/>
          <cell r="C130" t="str">
            <v>40 {WA Code}</v>
          </cell>
        </row>
        <row r="131">
          <cell r="B131"/>
          <cell r="C131" t="str">
            <v>64 {WA Commercial Codes}</v>
          </cell>
        </row>
        <row r="132">
          <cell r="B132"/>
          <cell r="C132" t="str">
            <v>163 {WA CRE SEM}</v>
          </cell>
        </row>
        <row r="133">
          <cell r="B133"/>
          <cell r="C133" t="str">
            <v>93 {WA Homes (ENERGY STAR)}</v>
          </cell>
        </row>
        <row r="134">
          <cell r="B134"/>
          <cell r="C134" t="str">
            <v>97 {WA Homes (Next Step)}</v>
          </cell>
        </row>
        <row r="135">
          <cell r="B135"/>
          <cell r="C135" t="str">
            <v>157 {WA Manufactured Home}</v>
          </cell>
        </row>
        <row r="136">
          <cell r="B136"/>
          <cell r="C136" t="str">
            <v>84 {WA Multifamily Code}</v>
          </cell>
        </row>
        <row r="137">
          <cell r="B137"/>
          <cell r="C137" t="str">
            <v>132 {WA Multifamily Homes}</v>
          </cell>
        </row>
        <row r="138">
          <cell r="B138"/>
          <cell r="C138" t="str">
            <v>119 {Walk-In Coolers and Freezers}</v>
          </cell>
        </row>
      </sheetData>
      <sheetData sheetId="1" refreshError="1"/>
      <sheetData sheetId="2">
        <row r="1">
          <cell r="S1"/>
        </row>
      </sheetData>
      <sheetData sheetId="3">
        <row r="1">
          <cell r="A1" t="str">
            <v>Snapshot Name</v>
          </cell>
        </row>
      </sheetData>
      <sheetData sheetId="4">
        <row r="1">
          <cell r="A1" t="str">
            <v>Snapshot Name</v>
          </cell>
        </row>
      </sheetData>
      <sheetData sheetId="5">
        <row r="1">
          <cell r="A1" t="str">
            <v>Snapshot Name</v>
          </cell>
        </row>
      </sheetData>
      <sheetData sheetId="6">
        <row r="4">
          <cell r="F4" t="str">
            <v>IsCode</v>
          </cell>
        </row>
      </sheetData>
      <sheetData sheetId="7">
        <row r="3">
          <cell r="I3" t="str">
            <v>Idaho</v>
          </cell>
        </row>
      </sheetData>
      <sheetData sheetId="8" refreshError="1"/>
      <sheetData sheetId="9" refreshError="1"/>
      <sheetData sheetId="10">
        <row r="1">
          <cell r="A1" t="str">
            <v>Is Current</v>
          </cell>
        </row>
      </sheetData>
      <sheetData sheetId="11">
        <row r="1">
          <cell r="A1" t="str">
            <v>Is Current</v>
          </cell>
        </row>
      </sheetData>
      <sheetData sheetId="12" refreshError="1"/>
      <sheetData sheetId="13">
        <row r="1">
          <cell r="A1" t="str">
            <v>Is Current</v>
          </cell>
        </row>
      </sheetData>
      <sheetData sheetId="14">
        <row r="1">
          <cell r="B1" t="str">
            <v>Is Current</v>
          </cell>
        </row>
      </sheetData>
      <sheetData sheetId="15">
        <row r="4">
          <cell r="I4" t="str">
            <v>Reported Savings</v>
          </cell>
        </row>
      </sheetData>
      <sheetData sheetId="16">
        <row r="4">
          <cell r="C4" t="str">
            <v>Measure Index</v>
          </cell>
        </row>
      </sheetData>
      <sheetData sheetId="17">
        <row r="4">
          <cell r="I4" t="str">
            <v>Allocation Methodology</v>
          </cell>
        </row>
      </sheetData>
      <sheetData sheetId="18">
        <row r="1">
          <cell r="A1" t="str">
            <v>Is Current</v>
          </cell>
        </row>
      </sheetData>
      <sheetData sheetId="19" refreshError="1"/>
      <sheetData sheetId="20"/>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ion"/>
      <sheetName val="Cover Page"/>
      <sheetName val="Outline"/>
      <sheetName val="Overview"/>
      <sheetName val="Definitions"/>
      <sheetName val="ETO-2015"/>
      <sheetName val="ETO-2016"/>
      <sheetName val="Report_Summary"/>
      <sheetName val="Idaho Power-2017"/>
      <sheetName val="Idaho Power-2016"/>
      <sheetName val="Idaho Power-2015"/>
      <sheetName val="Savings Data Sources"/>
      <sheetName val="CE Data Sources"/>
      <sheetName val="ETO-2020"/>
      <sheetName val="ETO-2017"/>
      <sheetName val="ETO-2018"/>
      <sheetName val="ETO-2019"/>
      <sheetName val="Example Summary"/>
      <sheetName val="Report_Program"/>
      <sheetName val="Table View"/>
      <sheetName val="DHP"/>
      <sheetName val="HPWH"/>
      <sheetName val="Res_Lighting"/>
      <sheetName val="Res_NewConst"/>
      <sheetName val="Clothes_Washers"/>
      <sheetName val="Frige_freezer"/>
      <sheetName val="Room_AC"/>
      <sheetName val="HomeAudio"/>
      <sheetName val="Televisions"/>
      <sheetName val="Programs"/>
      <sheetName val="Manufactured_Homes"/>
      <sheetName val="Clothes_Dryers"/>
      <sheetName val="BOCE"/>
      <sheetName val="CRE_EBR"/>
      <sheetName val="Commissioning"/>
      <sheetName val="Com_NewConst"/>
      <sheetName val="LLLC"/>
      <sheetName val="RWLR"/>
      <sheetName val="Res_Stds"/>
      <sheetName val="NonRes_Stds"/>
      <sheetName val="CRES"/>
      <sheetName val="Drive_Power"/>
      <sheetName val="Desktop_Power"/>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G1" t="str">
            <v>Allocation</v>
          </cell>
        </row>
        <row r="2">
          <cell r="G2" t="str">
            <v>Service Territory</v>
          </cell>
          <cell r="I2" t="str">
            <v>2017 Q4 Update</v>
          </cell>
        </row>
        <row r="3">
          <cell r="G3" t="str">
            <v>Funder Share</v>
          </cell>
          <cell r="I3" t="str">
            <v>2018 Q1 Update</v>
          </cell>
        </row>
        <row r="4">
          <cell r="I4" t="str">
            <v>2018 Q2 Update</v>
          </cell>
        </row>
        <row r="5">
          <cell r="I5" t="str">
            <v>2017 Annual Report</v>
          </cell>
        </row>
        <row r="6">
          <cell r="I6" t="str">
            <v>2018 Q3 Update</v>
          </cell>
        </row>
        <row r="7">
          <cell r="I7" t="str">
            <v>2018 Q3 Forecast</v>
          </cell>
        </row>
        <row r="8">
          <cell r="I8" t="str">
            <v>2018 Q4 Update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ining First Cost Example"/>
      <sheetName val="Calculator"/>
      <sheetName val="GDP Deflator"/>
      <sheetName val="AMMO Units"/>
      <sheetName val="AMMO"/>
      <sheetName val="Admin Cost"/>
      <sheetName val="First Costs"/>
      <sheetName val="Lookup"/>
    </sheetNames>
    <sheetDataSet>
      <sheetData sheetId="0"/>
      <sheetData sheetId="1"/>
      <sheetData sheetId="2"/>
      <sheetData sheetId="3"/>
      <sheetData sheetId="4"/>
      <sheetData sheetId="5"/>
      <sheetData sheetId="6"/>
      <sheetData sheetId="7">
        <row r="2">
          <cell r="G2">
            <v>2008</v>
          </cell>
          <cell r="H2" t="str">
            <v>AM400 Data Logger</v>
          </cell>
        </row>
        <row r="3">
          <cell r="H3" t="str">
            <v>BacGen Waste Water Optimization Service</v>
          </cell>
        </row>
        <row r="4">
          <cell r="H4" t="str">
            <v>Building Operations (Non-target Markets)</v>
          </cell>
        </row>
        <row r="5">
          <cell r="H5" t="str">
            <v>Building Operator Certification</v>
          </cell>
        </row>
        <row r="6">
          <cell r="H6" t="str">
            <v>Building Operator Certification Expansion</v>
          </cell>
        </row>
        <row r="7">
          <cell r="H7" t="str">
            <v>Certified Refrigeration Energy Specialist (CRES)</v>
          </cell>
        </row>
        <row r="8">
          <cell r="H8" t="str">
            <v>Clothes Washers</v>
          </cell>
        </row>
        <row r="9">
          <cell r="H9" t="str">
            <v>Commercial Code Enhancement</v>
          </cell>
        </row>
        <row r="10">
          <cell r="H10" t="str">
            <v>Commercial Lighting Solutions</v>
          </cell>
        </row>
        <row r="11">
          <cell r="H11" t="str">
            <v>Commercial Real Estate</v>
          </cell>
        </row>
        <row r="12">
          <cell r="H12" t="str">
            <v>Commissioning Buildings</v>
          </cell>
        </row>
        <row r="13">
          <cell r="H13" t="str">
            <v>Desktop Power Supplies</v>
          </cell>
        </row>
        <row r="14">
          <cell r="H14" t="str">
            <v>Dishwashers</v>
          </cell>
        </row>
        <row r="15">
          <cell r="H15" t="str">
            <v>Distribution Efficiency</v>
          </cell>
        </row>
        <row r="16">
          <cell r="H16" t="str">
            <v>Drive Power</v>
          </cell>
        </row>
        <row r="17">
          <cell r="H17" t="str">
            <v>Ductless Heat Pumps</v>
          </cell>
        </row>
        <row r="18">
          <cell r="H18" t="str">
            <v>Efficient Homes</v>
          </cell>
        </row>
        <row r="19">
          <cell r="H19" t="str">
            <v>Existing Building Renewal</v>
          </cell>
        </row>
        <row r="20">
          <cell r="H20" t="str">
            <v>Food Processors</v>
          </cell>
        </row>
        <row r="21">
          <cell r="H21" t="str">
            <v>Grocery</v>
          </cell>
        </row>
        <row r="22">
          <cell r="H22" t="str">
            <v>Healthcare</v>
          </cell>
        </row>
        <row r="23">
          <cell r="H23" t="str">
            <v>Heat Pump Water Heaters</v>
          </cell>
        </row>
        <row r="24">
          <cell r="H24" t="str">
            <v>Irrigation</v>
          </cell>
        </row>
        <row r="25">
          <cell r="H25" t="str">
            <v>Lighting Fixtures</v>
          </cell>
        </row>
        <row r="26">
          <cell r="H26" t="str">
            <v>Luminaire Level Lighting Controls</v>
          </cell>
        </row>
        <row r="27">
          <cell r="H27" t="str">
            <v>MagnaDrive Innovative Industrial Speed Control</v>
          </cell>
        </row>
        <row r="28">
          <cell r="H28" t="str">
            <v>Microelectronics (Asimi, Silicon Crystal Growing Facilities)</v>
          </cell>
        </row>
        <row r="29">
          <cell r="H29" t="str">
            <v>New Construction (Commercial)</v>
          </cell>
        </row>
        <row r="30">
          <cell r="H30" t="str">
            <v>Other Codes (Commercial)</v>
          </cell>
        </row>
        <row r="31">
          <cell r="H31" t="str">
            <v>Other Codes (Multifamily)</v>
          </cell>
        </row>
        <row r="32">
          <cell r="H32" t="str">
            <v>Other Non-Residential Standards</v>
          </cell>
        </row>
        <row r="33">
          <cell r="H33" t="str">
            <v>Other Residential Standards</v>
          </cell>
        </row>
        <row r="34">
          <cell r="H34" t="str">
            <v>Other Strategic Energy Management</v>
          </cell>
        </row>
        <row r="35">
          <cell r="H35" t="str">
            <v>Pneu-Logic (Sav-Air)</v>
          </cell>
        </row>
        <row r="36">
          <cell r="H36" t="str">
            <v>Pulp and Paper</v>
          </cell>
        </row>
        <row r="37">
          <cell r="H37" t="str">
            <v>Reduced Wattage Lamp Replacement</v>
          </cell>
        </row>
        <row r="38">
          <cell r="H38" t="str">
            <v>Refrigerators</v>
          </cell>
        </row>
        <row r="39">
          <cell r="H39" t="str">
            <v>Residential Lighting</v>
          </cell>
        </row>
        <row r="40">
          <cell r="H40" t="str">
            <v>Residential New Construction/Next Step Homes</v>
          </cell>
        </row>
        <row r="41">
          <cell r="H41" t="str">
            <v>Retail Product Portfolio</v>
          </cell>
        </row>
        <row r="42">
          <cell r="H42" t="str">
            <v>Small/Medium Industrials</v>
          </cell>
        </row>
        <row r="43">
          <cell r="H43" t="str">
            <v>Super Good Cents Manufactured Homes</v>
          </cell>
        </row>
        <row r="44">
          <cell r="H44" t="str">
            <v>Super-Efficient Dryers</v>
          </cell>
        </row>
        <row r="45">
          <cell r="H45" t="str">
            <v>Televisions</v>
          </cell>
        </row>
        <row r="46">
          <cell r="H46" t="str">
            <v>Unknown</v>
          </cell>
        </row>
        <row r="47">
          <cell r="H47" t="str">
            <v>Variable Frequency Drives</v>
          </cell>
        </row>
        <row r="48">
          <cell r="H48" t="str">
            <v>Verdiem Network Energy Management</v>
          </cell>
        </row>
        <row r="49">
          <cell r="H49" t="str">
            <v>Windows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right Notice"/>
      <sheetName val="All Products"/>
      <sheetName val="Fluorescent Lamp Ballasts"/>
      <sheetName val="Vending Machines"/>
      <sheetName val="Sm Elec Motors"/>
      <sheetName val="Units"/>
      <sheetName val="Savings Tracker"/>
      <sheetName val="CWs"/>
      <sheetName val="Refs&amp;Frzrs"/>
      <sheetName val="Room AC"/>
      <sheetName val="BC&amp;EPS"/>
      <sheetName val="Wtr Htrs"/>
      <sheetName val="AC&amp;HP"/>
      <sheetName val="Sixth Power Plan"/>
      <sheetName val="Furnace Fans"/>
      <sheetName val="Comml Ref"/>
      <sheetName val="Cost Inputs"/>
      <sheetName val="Microwave Ovens (stdby)"/>
      <sheetName val="Cost Effectiveness Output Table"/>
      <sheetName val="Key Assumptions Table"/>
      <sheetName val="Market Size Table"/>
      <sheetName val="Properties Table"/>
      <sheetName val="Savings Rate Table"/>
      <sheetName val="Units Table"/>
      <sheetName val="Furnaces"/>
    </sheetNames>
    <sheetDataSet>
      <sheetData sheetId="0" refreshError="1"/>
      <sheetData sheetId="1">
        <row r="6">
          <cell r="M6">
            <v>0.4831455031318711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
      <sheetName val="Selection"/>
      <sheetName val="Title"/>
      <sheetName val="Outline"/>
      <sheetName val="2022 Annual Report"/>
      <sheetName val="2022-2023 Summary"/>
      <sheetName val="Total PP Savings"/>
      <sheetName val="Data Sources 20-21"/>
      <sheetName val="Summary-Program Measures Only"/>
      <sheetName val="Summary-Codes and Stds"/>
      <sheetName val="AMMO Measures"/>
      <sheetName val="Methodology"/>
      <sheetName val="Common Qs"/>
      <sheetName val="Overview"/>
      <sheetName val="Programs"/>
      <sheetName val="AMMO Savings Rates"/>
      <sheetName val="AMMO Measure Funding Cycles"/>
      <sheetName val="AMMO Funder Share"/>
      <sheetName val="Targets"/>
      <sheetName val="Funder Share Table"/>
      <sheetName val="C&amp;S List"/>
      <sheetName val="DHP"/>
      <sheetName val="HPWH"/>
      <sheetName val="XMP"/>
      <sheetName val="Manufactured_Homes"/>
      <sheetName val="Frig_Freezers"/>
      <sheetName val="Clothes_Washers"/>
      <sheetName val="Clothes_Dryers"/>
      <sheetName val="Room_AC"/>
      <sheetName val="TVs"/>
      <sheetName val="Homes_Vol"/>
      <sheetName val="Air_Cleaners"/>
      <sheetName val="Soundbars"/>
      <sheetName val="Commercial_Desktops"/>
      <sheetName val="High Performance HVAC"/>
      <sheetName val="Com_Lighting"/>
      <sheetName val="AMMO Units"/>
      <sheetName val="Ind_Lighting"/>
      <sheetName val="Codes"/>
      <sheetName val="Standards"/>
      <sheetName val="Window_Attachmts"/>
      <sheetName val="CRES"/>
      <sheetName val="Market Adoption Units"/>
      <sheetName val="2. Report Detail 7thPP"/>
    </sheetNames>
    <sheetDataSet>
      <sheetData sheetId="0">
        <row r="2">
          <cell r="B2" t="str">
            <v>Regional</v>
          </cell>
          <cell r="F2">
            <v>2021</v>
          </cell>
          <cell r="G2" t="str">
            <v>2020 Q4 Update</v>
          </cell>
        </row>
        <row r="3">
          <cell r="B3" t="str">
            <v>Montana</v>
          </cell>
          <cell r="F3">
            <v>2022</v>
          </cell>
          <cell r="G3" t="str">
            <v>2020 Q3 Update</v>
          </cell>
        </row>
        <row r="4">
          <cell r="B4" t="str">
            <v>Oregon</v>
          </cell>
          <cell r="F4">
            <v>2023</v>
          </cell>
          <cell r="G4" t="str">
            <v>WA IOU 2020-2021 Targets</v>
          </cell>
        </row>
        <row r="5">
          <cell r="B5" t="str">
            <v>Idaho</v>
          </cell>
          <cell r="F5">
            <v>2024</v>
          </cell>
          <cell r="G5" t="str">
            <v>2016 Q4 Forecast Funder Adjusted</v>
          </cell>
        </row>
        <row r="6">
          <cell r="B6" t="str">
            <v>Washington</v>
          </cell>
          <cell r="G6" t="str">
            <v>2016 Q4 Update</v>
          </cell>
        </row>
        <row r="7">
          <cell r="G7" t="str">
            <v>2017 Q1 Update</v>
          </cell>
        </row>
        <row r="8">
          <cell r="G8" t="str">
            <v>Draft 2018-2019 Targets</v>
          </cell>
        </row>
        <row r="9">
          <cell r="G9" t="str">
            <v>Targets 2016 and 2017</v>
          </cell>
        </row>
        <row r="10">
          <cell r="G10" t="str">
            <v>WA IOU 2016-2017 Targets</v>
          </cell>
        </row>
        <row r="11">
          <cell r="G11" t="str">
            <v>2017 Q4 Update</v>
          </cell>
        </row>
        <row r="12">
          <cell r="G12" t="str">
            <v>WA IOU 2018-2019 Targets</v>
          </cell>
        </row>
        <row r="13">
          <cell r="G13" t="str">
            <v>Draft WA IOU 2020-2021 Targets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07175929" createdVersion="8" refreshedVersion="8" minRefreshableVersion="3" recordCount="0" supportSubquery="1" supportAdvancedDrill="1" xr:uid="{4C150B59-F5E6-4388-A84F-2D47E692EF17}">
  <cacheSource type="external" connectionId="15"/>
  <cacheFields count="6">
    <cacheField name="[UnitsFunderShareAllocation].[Measure Index].[Measure Index]" caption="Measure Index" numFmtId="0" hierarchy="27" level="1">
      <sharedItems count="111">
        <s v="COM_200202_P1T6"/>
        <s v="COM_200202_P1T7"/>
        <s v="COM_200202_P2T4"/>
        <s v="COM_200202_P2T5"/>
        <s v="COM_200202_P3T6"/>
        <s v="COM_200202_P3T7"/>
        <s v="COM_200202_P4T8"/>
        <s v="COM_200202_P4T9"/>
        <s v="COM_201304_P16T1"/>
        <s v="COM_201304_P17T1"/>
        <s v="COM_201304_P20T1"/>
        <s v="COM_201304_P22T1"/>
        <s v="COM_201304_P24T1"/>
        <s v="COM_201304_P26T1"/>
        <s v="COM_201401_P1T1"/>
        <s v="COM_201405_P1T1"/>
        <s v="COM_201405_P2T1"/>
        <s v="COM_202201_P1T1"/>
        <s v="COM_202201_P3T1"/>
        <s v="COM_202201_P4T1"/>
        <s v="COM_202201_P5T1"/>
        <s v="COM_202201_P6T1"/>
        <s v="RES_200601_P1T5"/>
        <s v="RES_200601_P1T6"/>
        <s v="RES_200601_P2T5"/>
        <s v="RES_200601_P2T6"/>
        <s v="RES_200601_P3T5"/>
        <s v="RES_200601_P3T6"/>
        <s v="RES_200601_P4T6"/>
        <s v="RES_200804_P1T1"/>
        <s v="RES_200804_P2T1"/>
        <s v="RES_200804_P3T1"/>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T5"/>
        <s v="RES_201301_P1T6"/>
        <s v="RES_201301_P2T4"/>
        <s v="RES_201301_P2T5"/>
        <s v="RES_201301_P2T6"/>
        <s v="RES_201301_P3T4"/>
        <s v="RES_201301_P3T5"/>
        <s v="RES_201301_P3T6"/>
        <s v="RES_201301_P4T6"/>
        <s v="RES_201301_P4T7"/>
        <s v="RES_201402_P11T1"/>
        <s v="RES_201402_P12T1"/>
        <s v="RES_201403_P10T0"/>
        <s v="RES_201403_P10T1"/>
        <s v="RES_201403_P11T0"/>
        <s v="RES_201403_P11T1"/>
        <s v="RES_201403_P11T2"/>
        <s v="RES_201403_P12T1"/>
        <s v="RES_201403_P12T2"/>
        <s v="RES_201403_P13T0"/>
        <s v="RES_201403_P13T1"/>
        <s v="RES_201403_P13T2"/>
        <s v="RES_201403_P14T0"/>
        <s v="RES_201403_P14T1"/>
        <s v="RES_201403_P14T2"/>
        <s v="RES_201403_P14T4"/>
        <s v="RES_201403_P14T6"/>
        <s v="RES_201403_P20T1"/>
        <s v="RES_201403_P2T0"/>
        <s v="RES_201403_P2T2"/>
        <s v="RES_201403_P3T0"/>
        <s v="RES_201403_P3T1"/>
        <s v="RES_201403_P3T2"/>
        <s v="RES_201403_P5T0"/>
        <s v="RES_201403_P5T1"/>
        <s v="RES_201403_P6T0"/>
        <s v="RES_201403_P6T1"/>
        <s v="RES_201403_P7T1"/>
        <s v="RES_201403_P8T0"/>
        <s v="RES_201403_P8T1"/>
        <s v="RES_201403_P8T2"/>
        <s v="RES_201403_P9T0"/>
        <s v="RES_201403_P9T1"/>
        <s v="RES_201601_P1T0"/>
        <s v="RES_201601_P1T2"/>
        <s v="RES_201601_P1T3"/>
        <s v="XMP_202001_P1T1"/>
        <s v="XMP_202001_P1T2"/>
        <s v="XMP_202001_P2T1"/>
        <s v="XMP_202001_P2T2"/>
        <s v="XMP_202001_P3T1"/>
        <s v="XMP_202001_P3T2"/>
        <s v="XMP_202001_P3T3"/>
        <s v="XMP_202001_P4T1"/>
        <s v="XMP_202001_P4T2"/>
        <s v="XMP_202001_P4T3"/>
        <s v="XMP_202001_P5T1"/>
        <s v="XMP_202001_P6T1"/>
        <s v="XMP_202001_P6T2"/>
      </sharedItems>
    </cacheField>
    <cacheField name="[UnitsFunderShareAllocation].[year].[year]" caption="year" numFmtId="0" hierarchy="31" level="1">
      <sharedItems containsSemiMixedTypes="0" containsString="0" containsNumber="1" containsInteger="1" minValue="2024" maxValue="2027" count="4">
        <n v="2024"/>
        <n v="2025"/>
        <n v="2026"/>
        <n v="2027"/>
      </sharedItems>
      <extLst>
        <ext xmlns:x15="http://schemas.microsoft.com/office/spreadsheetml/2010/11/main" uri="{4F2E5C28-24EA-4eb8-9CBF-B6C8F9C3D259}">
          <x15:cachedUniqueNames>
            <x15:cachedUniqueName index="0" name="[UnitsFunderShareAllocation].[year].&amp;[2024]"/>
            <x15:cachedUniqueName index="1" name="[UnitsFunderShareAllocation].[year].&amp;[2025]"/>
            <x15:cachedUniqueName index="2" name="[UnitsFunderShareAllocation].[year].&amp;[2026]"/>
            <x15:cachedUniqueName index="3" name="[UnitsFunderShareAllocation].[year].&amp;[2027]"/>
          </x15:cachedUniqueNames>
        </ext>
      </extLst>
    </cacheField>
    <cacheField name="[Measures].[Sum of C4 Share]" caption="Sum of C4 Share" numFmtId="0" hierarchy="141" level="32767"/>
    <cacheField name="[Measures].[Sum of C5 Share]" caption="Sum of C5 Share" numFmtId="0" hierarchy="142" level="32767"/>
    <cacheField name="[Measures].[Sum of C6 Share]" caption="Sum of C6 Share" numFmtId="0" hierarchy="143" level="32767"/>
    <cacheField name="[Measures].[Sum of C7 Share]" caption="Sum of C7 Share" numFmtId="0" hierarchy="144"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2" memberValueDatatype="130" unbalanced="0">
      <fieldsUsage count="2">
        <fieldUsage x="-1"/>
        <fieldUsage x="0"/>
      </fieldsUsage>
    </cacheHierarchy>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2" memberValueDatatype="20" unbalanced="0">
      <fieldsUsage count="2">
        <fieldUsage x="-1"/>
        <fieldUsage x="1"/>
      </fieldsUsage>
    </cacheHierarchy>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oneField="1" hidden="1">
      <fieldsUsage count="1">
        <fieldUsage x="2"/>
      </fieldsUsage>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oneField="1" hidden="1">
      <fieldsUsage count="1">
        <fieldUsage x="3"/>
      </fieldsUsage>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oneField="1" hidden="1">
      <fieldsUsage count="1">
        <fieldUsage x="4"/>
      </fieldsUsage>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oneField="1" hidden="1">
      <fieldsUsage count="1">
        <fieldUsage x="5"/>
      </fieldsUsage>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10069447" backgroundQuery="1" createdVersion="8" refreshedVersion="8" minRefreshableVersion="3" recordCount="0" supportSubquery="1" supportAdvancedDrill="1" xr:uid="{34E0BB99-6940-43AD-ACE6-2634366175C1}">
  <cacheSource type="external" connectionId="15"/>
  <cacheFields count="8">
    <cacheField name="[vwWAIOU].[year].[year]" caption="year" numFmtId="0" hierarchy="98" level="1">
      <sharedItems containsSemiMixedTypes="0" containsString="0" containsNumber="1" containsInteger="1" minValue="2024" maxValue="2027" count="4">
        <n v="2024"/>
        <n v="2025"/>
        <n v="2026"/>
        <n v="2027"/>
      </sharedItems>
      <extLst>
        <ext xmlns:x15="http://schemas.microsoft.com/office/spreadsheetml/2010/11/main" uri="{4F2E5C28-24EA-4eb8-9CBF-B6C8F9C3D259}">
          <x15:cachedUniqueNames>
            <x15:cachedUniqueName index="0" name="[vwWAIOU].[year].&amp;[2024]"/>
            <x15:cachedUniqueName index="1" name="[vwWAIOU].[year].&amp;[2025]"/>
            <x15:cachedUniqueName index="2" name="[vwWAIOU].[year].&amp;[2026]"/>
            <x15:cachedUniqueName index="3" name="[vwWAIOU].[year].&amp;[2027]"/>
          </x15:cachedUniqueNames>
        </ext>
      </extLst>
    </cacheField>
    <cacheField name="[vwWAIOU].[Initiative].[Initiative]" caption="Initiative" numFmtId="0" hierarchy="99" level="1">
      <sharedItems count="14">
        <s v="Commercial New Construction"/>
        <s v="Consumer Products (Standards)"/>
        <s v="Ductless Heat Pumps"/>
        <s v="Efficient Homes"/>
        <s v="Heat Pump Water Heaters"/>
        <s v="High Performance HVAC"/>
        <s v="Luminaire Level Lighting Controls"/>
        <s v="Manufactured Homes"/>
        <s v="Non-residential Products (Standards)"/>
        <s v="Other Strategic Energy Management"/>
        <s v="Residential New Construction"/>
        <s v="Retail Product Portfolio"/>
        <s v="Window Attachments"/>
        <s v="XMP Pumps"/>
      </sharedItems>
    </cacheField>
    <cacheField name="[vwWAIOU].[Product].[Product]" caption="Product" numFmtId="0" hierarchy="102" level="1">
      <sharedItems count="54">
        <s v="ID Commercial Codes"/>
        <s v="MT Commercial Codes"/>
        <s v="OR Commercial Codes"/>
        <s v="WA Commercial Codes"/>
        <s v="Uninterruptible Power Supplies"/>
        <s v="DHP FAF"/>
        <s v="DHP MH FAF"/>
        <s v="DHP Zonal"/>
        <s v="ID Code"/>
        <s v="MT Code"/>
        <s v="OR Code"/>
        <s v="WA Code"/>
        <s v="HPWH (&lt;=55 gallons) Existing Construction"/>
        <s v="HPWH (&lt;=55 gallons) New Construction"/>
        <s v="HPWH (&gt;55 gallons) Existing Construction"/>
        <s v="HPWH (&gt;55 gallons) New Construction"/>
        <s v="DOAS- Replacement- Regulated by WSEC"/>
        <s v="VHE DOAS- New- ID, MT, OR, and WA not Regulated by WSEC"/>
        <s v="VHE DOAS- New- Regulated by WSEC"/>
        <s v="VHE DOAS- Replacement- ID, MT, OR, and WA not Regulated by WSEC"/>
        <s v="VHE DOAS- Replacement- Regulated by WSEC"/>
        <s v="Luminaire Level Lighting Controls"/>
        <s v="Manufactured Home"/>
        <s v="Commercial Fryers - Electric"/>
        <s v="Commercial High-CRI Fluorescent Lamps"/>
        <s v="Commercial Steam Cookers - Electric"/>
        <s v="Industrial High-CRI Fluorescent Lamps"/>
        <s v="Commercial SEM"/>
        <s v="Industrial SEM"/>
        <s v="ID Multifamily Code"/>
        <s v="MT Multifamily Code"/>
        <s v="OR Multifamily Code"/>
        <s v="WA Multifamily Code"/>
        <s v="Air Cleaner"/>
        <s v="Clothes Dryers (Standard)"/>
        <s v="Clothes Washers Front Loading"/>
        <s v="Clothes Washers Top Loading"/>
        <s v="Freezers- Chest"/>
        <s v="Freezers- Compact"/>
        <s v="Freezers- Upright"/>
        <s v="Refrigerators- Bottom Freezers"/>
        <s v="Refrigerators- Other"/>
        <s v="Refrigerators- Side Freezers"/>
        <s v="Room AC"/>
        <s v="UHD Televisions (On Mode Power)"/>
        <s v="UHD Televisions (Standby Mode Power)"/>
        <s v="Commercial Secondary Windows"/>
        <s v="Commercial CS Pump"/>
        <s v="Commercial DHW Circulator"/>
        <s v="Commercial HH Circulator"/>
        <s v="Commercial VS Pump"/>
        <s v="Residential DHW Circulator"/>
        <s v="Residential HH Circulator"/>
        <s v="Portable Air Conditioners"/>
      </sharedItems>
    </cacheField>
    <cacheField name="[vwWAIOU].[Tier].[Tier]" caption="Tier" numFmtId="0" hierarchy="103" level="1">
      <sharedItems count="71">
        <s v="ID 2018 IECC"/>
        <s v="ID 2021 IECC"/>
        <s v="MT 2018 IECC"/>
        <s v="MT 2021 IECC"/>
        <s v="OR 2019 OZERCC"/>
        <s v="OR 2021 OEESC"/>
        <s v="OR 2023 OEESC"/>
        <s v="WA 2021 WSEC"/>
        <s v="WA 2024 WSEC"/>
        <s v="Residential Applications"/>
        <s v="Tier 1"/>
        <s v="IECC 2006"/>
        <s v="IECC 2009"/>
        <s v="IECC 2012 w ID amend."/>
        <s v="IECC 2015"/>
        <s v="IECC 2003 w MT amend."/>
        <s v="IECC 2009 w MT amend."/>
        <s v="IECC 2012 w MT amend."/>
        <s v="Or. Res Specialty 2008"/>
        <s v="Or. Res Specialty 2011"/>
        <s v="WSEC 2006"/>
        <s v="WSEC 2009"/>
        <s v="WSEC 2012"/>
        <s v="WSEC 2015"/>
        <s v="Tier 2"/>
        <s v="Tier 3"/>
        <s v="Tier 4"/>
        <s v="Tier 5"/>
        <s v="DOAS 2018 WSEC with 60% ERV/HRV"/>
        <s v="DOAS with &gt;=82% ERV/HRV"/>
        <s v="DOAS with 60%-81% ERV/HRV"/>
        <s v="Single Tier"/>
        <s v="HUD Code"/>
        <s v="Inefficient Unit"/>
        <s v="NEEM 1.1"/>
        <s v="NEEM Plus"/>
        <s v="2021 OR Standard"/>
        <s v="Non-Residential Applications"/>
        <s v="IECC 2018"/>
        <s v="IECC 2021"/>
        <s v="IECC 2024"/>
        <s v="IECC 2027"/>
        <s v="Or. Specialty Code 2017"/>
        <s v="Or. Specialty Code 2021"/>
        <s v="Or. Specialty Code 2023"/>
        <s v="Or. Specialty Code 2026"/>
        <s v="Or. Specialty Code 2029"/>
        <s v="WSEC 2018"/>
        <s v="WSEC 2021"/>
        <s v="WSEC 2024"/>
        <s v="WSEC 2027"/>
        <s v="ENERGY STAR v2"/>
        <s v="Non-Qualifying"/>
        <s v="ENERGY STAR v1"/>
        <s v="UCEF 3.00 to 4.19"/>
        <s v="UCEF 4.20 to 5.29"/>
        <s v="UCEF 5.30 to 6.09"/>
        <s v="UCEF 6.10 to 7.19"/>
        <s v="UCEF 7.20 to 8.00"/>
        <s v="ENERGY STAR Most Efficient 2017"/>
        <s v="ENERGY STAR Most Efficient 2018 through 2020"/>
        <s v="ENERGY STAR Most Efficient TBD"/>
        <s v="ENERGY STAR Most Efficient 2017+"/>
        <s v="ENERGY STAR v7/8"/>
        <s v="ENERGY STAR v5"/>
        <s v="ENERGY STAR v5 +5%"/>
        <s v="TBD"/>
        <s v="ENERGY STAR Most Efficient"/>
        <s v="ENERGY STAR v5/ENERGY STAR Most Efficient"/>
        <s v="ENERGY STAR V4"/>
        <s v="ENERGY STAR v9"/>
      </sharedItems>
    </cacheField>
    <cacheField name="[vwWAIOU].[Measure Index].[Measure Index]" caption="Measure Index" numFmtId="0" hierarchy="101" level="1">
      <sharedItems count="161">
        <s v="COM_200202_P1T6"/>
        <s v="COM_200202_P1T7"/>
        <s v="COM_200202_P2T4"/>
        <s v="COM_200202_P2T5"/>
        <s v="COM_200202_P3T5"/>
        <s v="COM_200202_P3T6"/>
        <s v="COM_200202_P3T7"/>
        <s v="COM_200202_P4T8"/>
        <s v="COM_200202_P4T9"/>
        <s v="RES_201402_P12T1"/>
        <s v="RES_200804_P2T1"/>
        <s v="RES_200804_P3T1"/>
        <s v="RES_200804_P1T1"/>
        <s v="RES_200401_P1T1"/>
        <s v="RES_200401_P1T2"/>
        <s v="RES_200401_P1T3"/>
        <s v="RES_201301_P1T4"/>
        <s v="RES_200401_P2T1"/>
        <s v="RES_200401_P2T2"/>
        <s v="RES_200401_P2T3"/>
        <s v="RES_200401_P3T1"/>
        <s v="RES_200401_P3T2"/>
        <s v="RES_200401_P4T1"/>
        <s v="RES_200401_P4T2"/>
        <s v="RES_200401_P4T3"/>
        <s v="RES_201301_P4T4"/>
        <s v="RES_201202_P1T1"/>
        <s v="RES_201202_P1T2"/>
        <s v="RES_201202_P1T3"/>
        <s v="RES_201202_P1T4"/>
        <s v="RES_201202_P1T5"/>
        <s v="RES_201202_P3T1"/>
        <s v="RES_201202_P3T2"/>
        <s v="RES_201202_P3T3"/>
        <s v="RES_201202_P3T4"/>
        <s v="RES_201202_P3T5"/>
        <s v="RES_201202_P2T1"/>
        <s v="RES_201202_P2T2"/>
        <s v="RES_201202_P2T3"/>
        <s v="RES_201202_P2T4"/>
        <s v="RES_201202_P2T5"/>
        <s v="RES_201202_P4T1"/>
        <s v="RES_201202_P4T2"/>
        <s v="RES_201202_P4T3"/>
        <s v="RES_201202_P4T4"/>
        <s v="RES_201202_P4T5"/>
        <s v="COM_202201_P1T1"/>
        <s v="COM_202201_P6T1"/>
        <s v="COM_202201_P5T1"/>
        <s v="COM_202201_P2T1"/>
        <s v="COM_202201_P4T1"/>
        <s v="COM_202201_P3T1"/>
        <s v="COM_202201_P1T2"/>
        <s v="COM_201401_P1T1"/>
        <s v="RES_201601_P1T1"/>
        <s v="RES_201601_P1T0"/>
        <s v="RES_201601_P1T2"/>
        <s v="RES_201601_P1T3"/>
        <s v="COM_201304_P24T1"/>
        <s v="COM_201304_P20T1"/>
        <s v="COM_201304_P26T1"/>
        <s v="COM_201304_P22T1"/>
        <s v="COM_201304_P17T1"/>
        <s v="COM_201405_P2T1"/>
        <s v="COM_201405_P1T1"/>
        <s v="RES_201301_P1T5"/>
        <s v="RES_201301_P1T6"/>
        <s v="RES_201301_P1T7"/>
        <s v="RES_201301_P1T8"/>
        <s v="RES_200601_P1T1"/>
        <s v="RES_200601_P1T2"/>
        <s v="RES_200601_P1T3"/>
        <s v="RES_200601_P1T4"/>
        <s v="RES_200601_P1T5"/>
        <s v="RES_200601_P1T6"/>
        <s v="RES_201301_P2T4"/>
        <s v="RES_201301_P2T5"/>
        <s v="RES_201301_P2T6"/>
        <s v="RES_201301_P2T7"/>
        <s v="RES_200601_P2T1"/>
        <s v="RES_200601_P2T2"/>
        <s v="RES_200601_P2T3"/>
        <s v="RES_200601_P2T5"/>
        <s v="RES_200601_P2T6"/>
        <s v="RES_201301_P3T3"/>
        <s v="RES_201301_P3T4"/>
        <s v="RES_201301_P3T5"/>
        <s v="RES_201301_P3T6"/>
        <s v="RES_201301_P3T7"/>
        <s v="RES_200601_P3T1"/>
        <s v="RES_200601_P3T2"/>
        <s v="RES_200601_P3T4"/>
        <s v="RES_200601_P3T5"/>
        <s v="RES_200601_P3T6"/>
        <s v="RES_201301_P4T5"/>
        <s v="RES_201301_P4T6"/>
        <s v="RES_201301_P4T7"/>
        <s v="RES_201301_P4T8"/>
        <s v="RES_200601_P4T1"/>
        <s v="RES_200601_P4T2"/>
        <s v="RES_200601_P4T3"/>
        <s v="RES_200601_P4T4"/>
        <s v="RES_200601_P4T5"/>
        <s v="RES_200601_P4T6"/>
        <s v="RES_201403_P2T2"/>
        <s v="RES_201403_P2T0"/>
        <s v="RES_201403_P14T1"/>
        <s v="RES_201403_P14T0"/>
        <s v="RES_201403_P14T2"/>
        <s v="RES_201403_P14T3"/>
        <s v="RES_201403_P14T4"/>
        <s v="RES_201403_P14T5"/>
        <s v="RES_201403_P14T6"/>
        <s v="RES_201403_P8T1"/>
        <s v="RES_201403_P8T2"/>
        <s v="RES_201403_P8T3"/>
        <s v="RES_201403_P8T0"/>
        <s v="RES_201403_P11T2"/>
        <s v="RES_201403_P11T3"/>
        <s v="RES_201403_P11T1"/>
        <s v="RES_201403_P11T0"/>
        <s v="RES_201403_P9T1"/>
        <s v="RES_201403_P9T2"/>
        <s v="RES_201403_P9T0"/>
        <s v="RES_201403_P10T1"/>
        <s v="RES_201403_P10T2"/>
        <s v="RES_201403_P10T0"/>
        <s v="RES_201403_P5T1"/>
        <s v="RES_201403_P5T2"/>
        <s v="RES_201403_P5T0"/>
        <s v="RES_201403_P5T3"/>
        <s v="RES_201403_P12T2"/>
        <s v="RES_201403_P12T1"/>
        <s v="RES_201403_P12T0"/>
        <s v="RES_201403_P6T1"/>
        <s v="RES_201403_P6T0"/>
        <s v="RES_201403_P6T2"/>
        <s v="RES_201403_P13T2"/>
        <s v="RES_201403_P13T1"/>
        <s v="RES_201403_P13T0"/>
        <s v="RES_201403_P3T2"/>
        <s v="RES_201403_P3T1"/>
        <s v="RES_201403_P3T0"/>
        <s v="RES_201403_P7T1"/>
        <s v="RES_201403_P20T1"/>
        <s v="COM_201601_P1T1"/>
        <s v="XMP_202001_P5T1"/>
        <s v="XMP_202001_P4T1"/>
        <s v="XMP_202001_P4T2"/>
        <s v="XMP_202001_P4T3"/>
        <s v="XMP_202001_P2T1"/>
        <s v="XMP_202001_P2T2"/>
        <s v="XMP_202001_P6T1"/>
        <s v="XMP_202001_P6T2"/>
        <s v="XMP_202001_P3T1"/>
        <s v="XMP_202001_P3T2"/>
        <s v="XMP_202001_P3T3"/>
        <s v="XMP_202001_P1T1"/>
        <s v="XMP_202001_P1T2"/>
        <s v="RES_201402_P11T1"/>
        <s v="COM_201304_P16T1"/>
      </sharedItems>
    </cacheField>
    <cacheField name="[vwWAIOU].[Snapshot].[Snapshot]" caption="Snapshot" numFmtId="0" hierarchy="97" level="1">
      <sharedItems containsSemiMixedTypes="0" containsNonDate="0" containsString="0"/>
    </cacheField>
    <cacheField name="[vwWAIOU].[Savings Category].[Savings Category]" caption="Savings Category" numFmtId="0" hierarchy="104" level="1">
      <sharedItems count="3">
        <s v="Baseline_2021PP"/>
        <s v="Local_Incentives_2021PP"/>
        <s v="Regional_Market_2021PP"/>
      </sharedItems>
    </cacheField>
    <cacheField name="[Measures].[Sum of units]" caption="Sum of units" numFmtId="0" hierarchy="123"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2" memberValueDatatype="130" unbalanced="0">
      <fieldsUsage count="2">
        <fieldUsage x="-1"/>
        <fieldUsage x="5"/>
      </fieldsUsage>
    </cacheHierarchy>
    <cacheHierarchy uniqueName="[vwWAIOU].[year]" caption="year" attribute="1" defaultMemberUniqueName="[vwWAIOU].[year].[All]" allUniqueName="[vwWAIOU].[year].[All]" dimensionUniqueName="[vwWAIOU]" displayFolder="" count="2" memberValueDatatype="20" unbalanced="0">
      <fieldsUsage count="2">
        <fieldUsage x="-1"/>
        <fieldUsage x="0"/>
      </fieldsUsage>
    </cacheHierarchy>
    <cacheHierarchy uniqueName="[vwWAIOU].[Initiative]" caption="Initiative" attribute="1" defaultMemberUniqueName="[vwWAIOU].[Initiative].[All]" allUniqueName="[vwWAIOU].[Initiative].[All]" dimensionUniqueName="[vwWAIOU]" displayFolder="" count="2" memberValueDatatype="130" unbalanced="0">
      <fieldsUsage count="2">
        <fieldUsage x="-1"/>
        <fieldUsage x="1"/>
      </fieldsUsage>
    </cacheHierarchy>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2" memberValueDatatype="130" unbalanced="0">
      <fieldsUsage count="2">
        <fieldUsage x="-1"/>
        <fieldUsage x="4"/>
      </fieldsUsage>
    </cacheHierarchy>
    <cacheHierarchy uniqueName="[vwWAIOU].[Product]" caption="Product" attribute="1" defaultMemberUniqueName="[vwWAIOU].[Product].[All]" allUniqueName="[vwWAIOU].[Product].[All]" dimensionUniqueName="[vwWAIOU]" displayFolder="" count="2" memberValueDatatype="130" unbalanced="0">
      <fieldsUsage count="2">
        <fieldUsage x="-1"/>
        <fieldUsage x="2"/>
      </fieldsUsage>
    </cacheHierarchy>
    <cacheHierarchy uniqueName="[vwWAIOU].[Tier]" caption="Tier" attribute="1" defaultMemberUniqueName="[vwWAIOU].[Tier].[All]" allUniqueName="[vwWAIOU].[Tier].[All]" dimensionUniqueName="[vwWAIOU]" displayFolder="" count="2" memberValueDatatype="130" unbalanced="0">
      <fieldsUsage count="2">
        <fieldUsage x="-1"/>
        <fieldUsage x="3"/>
      </fieldsUsage>
    </cacheHierarchy>
    <cacheHierarchy uniqueName="[vwWAIOU].[Savings Category]" caption="Savings Category" attribute="1" defaultMemberUniqueName="[vwWAIOU].[Savings Category].[All]" allUniqueName="[vwWAIOU].[Savings Category].[All]" dimensionUniqueName="[vwWAIOU]" displayFolder="" count="2" memberValueDatatype="130" unbalanced="0">
      <fieldsUsage count="2">
        <fieldUsage x="-1"/>
        <fieldUsage x="6"/>
      </fieldsUsage>
    </cacheHierarchy>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oneField="1" hidden="1">
      <fieldsUsage count="1">
        <fieldUsage x="7"/>
      </fieldsUsage>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12384256" backgroundQuery="1" createdVersion="8" refreshedVersion="8" minRefreshableVersion="3" recordCount="0" supportSubquery="1" supportAdvancedDrill="1" xr:uid="{3B58CF67-4930-4314-8A85-83EDA525FA21}">
  <cacheSource type="external" connectionId="15"/>
  <cacheFields count="8">
    <cacheField name="[vwWAIOU].[Snapshot].[Snapshot]" caption="Snapshot" numFmtId="0" hierarchy="97" level="1">
      <sharedItems containsSemiMixedTypes="0" containsNonDate="0" containsString="0"/>
    </cacheField>
    <cacheField name="[vwWAIOU].[Initiative].[Initiative]" caption="Initiative" numFmtId="0" hierarchy="99" level="1">
      <sharedItems count="14">
        <s v="Commercial New Construction"/>
        <s v="Consumer Products (Standards)"/>
        <s v="Ductless Heat Pumps"/>
        <s v="Efficient Homes"/>
        <s v="Heat Pump Water Heaters"/>
        <s v="High Performance HVAC"/>
        <s v="Luminaire Level Lighting Controls"/>
        <s v="Manufactured Homes"/>
        <s v="Non-residential Products (Standards)"/>
        <s v="Other Strategic Energy Management"/>
        <s v="Residential New Construction"/>
        <s v="Retail Product Portfolio"/>
        <s v="Window Attachments"/>
        <s v="XMP Pumps"/>
      </sharedItems>
    </cacheField>
    <cacheField name="[vwWAIOU].[Product].[Product]" caption="Product" numFmtId="0" hierarchy="102" level="1">
      <sharedItems count="54">
        <s v="ID Commercial Codes"/>
        <s v="MT Commercial Codes"/>
        <s v="OR Commercial Codes"/>
        <s v="WA Commercial Codes"/>
        <s v="Portable Air Conditioners"/>
        <s v="Uninterruptible Power Supplies"/>
        <s v="DHP FAF"/>
        <s v="DHP MH FAF"/>
        <s v="DHP Zonal"/>
        <s v="ID Code"/>
        <s v="MT Code"/>
        <s v="OR Code"/>
        <s v="WA Code"/>
        <s v="HPWH (&lt;=55 gallons) Existing Construction"/>
        <s v="HPWH (&lt;=55 gallons) New Construction"/>
        <s v="HPWH (&gt;55 gallons) Existing Construction"/>
        <s v="HPWH (&gt;55 gallons) New Construction"/>
        <s v="DOAS- Replacement- Regulated by WSEC"/>
        <s v="VHE DOAS- New- ID, MT, OR, and WA not Regulated by WSEC"/>
        <s v="VHE DOAS- New- Regulated by WSEC"/>
        <s v="VHE DOAS- Replacement- ID, MT, OR, and WA not Regulated by WSEC"/>
        <s v="VHE DOAS- Replacement- Regulated by WSEC"/>
        <s v="Luminaire Level Lighting Controls"/>
        <s v="Manufactured Home"/>
        <s v="Commercial Fryers - Electric"/>
        <s v="Commercial High-CRI Fluorescent Lamps"/>
        <s v="Commercial Steam Cookers - Electric"/>
        <s v="Industrial High-CRI Fluorescent Lamps"/>
        <s v="Commercial SEM"/>
        <s v="Industrial SEM"/>
        <s v="ID Multifamily Code"/>
        <s v="MT Multifamily Code"/>
        <s v="OR Multifamily Code"/>
        <s v="WA Multifamily Code"/>
        <s v="Air Cleaner"/>
        <s v="Clothes Dryers (Standard)"/>
        <s v="Clothes Washers Front Loading"/>
        <s v="Clothes Washers Top Loading"/>
        <s v="Freezers- Chest"/>
        <s v="Freezers- Compact"/>
        <s v="Freezers- Upright"/>
        <s v="Refrigerators- Bottom Freezers"/>
        <s v="Refrigerators- Other"/>
        <s v="Refrigerators- Side Freezers"/>
        <s v="Room AC"/>
        <s v="UHD Televisions (On Mode Power)"/>
        <s v="UHD Televisions (Standby Mode Power)"/>
        <s v="Commercial Secondary Windows"/>
        <s v="Commercial CS Pump"/>
        <s v="Commercial DHW Circulator"/>
        <s v="Commercial HH Circulator"/>
        <s v="Commercial VS Pump"/>
        <s v="Residential DHW Circulator"/>
        <s v="Residential HH Circulator"/>
      </sharedItems>
    </cacheField>
    <cacheField name="[vwWAIOU].[Tier].[Tier]" caption="Tier" numFmtId="0" hierarchy="103" level="1">
      <sharedItems count="70">
        <s v="ID 2018 IECC"/>
        <s v="ID 2021 IECC"/>
        <s v="MT 2018 IECC"/>
        <s v="MT 2021 IECC"/>
        <s v="OR 2019 OZERCC"/>
        <s v="OR 2021 OEESC"/>
        <s v="OR 2023 OEESC"/>
        <s v="WA 2021 WSEC"/>
        <s v="WA 2024 WSEC"/>
        <s v="Residential Applications"/>
        <s v="Tier 1"/>
        <s v="IECC 2006"/>
        <s v="IECC 2009"/>
        <s v="IECC 2012 w ID amend."/>
        <s v="IECC 2015"/>
        <s v="IECC 2003 w MT amend."/>
        <s v="IECC 2009 w MT amend."/>
        <s v="IECC 2012 w MT amend."/>
        <s v="Or. Res Specialty 2008"/>
        <s v="Or. Res Specialty 2011"/>
        <s v="WSEC 2006"/>
        <s v="WSEC 2009"/>
        <s v="WSEC 2012"/>
        <s v="WSEC 2015"/>
        <s v="Tier 2"/>
        <s v="Tier 3"/>
        <s v="Tier 4"/>
        <s v="DOAS 2018 WSEC with 60% ERV/HRV"/>
        <s v="DOAS with &gt;=82% ERV/HRV"/>
        <s v="DOAS with 60%-81% ERV/HRV"/>
        <s v="Single Tier"/>
        <s v="HUD Code"/>
        <s v="Inefficient Unit"/>
        <s v="NEEM 1.1"/>
        <s v="NEEM Plus"/>
        <s v="2021 OR Standard"/>
        <s v="Non-Residential Applications"/>
        <s v="IECC 2018"/>
        <s v="IECC 2021"/>
        <s v="IECC 2024"/>
        <s v="IECC 2027"/>
        <s v="Or. Specialty Code 2017"/>
        <s v="Or. Specialty Code 2021"/>
        <s v="Or. Specialty Code 2023"/>
        <s v="Or. Specialty Code 2026"/>
        <s v="Or. Specialty Code 2029"/>
        <s v="WSEC 2018"/>
        <s v="WSEC 2021"/>
        <s v="WSEC 2024"/>
        <s v="WSEC 2027"/>
        <s v="ENERGY STAR v2"/>
        <s v="Non-Qualifying"/>
        <s v="ENERGY STAR v1"/>
        <s v="UCEF 3.00 to 4.19"/>
        <s v="UCEF 4.20 to 5.29"/>
        <s v="UCEF 5.30 to 6.09"/>
        <s v="UCEF 6.10 to 7.19"/>
        <s v="UCEF 7.20 to 8.00"/>
        <s v="ENERGY STAR Most Efficient 2017"/>
        <s v="ENERGY STAR Most Efficient 2018 through 2020"/>
        <s v="ENERGY STAR Most Efficient TBD"/>
        <s v="ENERGY STAR Most Efficient 2017+"/>
        <s v="ENERGY STAR v7/8"/>
        <s v="ENERGY STAR v5"/>
        <s v="ENERGY STAR v5 +5%"/>
        <s v="TBD"/>
        <s v="ENERGY STAR Most Efficient"/>
        <s v="ENERGY STAR v5/ENERGY STAR Most Efficient"/>
        <s v="ENERGY STAR V4"/>
        <s v="ENERGY STAR v9"/>
      </sharedItems>
    </cacheField>
    <cacheField name="[vwWAIOU].[Measure Index].[Measure Index]" caption="Measure Index" numFmtId="0" hierarchy="101" level="1">
      <sharedItems count="157">
        <s v="COM_200202_P1T6"/>
        <s v="COM_200202_P1T7"/>
        <s v="COM_200202_P2T4"/>
        <s v="COM_200202_P2T5"/>
        <s v="COM_200202_P3T5"/>
        <s v="COM_200202_P3T6"/>
        <s v="COM_200202_P3T7"/>
        <s v="COM_200202_P4T8"/>
        <s v="COM_200202_P4T9"/>
        <s v="RES_201402_P11T1"/>
        <s v="RES_201402_P12T1"/>
        <s v="RES_200804_P2T1"/>
        <s v="RES_200804_P3T1"/>
        <s v="RES_200804_P1T1"/>
        <s v="RES_200401_P1T1"/>
        <s v="RES_200401_P1T2"/>
        <s v="RES_200401_P1T3"/>
        <s v="RES_201301_P1T4"/>
        <s v="RES_200401_P2T1"/>
        <s v="RES_200401_P2T2"/>
        <s v="RES_200401_P2T3"/>
        <s v="RES_200401_P3T1"/>
        <s v="RES_200401_P3T2"/>
        <s v="RES_200401_P4T1"/>
        <s v="RES_200401_P4T2"/>
        <s v="RES_200401_P4T3"/>
        <s v="RES_201301_P4T4"/>
        <s v="RES_201202_P1T1"/>
        <s v="RES_201202_P1T2"/>
        <s v="RES_201202_P1T3"/>
        <s v="RES_201202_P1T4"/>
        <s v="RES_201202_P3T1"/>
        <s v="RES_201202_P3T2"/>
        <s v="RES_201202_P3T3"/>
        <s v="RES_201202_P3T4"/>
        <s v="RES_201202_P2T1"/>
        <s v="RES_201202_P2T2"/>
        <s v="RES_201202_P2T3"/>
        <s v="RES_201202_P2T4"/>
        <s v="RES_201202_P4T1"/>
        <s v="RES_201202_P4T2"/>
        <s v="RES_201202_P4T3"/>
        <s v="RES_201202_P4T4"/>
        <s v="COM_202201_P1T1"/>
        <s v="COM_202201_P6T1"/>
        <s v="COM_202201_P5T1"/>
        <s v="COM_202201_P2T1"/>
        <s v="COM_202201_P4T1"/>
        <s v="COM_202201_P3T1"/>
        <s v="COM_202201_P1T2"/>
        <s v="COM_201401_P1T1"/>
        <s v="RES_201601_P1T1"/>
        <s v="RES_201601_P1T0"/>
        <s v="RES_201601_P1T2"/>
        <s v="RES_201601_P1T3"/>
        <s v="COM_201304_P24T1"/>
        <s v="COM_201304_P20T1"/>
        <s v="COM_201304_P26T1"/>
        <s v="COM_201304_P22T1"/>
        <s v="COM_201304_P16T1"/>
        <s v="COM_201304_P17T1"/>
        <s v="COM_201405_P2T1"/>
        <s v="COM_201405_P1T1"/>
        <s v="RES_201301_P1T5"/>
        <s v="RES_201301_P1T6"/>
        <s v="RES_201301_P1T7"/>
        <s v="RES_201301_P1T8"/>
        <s v="RES_200601_P1T1"/>
        <s v="RES_200601_P1T2"/>
        <s v="RES_200601_P1T3"/>
        <s v="RES_200601_P1T4"/>
        <s v="RES_200601_P1T5"/>
        <s v="RES_200601_P1T6"/>
        <s v="RES_201301_P2T4"/>
        <s v="RES_201301_P2T5"/>
        <s v="RES_201301_P2T6"/>
        <s v="RES_201301_P2T7"/>
        <s v="RES_200601_P2T1"/>
        <s v="RES_200601_P2T2"/>
        <s v="RES_200601_P2T3"/>
        <s v="RES_200601_P2T5"/>
        <s v="RES_200601_P2T6"/>
        <s v="RES_201301_P3T3"/>
        <s v="RES_201301_P3T4"/>
        <s v="RES_201301_P3T5"/>
        <s v="RES_201301_P3T6"/>
        <s v="RES_201301_P3T7"/>
        <s v="RES_200601_P3T1"/>
        <s v="RES_200601_P3T2"/>
        <s v="RES_200601_P3T4"/>
        <s v="RES_200601_P3T5"/>
        <s v="RES_200601_P3T6"/>
        <s v="RES_201301_P4T5"/>
        <s v="RES_201301_P4T6"/>
        <s v="RES_201301_P4T7"/>
        <s v="RES_201301_P4T8"/>
        <s v="RES_200601_P4T1"/>
        <s v="RES_200601_P4T2"/>
        <s v="RES_200601_P4T3"/>
        <s v="RES_200601_P4T4"/>
        <s v="RES_200601_P4T5"/>
        <s v="RES_200601_P4T6"/>
        <s v="RES_201403_P2T2"/>
        <s v="RES_201403_P2T0"/>
        <s v="RES_201403_P14T1"/>
        <s v="RES_201403_P14T0"/>
        <s v="RES_201403_P14T2"/>
        <s v="RES_201403_P14T3"/>
        <s v="RES_201403_P14T4"/>
        <s v="RES_201403_P14T5"/>
        <s v="RES_201403_P14T6"/>
        <s v="RES_201403_P8T1"/>
        <s v="RES_201403_P8T2"/>
        <s v="RES_201403_P8T3"/>
        <s v="RES_201403_P8T0"/>
        <s v="RES_201403_P11T2"/>
        <s v="RES_201403_P11T3"/>
        <s v="RES_201403_P11T1"/>
        <s v="RES_201403_P11T0"/>
        <s v="RES_201403_P9T1"/>
        <s v="RES_201403_P9T2"/>
        <s v="RES_201403_P9T0"/>
        <s v="RES_201403_P10T1"/>
        <s v="RES_201403_P10T2"/>
        <s v="RES_201403_P10T0"/>
        <s v="RES_201403_P5T1"/>
        <s v="RES_201403_P5T2"/>
        <s v="RES_201403_P5T0"/>
        <s v="RES_201403_P5T3"/>
        <s v="RES_201403_P12T2"/>
        <s v="RES_201403_P12T1"/>
        <s v="RES_201403_P12T0"/>
        <s v="RES_201403_P6T1"/>
        <s v="RES_201403_P6T0"/>
        <s v="RES_201403_P6T2"/>
        <s v="RES_201403_P13T2"/>
        <s v="RES_201403_P13T1"/>
        <s v="RES_201403_P13T0"/>
        <s v="RES_201403_P3T2"/>
        <s v="RES_201403_P3T1"/>
        <s v="RES_201403_P3T0"/>
        <s v="RES_201403_P7T1"/>
        <s v="RES_201403_P20T1"/>
        <s v="COM_201601_P1T1"/>
        <s v="XMP_202001_P5T1"/>
        <s v="XMP_202001_P4T1"/>
        <s v="XMP_202001_P4T2"/>
        <s v="XMP_202001_P4T3"/>
        <s v="XMP_202001_P2T1"/>
        <s v="XMP_202001_P2T2"/>
        <s v="XMP_202001_P6T1"/>
        <s v="XMP_202001_P6T2"/>
        <s v="XMP_202001_P3T1"/>
        <s v="XMP_202001_P3T2"/>
        <s v="XMP_202001_P3T3"/>
        <s v="XMP_202001_P1T1"/>
        <s v="XMP_202001_P1T2"/>
      </sharedItems>
    </cacheField>
    <cacheField name="[vwWAIOU].[year].[year]" caption="year" numFmtId="0" hierarchy="98" level="1">
      <sharedItems containsSemiMixedTypes="0" containsString="0" containsNumber="1" containsInteger="1" minValue="2024" maxValue="2027" count="4">
        <n v="2024"/>
        <n v="2025"/>
        <n v="2026"/>
        <n v="2027"/>
      </sharedItems>
      <extLst>
        <ext xmlns:x15="http://schemas.microsoft.com/office/spreadsheetml/2010/11/main" uri="{4F2E5C28-24EA-4eb8-9CBF-B6C8F9C3D259}">
          <x15:cachedUniqueNames>
            <x15:cachedUniqueName index="0" name="[vwWAIOU].[year].&amp;[2024]"/>
            <x15:cachedUniqueName index="1" name="[vwWAIOU].[year].&amp;[2025]"/>
            <x15:cachedUniqueName index="2" name="[vwWAIOU].[year].&amp;[2026]"/>
            <x15:cachedUniqueName index="3" name="[vwWAIOU].[year].&amp;[2027]"/>
          </x15:cachedUniqueNames>
        </ext>
      </extLst>
    </cacheField>
    <cacheField name="[vwWAIOU].[Savings Rate Type].[Savings Rate Type]" caption="Savings Rate Type" numFmtId="0" hierarchy="107" level="1">
      <sharedItems count="1">
        <s v="Savings_Rate_2021PP"/>
      </sharedItems>
    </cacheField>
    <cacheField name="[Measures].[Max of Savings Rate]" caption="Max of Savings Rate" numFmtId="0" hierarchy="126"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2" memberValueDatatype="130" unbalanced="0">
      <fieldsUsage count="2">
        <fieldUsage x="-1"/>
        <fieldUsage x="0"/>
      </fieldsUsage>
    </cacheHierarchy>
    <cacheHierarchy uniqueName="[vwWAIOU].[year]" caption="year" attribute="1" defaultMemberUniqueName="[vwWAIOU].[year].[All]" allUniqueName="[vwWAIOU].[year].[All]" dimensionUniqueName="[vwWAIOU]" displayFolder="" count="2" memberValueDatatype="20" unbalanced="0">
      <fieldsUsage count="2">
        <fieldUsage x="-1"/>
        <fieldUsage x="5"/>
      </fieldsUsage>
    </cacheHierarchy>
    <cacheHierarchy uniqueName="[vwWAIOU].[Initiative]" caption="Initiative" attribute="1" defaultMemberUniqueName="[vwWAIOU].[Initiative].[All]" allUniqueName="[vwWAIOU].[Initiative].[All]" dimensionUniqueName="[vwWAIOU]" displayFolder="" count="2" memberValueDatatype="130" unbalanced="0">
      <fieldsUsage count="2">
        <fieldUsage x="-1"/>
        <fieldUsage x="1"/>
      </fieldsUsage>
    </cacheHierarchy>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2" memberValueDatatype="130" unbalanced="0">
      <fieldsUsage count="2">
        <fieldUsage x="-1"/>
        <fieldUsage x="4"/>
      </fieldsUsage>
    </cacheHierarchy>
    <cacheHierarchy uniqueName="[vwWAIOU].[Product]" caption="Product" attribute="1" defaultMemberUniqueName="[vwWAIOU].[Product].[All]" allUniqueName="[vwWAIOU].[Product].[All]" dimensionUniqueName="[vwWAIOU]" displayFolder="" count="2" memberValueDatatype="130" unbalanced="0">
      <fieldsUsage count="2">
        <fieldUsage x="-1"/>
        <fieldUsage x="2"/>
      </fieldsUsage>
    </cacheHierarchy>
    <cacheHierarchy uniqueName="[vwWAIOU].[Tier]" caption="Tier" attribute="1" defaultMemberUniqueName="[vwWAIOU].[Tier].[All]" allUniqueName="[vwWAIOU].[Tier].[All]" dimensionUniqueName="[vwWAIOU]" displayFolder="" count="2" memberValueDatatype="130" unbalanced="0">
      <fieldsUsage count="2">
        <fieldUsage x="-1"/>
        <fieldUsage x="3"/>
      </fieldsUsage>
    </cacheHierarchy>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2" memberValueDatatype="130" unbalanced="0">
      <fieldsUsage count="2">
        <fieldUsage x="-1"/>
        <fieldUsage x="6"/>
      </fieldsUsage>
    </cacheHierarchy>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oneField="1" hidden="1">
      <fieldsUsage count="1">
        <fieldUsage x="7"/>
      </fieldsUsage>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14930557" createdVersion="5" refreshedVersion="8" minRefreshableVersion="3" recordCount="0" supportSubquery="1" supportAdvancedDrill="1" xr:uid="{F749CDCB-7113-4402-AF71-BB97080A85F2}">
  <cacheSource type="external" connectionId="15"/>
  <cacheFields count="6">
    <cacheField name="[vwFunderShare].[NEEA Stakeholder].[NEEA Stakeholder]" caption="NEEA Stakeholder" numFmtId="0" hierarchy="49" level="1">
      <sharedItems count="3">
        <s v="Avista Utilities"/>
        <s v="Pacific Power"/>
        <s v="Puget Sound Energy"/>
      </sharedItems>
    </cacheField>
    <cacheField name="[vwFunderShare].[Funder Type].[Funder Type]" caption="Funder Type" numFmtId="0" hierarchy="50" level="1">
      <sharedItems count="1">
        <s v="Direct"/>
      </sharedItems>
    </cacheField>
    <cacheField name="[vwFunderShare].[Year].[Year]" caption="Year" numFmtId="0" hierarchy="52" level="1">
      <sharedItems count="33">
        <s v="1997"/>
        <s v="1998"/>
        <s v="1999"/>
        <s v="2000"/>
        <s v="2001"/>
        <s v="2002"/>
        <s v="2003"/>
        <s v="2004"/>
        <s v="2005"/>
        <s v="2006"/>
        <s v="2007"/>
        <s v="2008"/>
        <s v="2009"/>
        <s v="2010"/>
        <s v="2011"/>
        <s v="2012"/>
        <s v="2013"/>
        <s v="2014"/>
        <s v="2015"/>
        <s v="2016"/>
        <s v="2017"/>
        <s v="2018"/>
        <s v="2019"/>
        <s v="2020"/>
        <s v="2021"/>
        <s v="2022"/>
        <s v="2023"/>
        <s v="2024"/>
        <s v="2025"/>
        <s v="2026"/>
        <s v="2027"/>
        <s v="2028"/>
        <s v="2029"/>
      </sharedItems>
    </cacheField>
    <cacheField name="[vwFunderShare].[Funder Share].[Funder Share]" caption="Funder Share" numFmtId="0" hierarchy="53" level="1">
      <sharedItems containsSemiMixedTypes="0" containsString="0" containsNumber="1" minValue="2.5399999999999999E-2" maxValue="0.14199999999999999" count="18">
        <n v="3.95E-2"/>
        <n v="5.62E-2"/>
        <n v="5.5599999999999997E-2"/>
        <n v="5.7500000000000002E-2"/>
        <n v="5.7700000000000001E-2"/>
        <n v="5.6498E-2"/>
        <n v="2.5600000000000001E-2"/>
        <n v="3.04E-2"/>
        <n v="3.0099999999999998E-2"/>
        <n v="2.5399999999999999E-2"/>
        <n v="2.5499999999999998E-2"/>
        <n v="2.5529E-2"/>
        <n v="0.1037"/>
        <n v="0.13930000000000001"/>
        <n v="0.13800000000000001"/>
        <n v="0.14149999999999999"/>
        <n v="0.14199999999999999"/>
        <n v="0.13985600000000001"/>
      </sharedItems>
    </cacheField>
    <cacheField name="[vwFunderShare].[Allocation State].[Allocation State]" caption="Allocation State" numFmtId="0" hierarchy="54" level="1">
      <sharedItems count="4">
        <s v="id_allocation"/>
        <s v="mt_allocation"/>
        <s v="or_allocation"/>
        <s v="wa_allocation"/>
      </sharedItems>
    </cacheField>
    <cacheField name="[Measures].[Sum of State Funder Share]" caption="Sum of State Funder Share" numFmtId="0" hierarchy="131"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2" memberValueDatatype="130" unbalanced="0">
      <fieldsUsage count="2">
        <fieldUsage x="-1"/>
        <fieldUsage x="0"/>
      </fieldsUsage>
    </cacheHierarchy>
    <cacheHierarchy uniqueName="[vwFunderShare].[Funder Type]" caption="Funder Type" attribute="1" defaultMemberUniqueName="[vwFunderShare].[Funder Type].[All]" allUniqueName="[vwFunderShare].[Funder Type].[All]" dimensionUniqueName="[vwFunderShare]" displayFolder="" count="2" memberValueDatatype="130" unbalanced="0">
      <fieldsUsage count="2">
        <fieldUsage x="-1"/>
        <fieldUsage x="1"/>
      </fieldsUsage>
    </cacheHierarchy>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2" memberValueDatatype="130" unbalanced="0">
      <fieldsUsage count="2">
        <fieldUsage x="-1"/>
        <fieldUsage x="2"/>
      </fieldsUsage>
    </cacheHierarchy>
    <cacheHierarchy uniqueName="[vwFunderShare].[Funder Share]" caption="Funder Share" attribute="1" defaultMemberUniqueName="[vwFunderShare].[Funder Share].[All]" allUniqueName="[vwFunderShare].[Funder Share].[All]" dimensionUniqueName="[vwFunderShare]" displayFolder="" count="2" memberValueDatatype="5" unbalanced="0">
      <fieldsUsage count="2">
        <fieldUsage x="-1"/>
        <fieldUsage x="3"/>
      </fieldsUsage>
    </cacheHierarchy>
    <cacheHierarchy uniqueName="[vwFunderShare].[Allocation State]" caption="Allocation State" attribute="1" defaultMemberUniqueName="[vwFunderShare].[Allocation State].[All]" allUniqueName="[vwFunderShare].[Allocation State].[All]" dimensionUniqueName="[vwFunderShare]" displayFolder="" count="2" memberValueDatatype="130" unbalanced="0">
      <fieldsUsage count="2">
        <fieldUsage x="-1"/>
        <fieldUsage x="4"/>
      </fieldsUsage>
    </cacheHierarchy>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oneField="1" hidden="1">
      <fieldsUsage count="1">
        <fieldUsage x="5"/>
      </fieldsUsage>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18171298" createdVersion="5" refreshedVersion="8" minRefreshableVersion="3" recordCount="0" supportSubquery="1" supportAdvancedDrill="1" xr:uid="{9E15792B-330B-497C-AE01-8B6465555014}">
  <cacheSource type="external" connectionId="15"/>
  <cacheFields count="10">
    <cacheField name="[vwMeasures].[Measure].[Measure]" caption="Measure" numFmtId="0" hierarchy="57" level="1">
      <sharedItems count="419">
        <s v="Irrigation Data Logger"/>
        <s v="Irrigation"/>
        <s v="Operator Certificate"/>
        <s v="Commercial Commissioning, New Construction"/>
        <s v="Commercial Commissioning, Retro"/>
        <s v="Industrial Commissioning, New Construction"/>
        <s v="Industrial Commissioning, Retro"/>
        <s v="Idaho Code, New Commercial, IECC 2000 &amp; 2003 IECC"/>
        <s v="Idaho Code, New Commercial, IECC 2030"/>
        <s v="Idaho Code, New Commercial, IECC 2006"/>
        <s v="Idaho Code, New Commercial, IECC 2009"/>
        <s v="Idaho Code, New Commercial, IECC 2012"/>
        <s v="Idaho Code, New Commercial, IECC 2015"/>
        <s v="Idaho Code, New Commercial, IECC 2018"/>
        <s v="Idaho Code, New Commercial, IECC 2021"/>
        <s v="Idaho Code, New Commercial, IECC 2024"/>
        <s v="Idaho Code, New Commercial, IECC 2027"/>
        <s v="Montana Code, New Commercial, IECC 2003 with Amend."/>
        <s v="Montana Code, New Commercial, IECC 2009 with Amend."/>
        <s v="Montana Code, New Commercial, IECC 2012"/>
        <s v="Montana Code, New Commercial, IECC 2018"/>
        <s v="Montana Code, New Commercial, IECC 2021"/>
        <s v="Montana Code, New Commercial, IECC 2024"/>
        <s v="Montana Code, New Commercial, IECC 2027"/>
        <s v="Montana Code, New Commercial, IECC 2030"/>
        <s v="Oregon Code, New Commercial, OSSC 2004"/>
        <s v="Oregon Code, New Commercial, OSSC 2007"/>
        <s v="Oregon Code, New Commercial, OEESC 2010"/>
        <s v="Oregon Code, New Commercial, OEESC 2014"/>
        <s v="Oregon Code, New Commercial, OZERCC 2019"/>
        <s v="Oregon Code, New Commercial, OEESC 2021"/>
        <s v="Oregon Code, New Commercial, OEESC 2023"/>
        <s v="Oregon Code, New Commercial, OEESC 2026"/>
        <s v="Oregon Code, New Commercial, OEESC 2029"/>
        <s v="Washington Code, New Commercial, WSEC 2000 &amp; WSEC 2003 with emergency changes"/>
        <s v="Washington Code, New Commercial, WSEC 2027"/>
        <s v="Washington Code, New Commercial, WSEC 2030"/>
        <s v="Washington Code, New Commercial, WSEC 2004"/>
        <s v="Washington Code, New Commercial, WSEC 2006"/>
        <s v="Washington Code, New Commercial, WSEC 2009"/>
        <s v="Washington Code, New Commercial, WSEC 2012"/>
        <s v="Washington Code, New Commercial, WSEC 2015"/>
        <s v="Washington Code, New Commercial, WSEC 2018"/>
        <s v="Washington Code, New Commercial, WSEC 2021"/>
        <s v="Washington Code, New Commercial, WSEC 2024"/>
        <s v="Network Management"/>
        <s v="Commercial Desktops, Non-Qualifying"/>
        <s v="Commercial Desktops, 80 PLUS"/>
        <s v="Commercial Desktops, ENERGY STAR 5.0"/>
        <s v="Commercial Desktops, ENERGY STAR 6.0"/>
        <s v="Commercial Desktops, ENERGY STAR 7.0"/>
        <s v="Commercial Desktops, ENERGY STAR 8.0"/>
        <s v="Grocery - All"/>
        <s v="BetterBricks (2008-2010) - Building Operations"/>
        <s v="Healthcare - Strategic Energy Management"/>
        <s v="Strategic Energy Management COM Existing"/>
        <s v="Washington Strategic Energy Management COM Existing"/>
        <s v="Oregon Strategic Energy Management COM Existing"/>
        <s v="Idaho Strategic Energy Management COM Existing"/>
        <s v="BetterBricks (2008-2010) - New Commercial Construction"/>
        <s v="Pilot"/>
        <s v="Commercial Building Operator Certification (Existing)"/>
        <s v="Non-Residential, Small, Large, and Very Large Commercial Package Air Conditioners &amp; Heat Pumps"/>
        <s v="Non-Residential Standard TBD"/>
        <s v="Non-Residential, Pre-rinse Spray Valves (2016)"/>
        <s v="Non-Residential, Ceiling Fans (2017)"/>
        <s v="Non-Residential, Ceiling Fan Light Kits (2017)"/>
        <s v="Non-Residential, Commercial Air Compressors (2016)"/>
        <s v="Non-Residential, Industrial Air Compressors (2016)"/>
        <s v="Non-Residential, Portable Air Conditioners (2020)"/>
        <s v="Non-Residential, Uninterruptible Power Supplies (2020)"/>
        <s v="Non-Residential, Commercial Packaged Boilers"/>
        <s v="Non-Residential, Washington Commercial High-CRI Fluorescent Lamp (2019)"/>
        <s v="Non-Residential, Oregon Commercial High-CRI Fluorescent Lamp (2021)"/>
        <s v="Non-Residential, Washington Industrial High-CRI Fluorescent Lamp (2019)"/>
        <s v="Non-Residential, Oregon Industrial High-CRI Fluorescent Lamp (2021)"/>
        <s v="Non-Residential, Washington Commercial Fryers - Electric (2019)"/>
        <s v="Non-Residential, Oregon Commercial Fryers - Electric (2021)"/>
        <s v="Non-Residential, Washington Steam Cookers - Electric (2019)"/>
        <s v="Non-Residential, Oregon Steam Cookers - Electric (2021)"/>
        <s v="Non-Residential, Washington Commercial Fryers - Gas (2019)"/>
        <s v="Non-Residential, Oregon Commercial Fryers - Gas (2021)"/>
        <s v="Non-Residential, Washington Steam Cookers - Gas (2019)"/>
        <s v="Non-Residential, Fluorescent Lamp Ballasts (2011)"/>
        <s v="Non-Residential, Oregon Steam Cookers - Gas (2021)"/>
        <s v="Non-Residential, Beverage Vending Machines (2016)"/>
        <s v="Non-Residential, Small Electric Motors (2010)"/>
        <s v="Non-Residential, Commercial Refrigeration Equipment (2014)"/>
        <s v="Non-Residential, Walk-in Coolers and Freezers (2014)"/>
        <s v="Non-Residential, Walk-in Coolers and Freezers (2017)"/>
        <s v="Non-Residential, Commercial Unitary Air Conditioners (RTUs) (2015)"/>
        <s v="Non-Residential, Electric Motors (2014)"/>
        <s v="Non-Residential, Commercial Pumps (2015)"/>
        <s v="Non-Residential, Industrial Pumps (2015)"/>
        <s v="Non-Residential, Agricultural Pumps (2015)"/>
        <s v="Deep Retrofits"/>
        <s v="Luminaire Level Lighting Controls"/>
        <s v="Solid State Streetlights with Controls"/>
        <s v="Commercial T8 Linear Fluorescent, 28W (7th Power Plan Baseline Adjustment)"/>
        <s v="Commercial T8 Linear Fluorescent, 28W"/>
        <s v="Commercial T8 Linear Fluorescent, 25W (7th Power Plan Baseline Adjustment)"/>
        <s v="Commercial T8 Linear Fluorescent, 25W"/>
        <s v="Industrial T8 Linear Fluorescent, 28W (7th Power Plan Baseline Adjustment)"/>
        <s v="Industrial T8 Linear Fluorescent, 28W"/>
        <s v="Industrial T8 Linear Fluorescent, 25W (7th Power Plan Baseline Adjustment)"/>
        <s v="Industrial T8 Linear Fluorescent, 25W"/>
        <s v="Upstream #2"/>
        <s v="Industrial Strategic Energy Management (SEM)"/>
        <s v="Commercial Strategic Energy Management (SEM)"/>
        <s v="Commercial Secondary Windows"/>
        <s v="DOAS, Existing Buildings, Where Required by Code, 60% ERV/HRV"/>
        <s v="VHE-DOAS, Existing Buildings, Where Required by Washington Code, &gt;=82% ERV/HRV"/>
        <s v="VHE-DOAS, New Buildings, Where Required by Washington Code&gt;= 82% ERV/HRV"/>
        <s v="VHE-DOAS, Existing Buildings, 60-81% ERV/HRV"/>
        <s v="VHE-DOAS, Existing Buildings, &gt;= 82% ERV/HRV"/>
        <s v="VHE-DOAS, New Buildings, 60-81% ERV/HRV"/>
        <s v="VHE-DOAS, New Buildings, &gt;= 82% ERV/HRV"/>
        <s v="Evap Fan"/>
        <s v="ASiMi and Silicon Crystal Growing Facilities"/>
        <s v="Asimi Crystal Growing Facilities"/>
        <s v="Silicon Crystal Growing Facilities"/>
        <s v="BacGen Technologies"/>
        <s v="MagnaDrive Adjustable Speed Drive"/>
        <s v="MagnaDrive Coupling"/>
        <s v="compressed air system"/>
        <s v="Motors, Non-Standard, 201-500 HP"/>
        <s v="Efficient Motor Rewinds, Industrial &amp; Ag"/>
        <s v="Efficient Motor Rewinds, Agricultural"/>
        <s v="Motors, Federal Standard, 1-200 HP"/>
        <s v="Strategic Energy Management IND Existing"/>
        <s v="Pulp and Paper - Strategic Energy Management"/>
        <s v="Distribution Efficiency"/>
        <s v="Refrigeration Operator Certification Projects"/>
        <s v="Small/Medium Industrials - Strategic Energy Management"/>
        <s v="Laptops, Commercial, Non-Qualifying"/>
        <s v="Laptops, Commercial, ENERGY STAR 6.0"/>
        <s v="Desktops, Residential, Non-Qualifying"/>
        <s v="Desktops, Residential, ENERGY STAR 6.0"/>
        <s v="Laptops, Residential, Non-Qualifying"/>
        <s v="Laptops, Residential, ENERGY STAR 6.0"/>
        <s v="Clothes Washers, Top-Loading, Non ENERGY STAR, pre 2015 measure"/>
        <s v="Clothes Washers, Below Federal Standard, IMEF 0.88-1.02"/>
        <s v="Clothes Washers, Front-Loading, Less Efficient than the Power Plan Baseline."/>
        <s v="Clothes Washers, Front-Loading, Non ENERGY STAR, pre 2015 measure"/>
        <s v="Clothes Washers, Below Federal Standard, IMEF 1.03-1.31"/>
        <s v="Clothes Washers, Federal Standard, IMEF 1.32-1.58"/>
        <s v="Clothes Washers, Federal Standard, IMEF 1.59-2.05"/>
        <s v="Clothes Washers, ENERGY STAR, IMEF 2.06-2.37"/>
        <s v="Clothes Washers, CEE TIER 1, IMEF 2.38-2.73"/>
        <s v="Clothes Washers, CEE TIER 2, IMEF 2.74-2.91"/>
        <s v="Clothes Washers, CEE TIER 3, IMEF 2.92+"/>
        <s v="Clothes Washers, Top-Loading, ENERGY STAR , pre 2015 measure"/>
        <s v="CFL, General Purpose"/>
        <s v="CFL, Specialty"/>
        <s v="LED, General Purpose"/>
        <s v="LED, Specialty"/>
        <s v="Other, General Purpose"/>
        <s v="Other, Specialty"/>
        <s v="U Factor 0.35 (New and Existing Construction)"/>
        <s v="U-value 0.35 New Residential Construction"/>
        <s v="Certificate"/>
        <s v="Lighting Fixtures - All"/>
        <s v="Dishwashers, Energy Factor 52"/>
        <s v="Dishwashers, Energy Factor 58"/>
        <s v="Dishwashers, Energy Factor 65"/>
        <s v="Dishwashers, Energy Factor 68"/>
        <s v="Refrigerators, ENERGY STAR &amp; More Efficient"/>
        <s v="Refrigerators, ENERGY STAR 2003"/>
        <s v="Refrigerators, ENERGY STAR 2008"/>
        <s v="Refrigerators, ENERGY STAR V5"/>
        <s v="Refrigerators, ENERGY STAR +15-20% above Standard (CEE Tier 2; 2016 and 2017 ENERGY STAR Most Efficient)"/>
        <s v="Refrigerators, ENERGY STAR +20% or better above Standard (CEE Tier 3)"/>
        <s v="Refrigerators, Non-Qualifying"/>
        <s v="Washington ENERGY STAR Home, New Single-Family"/>
        <s v="Idaho ENERGY STAR Home, New Multifamily"/>
        <s v="Regional ENERGY STAR Home, New Single-Family"/>
        <s v="Oregon ENERGY STAR Home, New Multifamily"/>
        <s v="Washington ENERGY STAR Home, New Multifamily"/>
        <s v="Montana ENERGY STAR Home, New Multifamily"/>
        <s v="Idaho Code, New Single-Family, IECC 2006"/>
        <s v="Idaho Code, New Single-Family, IECC 2009"/>
        <s v="Idaho Code, New Single-Family, IECC 2012 with Amend."/>
        <s v="Montana Code, New Single-Family, IECC 2003 with Amend."/>
        <s v="Montana Code, New Single-Family, IECC 2009 with Amend."/>
        <s v="Montana Code, New Single-Family, IECC 2012 with Amend."/>
        <s v="Oregon Code, New Single-Family, ORSC 2008"/>
        <s v="Oregon Code, New Single-Family, ORSC 2011"/>
        <s v="Oregon Code, New Single-Family, ORSC 2015"/>
        <s v="Washington Code, New Single-Family, WSEC 2006"/>
        <s v="Washington Code, New Single-Family, WSEC 2009"/>
        <s v="Washington Code, New Single-Family WSEC 2012"/>
        <s v="Idaho ENERGY STAR Home, New Single-Family"/>
        <s v="Montana ENERGY STAR Home, New Single-Family"/>
        <s v="Oregon ENERGY STAR Home New Single-Family"/>
        <s v="Idaho Code, New Multifamily, IECC 2006"/>
        <s v="Idaho Code, New Multifamily, IECC 2009"/>
        <s v="Idaho Code, New Multifamily, IECC 2012 with ID Amend."/>
        <s v="Idaho Code, New Multifamily, IECC 2015"/>
        <s v="Idaho Code, New Multifamily, IECC 2018"/>
        <s v="Idaho Code, New Multifamily, IECC 2021"/>
        <s v="Montana Code, New Multifamily, IECC 2003 with MT Amend."/>
        <s v="Montana Code, New Multifamily, IECC 2009 with MT Amend."/>
        <s v="Montana Code, New Multifamily, IECC 2012 with MT Amend."/>
        <s v="Montana Code, New Multifamily, IECC 2015"/>
        <s v="Montana Code, New Multifamily, IECC 2018 with MT Amend"/>
        <s v="Montana Code, New Multifamily, IECC 2021"/>
        <s v="Oregon Code, New Multifamily, ORSC 2008"/>
        <s v="Oregon Code, New Multifamily, ORSC 2011"/>
        <s v="Oregon Code, New Multifamily, ORSC 2014"/>
        <s v="Oregon Code, New Multifamily, ORSC 2017"/>
        <s v="Oregon Code, New Multifamily, ORSC 2021"/>
        <s v="Oregon Code, New Multifamily, ORSC 2023"/>
        <s v="Washington Code, New Multifamily, WSEC 2006"/>
        <s v="Washington Code, New Multifamily, WSEC 2009"/>
        <s v="Washington Code, New Multifamily, WSEC 2012"/>
        <s v="Washington Code, New Multifamily, WSEC 2015"/>
        <s v="Washington Code, New Multifamily, WSEC 2018"/>
        <s v="Washington Code, New Multifamily, WSEC 2021"/>
        <s v="Ductless Heat Pumps, Single-Family Home, Existing Displace - Zonal"/>
        <s v="Ductless Heat Pumps, Single-Family Home, Existing Displace - eFAF"/>
        <s v="Ductless Heat Pumps, Manufactured Home, Existing Displace - eFAF"/>
        <s v="Televisions, Above baseline established in NEEA's original Televisions Program (2009-2014)"/>
        <s v="Televisions, ENERGY STAR 3.0 +30%"/>
        <s v="Televisions, Most Efficient 2015"/>
        <s v="Televisions, ENERGY STAR 4.1"/>
        <s v="Televisions, ENERGY STAR 5.3"/>
        <s v="Televisions, ENERGY STAR 5.3 +20%"/>
        <s v="Televisions, ENERGY STAR 5.3 +35%"/>
        <s v="Televisions, ENERGY STAR 6.2 +20%"/>
        <s v="Televisions, Most Efficient 2013"/>
        <s v="Televisions, ENERGY STAR 7"/>
        <s v="Televisions, ENERGY STAR 7 +35%"/>
        <s v="Super Efficient Dryers, Non-Qualifying"/>
        <s v="Super Efficient Dryers, ENERGY STAR"/>
        <s v="Super Efficient Dryers, Tier 2"/>
        <s v="Super Efficient Dryers, Tier 3"/>
        <s v="Super Efficient Dryers, Tier 4"/>
        <s v="Super Efficient Dryers, Tier 5"/>
        <s v="Super Efficient Dryers, Tier 6"/>
        <s v="HPWH, Existing Construction, Small Tank, Tier 1"/>
        <s v="HPWH, Existing Construction, Small Tank, Tier 2"/>
        <s v="HPWH, Existing Construction, Small Tank, Tier 3"/>
        <s v="HPWH, Existing Construction, Small Tank, Tier 4"/>
        <s v="HPWH, Existing Construction, Small Tank, Tier 5"/>
        <s v="HPWH, Existing Construction, Large Tank, Tier 1"/>
        <s v="HPWH, Existing Construction, Large Tank, Tier 2"/>
        <s v="HPWH, Existing Construction, Large Tank, Tier 3"/>
        <s v="HPWH, Existing Construction, Large Tank, Tier 4"/>
        <s v="HPWH, Existing Construction, Large Tank, Tier 5"/>
        <s v="HPWH, New Construction, Small Tank, Tier 1"/>
        <s v="HPWH, New Construction, Small Tank, Tier 2"/>
        <s v="HPWH, New Construction, Small Tank, Tier 3"/>
        <s v="HPWH, New Construction, Small Tank, Tier 4"/>
        <s v="HPWH, New Construction, Small Tank, Tier 5"/>
        <s v="HPWH, New Construction, Large Tank, Tier 1"/>
        <s v="HPWH, New Construction, Large Tank, Tier 2"/>
        <s v="HPWH, New Construction, Large Tank, Tier 3"/>
        <s v="HPWH, New Construction, Large Tank, Tier 4"/>
        <s v="HPWH, New Construction, Large Tank, Tier 5"/>
        <s v="Oregon Next Step Home, New Single-Family"/>
        <s v="Washington Northwest ENERGY STAR Home, New Single-Family"/>
        <s v="Washington Next Step Home, New Single-Family"/>
        <s v="Idaho National Green Building Standard, New Single-Family"/>
        <s v="Montana National Green Building Standard, New Single-Family"/>
        <s v="Oregon National Green Building Standard, New Single-Family"/>
        <s v="Washington National Green Building Standard, New Single-Family"/>
        <s v="Washington BuiltGreen Home, New Single-Family"/>
        <s v="Idaho Home Energy Rating System (HERS)/ENERGY STAR, New Single-Family"/>
        <s v="Montana Home Energy Rating System (HERS)/ENERGY STAR, New Single-Family"/>
        <s v="Oregon Home Energy Rating System (HERS)/ENERGY STAR New Single-Family"/>
        <s v="Washington Home Energy Rating System (HERS)/ENERGY STAR, New Single-Family"/>
        <s v="Idaho Home Energy Rating System (HERS)/ENERGY STAR, New Multifamily"/>
        <s v="Montana Home Energy Rating System (HERS)/ENERGY STAR, New Multifamily"/>
        <s v="Oregon Home Energy Rating System (HERS)/ENERGY STAR, New Multifamily"/>
        <s v="Washington Home Energy Rating System (HERS)/ENERGY STAR, New Multifamily"/>
        <s v="Idaho ENERGY STAR Northwest Home, New Multifamily"/>
        <s v="Washington ENERGY STAR Northwest Home, New Multifamily"/>
        <s v="Oregon Energy Performance Score Home, New Single-Family"/>
        <s v="Idaho Code, Single-Family, IECC 2015"/>
        <s v="Idaho Code, Single-Family, IECC 2018"/>
        <s v="Idaho Code, Single-Family, IECC 2021"/>
        <s v="Idaho Code, Single-Family, IECC 2024"/>
        <s v="Idaho Code, Single-Family, IECC 2027"/>
        <s v="Washington BuiltGreen Home, New Multifamily"/>
        <s v="Idaho Performance Path, New Single-Family"/>
        <s v="Montana Performance Path, New Single-Family"/>
        <s v="Oregon Performance Path, New Single-Family"/>
        <s v="Washington Performance Path, New Single-Family"/>
        <s v="Washington National Green Building Standard, New Multifamily"/>
        <s v="Oregon National Green Building Standard, New Multifamily"/>
        <s v="Idaho National Green Building Standard, New Multifamily"/>
        <s v="Montana National Green Building Standard, New Multifamily"/>
        <s v="Oregon Earth Advantage, New Single-Family"/>
        <s v="Washington Home Energy Program, New Single-Family"/>
        <s v="Montana Code, Single-Family, IECC 2018"/>
        <s v="Montana Code, Single-Family, IECC 2021"/>
        <s v="Montana Code, Single-Family, IECC 2024"/>
        <s v="Montana Code, Single-Family, IECC 2027"/>
        <s v="Oregon Code, Single-Family, ORSC 2017"/>
        <s v="Oregon Code, Single-Family, ORSC 2021"/>
        <s v="Oregon Code, Single-Family, ORSC 2023"/>
        <s v="Oregon Code, Single-Family, ORSC 2026"/>
        <s v="Oregon Code, Single-Family, ORSC 2029"/>
        <s v="Washington Code, Single-Family, WSEC 2015"/>
        <s v="Washington Code, Single-Family, WSEC 2018"/>
        <s v="Washington Code, Single-Family, WSEC 2021"/>
        <s v="Washington Code, Single-Family, WSEC 2024"/>
        <s v="Washington Code, Single-Family, WSEC 2027"/>
        <s v="Idaho Northwest ENERGY STAR Home, New Single-Family"/>
        <s v="Montana Northwest ENERGY STAR Home, New Single-Family"/>
        <s v="Oregon Northwest ENERGY STAR Home, New Single-Family"/>
        <s v="Idaho Next Step Home, New Single-Family"/>
        <s v="Montana Next Step Home, New Single-Family"/>
        <s v="Residential, Ceiling Fan Light Kits (2017)"/>
        <s v="Residential, Portable Air Conditioners (2020)"/>
        <s v="Residential, Uninterruptible Power Supplies (2020)"/>
        <s v="Residential, Commercial Packaged Boilers"/>
        <s v="Residential Standard TBD"/>
        <s v="Residential, Central AC (2015)"/>
        <s v="Residential, Battery Chargers (2013)"/>
        <s v="Residential, Heat Pumps (2015)"/>
        <s v="Residential, Furnaces Fans (2014)"/>
        <s v="Residential, Dryers (2011)"/>
        <s v="Residential, External Power Supplies (2014)"/>
        <s v="Residential, Fluorescent Lamp Ballast (2014)"/>
        <s v="Residential, Ceiling Fans (2017)"/>
        <s v="Freezers, Compact Chest and Upright, Non-Qualifying"/>
        <s v="Freezers, Compact Chest and Upright, ENERGY STAR v5"/>
        <s v="Freezers, Compact Chest and Upright, ENERGY STAR v5 +5%"/>
        <s v="Clothes Washers, Standard-size Top-Loading, Electric, Non ENERGY STAR v8"/>
        <s v="Clothes Washers, Standard-size Top-Loading, Electric, ENERGY STAR v7"/>
        <s v="Clothes Washers, Standard-size Top-Loading, Electric, ENERGY STAR Most Efficient 2017+"/>
        <s v="Clothes Washers, Standard-size Top Loading, Electric, ENERGY STAR TBD"/>
        <s v="Refrigerators, Standard-size Bottom-mount Freezers, Non-Qualifying"/>
        <s v="Refrigerators, Standard-size Bottom-mount Freezers, ENERGY STAR v5"/>
        <s v="Refrigerators, Standard-size Bottom-mount Freezers, ENERGY STAR Most Efficient &amp; Emerging Tech Award"/>
        <s v="TBD Measures"/>
        <s v="Refrigerators, Standard-size Side-mount Freezers, Non-Qualifying"/>
        <s v="Refrigerators, Standard-size Side-mount Freezers, ENERGY STAR v5"/>
        <s v="Refrigerators, Standard-size Side-mount Freezers, ENERGY STAR v5 Most Efficient &amp; Emerging Tech Award"/>
        <s v="Refrigerators, Standard-size Side-mount Freezers, ENERGY STAR +20% or better above Standard"/>
        <s v="Clothes Dryers, Standard, Electric, Non-Qualifying"/>
        <s v="Clothes Dryers, Standard, Electric, ENERGY STAR v1"/>
        <s v="Clothes Dryers, Standard, Electric, UCEF 3.00 to 4.19"/>
        <s v="Clothes Dryers, Standard, Electric, UCEF 4.20 to 5.29"/>
        <s v="Clothes Dryers, Standard, Electric, UCEF 5.30 to 6.09"/>
        <s v="Clothes Dryers, Standard, Electric, UCEF 6.10 to 7.19"/>
        <s v="Clothes Dryers, Standard, Electric, UCEF 7.20 to 8.00"/>
        <s v="Clothes Dryers, Standard, Gas, Non-Qualifying"/>
        <s v="Clothes Dryers, Standard, Gas, ENERGY STAR v1"/>
        <s v="Clothes Dryers, Standard, Gas, ENERGY STAR v1 Most Efficient"/>
        <s v="Clothes Dryers, Compact, Gas, Non-Qualifying"/>
        <s v="Clothes Dryers, Compact, Gas, ENERGY STAR v1"/>
        <s v="Clothes Dryers, Compact, Gas, ENERGY STAR v1 Most Efficient"/>
        <s v="Dehumidifiers, Standard, Electric, Non-Qualifying"/>
        <s v="Dehumidifiers, Standard, Electric, ENERGY STAR v4"/>
        <s v="Refrigerators, Compact, Non-Qualifying"/>
        <s v="Refrigerators, Compact, ENERGY STAR v5"/>
        <s v="Refrigerators, Compact, ENERGY STAR v5 Most Efficient"/>
        <s v="Clothes Dryers, Compact, Electric, Non-Qualifying"/>
        <s v="Clothes Dryers, Compact, Electric, ENERGY STAR v1"/>
        <s v="Clothes Dryers, Compact, Electric, ENERGY STAR v1 Most Efficient"/>
        <s v="Clothes Washers, Compact, Electric, Non ENERGY STAR v8"/>
        <s v="Televisions, Ultra-High Definition, ENERGY STAR v9 (Standby Mode Power)"/>
        <s v="Room Air Cleaners, All Sizes, Non-Qualifying"/>
        <s v="Room Air Cleaners, All Sizes, ENERGY STAR v1"/>
        <s v="Room Air Cleaners, All Sizes, ENERGY STAR v2"/>
        <s v="Room Air Cleaners, All Sizes, ENERGY STAR v2 +50%"/>
        <s v="Room Air Conditioners, Med/Large, Non-Qualifying"/>
        <s v="Room Air Conditioners, Med/Large, ENERGY STAR v4"/>
        <s v="Room Air Conditioners, Med/Large, ENERGY STAR Most Efficient"/>
        <s v="Soundbars, Non-Qualifying"/>
        <s v="Soundbars, ENERGY STAR"/>
        <s v="Soundbars, ENERGY STAR V3 +15%"/>
        <s v="Soundbars, ENERGY STAR V3 +50%"/>
        <s v="Soundbars, ENERGY STAR V3 +60-70%"/>
        <s v="Freezers, Standard-size Upright, Non-Qualifying"/>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TBD)"/>
        <s v="Televisions, Ultra-High Definition, ENERGY STAR v9 (On Mode Power)"/>
        <s v="Televisions, Ultra-High Definition, ENERGY STAR v8 +20%"/>
        <s v="Televisions, Ultra-High Definition, ENERGY STAR Most Efficient"/>
        <s v="Televisions, Ultra-High Definition, ENERGY STAR v8 +35%"/>
        <s v="Televisions, Ultra-High Definition, TBD"/>
        <s v="Clothes Washers, Front-Loading, Electric, NonENERGY STAR v8 (IMEF 1.84)"/>
        <s v="Clothes Washers, Front-Loading, Electric, ENERGY STAR v7 &amp; v8"/>
        <s v="Clothes Washers, Front-Loading, Electric, ENERGY STAR v8 Most Efficient 2017"/>
        <s v="Clothes Washers, Front-Loading, Electric, ENERGY STAR v8 Most Efficient 2018+"/>
        <s v="Clothes Washers, Front-Loading, Electric, IMEF 2.92+"/>
        <s v="Freezers, Standard-size Chest, Non-Qualifying"/>
        <s v="Freezers, Standard-size Chest, ENERGY STAR v5"/>
        <s v="Freezers, Standard-size Chest, ENERGY STAR v5 +5%"/>
        <s v="Manufactured Home, Inefficient"/>
        <s v="Manufactured Home, HUD Code"/>
        <s v="Manufactured Home, NEEM 1.1"/>
        <s v="Manufactured Home, NEEM Plus"/>
        <s v="Residential, Non-Qualifying Hydronic Heating Circulator with ECM"/>
        <s v="Residential, Hydronic Heating Circulator with ECM"/>
        <s v="Residential, Hydronic Heating Circulator with ECM and Controls"/>
        <s v="Commercial, Non-Qualifying Hydronic Heating Circulator with ECM"/>
        <s v="Commercial, Hydronic Heating Circulator with ECM"/>
        <s v="Commercial, Hydronic Heating Circulator with ECM and Controls"/>
        <s v="Residential, Non-Qualifying DHW ECM Circulator"/>
        <s v="Residential, DHW ECM Circulator"/>
        <s v="Residential, DHW Induction Circulator with Controls"/>
        <s v="Residential, DHW ECM Circulator with Controls"/>
        <s v="Commercial, Non-Qualifying DHW ECM Circulator"/>
        <s v="Commercial, DHW ECM Circulator"/>
        <s v="Commercial, DHW Induction Circulator with Controls"/>
        <s v="Commercial, DHW ECM Circulator with Controls"/>
        <s v="Commercial, Non-Qualifying Constant Speed Clean Water Pump"/>
        <s v="Commercial, Constant Speed Clean Water Pump"/>
        <s v="Commercial, Non-Qualifying Variable Speed Clean Water Pump"/>
        <s v="Commercial, Variable Speed Clean Water Pump"/>
        <s v="Commercial, Variable Speed Clean Water Pump - Constant Speed Replacement"/>
      </sharedItems>
    </cacheField>
    <cacheField name="[vwMeasures].[Measure Index].[Measure Index]" caption="Measure Index" numFmtId="0" hierarchy="59" level="1">
      <sharedItems count="422">
        <s v="AGR_200201_P1T1"/>
        <s v="AGR_201401_P1T1"/>
        <s v="COM_199701_P1T1"/>
        <s v="COM_200002_P1T1"/>
        <s v="COM_200002_P2T1"/>
        <s v="COM_200002_P3T1"/>
        <s v="COM_200002_P4T1"/>
        <s v="COM_200202_P1T1"/>
        <s v="COM_200202_P1T10"/>
        <s v="COM_200202_P1T2"/>
        <s v="COM_200202_P1T3"/>
        <s v="COM_200202_P1T4"/>
        <s v="COM_200202_P1T5"/>
        <s v="COM_200202_P1T6"/>
        <s v="COM_200202_P1T7"/>
        <s v="COM_200202_P1T8"/>
        <s v="COM_200202_P1T9"/>
        <s v="COM_200202_P2T1"/>
        <s v="COM_200202_P2T2"/>
        <s v="COM_200202_P2T3"/>
        <s v="COM_200202_P2T4"/>
        <s v="COM_200202_P2T5"/>
        <s v="COM_200202_P2T6"/>
        <s v="COM_200202_P2T7"/>
        <s v="COM_200202_P2T8"/>
        <s v="COM_200202_P3T1"/>
        <s v="COM_200202_P3T2"/>
        <s v="COM_200202_P3T3"/>
        <s v="COM_200202_P3T4"/>
        <s v="COM_200202_P3T5"/>
        <s v="COM_200202_P3T6"/>
        <s v="COM_200202_P3T7"/>
        <s v="COM_200202_P3T8"/>
        <s v="COM_200202_P3T9"/>
        <s v="COM_200202_P4T1"/>
        <s v="COM_200202_P4T10"/>
        <s v="COM_200202_P4T11"/>
        <s v="COM_200202_P4T2"/>
        <s v="COM_200202_P4T3"/>
        <s v="COM_200202_P4T4"/>
        <s v="COM_200202_P4T5"/>
        <s v="COM_200202_P4T6"/>
        <s v="COM_200202_P4T7"/>
        <s v="COM_200202_P4T8"/>
        <s v="COM_200202_P4T9"/>
        <s v="COM_200203_P1T1"/>
        <s v="COM_200701_P1T0"/>
        <s v="COM_200701_P1T1"/>
        <s v="COM_200701_P1T2"/>
        <s v="COM_200701_P1T3"/>
        <s v="COM_200701_P1T4"/>
        <s v="COM_200701_P1T5"/>
        <s v="COM_200702_P1T1"/>
        <s v="COM_200801_P1T1"/>
        <s v="COM_200802_P1T1"/>
        <s v="COM_200803_P1T1"/>
        <s v="COM_200803_P2T1"/>
        <s v="COM_200803_P3T1"/>
        <s v="COM_200803_P4T1"/>
        <s v="COM_200901_P1T1"/>
        <s v="COM_201101_P1T1"/>
        <s v="COM_201201_P1T1"/>
        <s v="COM_201304_P10T1"/>
        <s v="COM_201304_P11T1"/>
        <s v="COM_201304_P12T1"/>
        <s v="COM_201304_P13T1"/>
        <s v="COM_201304_P14T1"/>
        <s v="COM_201304_P15T1"/>
        <s v="COM_201304_P15T2"/>
        <s v="COM_201304_P16T1"/>
        <s v="COM_201304_P17T1"/>
        <s v="COM_201304_P18T1"/>
        <s v="COM_201304_P19T1"/>
        <s v="COM_201304_P20T1"/>
        <s v="COM_201304_P21T1"/>
        <s v="COM_201304_P22T1"/>
        <s v="COM_201304_P23T1"/>
        <s v="COM_201304_P24T1"/>
        <s v="COM_201304_P25T1"/>
        <s v="COM_201304_P26T1"/>
        <s v="COM_201304_P27T1"/>
        <s v="COM_201304_P28T1"/>
        <s v="COM_201304_P29T1"/>
        <s v="COM_201304_P2T1"/>
        <s v="COM_201304_P30T1"/>
        <s v="COM_201304_P3T1"/>
        <s v="COM_201304_P4T1"/>
        <s v="COM_201304_P5T1"/>
        <s v="COM_201304_P6T1"/>
        <s v="COM_201304_P6T2"/>
        <s v="COM_201304_P7T1"/>
        <s v="COM_201304_P8T1"/>
        <s v="COM_201304_P9T1"/>
        <s v="COM_201304_P9T2"/>
        <s v="COM_201304_P9T3"/>
        <s v="COM_201305_P1T1"/>
        <s v="COM_201401_P1T1"/>
        <s v="COM_201402_P1T1"/>
        <s v="COM_201403_P1T0"/>
        <s v="COM_201403_P1T1"/>
        <s v="COM_201403_P2T0"/>
        <s v="COM_201403_P2T1"/>
        <s v="COM_201403_P3T0"/>
        <s v="COM_201403_P3T1"/>
        <s v="COM_201403_P4T0"/>
        <s v="COM_201403_P4T1"/>
        <s v="COM_201404_P1T1"/>
        <s v="COM_201405_P1T1"/>
        <s v="COM_201405_P2T1"/>
        <s v="COM_201601_P1T1"/>
        <s v="COM_202201_P1T1"/>
        <s v="COM_202201_P1T2"/>
        <s v="COM_202201_P2T1"/>
        <s v="COM_202201_P3T1"/>
        <s v="COM_202201_P4T1"/>
        <s v="COM_202201_P5T1"/>
        <s v="COM_202201_P6T1"/>
        <s v="IND_199801_P1T1"/>
        <s v="IND_199802_P1T1"/>
        <s v="IND_199802_P2T1"/>
        <s v="IND_199802_P3T1"/>
        <s v="IND_199901_P1T1"/>
        <s v="IND_199902_P1T1"/>
        <s v="IND_199902_P2T1"/>
        <s v="IND_200004_P1T1"/>
        <s v="IND_200402_P1T1"/>
        <s v="IND_200402_P2T1"/>
        <s v="IND_200402_P2T2"/>
        <s v="IND_200402_P3T1"/>
        <s v="IND_200602_P1T1"/>
        <s v="IND_200603_P1T1"/>
        <s v="IND_200702_P1T1"/>
        <s v="IND_201301_P1T1"/>
        <s v="IND_201302_P1T1"/>
        <s v="OTH_201601_P1T0"/>
        <s v="OTH_201601_P1T1"/>
        <s v="OTH_201601_P2T0"/>
        <s v="OTH_201601_P2T1"/>
        <s v="OTH_201601_P3T0"/>
        <s v="OTH_201601_P3T1"/>
        <s v="RES_199702_P1T0"/>
        <s v="RES_199702_P1T1"/>
        <s v="RES_199702_P1T10"/>
        <s v="RES_199702_P1T11"/>
        <s v="RES_199702_P1T2"/>
        <s v="RES_199702_P1T3"/>
        <s v="RES_199702_P1T4"/>
        <s v="RES_199702_P1T5"/>
        <s v="RES_199702_P1T6"/>
        <s v="RES_199702_P1T7"/>
        <s v="RES_199702_P1T8"/>
        <s v="RES_199702_P1T9"/>
        <s v="RES_199703_P1T1"/>
        <s v="RES_199703_P2T1"/>
        <s v="RES_199703_P3T1"/>
        <s v="RES_199703_P4T1"/>
        <s v="RES_199703_P5T1"/>
        <s v="RES_199703_P6T1"/>
        <s v="RES_199705_P1T1"/>
        <s v="RES_199705_P2T1"/>
        <s v="RES_199705_P3T1"/>
        <s v="RES_199706_P1T1"/>
        <s v="RES_199802_P1T1"/>
        <s v="RES_200005_P1T1"/>
        <s v="RES_200005_P1T2"/>
        <s v="RES_200005_P1T3"/>
        <s v="RES_200005_P1T4"/>
        <s v="RES_200006_P1T0"/>
        <s v="RES_200006_P1T1"/>
        <s v="RES_200006_P1T2"/>
        <s v="RES_200006_P1T3"/>
        <s v="RES_200006_P1T4"/>
        <s v="RES_200006_P1T5"/>
        <s v="RES_200006_P1T6"/>
        <s v="RES_200401_P11T1"/>
        <s v="RES_200401_P12T1"/>
        <s v="RES_200401_P13T1"/>
        <s v="RES_200401_P14T1"/>
        <s v="RES_200401_P15T1"/>
        <s v="RES_200401_P16T1"/>
        <s v="RES_200401_P1T1"/>
        <s v="RES_200401_P1T2"/>
        <s v="RES_200401_P1T3"/>
        <s v="RES_200401_P2T1"/>
        <s v="RES_200401_P2T2"/>
        <s v="RES_200401_P2T3"/>
        <s v="RES_200401_P3T1"/>
        <s v="RES_200401_P3T2"/>
        <s v="RES_200401_P3T3"/>
        <s v="RES_200401_P4T1"/>
        <s v="RES_200401_P4T2"/>
        <s v="RES_200401_P4T3"/>
        <s v="RES_200401_P5T1"/>
        <s v="RES_200401_P6T1"/>
        <s v="RES_200401_P7T1"/>
        <s v="RES_200601_P1T1"/>
        <s v="RES_200601_P1T2"/>
        <s v="RES_200601_P1T3"/>
        <s v="RES_200601_P1T4"/>
        <s v="RES_200601_P1T5"/>
        <s v="RES_200601_P1T6"/>
        <s v="RES_200601_P2T1"/>
        <s v="RES_200601_P2T2"/>
        <s v="RES_200601_P2T3"/>
        <s v="RES_200601_P2T4"/>
        <s v="RES_200601_P2T5"/>
        <s v="RES_200601_P2T6"/>
        <s v="RES_200601_P3T1"/>
        <s v="RES_200601_P3T2"/>
        <s v="RES_200601_P3T3"/>
        <s v="RES_200601_P3T4"/>
        <s v="RES_200601_P3T5"/>
        <s v="RES_200601_P3T6"/>
        <s v="RES_200601_P4T1"/>
        <s v="RES_200601_P4T2"/>
        <s v="RES_200601_P4T3"/>
        <s v="RES_200601_P4T4"/>
        <s v="RES_200601_P4T5"/>
        <s v="RES_200601_P4T6"/>
        <s v="RES_200804_P1T1"/>
        <s v="RES_200804_P2T1"/>
        <s v="RES_200804_P3T1"/>
        <s v="RES_200902_P1T0"/>
        <s v="RES_200902_P1T1"/>
        <s v="RES_200902_P1T10"/>
        <s v="RES_200902_P1T2"/>
        <s v="RES_200902_P1T3"/>
        <s v="RES_200902_P1T4"/>
        <s v="RES_200902_P1T5"/>
        <s v="RES_200902_P1T6"/>
        <s v="RES_200902_P1T7"/>
        <s v="RES_200902_P1T8"/>
        <s v="RES_200902_P1T9"/>
        <s v="RES_201101_P1T0"/>
        <s v="RES_201101_P1T1"/>
        <s v="RES_201101_P1T2"/>
        <s v="RES_201101_P1T3"/>
        <s v="RES_201101_P1T4"/>
        <s v="RES_201101_P1T5"/>
        <s v="RES_201101_P1T6"/>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0T1"/>
        <s v="RES_201301_P11T1"/>
        <s v="RES_201301_P12T1"/>
        <s v="RES_201301_P13T1"/>
        <s v="RES_201301_P13T2"/>
        <s v="RES_201301_P13T3"/>
        <s v="RES_201301_P13T4"/>
        <s v="RES_201301_P14T1"/>
        <s v="RES_201301_P15T1"/>
        <s v="RES_201301_P15T2"/>
        <s v="RES_201301_P15T3"/>
        <s v="RES_201301_P15T4"/>
        <s v="RES_201301_P16T1"/>
        <s v="RES_201301_P16T2"/>
        <s v="RES_201301_P16T3"/>
        <s v="RES_201301_P16T4"/>
        <s v="RES_201301_P17T1"/>
        <s v="RES_201301_P18T1"/>
        <s v="Res_201301_P19T1"/>
        <s v="RES_201301_P1T4"/>
        <s v="RES_201301_P1T5"/>
        <s v="RES_201301_P1T6"/>
        <s v="RES_201301_P1T7"/>
        <s v="RES_201301_P1T8"/>
        <s v="Res_201301_P20T3"/>
        <s v="RES_201301_P21T1"/>
        <s v="RES_201301_P22T1"/>
        <s v="RES_201301_P23T1"/>
        <s v="RES_201301_P24T1"/>
        <s v="RES_201301_P25T1"/>
        <s v="RES_201301_P25T2"/>
        <s v="RES_201301_P25T3"/>
        <s v="RES_201301_P25T4"/>
        <s v="RES_201301_P26T5"/>
        <s v="RES_201301_P27T1"/>
        <s v="RES_201301_P2T4"/>
        <s v="RES_201301_P2T5"/>
        <s v="RES_201301_P2T6"/>
        <s v="RES_201301_P2T7"/>
        <s v="RES_201301_P3T3"/>
        <s v="RES_201301_P3T4"/>
        <s v="RES_201301_P3T5"/>
        <s v="RES_201301_P3T6"/>
        <s v="RES_201301_P3T7"/>
        <s v="RES_201301_P4T4"/>
        <s v="RES_201301_P4T5"/>
        <s v="RES_201301_P4T6"/>
        <s v="RES_201301_P4T7"/>
        <s v="RES_201301_P4T8"/>
        <s v="RES_201301_P5T1"/>
        <s v="RES_201301_P6T1"/>
        <s v="RES_201301_P7T1"/>
        <s v="RES_201301_P8T1"/>
        <s v="RES_201301_P9T1"/>
        <s v="RES_201402_P10T1"/>
        <s v="RES_201402_P11T1"/>
        <s v="RES_201402_P12T1"/>
        <s v="RES_201402_P13T1"/>
        <s v="RES_201402_P1T1"/>
        <s v="RES_201402_P2T1"/>
        <s v="RES_201402_P3T1"/>
        <s v="RES_201402_P4T1"/>
        <s v="RES_201402_P5T1"/>
        <s v="RES_201402_P6T1"/>
        <s v="RES_201402_P7T1"/>
        <s v="RES_201402_P8T1"/>
        <s v="RES_201402_P9T1"/>
        <s v="RES_201403_P10T0"/>
        <s v="RES_201403_P10T1"/>
        <s v="RES_201403_P10T2"/>
        <s v="RES_201403_P11T0"/>
        <s v="RES_201403_P11T1"/>
        <s v="RES_201403_P11T2"/>
        <s v="RES_201403_P11T3"/>
        <s v="RES_201403_P12T0"/>
        <s v="RES_201403_P12T1"/>
        <s v="RES_201403_P12T2"/>
        <s v="RES_201403_P12T3"/>
        <s v="RES_201403_P13T0"/>
        <s v="RES_201403_P13T1"/>
        <s v="RES_201403_P13T2"/>
        <s v="RES_201403_P13T3"/>
        <s v="RES_201403_P14T0"/>
        <s v="RES_201403_P14T1"/>
        <s v="RES_201403_P14T2"/>
        <s v="RES_201403_P14T3"/>
        <s v="RES_201403_P14T4"/>
        <s v="RES_201403_P14T5"/>
        <s v="RES_201403_P14T6"/>
        <s v="RES_201403_P15T0"/>
        <s v="RES_201403_P15T1"/>
        <s v="RES_201403_P15T2"/>
        <s v="RES_201403_P16T0"/>
        <s v="RES_201403_P16T1"/>
        <s v="RES_201403_P16T2"/>
        <s v="RES_201403_P17T0"/>
        <s v="RES_201403_P17T1"/>
        <s v="RES_201403_P18T0"/>
        <s v="RES_201403_P18T1"/>
        <s v="RES_201403_P18T2"/>
        <s v="RES_201403_P19T0"/>
        <s v="RES_201403_P19T1"/>
        <s v="RES_201403_P19T2"/>
        <s v="RES_201403_P1T1"/>
        <s v="RES_201403_P20T0"/>
        <s v="RES_201403_P20T1"/>
        <s v="RES_201403_P2T0"/>
        <s v="RES_201403_P2T1"/>
        <s v="RES_201403_P2T2"/>
        <s v="RES_201403_P2T3"/>
        <s v="RES_201403_P3T0"/>
        <s v="RES_201403_P3T1"/>
        <s v="RES_201403_P3T2"/>
        <s v="RES_201403_P4T0"/>
        <s v="RES_201403_P4T1"/>
        <s v="RES_201403_P4T2"/>
        <s v="RES_201403_P4T3"/>
        <s v="RES_201403_P4T4"/>
        <s v="RES_201403_P5T0"/>
        <s v="RES_201403_P5T1"/>
        <s v="RES_201403_P5T2"/>
        <s v="RES_201403_P5T3"/>
        <s v="RES_201403_P6T0"/>
        <s v="RES_201403_P6T1"/>
        <s v="RES_201403_P6T2"/>
        <s v="RES_201403_P6T3"/>
        <s v="RES_201403_P7T1"/>
        <s v="RES_201403_P7T1_0"/>
        <s v="RES_201403_P7T2"/>
        <s v="RES_201403_P7T2_0"/>
        <s v="RES_201403_P7T3"/>
        <s v="RES_201403_P8T0"/>
        <s v="RES_201403_P8T1"/>
        <s v="RES_201403_P8T2"/>
        <s v="RES_201403_P8T3"/>
        <s v="RES_201403_P8T4"/>
        <s v="RES_201403_P9T0"/>
        <s v="RES_201403_P9T1"/>
        <s v="RES_201403_P9T2"/>
        <s v="RES_201601_P1T0"/>
        <s v="RES_201601_P1T1"/>
        <s v="RES_201601_P1T2"/>
        <s v="RES_201601_P1T3"/>
        <s v="XMP_202001_P1T0"/>
        <s v="XMP_202001_P1T1"/>
        <s v="XMP_202001_P1T2"/>
        <s v="XMP_202001_P2T0"/>
        <s v="XMP_202001_P2T1"/>
        <s v="XMP_202001_P2T2"/>
        <s v="XMP_202001_P3T0"/>
        <s v="XMP_202001_P3T1"/>
        <s v="XMP_202001_P3T2"/>
        <s v="XMP_202001_P3T3"/>
        <s v="XMP_202001_P4T0"/>
        <s v="XMP_202001_P4T1"/>
        <s v="XMP_202001_P4T2"/>
        <s v="XMP_202001_P4T3"/>
        <s v="XMP_202001_P5T0"/>
        <s v="XMP_202001_P5T1"/>
        <s v="XMP_202001_P6T0"/>
        <s v="XMP_202001_P6T1"/>
        <s v="XMP_202001_P6T2"/>
      </sharedItems>
    </cacheField>
    <cacheField name="[vwMeasures].[Measure Description].[Measure Description]" caption="Measure Description" numFmtId="0" hierarchy="60" level="1">
      <sharedItems count="388">
        <s v="Irrigation Data Logger"/>
        <s v="TBD"/>
        <s v="Operator Certificate"/>
        <s v="Commissioning of commercial new construction"/>
        <s v="Retro Commissioning of commercial existing buildings"/>
        <s v="Commissioning of industrial new construction"/>
        <s v="Retro Commissioning of industrial existing buildings"/>
        <s v="2000 IECC and 2003 IECC Non-residential new construction built in Idaho"/>
        <s v="2030 IECC Non-residential new construction built in Idaho"/>
        <s v="2006 IECC Non-residential new construction built in Idaho"/>
        <s v="2009 IECC Non-residential new construction built in Idaho"/>
        <s v="2012 IECC Non-residential new construction built in Idaho"/>
        <s v="2015 IECC Non-residential new construction built in Idaho"/>
        <s v="2018 IECC Non-residential new construction built in Idaho"/>
        <s v="2021 IECC Non-residential new construction built in Idaho"/>
        <s v="2024 IECC Non-residential new construction built in Idaho"/>
        <s v="2027 IECC Non-residential new construction built in Idaho"/>
        <s v="2003 IECC Non-residential new construction built in Montana"/>
        <s v="2009 IECC Non-residential new construction built in Montana"/>
        <s v="2012 IECC Non-residential new construction built in Montana"/>
        <s v="2018 IECC Non-residential new construction built in Montana"/>
        <s v="2021 IECC Non-residential new construction built in Montana"/>
        <s v="2024 IECC Non-residential new construction built in Montana"/>
        <s v="2027 IECC Non-residential new construction built in Montana"/>
        <s v="2030 IECC Non-residential new construction built in Montana"/>
        <s v="2004 OSSC Non-residential new construction built in Oregon"/>
        <s v="2007 OSSC Non-residential new construction built in Oregon"/>
        <s v="2010 OEESC Non-residential new construction built in Oregon"/>
        <s v="2014 OEESC Non-residential new construction built in Oregon"/>
        <s v="2019 OZERCC Non-residential new construction built in Oregon"/>
        <s v="2021 OEESC Non-residential new construction built in Oregon"/>
        <s v="2023 OEESC Non-residential new construction built in Oregon"/>
        <s v="2026 OEESC Non-residential new construction built in Oregon"/>
        <s v="2029 OEESC Non-residential new construction built in Oregon"/>
        <s v="2000 WSEC, 2003 WSEC and emergency changes Non-residential new construction built in Washington"/>
        <s v="2027 WSEC Non-residential new construction built in Washington"/>
        <s v="2030 WSEC Non-residential new construction built in Washington"/>
        <s v="2004 WSEC Non-residential new construction built in Washington"/>
        <s v="2006 WSEC Non-residential new construction built in Washington"/>
        <s v="2009 WSEC Non-residential new construction built in Washington"/>
        <s v="2012 WSEC Non-residential new construction built in Washington"/>
        <s v="2015 WSEC Non-residential new construction built in Washington"/>
        <s v="2018 WSEC Non-residential new construction built in Washington"/>
        <s v="2021 WSEC Non-residential new construction built in Washington"/>
        <s v="2024 WSEC Non-residential new construction built in Washington"/>
        <s v="Network Management"/>
        <s v="Non-Qualifying Desktop - Commercial"/>
        <s v="80 PLUS"/>
        <s v="Commercial Desktop ENERGY STAR 5.0"/>
        <s v="Commercial Desktop ENERGY STAR 6.0"/>
        <s v="Commercial Desktop ENERGY STAR 7.0"/>
        <s v="Commercial Desktop ENERGY STAR 8.0"/>
        <s v="All"/>
        <s v="BetterBricks (2008-2010)"/>
        <s v="Strategic Energy Management"/>
        <s v="Strategic Energy Management in existing commercial buildings"/>
        <s v="Strategic Energy Management in existing commercial buildings in Washington"/>
        <s v="Strategic Energy Management in existing commercial buildings in Oregon"/>
        <s v="Strategic Energy Management in existing commercial buildings in Idaho"/>
        <s v="Pilot"/>
        <s v="Building Operator Certification"/>
        <s v="Federal Standard, Effective 2018 and 2023, DOE Final Rule 2016"/>
        <s v="Proxy forecast for other standards"/>
        <s v="Federal Standard, Effective 2019, DOE Final Rule 2016, Pre-rinse Spray Valves"/>
        <s v="Federal Standard, Effective 2020, DOE Final Rule 2017, Nonresidential Ceiling Fans"/>
        <s v="Federal Standard, Effective 2020, DOE Final Rule 2017, Nonresidential Ceiling Fan Light Kits"/>
        <s v="Federal Standard, Effective 2025, DOE Final Rule 2016, Commercial Air Compressors"/>
        <s v="Federal Standard, Effective 2025, DOE Final Rule 2016, Industrial Air Compressors"/>
        <s v="Federal Standard, Effective 2025, DOE Final Rule 2016, Non-Residential Portable Air Conditioners"/>
        <s v="Federal Standard, Effective 2022, DOE Final Rule 2016, Non-Residential Uninterruptible Power Supplies"/>
        <s v="Federal Standard, Effective 2023, DOE Final Rule 2016, Non-Residential Commercial Packaged Boilers"/>
        <s v="Washington State Standard, Effective 2019 for Commercial High-CRI Fluorescent Lamps"/>
        <s v="Oregon State Standard, Effective 2021 for Commercial High-CRI Fluorescent Lamps"/>
        <s v="Washington State Standard, Effective 2019 for Industrial High-CRI Fluorescent Lamps"/>
        <s v="Oregon State Standard, Effective 2021 for Industrial High-CRI Fluorescent Lamps"/>
        <s v="Washington State Standard, Effective 2019 for Electric Commercial Fryers"/>
        <s v="Oregon State Standard, Effective 2021 for Electric Commercial Fryers"/>
        <s v="Washington State Standard, Effective 2019 for Electric Steam Cookers"/>
        <s v="Oregon State Standard, Effective 2021 for Electric Steam Cookers"/>
        <s v="Washington State Standard, Effective 2019 for Gas Commercial Fryers"/>
        <s v="Oregon State Standard, Effective 2021 for Gas Commercial Fryers"/>
        <s v="Washington State Standard, Effective 2019 for Gas Steam Cookers"/>
        <s v="Federal Standard, Effective 2014, DOE Final Rule 2011, Nonresidential Fluorescent Lamp Ballasts"/>
        <s v="Oregon State Standard, Effective 2021 for Gas Steam Cookers"/>
        <s v="Federal Standard, Effective 2019, DOE Final Rule 2016, Refrigerated Beverage Vending Machines"/>
        <s v="Federal Standard, Effective 2015, DOE Final Rule 2010, Small Electric Motors"/>
        <s v="Federal Standard, Effective 2017, DOE Final Rule 2014, Commercial Refrigeration Equipment"/>
        <s v="Federal Standard, Effective 2017, DOE Final Rule 2014, Walk-in Coolers and Freezers"/>
        <s v="Federal Standard, Effective 2020, DOE Final Rule 2017, Walk-in Coolers and Freezers"/>
        <s v="Federal Standard, Effective 2018 and 2023, DOE Final Rule 2015, Commercial Unitary Air Conditioners (aka RTUs)"/>
        <s v="Federal Standard, Effective 2016, DOE Final Rule 2014, Electric Motors"/>
        <s v="Federal Standard, Effective 2020, DOE Final Rule 2015, Pumps in Commercial Applications"/>
        <s v="Federal Standard, Effective 2020, DOE Final Rule 2015, Pumps in Industrial Applications"/>
        <s v="Federal Standard, Effective 2020, DOE Final Rule 2015, Pumps in Agricultural Applications"/>
        <s v="Deep Energy Retrofits"/>
        <s v="Install Luminaire level lighting controls in commercial buildings"/>
        <s v="Solid State Streetlights with Controls"/>
        <s v="28W 4-foot T8 linear fluorescent lamp replacing 32W 4-foot T8 linear fluorescent lamps for commercial application"/>
        <s v="25W 4-foot T8 linear fluorescent lamp replacing 32W 4-foot linear fluorescent lamps for commercial application"/>
        <s v="28W 4-foot T8 linear fluorescent lamp replacing 32W 4-foot T8 linear fluorescent lamps for industrial application"/>
        <s v="25W 4-foot T8 linear fluorescent lamp replacing 32W 4-foot linear fluorescent lamps for industrial application"/>
        <s v="Upstream #2"/>
        <s v="Strategic Energy Management in industrial facilities"/>
        <s v="Strategic Energy Management in commercial facilities"/>
        <s v="Secondary windows attached on existing primary windows in commercial buildings"/>
        <s v="2018 WSEC Code-minimum HVAC system with Dedicated Outside Air System, 60% ERV/HRV, Installed in Existing Building where DOAS is Required by WSEC"/>
        <s v="Very High Efficiency Dedicated Outside Air Systems,  &gt;=82% ERV/HRV, Partially / Fully Decoupled Ventilation, Right / Oversized ENERGY STAR Heating and Cooling system, Installed in Existing Building where DOAS is Required by WSEC, Above Code"/>
        <s v="Very High Efficiency Dedicated Outside Air Systems, &gt;=82% ERV/HRV, Partially / Fully Decoupled Ventilation, Right / Oversized ENERGY STAR Heating and Cooling system, Installed in New Construction where DOAS is Required by WSEC, Above Code"/>
        <s v="Very High Efficiency Dedicated Outside Air Systems, 60%-81% ERV/HRV, Partially / Fully Decoupled Ventilation, Right / Oversized ENERGY STAR Heating and Cooling system, Installed in Existing Building"/>
        <s v="Very High Efficiency Dedicated Outside Air Systems, &gt;=82% ERV/HRV, Partially / Fully Decoupled Ventilation, Right / Oversized ENERGY STAR Heating and Cooling system, Installed in Existing Building"/>
        <s v="Very High Efficiency Dedicated Outside Air Systems, 60%-81% ERV/HRV, Partially / Fully Decoupled Ventilation, Right / Oversized ENERGY STAR Heating and Cooling system, Installed in New Construction"/>
        <s v="Very High Efficiency Dedicated Outside Air Systems, &gt;=82% ERV/HRV, Partially / Fully Decoupled Ventilation, Right / Oversized ENERGY STAR Heating and Cooling system, Installed in New Construction"/>
        <s v="Evap Fan"/>
        <s v="ASiMi and Silicon Crystal Growing Facilities"/>
        <s v="Asimi Crystal Growing Facilities"/>
        <s v="Silicon Crystal Growing Facilities"/>
        <s v="BacGen Technologies"/>
        <s v="MagnaDrive Adjustable Speed Drive"/>
        <s v="MagnaDrive Coupling"/>
        <s v="compressed air system"/>
        <s v="NEMA Premium Electric Motors 201-500 HP"/>
        <s v="Efficient Motor Rewinds for Industrial &amp; Ag Motors"/>
        <s v="Efficient Motor Rewinds for Agricultural Motors"/>
        <s v="NEMA Premium Electric Motors 1-200 HP"/>
        <s v="Strategic Energy Management in existing food processing facilities"/>
        <s v="Distribution Efficiency"/>
        <s v="Certified Refrigeration Energy Specialist"/>
        <s v="Non-Qualifying Laptop - Commercial"/>
        <s v="Commercial Laptop ENERGY STAR 6.0"/>
        <s v="Non-Qualifying Desktop - Residential"/>
        <s v="Residential Desktop ENERGY STAR 6.0"/>
        <s v="Non-Qualifying Laptop - Residential"/>
        <s v="Residential Laptop ENERGY STAR 6.0"/>
        <s v="Less efficient than the 2018 Standard."/>
        <s v="IMEF 0.88-1.02"/>
        <s v="Front-loading Residential Clothes Washers above the 7th Power Plan Baseline."/>
        <s v="IMEF 1.03-1.31"/>
        <s v="IMEF 1.32-1.58"/>
        <s v="IMEF 1.59-2.05"/>
        <s v="IMEF 2.06-2.37"/>
        <s v="IMEF 2.38-2.73"/>
        <s v="IMEF 2.74-2.91"/>
        <s v="IMEF 2.92+"/>
        <s v="Top-loading Residential Clothes Washers above the 7th Power Plan Baseline"/>
        <s v="Retail sales of general purpose CFL bulb in existing residential buildings"/>
        <s v="Retail sales of specialty CFL bulb in existing residential buildings"/>
        <s v="Retail sales of general purpose LED bulb in existing residential buildings"/>
        <s v="Retail sales of specialty LED bulb in existing residential buildings"/>
        <s v="Retail sales of other general purpose bulb in existing residential buildings"/>
        <s v="Retail sales of other specialty bulb in existing residential buildings"/>
        <s v="U Factor 0.35 (New and Existing Construction)"/>
        <s v="U-value 0.35"/>
        <s v="Certificate"/>
        <s v="Dishwashers EF 52"/>
        <s v="Dishwashers EF 58"/>
        <s v="Dishwashers EF 65"/>
        <s v="Dishwashers EF 68"/>
        <s v="Refrigerator ENERGY STAR and more efficient"/>
        <s v="Refrigerator ENERGY STAR 2003"/>
        <s v="Refrigerator  ENERGY STAR 2008"/>
        <s v="Refrigerator ENERGY STAR  V5"/>
        <s v="Refrigerator ENERGY STAR +15-20% above Standard (CEE Tier 2; 2016 and 2017 ENERGY STAR Most Efficient)"/>
        <s v="Refrigerator ENERGY STAR +20% or better above Standard (CEE Tier 3)"/>
        <s v="Refrigerator Below the 7th Power Plan Baseline (ENERGY STAR and lower efficiency levels)"/>
        <s v="ENERGY STAR Home built in Washington, all heating systems, Washington climate zones, single-family, new construction"/>
        <s v="ENERGY STAR Home built in Idaho, all heating systems, Idaho climate zones, multifamily, new construction"/>
        <s v="ENERGY STAR Home built in the Northwest, all heating systems, Idaho climate zones, single-family, new construction (measure is for pre 2010 savings)"/>
        <s v="ENERGY STAR Home built in Oregon, all heating systems, Oregon climate zones, multifamily, new construction"/>
        <s v="ENERGY STAR Home built in Washington, all heating systems, Washington climate zones, multifamily, new construction"/>
        <s v="ENERGY STAR Home built in Montana, all heating systems, Montana climate zones, multifamily, new construction"/>
        <s v="IECC 2006 Code home built in Idaho, all heating systems, Idaho climate zones, single-family, new construction"/>
        <s v="IECC 2009 Code home built in Idaho, all heating systems, Idaho climate zones, single-family, new construction"/>
        <s v="IECC 2012 with Amendments Code home built in Idaho, all heating systems, Idaho climate zones, single-family, new construction"/>
        <s v="IECC 2003 with Amendments Code home built in Montana, all heating systems, regional climate zone, single-family, new construction"/>
        <s v="IECC 2009 with Amendments Code home built in Montana, all heating systems, regional climate zone, single-family, new construction"/>
        <s v="IECC 2012 with Amendments Code home built in Montana, all heating systems, regional climate zone, single-family, new construction"/>
        <s v="Oregon Specialty 2008 Code home built in Oregon, regional heating system, any climate zone, single-family, new construction"/>
        <s v="Oregon Specialty 2011 Code home built in Oregon, regional heating system, any climate zone, single-family, new construction (updated in 2014)"/>
        <s v="Oregon Specialty 2015 Code home built in Oregon, regional heating system, any climate zone, single-family, new construction"/>
        <s v="WSEC  2006 home built in Idaho, all heating systems, regional climate zone, single-family, new construction"/>
        <s v="WSEC  2009 home built in Idaho, all heating systems, regional climate zone, single-family, new construction"/>
        <s v="WSEC  2012 home built in Idaho, all heating systems, regional climate zone, single-family, new construction"/>
        <s v="ENERGY STAR Home built in Idaho, all heating systems, Idaho climate zones, single-family, new construction"/>
        <s v="ENERGY STAR Home built in Montana, all heating systems, Montana climate zones, single-family, new construction"/>
        <s v="ENERGY STAR Home built in Oregon, all heating systems, Oregon climate zones, single-family, new construction"/>
        <s v="IECC 2006 Code home built in Idaho, all heating systems, Idaho climate zones, multifamily, new construction"/>
        <s v="IECC 2009 Code home built in Idaho, all heating systems, Idaho climate zones, multifamily, new construction"/>
        <s v="IECC 2012 with Amendments Code home built in Idaho, all heating systems, Idaho climate zones, multifamily, new construction"/>
        <s v="IECC 2015 Code home built in Idaho, all heating systems, Idaho climate zones, multifamily, new construction"/>
        <s v="IECC 2018 Code home built in Idaho, all heating systems, Idaho climate zones, multifamily, new construction"/>
        <s v="Future IECC Code home built in Idaho, all heating systems, Idaho climate zones, multifamily, new construction"/>
        <s v="IECC 2003 with Amendments Code home built in Montana, all heating systems, regional climate zone, multifamily, new construction"/>
        <s v="IECC 2009 with Amendments Code home built in Montana, all heating systems, regional climate zone, multifamily, new construction"/>
        <s v="IECC 2012 with Amendments Code home built in Montana, all heating systems, regional climate zone, multifamily, new construction"/>
        <s v="IECC 2015 Code home built in Montana, all heating systems, Idaho climate zones, multifamily, new construction"/>
        <s v="IECC 2018 Code home built in Montana, all heating systems, Idaho climate zones, multifamily, new construction"/>
        <s v="IECC 2021 Code home built in Montana, all heating systems, regional climate zones, multifamily, new construction"/>
        <s v="Oregon Specialty 2008 Code home built in Oregon, regional heating system, any climate zone, multifamily, new construction"/>
        <s v="Oregon Specialty 2011 Code home built in Oregon, regional heating system, any climate zone, multifamily, new construction"/>
        <s v="Oregon Specialty Code 2014 home built in Oregon, regional heating system, any climate zone, single-family, new construction"/>
        <s v="Oregon Specialty 2017 Code home built in Oregon, regional heating system, any climate zone, multifamily, new construction"/>
        <s v="Future Oregon Specialty Code home built in Oregon, regional heating system, any climate zone, single-family, new construction"/>
        <s v="WSEC  2006 home built in Washington, all heating systems, regional climate zone, multifamily, new construction"/>
        <s v="WSEC  2009 home built in Washington, all heating systems, regional climate zone, multifamily, new construction"/>
        <s v="WSEC  2012 home built in Washington, all heating systems, regional climate zone, multifamily, new construction"/>
        <s v="WSEC  2015 home built in Washington, all heating systems, regional climate zone, multifamily, new construction"/>
        <s v="WSEC  2018 home built in Washington, all heating systems, regional climate zone, multifamily, new construction"/>
        <s v="Future WSEC Code home built in Washington, all heating systems, regional climate zone, multifamily, new construction"/>
        <s v="Install Ductless Heat Pump in Single Family House with Existing Zonal Heat- Any Climate Zone- Weighted for Supplemental Fuel Use"/>
        <s v="Install Ductless Heat Pump in Single Family Home with Existing  Electric Forced Air Furnace Heat- Any Climate Zone- Weighted for Supplemental Fuel Use"/>
        <s v="Install Ductless Heat Pump in Manufactured House with Existing  Electric Forced Air Furnace Heat- Any Climate Zone- Weighted for Supplemental Fuel Use"/>
        <s v="Any Screen Size Television,  Residential Dwelling- Includes Savings from HD and UHD Sales not Counted through the Retail Products Portfolio program"/>
        <s v="Any Screen Size Television, Residential Dwelling- ENERGY STAR 3.0+ 30%"/>
        <s v="Any Screen Size Television,  Residential Dwelling- Most Efficient 2015 and Most Efficient 2016"/>
        <s v="Any Screen Size, Television, Residential Dwelling- ENERGY STAR 4.1"/>
        <s v="Any Screen Size Television, Residential Dwelling- ENERGY STAR 5.3"/>
        <s v="Any Screen Size Television, Residential Dwelling- ENERGY STAR 5.3 +20%"/>
        <s v="Any Screen Size Television, Residential Dwelling- ENERGY STAR 5.3 +35%"/>
        <s v="Any Screen Size Television, Residential Dwelling- ENERGY STAR 6.2+20%"/>
        <s v="Any Screen Size Television,  Residential Dwelling- Most Efficient 2013"/>
        <s v="Any Screen Size Television, Residential Dwelling- ENERGY STAR 7"/>
        <s v="Any Screen Size Television,  Residential Dwelling- ENERGY STAR 7+35% (UHD)"/>
        <s v="Retail sales of residential clothes dryer-Non-qualifying"/>
        <s v="Retail sales of residential clothes dryer-ENERGY STAR"/>
        <s v="Retail sales of residential clothes dryer-Tier 2 heat pump hybrid"/>
        <s v="Retail sales of residential clothes dryer-Tier 3 heat pump hybrid"/>
        <s v="Retail sales of residential clothes dryer-Tier 4 pure heat pump"/>
        <s v="Retail sales of residential clothes dryer-Tier 5 pure heat pump"/>
        <s v="Retail sales of residential clothes dryer-Tier 6 pure heat pump"/>
        <s v="Small Heat Pump Water Heater installed in existing, single-family or manufactured homes"/>
        <s v="Large Heat Pump Water Heater installed in existing, single-family or manufactured homes"/>
        <s v="Small Heat Pump Water Heater installed in new construction, single-family or manufactured homes"/>
        <s v="Large Heat Pump Water Heater installed in new construction, single-family or manufactured homes"/>
        <s v="Next Step Home built in Oregon, all heating systems, Oregon climate zones, single-family, new construction"/>
        <s v="Next Step Home built in Washington all heating systems, Washington climate zones, single-family,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Home with RESNET Home Energy Rating System (HERS) index in Idaho, all heating systems, Idaho climate zones, single-family, new construction."/>
        <s v="Home with RESNET Home Energy Rating System (HERS) index in Montana, all heating systems, Montana climate zones, single-family, new construction."/>
        <s v="Home with a RESNET Home Energy Rating System (HERS) index in Oregon, all heating systems, Oregon climate zones, single-family, new construction."/>
        <s v="Home with a RESNET Energy Rating System (HERS) index in Washington, all heating systems, Washington climate zones, single-family new construction."/>
        <s v="Home with a RESNET Home Energy Rating System (HERS) index in Idaho, all heating systems, Idaho climate zones, multi-family, new construction."/>
        <s v="Home with a RESNET Home Energy Rating System (HERS) index in Montana, all heating systems, Montana climate zones, multi-family, new construction."/>
        <s v="Home with a RESNET Home Energy Rating System (HERS) index in Oregon, all heating systems, Oregon climate zones, multi-family, new construction."/>
        <s v="Home with a RESNET Home Energy Rating System (HERS) index in Washington, all heating systems, Washington climate zones, multi-family, new construction."/>
        <s v="ENERGY STAR Home built in Washington, all heating systems, Idaho climate zones, multifamily, new construction"/>
        <s v="Energy Performance Score Homes"/>
        <s v="Idaho International Energy Conservation Code 2015 with Idaho Amendments,  Residential, Single-family"/>
        <s v="Idaho International Energy Conservation Code 2018 with Idaho Amendments,  Residential, Single-family"/>
        <s v="Idaho International Energy Conservation Code 2021 with Idaho Amendments,  Residential, Single-family"/>
        <s v="Idaho International Energy Conservation Code 2024,  Residential, Single-family"/>
        <s v="Idaho International Energy Conservation Code 2027,  Residential, Single-family"/>
        <s v="Built Green  in Washington, all heating systems, Washington climate zones, multifamily, new construction"/>
        <s v="New single-family homes built in Idaho incentivized under the BPA residential single-family new construction performance path."/>
        <s v="New single-family homes built in Montana incentivized under the BPA residential single-family new construction performance path."/>
        <s v="New single-family homes built in Oregon incentivized under the BPA residential single-family new construction performance path."/>
        <s v="New single-family homes built in Washington incentivized under the BPA residential single-family new construction performance path."/>
        <s v="National Green Building Standard in Washington, all heating systems, Washington climate zones, multifamily, new construction"/>
        <s v="National Green Building Standard in Oregon, all heating systems, Oregon climate zones, multifamily, new construction"/>
        <s v="National Green Building Standard in Idaho, all heating systems, Idaho climate zones, multifamily, new construction"/>
        <s v="National Green Building Standard in Montana, all heating systems, Montana climate zones, multifamily, new construction"/>
        <s v="New single-family homes built in Oregon certified by Earth Advantage's residential single-family new construction specifications."/>
        <s v="New single-family homes built in Washington a part of a Home Energy Program."/>
        <s v="Montana International Energy Conservation Code 2018,  Residential, Single-family"/>
        <s v="Montana International Energy Conservation Code 2021,  Residential, Single-family"/>
        <s v="Montana International Energy Conservation Code 2024,  Residential, Single-family"/>
        <s v="Montana International Energy Conservation Code 2027,  Residential, Single-family"/>
        <s v="Oregon Residential Specialty Code 2017, Residential, Single-family"/>
        <s v="Oregon Residential Specialty Code 2020, Residential, Single-family"/>
        <s v="Oregon Residential Specialty Code 2023, Residential, Single-family"/>
        <s v="Oregon Residential Specialty Code 2026, Residential, Single-family"/>
        <s v="Oregon Residential Specialty Code 2029, Residential, Single-family"/>
        <s v="Washington State Energy Code 2015, Residential, Single-family"/>
        <s v="Washington State Energy Code 2018, Residential, Single-family"/>
        <s v="Washington State Energy Code 2021, Residential, Single-family"/>
        <s v="Washington State Energy Code 2024, Residential, Single-family"/>
        <s v="Washington State Energy Code 2027, Residential, Single-family"/>
        <s v="Next Step Home built in Idaho, all heating systems, Idaho climate zones, single-family, new construction"/>
        <s v="Next Step Home built in Montana, all heating systems, Montana climate zones, single-family, new construction"/>
        <s v="Federal Standard, Effective 2020, DOE Final Rule 2017, Residential Ceiling Fan Light Kits"/>
        <s v="Federal Standard, Effective 2025, DOE Final Rule 2016, Residential Portable Air Conditioners"/>
        <s v="Federal Standard, Effective 2022, DOE Final Rule 2016, Residential Uninterruptible Power Supplies"/>
        <s v="Federal Standard, Effective 2023, DOE Final Rule 2016, Residential Commercial Packaged Boilers"/>
        <s v="Federal Standard, Effective 2015, DOE Final Rule 2015, Residential Central AC"/>
        <s v="Oregon Standard, Effective 2014, ODOE Rule 2013, Residential/Commercial Battery Chargers"/>
        <s v="Federal Standard, Effective 2015, DOE Final Rule 2015, Residential Heat Pumps"/>
        <s v="Federal Standard, Effective 2019, DOE Final Rule 2014, Furnace Fans"/>
        <s v="Federal Standard, Effective 2015, DOE Final Rule 2011, Clothes Dryers"/>
        <s v="Federal Standard, Effective 2016, DOE Final Rule 2014, External Power Supplies"/>
        <s v="Federal Standard, Effective 2014, DOE Final Rule 2011, Residential Fluorescent Lamp Ballasts"/>
        <s v="Federal Standard, Effective 2020, DOE Final Rule 2017, Residential Ceiling Fans"/>
        <s v="Freezers, Compact Chest and Upright, Non-Qualifying"/>
        <s v="Freezers, Compact Chest and Upright, ENERGY STAR v5"/>
        <s v="Freezers, Compact Chest and Upright, ENERGY STAR v5 +5%"/>
        <s v="Clothes Washers, Standard-size Top-Loading, Electric, Non-ENERGY STAR"/>
        <s v="Clothes Washers, Standard-size Top-Loading, Electric, ENERGY STAR v7 (IMEF 2.09)"/>
        <s v="Clothes Washers, Standard-size Top-Loading, Electric, ENERGY STAR v8 Most Efficient (CEE Tier 1, IMEF 2.76)"/>
        <s v="Clothes Washers, Standard-size Top Loading, Electric, ENERGY STAR Most Efficient 2017+"/>
        <s v="Refrigerators, Standard-size Bottom-mount Freezers, Non-ENERGY STAR"/>
        <s v="Refrigerators, Standard-size Bottom-mount Freezers, ENERGY STAR v5"/>
        <s v="Refrigerators, Standard-size Bottom-mount Freezers, ENERGY STAR Most Efficient and Emerging Tech Award"/>
        <s v="Refrigerators, Standard-size Bottom-mount Freezers, ENERGY STAR +20% or better above Standard"/>
        <s v="Refrigerators, Standard-size Side-mount Freezers, Non-Qualifying"/>
        <s v="Refrigerators, Standard-size Side-mount Freezers, ENERGY STAR v5"/>
        <s v="Refrigerators, Standard-size Side-mount Freezers, ENERGY STAR Most Efficient and Emerging Tech Award"/>
        <s v="Refrigerators, Standard-size Side-mount Freezers, ENERGY STAR +20% or better above Standard"/>
        <s v="Clothes Dryer, Standard, Electric, Non-Qualifying"/>
        <s v="Clothes Dryer, Standard, Electric, ENERGY STAR v1"/>
        <s v="Clothes Dryer, Standard, Electric, UCEF 3.00 to 4.19"/>
        <s v="Clothes Dryer, Standard, Electric, UCEF 4.20 to 5.29"/>
        <s v="Clothes Dryer, Standard, Electric, UCEF 5.30 to 6.09"/>
        <s v="Clothes Dryer, Standard, Electric, UCEF 6.10 to 7.19"/>
        <s v="Clothes Dryer, Standard, Electric, UCEF 7.20 to 8.00"/>
        <s v="Clothes Dryer, Standard, Gas, Non-Qualifying"/>
        <s v="Clothes Dryer, Standard, Gas, ENERGY STAR v1"/>
        <s v="Clothes Dryer, Standard, Gas, ENERGY STAR v1 Most Efficient"/>
        <s v="Clothes Dryer, Compact, Gas, Non-Qualifying"/>
        <s v="Clothes Dryer, Compact, Gas, ENERGY STAR v1"/>
        <s v="Clothes Dryer, Compact, Gas, ENERGY STAR v1 Most Efficient"/>
        <s v="Dehumidifier, Standard, Electric, Non-Qualifying"/>
        <s v="Dehumidifier, Standard, Electric, ENERGY STAR v4"/>
        <s v="Refrigerators, Compact, Non-Qualifying"/>
        <s v="Refrigerators, Compact, ENERGY STAR v5"/>
        <s v="Refrigerators, Compact, ENERGY STAR v5 Most Efficient"/>
        <s v="Clothes Dryer, Compact, Electric, Non-Qualifying"/>
        <s v="Clothes Dryer, Compact, Electric, ENERGY STAR v1"/>
        <s v="Clothes Dryer, Compact, Electric, ENERGY STAR v1 Most Efficient"/>
        <s v="Potential Small Applianecs, Electronics, and Television measures- ENERGY STAR and ENERGY STAR +"/>
        <s v="Clothes Washer, Compact, Electric, Non-Qualifying"/>
        <s v="Televisions; Residential Applications; Ultra High Definition; &gt;= 39 inches; Meet the ENERGY STAR v9 Standby Mode Requirements"/>
        <s v="Room Air Cleaners, All Sizes, Non-Qualifying"/>
        <s v="Room Air Cleaners, All Sizes, ENERGY STAR v1"/>
        <s v="Room Air Cleaners, All Sizes, ENERGY STAR v2"/>
        <s v="Room Air Cleaners, All Sizes, ENERGY STAR v2 +50%"/>
        <s v="Room Air Conditioners, All Sizes, Non-ENERGY STAR"/>
        <s v="Room Air Conditioners, All Sizes, ENERGY STAR v4"/>
        <s v="Room Air Conditioners, All Sizes, ENERGY STAR  v5 (proposed)"/>
        <s v="Soundbar, Non-Qualifying"/>
        <s v="Soundbar, ENERGY STAR"/>
        <s v="Soundbar, ENERGY STAR V3 +15%"/>
        <s v="Soundbar, ENERGY STAR +50%"/>
        <s v="Soundbar, ENERGY STAR +60-70%"/>
        <s v="Freezers, Standard-size Upright, Non-ENERGY STAR"/>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ENERGY STAR +20% or better above Standard"/>
        <s v="Televisions; Residential Applications; Ultra High Definition; &gt;= 39 inches; Meet the ENERGY STAR v9 On Power Mode Requirements"/>
        <s v="Televisions, Ultra-High Definition, ENERGY STAR v8 +20%"/>
        <s v="Television, Ultra High Definition, ENERGY STAR Most Efficient"/>
        <s v="Televisions, Ultra-High Definition, ENERGY STAR v8 +35%"/>
        <s v="Television, Ultra High Definition, TBD"/>
        <s v="Clothes Washer, Front-Loading, Electric, Non-Qualifying (IMEF 1.84)"/>
        <s v="Clothes Washer, Front-Loading, Electric, ENERGY STAR 7/8 (CEE Tier 1, IMEF 2.12)"/>
        <s v="Clothes Washer, Front-Loading, Electric, ENERGY STAR v8 Most Efficient 2017 (CEE Tier 1, IMEF 2.77)"/>
        <s v="Clothes Washer, Front-Loading, Electric, ENERGY STAR v8 Most Efficient 2018 (CEE Tier 2, IMEF 2.91)"/>
        <s v="Clothes Washer, Front-Loading, Electric, CEE Tier 3, IMEF 2.92+"/>
        <s v="Freezers, Standard-size Chest, Non-Qualifying"/>
        <s v="Freezers, Standard-size Chest, ENERGY STAR v5"/>
        <s v="Freezers, Standard-size Chest, ENERGY STAR v5 +5%"/>
        <s v="Inefficient Manufactured Home"/>
        <s v="Manufactured Home (HUD Code)"/>
        <s v="NEEM 1.1 Manufactured Home"/>
        <s v="NEEM Plus Manufactured Home"/>
        <s v="Non-Qualifying Residential Hydronic Heating Circulator with an efficient Electronically Commutated Motor (ECM)."/>
        <s v="Residential Hydronic Heating Circulator with an efficient Electronically Commutated Motor (ECM)."/>
        <s v="Residential Hydronic Heating Circulator with an efficient Electronically Commutated Motor (ECM) and &quot;Advanced Speed Controls.&quot;  Advanced controls include proportional pressure, adaptive pressure, or differential temperature."/>
        <s v="Non-Qualifying Commercial Hydronic Heating Circulator with an efficient Electronically Commutated Motor (ECM)."/>
        <s v="Commercial Hydronic Heating Circulator with an efficient Electronically Commutated Motor (ECM)."/>
        <s v="Commercial Hydronic Heating Circulator with an efficient Electronically Commutated Motor (ECM) and &quot;Advanced Speed Controls.&quot;  Advanced controls include proportional pressure, adaptive pressure, or differential temperature."/>
        <s v="A non-qualifying residential circulator pump with efficient Electronically Commutated Motor (ECM) and no Run Hours Controls"/>
        <s v="A residential circulator pump with efficient Electronically Commutated Motor (ECM) and no Run Hours Controls"/>
        <s v="A residential circulator pump with induction motor and Run Hours Controls."/>
        <s v="A residential circulator pump with efficient Electronically Commutated Motor (ECM) and Run Hours Controls."/>
        <s v="A non-qualifying commercial circulator pump with efficient Electronically Commutated Motor (ECM) and no Run Hours Controls"/>
        <s v="A commercial circulator pump with efficient Electronically Commutated Motor (ECM) and no Run Hours Controls"/>
        <s v="A commercial circulator pump with induction motor and Run Hours Controls."/>
        <s v="A commercial circulator pump with efficient Electronically Commutated Motor (ECM) and Run Hours Controls."/>
        <s v="Non-Qualifying Commercial Constant Speed Clean Water Pump."/>
        <s v="Commercial Constant Speed Clean Water Pump."/>
        <s v="Non-Qualifying Commercial Variable Speed Clean Water Pump."/>
        <s v="Commercial Variable Speed Clean Water Pump."/>
        <s v="Commercial Variable Speed Clean Water Pump replacing Constant Speed Pump."/>
      </sharedItems>
    </cacheField>
    <cacheField name="[vwMeasures].[Measure Life].[Measure Life]" caption="Measure Life" numFmtId="0" hierarchy="58" level="1">
      <sharedItems containsString="0" containsBlank="1" containsNumber="1" minValue="2" maxValue="45" count="27">
        <n v="10"/>
        <m/>
        <n v="5"/>
        <n v="20"/>
        <n v="15"/>
        <n v="4"/>
        <n v="14"/>
        <n v="13"/>
        <n v="11"/>
        <n v="6"/>
        <n v="25"/>
        <n v="8"/>
        <n v="9"/>
        <n v="16"/>
        <n v="12"/>
        <n v="23"/>
        <n v="30"/>
        <n v="7"/>
        <n v="2"/>
        <n v="45"/>
        <n v="19"/>
        <n v="21"/>
        <n v="6.5"/>
        <n v="15.2"/>
        <n v="22"/>
        <n v="42"/>
        <n v="11.5"/>
      </sharedItems>
    </cacheField>
    <cacheField name="[vwMeasures].[Initiative].[Initiative]" caption="Initiative" numFmtId="0" hierarchy="62" level="1">
      <sharedItems count="53">
        <s v="AM400 Data Logger"/>
        <s v="Irrigation"/>
        <s v="Building Operator Certification"/>
        <s v="Commissioning Buildings"/>
        <s v="Commercial New Construction"/>
        <s v="Verdiem Network Energy Management"/>
        <s v="Desktop Power Supplies"/>
        <s v="Grocery"/>
        <s v="Building Operations (Non-target Markets)"/>
        <s v="Healthcare"/>
        <s v="Commercial Real Estate"/>
        <s v="New Construction (Commercial)"/>
        <s v="Commercial Lighting Solutions"/>
        <s v="Building Operator Certification Expansion"/>
        <s v="Non-residential Products (Standards)"/>
        <s v="Existing Building Renewal"/>
        <s v="Luminaire Level Lighting Controls"/>
        <s v="Solid State Streetlights with Controls"/>
        <s v="Reduced Wattage Lamp Replacement"/>
        <s v="Top Tier Trade Ally"/>
        <s v="Other Strategic Energy Management"/>
        <s v="Window Attachments"/>
        <s v="High Performance HVAC"/>
        <s v="Variable Frequency Drives"/>
        <s v="Microelectronics (Asimi, Silicon Crystal Growing Facilities)"/>
        <s v="BacGen Waste Water Optimization Service"/>
        <s v="MagnaDrive Innovative Industrial Speed Control"/>
        <s v="Pneu-Logic (Sav-Air)"/>
        <s v="Drive Power"/>
        <s v="Food Processors"/>
        <s v="Pulp and Paper"/>
        <s v="Distribution Efficiency"/>
        <s v="Certified Refrigeration Energy Specialist (CRES)"/>
        <s v="Small/Medium Industrials"/>
        <s v="Other ENERGY STAR Products"/>
        <s v="Clothes Washers"/>
        <s v="Residential Lighting"/>
        <s v="Windows"/>
        <s v="Super Good Cents Manufactured Homes"/>
        <s v="Lighting Fixtures"/>
        <s v="Dishwashers"/>
        <s v="Refrigerators"/>
        <s v="Efficient Homes"/>
        <s v="Residential New Construction"/>
        <s v="Ductless Heat Pumps"/>
        <s v="Televisions"/>
        <s v="Super-Efficient Dryers"/>
        <s v="Heat Pump Water Heaters"/>
        <s v="Next Step Homes"/>
        <s v="Consumer Products (Standards)"/>
        <s v="Retail Product Portfolio"/>
        <s v="Manufactured Homes"/>
        <s v="XMP Pumps"/>
      </sharedItems>
    </cacheField>
    <cacheField name="[vwMeasures].[Initiative Index].[Initiative Index]" caption="Initiative Index" numFmtId="0" hierarchy="63" level="1">
      <sharedItems count="53">
        <s v="AGR_200201"/>
        <s v="AGR_201401"/>
        <s v="COM_199701"/>
        <s v="COM_200002"/>
        <s v="COM_200202"/>
        <s v="COM_200203"/>
        <s v="COM_200701"/>
        <s v="COM_200702"/>
        <s v="COM_200801"/>
        <s v="COM_200802"/>
        <s v="COM_200803"/>
        <s v="COM_200901"/>
        <s v="COM_201101"/>
        <s v="COM_201201"/>
        <s v="COM_201304"/>
        <s v="COM_201305"/>
        <s v="COM_201401"/>
        <s v="COM_201402"/>
        <s v="COM_201403"/>
        <s v="COM_201404"/>
        <s v="COM_201405"/>
        <s v="COM_201601"/>
        <s v="COM_202201"/>
        <s v="IND_199801"/>
        <s v="IND_199802"/>
        <s v="IND_199901"/>
        <s v="IND_199902"/>
        <s v="IND_200004"/>
        <s v="IND_200402"/>
        <s v="IND_200602"/>
        <s v="IND_200603"/>
        <s v="IND_200702"/>
        <s v="IND_201301"/>
        <s v="IND_201302"/>
        <s v="OTH_201601"/>
        <s v="RES_199702"/>
        <s v="RES_199703"/>
        <s v="RES_199705"/>
        <s v="RES_199706"/>
        <s v="RES_199802"/>
        <s v="RES_200005"/>
        <s v="RES_200006"/>
        <s v="RES_200401"/>
        <s v="RES_200601"/>
        <s v="RES_200804"/>
        <s v="RES_200902"/>
        <s v="RES_201101"/>
        <s v="RES_201202"/>
        <s v="RES_201301"/>
        <s v="RES_201402"/>
        <s v="Res_201403"/>
        <s v="RES_201601"/>
        <s v="XMP_202001"/>
      </sharedItems>
    </cacheField>
    <cacheField name="[vwMeasures].[Initiative Description].[Initiative Description]" caption="Initiative Description" numFmtId="0" hierarchy="64" level="1">
      <sharedItems count="51" longText="1">
        <s v="NEEA helped accelerate the adoption of AM400, a soil moister data logger that helps reduce the amount of electricity consumed for pumping water into fields, by conducting training and outreach."/>
        <s v="20% reduction in energy intensity Electrical Savings by 2020 on AG | IRR on farms greater than 100 acres with Center Pivot"/>
        <s v="NEEA developed this regional certification program to educate building operator professionals on how to manage commercial building controls to reduce energy and operating costs."/>
        <s v="NEEA helped make commissioning standard practice in public buildings in the Northwest by educating and building awareness of the value of commissioning, supporting the Building Commissioning Association and supporting projects like the commissioning certification."/>
        <s v="To affect permanent market change as part of Market Transformation, NEEA provides market intelligence, product and performance data and technical expertise to influence and accelerate the adoption of new and more stringent building energy codes.  NEEA also provides training and information to builders, trades and code officials once a new code has passed to increase awareness and understanding how to implement code changes."/>
        <s v="NEEA partnered with Verdiem, Inc. to commercialize this software that enables IT administrators to effectively control power management settings of desktop computers through network controls."/>
        <s v="NEEA engaged with computer manufacturers to expedite the adoption of highly efficient power supplies while also developing and advocating for a standard thereby dramatically improving the energy efficiency of commercial desktops."/>
        <s v="Accelerate the adoption of energy-efficient building design and operations within the grocery market by working with regional grocery wholesalers and larger chain operators to increase the demand for these products and services while building the capacity of the market."/>
        <s v="NEEA engaged with supply side market actors (service providers) to encourage more efficient building operations.  This was a component of Better Bricks."/>
        <s v="Establish Strategic Energy Management as a common business practice in the healthcare sector"/>
        <s v="The Commercial Real Estate (CRE) Infrastructure program leverages strategic relationships to deliver regional market resources to advance energy efficiency best practices and increase utility program participation by the region's commercial real estate market."/>
        <s v="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
        <s v="Commercial Lighting Solutions Description"/>
        <s v="Achieve lasting improvement in the energy efficient and maintenance (O&amp;M) of commercial buildings by developing market demand for and increasing the supply of educated and credentialed building operators."/>
        <s v="To affect permanent market change as part of Market Transformation, NEEA provides market intelligence, product and performance data and technical expertise to influence and accelerate the adoption of more stringent appliance and equipment standards at a state and federal level."/>
        <s v="The Existing Building Renewal (EBR) initiative demonstrates the competitive advantages and investment opportunity of energy efficiency gained through comprehensive deep-energy retrofits to owners and investors of commercial real estate office buildings over 20,000 sq. ft."/>
        <s v="The Luminaire Level Lighting Controls (LLLC) initiative works to bring clarity to the controls market by specification development, training, utility program support and supply chain intervention so that LLLC systems become standard practice for commercial buildings."/>
        <s v="Solid State Streetlights with Controls Description"/>
        <s v="Develop an upstream platform with distributors and manufacturers that influences the stocking and sales practices of efficient lighting products."/>
        <s v="​The Top Tier Trade Ally infrastructure accelerates market adoption of commercial and industrial advanced lighting practices by building connectivity between contractors, training resources and utility program throughout the Northwest."/>
        <s v="Establish Strategic Energy Management as a common business practice in select commercial and industrial sectors"/>
        <s v="Commercial Secondary Windows become established as the standard product and practice for addressing poor performing windows in commercial buildings."/>
        <s v="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
        <s v="NEEA accelerated market adoption of variable frequency drives, which allow evaporator fan motors to run at slower speeds, by funding pilot research and strategic market intervention strategies."/>
        <s v="Microelectronics (Asimi, Silicon Crystal Growing Facilities) Description"/>
        <s v="NEEA and BacGen Technologies, Inc. developed a method for reducing the energy consumption of small- to medium sized wastewater treatment facilities with a proprietary mix of micronutrients and process control technologies."/>
        <s v="NEEA supported development and commercialization of technology that allows older motors to operate more efficiently through a magnetic industrial adjustable speed drive."/>
        <s v="NEEA partnered with SAV-AIR, LLC on the Pneu-Logic SAV-AIR initiative, which delivered comprehensive compressed air management systems and engineering services to help customers control compressed air systems using sensors, computers and software."/>
        <s v="NEEA partnered with the League of the Pacific Northwest to increase the region’s motor fleet efficiency by influencing end-users to incorporate life-cycle analysis in investment decisions and helping motor service centers improve repair and motor management services."/>
        <s v="If NEEA overcomes Supply, Demand, and Know-How barriers to implementing Strategic Energy Management, SEM will become a recognized best practice for saving energy in the industrial sector."/>
        <s v="Pulp and Paper Description"/>
        <s v="Building on a BPA study, the region asked NEEA to coordinate a multi-state research effort to look at the savings potential of optimizing substation operations and introduce voltage regulation devices to residential customers."/>
        <s v="CRES certification becomes a required credential to work as a refrigeration operator in the Industrial Refrigeration Market."/>
        <s v="Small/Medium Industrials Description"/>
        <s v="This is a placefholder for Other Energy Star products associated with Desktop Power supplies. This will be tracking desktops and laptops influenced by NEEA, but not directly tied to 80+ efforts."/>
        <s v="NEEA influenced more stringent efficiency standards for clothes washers and accelerated market adoption by partnering with manufacturers, utilities and retailers to increase availability and increase consumer demand through targeted public outreach and marketing campaigns."/>
        <s v="NEEA collaborated with the region to develop and implement strategic market interventions that accelerated the market adoption of ENERGY STAR compact fluorescent lamps."/>
        <s v="NEEA accelerated the market adoption of high efficiency ENERGY STAR residential windows by working with manufacturers and retailers to increase availability and increase consumer demand through strategic marketing campaigns with manufacturers."/>
        <s v="Super Good Cents Manufactured Homes Description"/>
        <s v="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
        <s v="NEEA accelerated the market adoption of ENERGY STAR dishwashers by partnering with manufacturers, retailers and regional utilities to increase the availability and consumer awareness of these products."/>
        <s v="NEEA leveraged its relationships with retailers to accelerate the market adoption of ENERGY STAR refrigerators as part of a “white goods” strategy to increase market awareness of ENERGY STAR “white goods” appliances such as refrigerators and dishwashers."/>
        <s v="Northwest ENERGY STAR Homes creates a pathway to influence and advance residential building code through voluntary adoption of advanced building practices and technologies."/>
        <s v="Accelerate the adoption and market acceptance of inverter-driven ductless heat pumps in electrically heated homes."/>
        <s v="Leverage mid-stream incentives to influence retail buying practices, ultimately driving manufacturing, product specification and standards of energy-efficient televisions sold through the retail channel."/>
        <s v="Supporting manufacturer development and US market entry of super-efficient dryers; influencing improved federal test protocols and efficiency standards requiring heat pump technology for residential clothes dryers."/>
        <s v="NEEA’s goal for Heat Pump Water Heaters (HPWH) is to influence the passage of a federal standard requiring HPWHs for all electric storage tanks greater than 45 gallons in size by 2028. To do this, the program must create national alignment by influencing ENERGY STAR and Federal test procedures to incorporate key elements of our Advanced Water Heating Specification, continue working upstream with water heater manufacturers to influence product development, and continue training the supply chain in HPWH technology until it becomes standard practice."/>
        <s v="The Next Step Homes initiative leverages the infrastructure created by prior Efficient Homes programs to develop and increase market adoption of energy efficient advanced building practices for single-family homes, aimed at influencing and accelerating code adoption."/>
        <s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
        <s v="The region is working together to demonstrate success for a new voluntary above code specification (NEEM 2.0), which NEEA influenced, in the market prior to a HUD code change. The NEEM 2.0 spec. will be the basis for NEEA to influence the next HUD code change. NEEA provides manufacturer with information and materials for their marketing and sales efforts of NEEM 2.0 homes."/>
        <s v="The Extended Motor Product (XMP) initiative engages with manufacturers, distributors, and trade associations to increase adoption of energy efficient pumps and circulators. Primary interventions include: mid-stream incentives to influence stocking/sales practices; training and awareness campaigns to demonstrate that efficient pumps are cost-effective, reliable and easy to maintain; development and promotion of energy labeling for pumps to allow for product differentiation; and ultimately the passage of more stringent Federal Standards."/>
      </sharedItems>
    </cacheField>
    <cacheField name="[vwMeasures].[Product].[Product]" caption="Product" numFmtId="0" hierarchy="65" level="1">
      <sharedItems count="186">
        <s v="Ag Data Logger"/>
        <s v="Ag Irrigation"/>
        <s v="BOC"/>
        <s v="Cx"/>
        <s v="rCx"/>
        <s v="Cx-Industrial"/>
        <s v="rCx-Industrial"/>
        <s v="ID Commercial Codes"/>
        <s v="MT Commercial Codes"/>
        <s v="OR Commercial Codes"/>
        <s v="WA Commercial Codes"/>
        <s v="Verdiem"/>
        <s v="Commercial Desktops"/>
        <s v="Groceries"/>
        <s v="Building Operations"/>
        <s v="Healthcare SEM"/>
        <s v="CRE SEM"/>
        <s v="WA CRE SEM"/>
        <s v="OR CRE SEM"/>
        <s v="ID CRE SEM"/>
        <s v="New Commercial Construction"/>
        <s v="Commercial Lighting"/>
        <s v="BOC_Expansion"/>
        <s v="Commercial Package Air Conditioners and Heat Pumps"/>
        <s v="Other Standards"/>
        <s v="Pre-rinse Spray Valves"/>
        <s v="Ceiling Fans"/>
        <s v="Ceiling Fan Light Kits"/>
        <s v="Air Compressors"/>
        <s v="Portable Air Conditioners"/>
        <s v="Uninterruptible Power Supplies"/>
        <s v="Commercial Packaged Boilers"/>
        <s v="Commercial High-CRI Fluorescent Lamps"/>
        <s v="Industrial High-CRI Fluorescent Lamps"/>
        <s v="Commercial Fryers - Electric"/>
        <s v="Commercial Steam Cookers - Electric"/>
        <s v="Commercial Fryers - Gas"/>
        <s v="Commercial Steam Cookers - Gas"/>
        <s v="Nonresidential Fluorescent Lamp Ballasts"/>
        <s v="Beverage Vending Machines"/>
        <s v="Small Electric Motors"/>
        <s v="Commercial Refrigeration Equipment"/>
        <s v="Walk-In Coolers and Freezers"/>
        <s v="Rooftop Units"/>
        <s v="Electric Motors"/>
        <s v="Pumps"/>
        <s v="Deep Energy Retrofits"/>
        <s v="Luminaire Level Lighting Controls"/>
        <s v="Solid State Street Lights"/>
        <s v="T8 Fluorescent 28W- Commercial"/>
        <s v="T8 Fluorescent 25W- Commercial"/>
        <s v="T8 Fluorescent 28W- Industrial"/>
        <s v="T8 Fluorescent 25W- Industrial"/>
        <s v="Single Product"/>
        <s v="Industrial SEM"/>
        <s v="Commercial SEM"/>
        <s v="Commercial Secondary Windows"/>
        <s v="DOAS- Replacement- Regulated by WSEC"/>
        <s v="VHE DOAS- Replacement- Regulated by WSEC"/>
        <s v="VHE DOAS- New- Regulated by WSEC"/>
        <s v="VHE DOAS- Replacement- ID, MT, OR, and WA not Regulated by WSEC"/>
        <s v="VHE DOAS- New- ID, MT, OR, and WA not Regulated by WSEC"/>
        <s v="VFD"/>
        <s v="ASiMI And Silicon"/>
        <s v="ASiMi"/>
        <s v="Silicon"/>
        <s v="BacGen"/>
        <s v="MagnaDrive ASD"/>
        <s v="MagnaDrive Couplings"/>
        <s v="Pneu-Logic"/>
        <s v="NEMA Premium Motors (Non-Standard)"/>
        <s v="Efficient Motor Rewinds"/>
        <s v="Efficient Motor Rewinds - Ag"/>
        <s v="Motors Federal Standard"/>
        <s v="Food Processors SEM"/>
        <s v="Pulp and Paper Sem"/>
        <s v="DEI"/>
        <s v="CRES Certified Operator"/>
        <s v="Small Medium Industrial SEM"/>
        <s v="Commercial Laptops"/>
        <s v="Residential Desktops"/>
        <s v="Residential Laptops"/>
        <s v="Clothes Washers Top Loading"/>
        <s v="Clothes Washers"/>
        <s v="Clothes Washers Front Loading"/>
        <s v="CFL General Purpose"/>
        <s v="CFL Specialty"/>
        <s v="LED General Purpose"/>
        <s v="LED Specialty"/>
        <s v="Other General Purpose"/>
        <s v="Other Specialty"/>
        <s v="Residential Windows (New and Existing Construction)"/>
        <s v="Residential Windows (New Construction)"/>
        <s v="Residential Windows (Existing Construction)"/>
        <s v="Super Good Cents Manufactured Homes"/>
        <s v="Residential Fixtures"/>
        <s v="Dishwashers"/>
        <s v="Refrigerators"/>
        <s v="WA Homes (ENERGY STAR Northwest Homes)"/>
        <s v="ID Multifamily Homes"/>
        <s v="Northwest"/>
        <s v="OR Multifamily Homes"/>
        <s v="WA Multifamily Homes"/>
        <s v="MT Multifamily Homes"/>
        <s v="ID Code"/>
        <s v="MT Code"/>
        <s v="OR Code"/>
        <s v="WA Code"/>
        <s v="ID Homes (ENERGY STAR Northwest Homes)"/>
        <s v="MT Homes (ENERGY STAR Northwest Homes)"/>
        <s v="OR Homes (ENERGY STAR Northwest Homes)"/>
        <s v="ID Multifamily Code"/>
        <s v="MT Multifamily Code"/>
        <s v="OR Multifamily Code"/>
        <s v="WA Multifamily Code"/>
        <s v="DHP Zonal"/>
        <s v="DHP FAF"/>
        <s v="DHP MH FAF"/>
        <s v="Televisions"/>
        <s v="Clothes Dryers"/>
        <s v="HPWH (&lt;=55 gallons) Existing Construction"/>
        <s v="HPWH (&gt;55 gallons) Existing Construction"/>
        <s v="HPWH (&lt;=55 gallons) New Construction"/>
        <s v="HPWH (&gt;55 gallons) New Construction"/>
        <s v="OR Homes (Next Step)"/>
        <s v="WA Homes (Next Step)"/>
        <s v="ID National Green Building Standard Single-family"/>
        <s v="MT National Green Building Standard Single-family"/>
        <s v="OR National Green Building Standard Single-family"/>
        <s v="WA National Green Building Standard Single-family"/>
        <s v="WA BuiltGreen Single-family"/>
        <s v="ID HERS and National ENERGY STAR Homes"/>
        <s v="MT HERS and National ENERGY STAR Homes"/>
        <s v="OR HERS and National ENERGY STAR Homes"/>
        <s v="WA HERS and National ENERGY STAR Homes"/>
        <s v="ID HERS and National ENERGY STAR Homes - MF"/>
        <s v="MT HERS and National ENERGY STAR Homes - MF"/>
        <s v="OR HERS and National ENERGY STAR Homes - MF"/>
        <s v="WA HERS and National ENERGY STAR Homes - MF"/>
        <s v="Energy Performance Score"/>
        <s v="WA BuiltGreen Multifamily"/>
        <s v="ID Performance Path"/>
        <s v="MT Performance Path"/>
        <s v="OR Performance Path"/>
        <s v="WA Performance Path"/>
        <s v="WA National Green Building Standard Multifamily"/>
        <s v="OR National Green Building Standard Multifamily"/>
        <s v="ID National Green Building Standard Multifamily"/>
        <s v="MT National Green Building Standard Multifamily"/>
        <s v="OR Earth Advantage"/>
        <s v="WA Home Energy Savings Program"/>
        <s v="ID Homes (Next Step)"/>
        <s v="MT Homes (Next Step)"/>
        <s v="Portfolio TBD"/>
        <s v="Residential Central AC"/>
        <s v="Battery Chargers"/>
        <s v="Residential Heat Pumps"/>
        <s v="Furnace Fans"/>
        <s v="External Power Supplies"/>
        <s v="Residential Fluorescent Lamp Ballasts"/>
        <s v="Freezers- Compact"/>
        <s v="Refrigerators- Bottom Freezers"/>
        <s v="Refrigerators- Side Freezers"/>
        <s v="Clothes Dryers (Standard)"/>
        <s v="Clothes Dryers (Standard, Gas)"/>
        <s v="Clothes Dryers (Compact, Gas)"/>
        <s v="Dehumidifiers"/>
        <s v="Refrigerators- Compact"/>
        <s v="Clothes Dryers (Compact)"/>
        <s v="Clothes Washers (Compact)"/>
        <s v="UHD Televisions (Standby Mode Power)"/>
        <s v="Air Cleaner"/>
        <s v="Room AC"/>
        <s v="Soundbars"/>
        <s v="Freezers- Upright"/>
        <s v="Refrigerators- Other"/>
        <s v="UHD Televisions (On Mode Power)"/>
        <s v="UHD Televisions"/>
        <s v="Freezers- Chest"/>
        <s v="Manufactured Home"/>
        <s v="Residential HH Circulator"/>
        <s v="Commercial HH Circulator"/>
        <s v="Residential DHW Circulator"/>
        <s v="Commercial DHW Circulator"/>
        <s v="Commercial CS Pump"/>
        <s v="Commercial VS Pump"/>
      </sharedItems>
    </cacheField>
    <cacheField name="[vwMeasures].[Tier].[Tier]" caption="Tier" numFmtId="0" hierarchy="67" level="1">
      <sharedItems count="165">
        <s v="AM 400"/>
        <s v="Level 1"/>
        <s v="Single Tier"/>
        <s v="ID 2000 &amp; 2003 IECC"/>
        <s v="ID 2030 IECC"/>
        <s v="ID 2006 IECC"/>
        <s v="ID 2009 IECC"/>
        <s v="ID 2012 IECC"/>
        <s v="ID 2015 IECC"/>
        <s v="ID 2018 IECC"/>
        <s v="ID 2021 IECC"/>
        <s v="ID 2024 IECC"/>
        <s v="ID 2027 IECC"/>
        <s v="MT 2003 IECC w/ Amend"/>
        <s v="MT 2009 IECC w/ Amend"/>
        <s v="MT 2012 IECC"/>
        <s v="MT 2018 IECC"/>
        <s v="MT 2021 IECC"/>
        <s v="MT 2024 IECC"/>
        <s v="MT 2027 IECC"/>
        <s v="MT 2030 IECC"/>
        <s v="OR 2004 OSSC"/>
        <s v="OR 2007 OSSC"/>
        <s v="OR 2010 OEESC"/>
        <s v="OR 2014 OEESC"/>
        <s v="OR 2019 OZERCC"/>
        <s v="OR 2021 OEESC"/>
        <s v="OR 2023 OEESC"/>
        <s v="OR 2026 OEESC"/>
        <s v="OR 2029 OEESC"/>
        <s v="WA 2000 &amp; 2003 WSEC"/>
        <s v="WA 2027 WSEC"/>
        <s v="WA 2030 WSEC"/>
        <s v="WA 2004 WSEC"/>
        <s v="WA 2006 WSEC"/>
        <s v="WA 2009 WSEC"/>
        <s v="WA 2012 WSEC"/>
        <s v="WA 2015 WSEC"/>
        <s v="WA 2018 WSEC"/>
        <s v="WA 2021 WSEC"/>
        <s v="WA 2024 WSEC"/>
        <s v="Non-Qualifying"/>
        <s v="80 PLUS"/>
        <s v="ENERGY STAR 5.0"/>
        <s v="ENERGY STAR 6.0"/>
        <s v="ENERGY STAR 7.0"/>
        <s v="ENERGY STAR 8.0"/>
        <s v="Tier 1"/>
        <s v="Pilot"/>
        <s v="All Product Classes"/>
        <s v="Federal Standard Commercial"/>
        <s v="Commercial Applications"/>
        <s v="Industrial Applications"/>
        <s v="Non-Residential Applications"/>
        <s v="2019 WA Standard"/>
        <s v="2021 OR Standard"/>
        <s v="2014 Standard"/>
        <s v="2017 Standard"/>
        <s v="Agricultural Applications"/>
        <s v="7th PP Baseline Adjustment"/>
        <s v="DOAS 2018 WSEC with 60% ERV/HRV"/>
        <s v="DOAS with &gt;=82% ERV/HRV"/>
        <s v="DOAS with 60%-81% ERV/HRV"/>
        <s v="Below Fed Stnd (IMEF 0.88-1.02)"/>
        <s v="ENERGY STAR Most Efficient"/>
        <s v="Below Fed Stnd (IMEF 1.03-1.31)"/>
        <s v="Fed Standard (IMEF 1.32-1.58)"/>
        <s v="Fed Standard (IMEF 1.59-2.05)"/>
        <s v="Energy Star (IMEF 2.06-2.37)"/>
        <s v="CEE Tier 1"/>
        <s v="CEE Tier 2"/>
        <s v="CEE Tier 3"/>
        <s v="Energy Star"/>
        <s v="U Factor 0.35"/>
        <s v="Energy Factor 52"/>
        <s v="Energy Factor 58"/>
        <s v="Energy Factor 65"/>
        <s v="Energy Factor 68"/>
        <s v="ENERGY STAR and Above"/>
        <s v="ENERGY STAR 2003"/>
        <s v="ENERGY STAR 2008"/>
        <s v="ENERGY STAR +10-15% above Standard (CEE Tier 1)"/>
        <s v="ENERGY STAR +15-20% above Standard (CEE Tier 2; 2016 and 2017 ENERGY STAR Most Efficient)"/>
        <s v="ENERGY STAR +20% or better above Standard (CEE Tier 3)"/>
        <s v="Below Min Efficiency Level for Program"/>
        <s v="IECC 2006"/>
        <s v="IECC 2009"/>
        <s v="IECC 2012 w ID amend."/>
        <s v="IECC 2003 w MT amend."/>
        <s v="IECC 2009 w MT amend."/>
        <s v="IECC 2012 w MT amend."/>
        <s v="Or. Res Specialty 2008"/>
        <s v="Or. Res Specialty 2011"/>
        <s v="Delete"/>
        <s v="WSEC 2006"/>
        <s v="WSEC 2009"/>
        <s v="WSEC 2012"/>
        <s v="IECC 2015"/>
        <s v="IECC 2018"/>
        <s v="IECC 2021"/>
        <s v="Or. Specialty Code 2014"/>
        <s v="Or. Specialty Code 2017"/>
        <s v="Or. Specialty Code 2021"/>
        <s v="Or. Specialty Code 2023"/>
        <s v="WSEC 2015"/>
        <s v="WSEC 2018"/>
        <s v="WSEC 2021"/>
        <s v="Above 2009 Baseline"/>
        <s v="ENERGY STAR 3.0 +30%"/>
        <s v="Most Efficient 2015"/>
        <s v="ENERGY STAR 4.1"/>
        <s v="ENERGY STAR 5.3"/>
        <s v="ENERGY STAR 5.3 +20%"/>
        <s v="ENERGY STAR 5.3 +35%"/>
        <s v="ENERGY STAR 6.2 +20%"/>
        <s v="Most Efficient 2013"/>
        <s v="ENERGY STAR 7"/>
        <s v="ENERGY STAR 7+35% (UHD)"/>
        <s v="Energy Star v1.1"/>
        <s v="UCEF 3.00 to 4.19"/>
        <s v="UCEF 4.20 to 5.29"/>
        <s v="UCEF 5.30 to 6.09"/>
        <s v="UCEF 6.10 to 7.19"/>
        <s v="UCEF 7.20 to 8.00"/>
        <s v="Tier 2"/>
        <s v="Tier 3"/>
        <s v="Tier 4"/>
        <s v="Tier 5"/>
        <s v="Next Step Home"/>
        <s v="Above Code Building"/>
        <s v="IECC 2024"/>
        <s v="IECC 2027"/>
        <s v="Or. Specialty Code 2026"/>
        <s v="Or. Specialty Code 2029"/>
        <s v="WSEC 2024"/>
        <s v="WSEC 2027"/>
        <s v="Federal Standard Residential"/>
        <s v="Residential Applications"/>
        <s v="TBD"/>
        <s v="ENERGY STAR v5"/>
        <s v="ENERGY STAR v5 +5%"/>
        <s v="ENERGY STAR v7/8"/>
        <s v="ENERGY STAR Most Efficient 2017"/>
        <s v="ENERGY STAR Most Efficient 2017+"/>
        <s v="ENERGY STAR +20%"/>
        <s v="ENERGY STAR v1"/>
        <s v="ENERGY STAR v1 Most Efficient"/>
        <s v="ENERGY STAR V4"/>
        <s v="ENERGY STAR v5 Most Efficient"/>
        <s v="ENERGY STAR v9"/>
        <s v="ENERGY STAR v2"/>
        <s v="ENERGY STAR v2 +50%"/>
        <s v="ENERGY STAR V3"/>
        <s v="ENERGY STAR V3 +15%"/>
        <s v="ENERGY STAR V3 +50%"/>
        <s v="ENERGY STAR +TBD%"/>
        <s v="ENERGY STAR v5/ENERGY STAR Most Efficient"/>
        <s v="ENERGY STAR v8 +20%"/>
        <s v="ENERGY STAR v8 +35%"/>
        <s v="ENERGY STAR Most Efficient 2018 through 2020"/>
        <s v="ENERGY STAR Most Efficient TBD"/>
        <s v="Inefficient Unit"/>
        <s v="HUD Code"/>
        <s v="NEEM 1.1"/>
        <s v="NEEM Plus"/>
      </sharedItems>
    </cacheField>
    <cacheField name="[vwMeasures].[Product Description].[Product Description]" caption="Product Description" numFmtId="0" hierarchy="66" level="1">
      <sharedItems count="142" longText="1">
        <s v="Irrigation products"/>
        <s v="Building Operator Certification"/>
        <s v="Commissioning of commercial buildings"/>
        <s v="Retro Commissioning of commercial buildings"/>
        <s v="Commissioning of industrial buildings"/>
        <s v="Retro Commissioning of industrial buildings"/>
        <s v="Commercial building codes"/>
        <s v="Verdiem Network Management"/>
        <s v="Commercial Desktop Computers"/>
        <s v="Groceries"/>
        <s v="Commerical Building Operations"/>
        <s v="Strategic Energy Management in food processing facilities"/>
        <s v="Strategic Energy Management in commercial real estate"/>
        <s v="WA CRE SEM"/>
        <s v="OR CRE SEM"/>
        <s v="ID CRE SEM"/>
        <s v="New Construction Measures"/>
        <s v="Lighting"/>
        <s v="Building Operator Certification Expansion"/>
        <s v="Small, large, and very large commercial package air conditioners and heat pumps are air-cooled, water-cooled, evaporatively-cooled, or water source unitary air conditioners and heat pumps that are used for space conditioning of commercial and industrial buildings."/>
        <s v="Standards (proxy savings forecast)"/>
        <s v="DOE defines a “commercial prerinse spray valve” as a handheld device that has a release-to close valve and is suitable for removing food residue from food service items before cleaning them in commercial dishwashing and ware washing equipment"/>
        <s v="Ceiling Fans"/>
        <s v="Ceiling Fan Light Kits"/>
        <s v="TBD (from Katie)"/>
        <s v="Portable Air Conditioners"/>
        <s v=""/>
        <s v="Commercial Packaged Boilers"/>
        <s v="Commercial High-CRI Fluorescent Lamp Replacements"/>
        <s v="Industrial High-CRI Fluorescent Lamp Replacements"/>
        <s v="Federal standard for lamp ballasts effect in 2014"/>
        <s v="Standards (delete or change eventually)"/>
        <s v="DOE defines the term “small electric motor” to mean “a NEMA general-purpose alternating current single-speed induction motor built in a two-digit frame number series in accordance with NEMA Standards Publication MG1–1987.” (42 U.S.C. 6311(13)(G))"/>
        <s v="Commercial refrigerator, freezer, and refrigerator-freezer as refrigeration equipment"/>
        <s v="DOE defines a “walk-in cooler and walk-in freezer” as an enclosed storage space refrigerated to temperatures, respectively, above, and at or below 32 degrees Farenheit that can be walked into, and has a total chilled storage area of less than 3,000 square feet."/>
        <s v="Rooftop Units"/>
        <s v="Electric motors are machines that convert electrical power into rotational mechanical power."/>
        <s v="Pumps exist in numerous applications, including agriculture, oil and gas production, water and wastewater, manufacturing, mining, and commercial building systems."/>
        <s v="Deep Energy Retrofits of commercial buildings"/>
        <s v="Luminaire Level Lighting Controls in commercial buildings"/>
        <s v="Streets Lights"/>
        <s v="Commercial T8 lamps"/>
        <s v="Industrial T8 Lamps"/>
        <s v="General"/>
        <s v="Industrial SEM"/>
        <s v="Commercial SEM"/>
        <s v="Commercial Secondary Windows"/>
        <s v="Commercial HVAC system with Dedicated Outside Air System, Installed in Existing Building where DOAS is Required by Washington State Energy Code"/>
        <s v="Commercial HVAC system with Partially / Fully Decoupled Ventilation, Right / Oversized ENERGY STAR Heating and Cooling system, Installed in Existing Building where DOAS is Required by Washington State Energy Code"/>
        <s v="Commercial HVAC system with Partially / Fully Decoupled Ventilation, Right / Oversized ENERGY STAR Heating and Cooling system, Installed in New Building where DOAS is Required by Washington State Energy Code"/>
        <s v="Commerical HVAC system with Partially / Fully Decoupled Ventilation, Right / Oversized ENERGY STAR Heating and Cooling system, Installed in Existing Building"/>
        <s v="Commerical HVAC system with Partially / Fully Decoupled Ventilation, Right / Oversized ENERGY STAR Heating and Cooling system, Installed in New Building"/>
        <s v="Evaporator Fan Variable Frequency Drive"/>
        <s v="Micro Electronics"/>
        <s v="Silicon crystal growers"/>
        <s v="BacGen"/>
        <s v="Adjustable Speed Drive"/>
        <s v="MagnaDrive Coupling"/>
        <s v="Efficient Motors (above standards)"/>
        <s v="Motor Rewinds Drive Power"/>
        <s v="Motor Rewinds Drive Power - Agricultural Application"/>
        <s v="Old Motors Standards (delete?_"/>
        <s v="SEM"/>
        <s v="Distribution Efficiency"/>
        <s v="Certified Refrigeration Energy Specialist"/>
        <s v="Strategic Energy Management in small to medium industrial facilities"/>
        <s v="Laptops sold in the commercial sector"/>
        <s v="Desktops sold in the residential sector"/>
        <s v="Laptops sold in the residential sector"/>
        <s v="Clothes Washers Top Loading"/>
        <s v="Clothes Washers"/>
        <s v="Clothes Washers Front Loading"/>
        <s v="General Purpose screw-in bulb"/>
        <s v="Specialty screw-in bulb"/>
        <s v="LED General Purpose"/>
        <s v="LED Specialty"/>
        <s v="Other General Purpose bulbs"/>
        <s v="Other Specialty bulbs"/>
        <s v="Residential Windows"/>
        <s v="Windows"/>
        <s v="Efficient manufactured homes"/>
        <s v="Lighting (Res)"/>
        <s v="Dishwashers"/>
        <s v="Refrigerators"/>
        <s v="Single-family home, new construction"/>
        <s v="Multifamily home, new construction"/>
        <s v="Inverter-driven DHP of 1.0 ton or greater heating capacity must be installed in the main living area of a house heated with zonal electric heat."/>
        <s v="Install a 9.5 HSPF or better DHP, with nominal tonnage 3/4 ton or greater in the main living area of a house with permanently installed electric forced air furnace space heat."/>
        <s v="Residential televisions"/>
        <s v="DOE defines “electric clothes dryer” under the Energy Policy and Conservation Act (EPCA) of 1975, Pub. L. 94-163, (42 United States Code (U.S.C.) 6291–6309) as “a cabinet-like appliance designed to dry fabrics in a tumble-type drum with forced air circulation."/>
        <s v="Small Heat Pump Water Heaters installed in Existing Construction"/>
        <s v="Large Heat Pump Water Heaters installed in Existing Construction"/>
        <s v="Small Heat Pump Water Heaters installed in New Construction"/>
        <s v="Large Heat Pump Water Heaters installed in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Combination of Home Energy Scores and EPA ENERGY STAR Idaho, all heating systems, Idaho climate zones, single-family, new construction"/>
        <s v="Combination of Home Energy Scores and EPA ENERGY STAR Montana, all heating systems, Montana climate zones, single-family, new construction"/>
        <s v="Combination of Home Energy Scores and EPA ENERGY STAR Oregon, all heating systems, Oregon climate zones, single-family, new construction"/>
        <s v="Combination of Home Energy Scores and EPA ENERGY STAR Washington, all heating systems, Washington climate zones, single-family, new construction"/>
        <s v="Combination of Home Energy Scores and EPA ENERGY STAR Idaho, all heating systems, Idaho climate zones, multi-family, new construction"/>
        <s v="Combination of Home Energy Scores and EPA ENERGY STAR Montana, all heating systems, Montana climate zones, multi-family, new construction"/>
        <s v="Combination of Home Energy Scores and EPA ENERGY STAR Oregon, all heating systems, Oregon climate zones, multi-family, new construction"/>
        <s v="Combination of Home Energy Scores and EPA ENERGY STAR Washington, all heating systems, Washington climate zones, multi-family, new construction"/>
        <s v="Built Green  in Washington, all heating systems, Washington climate zones, multifamily, new construction"/>
        <s v="Performance path utility program for single-family home, new construction"/>
        <s v="National Green Building Standard in Washington, all heating systems, Washington climate zones, multifamily, new construction"/>
        <s v="OR National Green Building Standard Multifamily"/>
        <s v="ID National Green Building Standard Multifamily"/>
        <s v="MT National Green Building Standard Multifamily"/>
        <s v="New Homes Program PacifiCorp (2017)"/>
        <s v="Retail Products Portfolio"/>
        <s v="A residential central air conditioner is an important part of a home’s central heating_x000a_and cooling system that provides cooled air to the conditioned space through ductwork."/>
        <s v="Standard Battery Chargers"/>
        <s v="Federal standard for Heat Pumps effect in 2015"/>
        <s v="A furnace fan is an electrically-powered device used in residential buildings for the purposes of circulating air through duct work."/>
        <s v="The term &quot;external power supply&quot; means an external power supply circuit that is used to _x000a_convert household electric current into DC current or lower-voltage AC current to operate a _x000a_consumer product. (42 U.S.C. 6291(36)(A))"/>
        <s v="Compact upright freezers with manual defrost and Regular Compact Freezers"/>
        <s v="Standard Clothes Dryers"/>
        <s v="Clothes Dryers (Standard, Gas)"/>
        <s v="Clothes Dryers (Compact, Gas)"/>
        <s v="Dehumidifiers"/>
        <s v="Compact Refrigerators"/>
        <s v="Compact Clothes Dryers"/>
        <s v="Compact Clothes Washers"/>
        <s v="Televisions; Residential Applications; Ultra High Definition; &gt;= 39 inches"/>
        <s v="Residential Small Appliances"/>
        <s v="Residential Heating and Cooling"/>
        <s v="Home Audio"/>
        <s v="Upright Freezers"/>
        <s v="Residential Ultra High Definition televisions"/>
        <s v="Chest freezers and all other freezers except compact freezers."/>
        <s v="Manufactured Home"/>
        <s v="Residential Hydronic Heating Circulator"/>
        <s v="Commercial Hydronic Heating Circulator"/>
        <s v="Residential Domestic Hot Water Circulator"/>
        <s v="Commercial Domestic Hot Water Circulator"/>
        <s v="Commercial Constant Speed Clean Water Pump"/>
        <s v="Commercial Variable Speed Clean Water Pump"/>
      </sharedItems>
    </cacheField>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2" memberValueDatatype="130" unbalanced="0">
      <fieldsUsage count="2">
        <fieldUsage x="-1"/>
        <fieldUsage x="0"/>
      </fieldsUsage>
    </cacheHierarchy>
    <cacheHierarchy uniqueName="[vwMeasures].[Measure Life]" caption="Measure Life" attribute="1" defaultMemberUniqueName="[vwMeasures].[Measure Life].[All]" allUniqueName="[vwMeasures].[Measure Life].[All]" dimensionUniqueName="[vwMeasures]" displayFolder="" count="2" memberValueDatatype="5" unbalanced="0">
      <fieldsUsage count="2">
        <fieldUsage x="-1"/>
        <fieldUsage x="3"/>
      </fieldsUsage>
    </cacheHierarchy>
    <cacheHierarchy uniqueName="[vwMeasures].[Measure Index]" caption="Measure Index" attribute="1" defaultMemberUniqueName="[vwMeasures].[Measure Index].[All]" allUniqueName="[vwMeasures].[Measure Index].[All]" dimensionUniqueName="[vwMeasures]" displayFolder="" count="2" memberValueDatatype="130" unbalanced="0">
      <fieldsUsage count="2">
        <fieldUsage x="-1"/>
        <fieldUsage x="1"/>
      </fieldsUsage>
    </cacheHierarchy>
    <cacheHierarchy uniqueName="[vwMeasures].[Measure Description]" caption="Measure Description" attribute="1" defaultMemberUniqueName="[vwMeasures].[Measure Description].[All]" allUniqueName="[vwMeasures].[Measure Description].[All]" dimensionUniqueName="[vwMeasures]" displayFolder="" count="2" memberValueDatatype="130" unbalanced="0">
      <fieldsUsage count="2">
        <fieldUsage x="-1"/>
        <fieldUsage x="2"/>
      </fieldsUsage>
    </cacheHierarchy>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2" memberValueDatatype="130" unbalanced="0">
      <fieldsUsage count="2">
        <fieldUsage x="-1"/>
        <fieldUsage x="4"/>
      </fieldsUsage>
    </cacheHierarchy>
    <cacheHierarchy uniqueName="[vwMeasures].[Initiative Index]" caption="Initiative Index" attribute="1" defaultMemberUniqueName="[vwMeasures].[Initiative Index].[All]" allUniqueName="[vwMeasures].[Initiative Index].[All]" dimensionUniqueName="[vwMeasures]" displayFolder="" count="2" memberValueDatatype="130" unbalanced="0">
      <fieldsUsage count="2">
        <fieldUsage x="-1"/>
        <fieldUsage x="5"/>
      </fieldsUsage>
    </cacheHierarchy>
    <cacheHierarchy uniqueName="[vwMeasures].[Initiative Description]" caption="Initiative Description" attribute="1" defaultMemberUniqueName="[vwMeasures].[Initiative Description].[All]" allUniqueName="[vwMeasures].[Initiative Description].[All]" dimensionUniqueName="[vwMeasures]" displayFolder="" count="2" memberValueDatatype="130" unbalanced="0">
      <fieldsUsage count="2">
        <fieldUsage x="-1"/>
        <fieldUsage x="6"/>
      </fieldsUsage>
    </cacheHierarchy>
    <cacheHierarchy uniqueName="[vwMeasures].[Product]" caption="Product" attribute="1" defaultMemberUniqueName="[vwMeasures].[Product].[All]" allUniqueName="[vwMeasures].[Product].[All]" dimensionUniqueName="[vwMeasures]" displayFolder="" count="2" memberValueDatatype="130" unbalanced="0">
      <fieldsUsage count="2">
        <fieldUsage x="-1"/>
        <fieldUsage x="7"/>
      </fieldsUsage>
    </cacheHierarchy>
    <cacheHierarchy uniqueName="[vwMeasures].[Product Description]" caption="Product Description" attribute="1" defaultMemberUniqueName="[vwMeasures].[Product Description].[All]" allUniqueName="[vwMeasures].[Product Description].[All]" dimensionUniqueName="[vwMeasures]" displayFolder="" count="2" memberValueDatatype="130" unbalanced="0">
      <fieldsUsage count="2">
        <fieldUsage x="-1"/>
        <fieldUsage x="9"/>
      </fieldsUsage>
    </cacheHierarchy>
    <cacheHierarchy uniqueName="[vwMeasures].[Tier]" caption="Tier" attribute="1" defaultMemberUniqueName="[vwMeasures].[Tier].[All]" allUniqueName="[vwMeasures].[Tier].[All]" dimensionUniqueName="[vwMeasures]" displayFolder="" count="2" memberValueDatatype="130" unbalanced="0">
      <fieldsUsage count="2">
        <fieldUsage x="-1"/>
        <fieldUsage x="8"/>
      </fieldsUsage>
    </cacheHierarchy>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20949077" backgroundQuery="1" createdVersion="6" refreshedVersion="8" minRefreshableVersion="3" recordCount="0" supportSubquery="1" supportAdvancedDrill="1" xr:uid="{02363619-8FBE-4BAE-AAAA-885EF57A9206}">
  <cacheSource type="external" connectionId="15"/>
  <cacheFields count="10">
    <cacheField name="[vwMeasures].[Initiative].[Initiative]" caption="Initiative" numFmtId="0" hierarchy="62" level="1">
      <sharedItems count="53">
        <s v="AM400 Data Logger"/>
        <s v="Irrigation"/>
        <s v="Building Operator Certification"/>
        <s v="Commissioning Buildings"/>
        <s v="Commercial New Construction"/>
        <s v="Verdiem Network Energy Management"/>
        <s v="Desktop Power Supplies"/>
        <s v="Grocery"/>
        <s v="Building Operations (Non-target Markets)"/>
        <s v="Healthcare"/>
        <s v="Commercial Real Estate"/>
        <s v="New Construction (Commercial)"/>
        <s v="Commercial Lighting Solutions"/>
        <s v="Building Operator Certification Expansion"/>
        <s v="Non-residential Products (Standards)"/>
        <s v="Existing Building Renewal"/>
        <s v="Luminaire Level Lighting Controls"/>
        <s v="Solid State Streetlights with Controls"/>
        <s v="Reduced Wattage Lamp Replacement"/>
        <s v="Top Tier Trade Ally"/>
        <s v="Other Strategic Energy Management"/>
        <s v="Window Attachments"/>
        <s v="High Performance HVAC"/>
        <s v="Variable Frequency Drives"/>
        <s v="Microelectronics (Asimi, Silicon Crystal Growing Facilities)"/>
        <s v="BacGen Waste Water Optimization Service"/>
        <s v="MagnaDrive Innovative Industrial Speed Control"/>
        <s v="Pneu-Logic (Sav-Air)"/>
        <s v="Drive Power"/>
        <s v="Food Processors"/>
        <s v="Pulp and Paper"/>
        <s v="Distribution Efficiency"/>
        <s v="Certified Refrigeration Energy Specialist (CRES)"/>
        <s v="Small/Medium Industrials"/>
        <s v="Other ENERGY STAR Products"/>
        <s v="Clothes Washers"/>
        <s v="Residential Lighting"/>
        <s v="Windows"/>
        <s v="Super Good Cents Manufactured Homes"/>
        <s v="Lighting Fixtures"/>
        <s v="Dishwashers"/>
        <s v="Refrigerators"/>
        <s v="Efficient Homes"/>
        <s v="Residential New Construction"/>
        <s v="Ductless Heat Pumps"/>
        <s v="Televisions"/>
        <s v="Super-Efficient Dryers"/>
        <s v="Heat Pump Water Heaters"/>
        <s v="Next Step Homes"/>
        <s v="Consumer Products (Standards)"/>
        <s v="Retail Product Portfolio"/>
        <s v="Manufactured Homes"/>
        <s v="XMP Pumps"/>
      </sharedItems>
    </cacheField>
    <cacheField name="[vwMeasures].[Product].[Product]" caption="Product" numFmtId="0" hierarchy="65" level="1">
      <sharedItems count="186">
        <s v="Ag Data Logger"/>
        <s v="Ag Irrigation"/>
        <s v="BOC"/>
        <s v="Cx"/>
        <s v="rCx"/>
        <s v="Cx-Industrial"/>
        <s v="rCx-Industrial"/>
        <s v="ID Commercial Codes"/>
        <s v="MT Commercial Codes"/>
        <s v="OR Commercial Codes"/>
        <s v="WA Commercial Codes"/>
        <s v="Verdiem"/>
        <s v="Commercial Desktops"/>
        <s v="Groceries"/>
        <s v="Building Operations"/>
        <s v="Healthcare SEM"/>
        <s v="CRE SEM"/>
        <s v="WA CRE SEM"/>
        <s v="OR CRE SEM"/>
        <s v="ID CRE SEM"/>
        <s v="New Commercial Construction"/>
        <s v="Commercial Lighting"/>
        <s v="BOC_Expansion"/>
        <s v="Commercial Package Air Conditioners and Heat Pumps"/>
        <s v="Other Standards"/>
        <s v="Pre-rinse Spray Valves"/>
        <s v="Ceiling Fans"/>
        <s v="Ceiling Fan Light Kits"/>
        <s v="Air Compressors"/>
        <s v="Portable Air Conditioners"/>
        <s v="Uninterruptible Power Supplies"/>
        <s v="Commercial Packaged Boilers"/>
        <s v="Commercial High-CRI Fluorescent Lamps"/>
        <s v="Industrial High-CRI Fluorescent Lamps"/>
        <s v="Commercial Fryers - Electric"/>
        <s v="Commercial Steam Cookers - Electric"/>
        <s v="Commercial Fryers - Gas"/>
        <s v="Commercial Steam Cookers - Gas"/>
        <s v="Nonresidential Fluorescent Lamp Ballasts"/>
        <s v="Beverage Vending Machines"/>
        <s v="Small Electric Motors"/>
        <s v="Commercial Refrigeration Equipment"/>
        <s v="Walk-In Coolers and Freezers"/>
        <s v="Rooftop Units"/>
        <s v="Electric Motors"/>
        <s v="Pumps"/>
        <s v="Deep Energy Retrofits"/>
        <s v="Luminaire Level Lighting Controls"/>
        <s v="Solid State Street Lights"/>
        <s v="T8 Fluorescent 28W- Commercial"/>
        <s v="T8 Fluorescent 25W- Commercial"/>
        <s v="T8 Fluorescent 28W- Industrial"/>
        <s v="T8 Fluorescent 25W- Industrial"/>
        <s v="Single Product"/>
        <s v="Industrial SEM"/>
        <s v="Commercial SEM"/>
        <s v="Commercial Secondary Windows"/>
        <s v="DOAS- Replacement- Regulated by WSEC"/>
        <s v="VHE DOAS- Replacement- Regulated by WSEC"/>
        <s v="VHE DOAS- New- Regulated by WSEC"/>
        <s v="VHE DOAS- Replacement- ID, MT, OR, and WA not Regulated by WSEC"/>
        <s v="VHE DOAS- New- ID, MT, OR, and WA not Regulated by WSEC"/>
        <s v="VFD"/>
        <s v="ASiMI And Silicon"/>
        <s v="ASiMi"/>
        <s v="Silicon"/>
        <s v="BacGen"/>
        <s v="MagnaDrive ASD"/>
        <s v="MagnaDrive Couplings"/>
        <s v="Pneu-Logic"/>
        <s v="NEMA Premium Motors (Non-Standard)"/>
        <s v="Efficient Motor Rewinds"/>
        <s v="Efficient Motor Rewinds - Ag"/>
        <s v="Motors Federal Standard"/>
        <s v="Food Processors SEM"/>
        <s v="Pulp and Paper Sem"/>
        <s v="DEI"/>
        <s v="CRES Certified Operator"/>
        <s v="Small Medium Industrial SEM"/>
        <s v="Commercial Laptops"/>
        <s v="Residential Desktops"/>
        <s v="Residential Laptops"/>
        <s v="Clothes Washers Top Loading"/>
        <s v="Clothes Washers"/>
        <s v="Clothes Washers Front Loading"/>
        <s v="CFL General Purpose"/>
        <s v="CFL Specialty"/>
        <s v="LED General Purpose"/>
        <s v="LED Specialty"/>
        <s v="Other General Purpose"/>
        <s v="Other Specialty"/>
        <s v="Residential Windows (New and Existing Construction)"/>
        <s v="Residential Windows (New Construction)"/>
        <s v="Residential Windows (Existing Construction)"/>
        <s v="Super Good Cents Manufactured Homes"/>
        <s v="Residential Fixtures"/>
        <s v="Dishwashers"/>
        <s v="Refrigerators"/>
        <s v="WA Homes (ENERGY STAR Northwest Homes)"/>
        <s v="ID Multifamily Homes"/>
        <s v="Northwest"/>
        <s v="OR Multifamily Homes"/>
        <s v="WA Multifamily Homes"/>
        <s v="MT Multifamily Homes"/>
        <s v="ID Code"/>
        <s v="MT Code"/>
        <s v="OR Code"/>
        <s v="WA Code"/>
        <s v="ID Homes (ENERGY STAR Northwest Homes)"/>
        <s v="MT Homes (ENERGY STAR Northwest Homes)"/>
        <s v="OR Homes (ENERGY STAR Northwest Homes)"/>
        <s v="ID Multifamily Code"/>
        <s v="MT Multifamily Code"/>
        <s v="OR Multifamily Code"/>
        <s v="WA Multifamily Code"/>
        <s v="DHP Zonal"/>
        <s v="DHP FAF"/>
        <s v="DHP MH FAF"/>
        <s v="Televisions"/>
        <s v="Clothes Dryers"/>
        <s v="HPWH (&lt;=55 gallons) Existing Construction"/>
        <s v="HPWH (&gt;55 gallons) Existing Construction"/>
        <s v="HPWH (&lt;=55 gallons) New Construction"/>
        <s v="HPWH (&gt;55 gallons) New Construction"/>
        <s v="OR Homes (Next Step)"/>
        <s v="WA Homes (Next Step)"/>
        <s v="ID National Green Building Standard Single-family"/>
        <s v="MT National Green Building Standard Single-family"/>
        <s v="OR National Green Building Standard Single-family"/>
        <s v="WA National Green Building Standard Single-family"/>
        <s v="WA BuiltGreen Single-family"/>
        <s v="ID HERS and National ENERGY STAR Homes"/>
        <s v="MT HERS and National ENERGY STAR Homes"/>
        <s v="OR HERS and National ENERGY STAR Homes"/>
        <s v="WA HERS and National ENERGY STAR Homes"/>
        <s v="ID HERS and National ENERGY STAR Homes - MF"/>
        <s v="MT HERS and National ENERGY STAR Homes - MF"/>
        <s v="OR HERS and National ENERGY STAR Homes - MF"/>
        <s v="WA HERS and National ENERGY STAR Homes - MF"/>
        <s v="Energy Performance Score"/>
        <s v="WA BuiltGreen Multifamily"/>
        <s v="ID Performance Path"/>
        <s v="MT Performance Path"/>
        <s v="OR Performance Path"/>
        <s v="WA Performance Path"/>
        <s v="WA National Green Building Standard Multifamily"/>
        <s v="OR National Green Building Standard Multifamily"/>
        <s v="ID National Green Building Standard Multifamily"/>
        <s v="MT National Green Building Standard Multifamily"/>
        <s v="OR Earth Advantage"/>
        <s v="WA Home Energy Savings Program"/>
        <s v="ID Homes (Next Step)"/>
        <s v="MT Homes (Next Step)"/>
        <s v="Portfolio TBD"/>
        <s v="Residential Central AC"/>
        <s v="Battery Chargers"/>
        <s v="Residential Heat Pumps"/>
        <s v="Furnace Fans"/>
        <s v="External Power Supplies"/>
        <s v="Residential Fluorescent Lamp Ballasts"/>
        <s v="Freezers- Compact"/>
        <s v="Refrigerators- Bottom Freezers"/>
        <s v="Refrigerators- Side Freezers"/>
        <s v="Clothes Dryers (Standard)"/>
        <s v="Clothes Dryers (Standard, Gas)"/>
        <s v="Clothes Dryers (Compact, Gas)"/>
        <s v="Dehumidifiers"/>
        <s v="Refrigerators- Compact"/>
        <s v="Clothes Dryers (Compact)"/>
        <s v="Clothes Washers (Compact)"/>
        <s v="UHD Televisions (Standby Mode Power)"/>
        <s v="Air Cleaner"/>
        <s v="Room AC"/>
        <s v="Soundbars"/>
        <s v="Freezers- Upright"/>
        <s v="Refrigerators- Other"/>
        <s v="UHD Televisions (On Mode Power)"/>
        <s v="UHD Televisions"/>
        <s v="Freezers- Chest"/>
        <s v="Manufactured Home"/>
        <s v="Residential HH Circulator"/>
        <s v="Commercial HH Circulator"/>
        <s v="Residential DHW Circulator"/>
        <s v="Commercial DHW Circulator"/>
        <s v="Commercial CS Pump"/>
        <s v="Commercial VS Pump"/>
      </sharedItems>
    </cacheField>
    <cacheField name="[vwMeasures].[Tier].[Tier]" caption="Tier" numFmtId="0" hierarchy="67" level="1">
      <sharedItems count="165">
        <s v="AM 400"/>
        <s v="Level 1"/>
        <s v="Single Tier"/>
        <s v="ID 2000 &amp; 2003 IECC"/>
        <s v="ID 2030 IECC"/>
        <s v="ID 2006 IECC"/>
        <s v="ID 2009 IECC"/>
        <s v="ID 2012 IECC"/>
        <s v="ID 2015 IECC"/>
        <s v="ID 2018 IECC"/>
        <s v="ID 2021 IECC"/>
        <s v="ID 2024 IECC"/>
        <s v="ID 2027 IECC"/>
        <s v="MT 2003 IECC w/ Amend"/>
        <s v="MT 2009 IECC w/ Amend"/>
        <s v="MT 2012 IECC"/>
        <s v="MT 2018 IECC"/>
        <s v="MT 2021 IECC"/>
        <s v="MT 2024 IECC"/>
        <s v="MT 2027 IECC"/>
        <s v="MT 2030 IECC"/>
        <s v="OR 2004 OSSC"/>
        <s v="OR 2007 OSSC"/>
        <s v="OR 2010 OEESC"/>
        <s v="OR 2014 OEESC"/>
        <s v="OR 2019 OZERCC"/>
        <s v="OR 2021 OEESC"/>
        <s v="OR 2023 OEESC"/>
        <s v="OR 2026 OEESC"/>
        <s v="OR 2029 OEESC"/>
        <s v="WA 2000 &amp; 2003 WSEC"/>
        <s v="WA 2027 WSEC"/>
        <s v="WA 2030 WSEC"/>
        <s v="WA 2004 WSEC"/>
        <s v="WA 2006 WSEC"/>
        <s v="WA 2009 WSEC"/>
        <s v="WA 2012 WSEC"/>
        <s v="WA 2015 WSEC"/>
        <s v="WA 2018 WSEC"/>
        <s v="WA 2021 WSEC"/>
        <s v="WA 2024 WSEC"/>
        <s v="Non-Qualifying"/>
        <s v="80 PLUS"/>
        <s v="ENERGY STAR 5.0"/>
        <s v="ENERGY STAR 6.0"/>
        <s v="ENERGY STAR 7.0"/>
        <s v="ENERGY STAR 8.0"/>
        <s v="Tier 1"/>
        <s v="Pilot"/>
        <s v="All Product Classes"/>
        <s v="Federal Standard Commercial"/>
        <s v="Commercial Applications"/>
        <s v="Industrial Applications"/>
        <s v="Non-Residential Applications"/>
        <s v="2019 WA Standard"/>
        <s v="2021 OR Standard"/>
        <s v="2014 Standard"/>
        <s v="2017 Standard"/>
        <s v="Agricultural Applications"/>
        <s v="7th PP Baseline Adjustment"/>
        <s v="DOAS 2018 WSEC with 60% ERV/HRV"/>
        <s v="DOAS with &gt;=82% ERV/HRV"/>
        <s v="DOAS with 60%-81% ERV/HRV"/>
        <s v="Below Fed Stnd (IMEF 0.88-1.02)"/>
        <s v="ENERGY STAR Most Efficient"/>
        <s v="Below Fed Stnd (IMEF 1.03-1.31)"/>
        <s v="Fed Standard (IMEF 1.32-1.58)"/>
        <s v="Fed Standard (IMEF 1.59-2.05)"/>
        <s v="Energy Star (IMEF 2.06-2.37)"/>
        <s v="CEE Tier 1"/>
        <s v="CEE Tier 2"/>
        <s v="CEE Tier 3"/>
        <s v="Energy Star"/>
        <s v="U Factor 0.35"/>
        <s v="Energy Factor 52"/>
        <s v="Energy Factor 58"/>
        <s v="Energy Factor 65"/>
        <s v="Energy Factor 68"/>
        <s v="ENERGY STAR and Above"/>
        <s v="ENERGY STAR 2003"/>
        <s v="ENERGY STAR 2008"/>
        <s v="ENERGY STAR +10-15% above Standard (CEE Tier 1)"/>
        <s v="ENERGY STAR +15-20% above Standard (CEE Tier 2; 2016 and 2017 ENERGY STAR Most Efficient)"/>
        <s v="ENERGY STAR +20% or better above Standard (CEE Tier 3)"/>
        <s v="Below Min Efficiency Level for Program"/>
        <s v="IECC 2006"/>
        <s v="IECC 2009"/>
        <s v="IECC 2012 w ID amend."/>
        <s v="IECC 2003 w MT amend."/>
        <s v="IECC 2009 w MT amend."/>
        <s v="IECC 2012 w MT amend."/>
        <s v="Or. Res Specialty 2008"/>
        <s v="Or. Res Specialty 2011"/>
        <s v="Delete"/>
        <s v="WSEC 2006"/>
        <s v="WSEC 2009"/>
        <s v="WSEC 2012"/>
        <s v="IECC 2015"/>
        <s v="IECC 2018"/>
        <s v="IECC 2021"/>
        <s v="Or. Specialty Code 2014"/>
        <s v="Or. Specialty Code 2017"/>
        <s v="Or. Specialty Code 2021"/>
        <s v="Or. Specialty Code 2023"/>
        <s v="WSEC 2015"/>
        <s v="WSEC 2018"/>
        <s v="WSEC 2021"/>
        <s v="Above 2009 Baseline"/>
        <s v="ENERGY STAR 3.0 +30%"/>
        <s v="Most Efficient 2015"/>
        <s v="ENERGY STAR 4.1"/>
        <s v="ENERGY STAR 5.3"/>
        <s v="ENERGY STAR 5.3 +20%"/>
        <s v="ENERGY STAR 5.3 +35%"/>
        <s v="ENERGY STAR 6.2 +20%"/>
        <s v="Most Efficient 2013"/>
        <s v="ENERGY STAR 7"/>
        <s v="ENERGY STAR 7+35% (UHD)"/>
        <s v="Energy Star v1.1"/>
        <s v="UCEF 3.00 to 4.19"/>
        <s v="UCEF 4.20 to 5.29"/>
        <s v="UCEF 5.30 to 6.09"/>
        <s v="UCEF 6.10 to 7.19"/>
        <s v="UCEF 7.20 to 8.00"/>
        <s v="Tier 2"/>
        <s v="Tier 3"/>
        <s v="Tier 4"/>
        <s v="Tier 5"/>
        <s v="Next Step Home"/>
        <s v="Above Code Building"/>
        <s v="IECC 2024"/>
        <s v="IECC 2027"/>
        <s v="Or. Specialty Code 2026"/>
        <s v="Or. Specialty Code 2029"/>
        <s v="WSEC 2024"/>
        <s v="WSEC 2027"/>
        <s v="Federal Standard Residential"/>
        <s v="Residential Applications"/>
        <s v="TBD"/>
        <s v="ENERGY STAR v5"/>
        <s v="ENERGY STAR v5 +5%"/>
        <s v="ENERGY STAR v7/8"/>
        <s v="ENERGY STAR Most Efficient 2017"/>
        <s v="ENERGY STAR Most Efficient 2017+"/>
        <s v="ENERGY STAR +20%"/>
        <s v="ENERGY STAR v1"/>
        <s v="ENERGY STAR v1 Most Efficient"/>
        <s v="ENERGY STAR V4"/>
        <s v="ENERGY STAR v5 Most Efficient"/>
        <s v="ENERGY STAR v9"/>
        <s v="ENERGY STAR v2"/>
        <s v="ENERGY STAR v2 +50%"/>
        <s v="ENERGY STAR V3"/>
        <s v="ENERGY STAR V3 +15%"/>
        <s v="ENERGY STAR V3 +50%"/>
        <s v="ENERGY STAR +TBD%"/>
        <s v="ENERGY STAR v5/ENERGY STAR Most Efficient"/>
        <s v="ENERGY STAR v8 +20%"/>
        <s v="ENERGY STAR v8 +35%"/>
        <s v="ENERGY STAR Most Efficient 2018 through 2020"/>
        <s v="ENERGY STAR Most Efficient TBD"/>
        <s v="Inefficient Unit"/>
        <s v="HUD Code"/>
        <s v="NEEM 1.1"/>
        <s v="NEEM Plus"/>
      </sharedItems>
    </cacheField>
    <cacheField name="[vwMeasures].[Product Description].[Product Description]" caption="Product Description" numFmtId="0" hierarchy="66" level="1">
      <sharedItems count="142" longText="1">
        <s v="Irrigation products"/>
        <s v="Building Operator Certification"/>
        <s v="Commissioning of commercial buildings"/>
        <s v="Retro Commissioning of commercial buildings"/>
        <s v="Commissioning of industrial buildings"/>
        <s v="Retro Commissioning of industrial buildings"/>
        <s v="Commercial building codes"/>
        <s v="Verdiem Network Management"/>
        <s v="Commercial Desktop Computers"/>
        <s v="Groceries"/>
        <s v="Commerical Building Operations"/>
        <s v="Strategic Energy Management in food processing facilities"/>
        <s v="Strategic Energy Management in commercial real estate"/>
        <s v="WA CRE SEM"/>
        <s v="OR CRE SEM"/>
        <s v="ID CRE SEM"/>
        <s v="New Construction Measures"/>
        <s v="Lighting"/>
        <s v="Building Operator Certification Expansion"/>
        <s v="Small, large, and very large commercial package air conditioners and heat pumps are air-cooled, water-cooled, evaporatively-cooled, or water source unitary air conditioners and heat pumps that are used for space conditioning of commercial and industrial buildings."/>
        <s v="Standards (proxy savings forecast)"/>
        <s v="DOE defines a “commercial prerinse spray valve” as a handheld device that has a release-to close valve and is suitable for removing food residue from food service items before cleaning them in commercial dishwashing and ware washing equipment"/>
        <s v="Ceiling Fans"/>
        <s v="Ceiling Fan Light Kits"/>
        <s v="TBD (from Katie)"/>
        <s v="Portable Air Conditioners"/>
        <s v=""/>
        <s v="Commercial Packaged Boilers"/>
        <s v="Commercial High-CRI Fluorescent Lamp Replacements"/>
        <s v="Industrial High-CRI Fluorescent Lamp Replacements"/>
        <s v="Federal standard for lamp ballasts effect in 2014"/>
        <s v="Standards (delete or change eventually)"/>
        <s v="DOE defines the term “small electric motor” to mean “a NEMA general-purpose alternating current single-speed induction motor built in a two-digit frame number series in accordance with NEMA Standards Publication MG1–1987.” (42 U.S.C. 6311(13)(G))"/>
        <s v="Commercial refrigerator, freezer, and refrigerator-freezer as refrigeration equipment"/>
        <s v="DOE defines a “walk-in cooler and walk-in freezer” as an enclosed storage space refrigerated to temperatures, respectively, above, and at or below 32 degrees Farenheit that can be walked into, and has a total chilled storage area of less than 3,000 square feet."/>
        <s v="Rooftop Units"/>
        <s v="Electric motors are machines that convert electrical power into rotational mechanical power."/>
        <s v="Pumps exist in numerous applications, including agriculture, oil and gas production, water and wastewater, manufacturing, mining, and commercial building systems."/>
        <s v="Deep Energy Retrofits of commercial buildings"/>
        <s v="Luminaire Level Lighting Controls in commercial buildings"/>
        <s v="Streets Lights"/>
        <s v="Commercial T8 lamps"/>
        <s v="Industrial T8 Lamps"/>
        <s v="General"/>
        <s v="Industrial SEM"/>
        <s v="Commercial SEM"/>
        <s v="Commercial Secondary Windows"/>
        <s v="Commercial HVAC system with Dedicated Outside Air System, Installed in Existing Building where DOAS is Required by Washington State Energy Code"/>
        <s v="Commercial HVAC system with Partially / Fully Decoupled Ventilation, Right / Oversized ENERGY STAR Heating and Cooling system, Installed in Existing Building where DOAS is Required by Washington State Energy Code"/>
        <s v="Commercial HVAC system with Partially / Fully Decoupled Ventilation, Right / Oversized ENERGY STAR Heating and Cooling system, Installed in New Building where DOAS is Required by Washington State Energy Code"/>
        <s v="Commerical HVAC system with Partially / Fully Decoupled Ventilation, Right / Oversized ENERGY STAR Heating and Cooling system, Installed in Existing Building"/>
        <s v="Commerical HVAC system with Partially / Fully Decoupled Ventilation, Right / Oversized ENERGY STAR Heating and Cooling system, Installed in New Building"/>
        <s v="Evaporator Fan Variable Frequency Drive"/>
        <s v="Micro Electronics"/>
        <s v="Silicon crystal growers"/>
        <s v="BacGen"/>
        <s v="Adjustable Speed Drive"/>
        <s v="MagnaDrive Coupling"/>
        <s v="Efficient Motors (above standards)"/>
        <s v="Motor Rewinds Drive Power"/>
        <s v="Motor Rewinds Drive Power - Agricultural Application"/>
        <s v="Old Motors Standards (delete?_"/>
        <s v="SEM"/>
        <s v="Distribution Efficiency"/>
        <s v="Certified Refrigeration Energy Specialist"/>
        <s v="Strategic Energy Management in small to medium industrial facilities"/>
        <s v="Laptops sold in the commercial sector"/>
        <s v="Desktops sold in the residential sector"/>
        <s v="Laptops sold in the residential sector"/>
        <s v="Clothes Washers Top Loading"/>
        <s v="Clothes Washers"/>
        <s v="Clothes Washers Front Loading"/>
        <s v="General Purpose screw-in bulb"/>
        <s v="Specialty screw-in bulb"/>
        <s v="LED General Purpose"/>
        <s v="LED Specialty"/>
        <s v="Other General Purpose bulbs"/>
        <s v="Other Specialty bulbs"/>
        <s v="Residential Windows"/>
        <s v="Windows"/>
        <s v="Efficient manufactured homes"/>
        <s v="Lighting (Res)"/>
        <s v="Dishwashers"/>
        <s v="Refrigerators"/>
        <s v="Single-family home, new construction"/>
        <s v="Multifamily home, new construction"/>
        <s v="Inverter-driven DHP of 1.0 ton or greater heating capacity must be installed in the main living area of a house heated with zonal electric heat."/>
        <s v="Install a 9.5 HSPF or better DHP, with nominal tonnage 3/4 ton or greater in the main living area of a house with permanently installed electric forced air furnace space heat."/>
        <s v="Residential televisions"/>
        <s v="DOE defines “electric clothes dryer” under the Energy Policy and Conservation Act (EPCA) of 1975, Pub. L. 94-163, (42 United States Code (U.S.C.) 6291–6309) as “a cabinet-like appliance designed to dry fabrics in a tumble-type drum with forced air circulation."/>
        <s v="Small Heat Pump Water Heaters installed in Existing Construction"/>
        <s v="Large Heat Pump Water Heaters installed in Existing Construction"/>
        <s v="Small Heat Pump Water Heaters installed in New Construction"/>
        <s v="Large Heat Pump Water Heaters installed in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Combination of Home Energy Scores and EPA ENERGY STAR Idaho, all heating systems, Idaho climate zones, single-family, new construction"/>
        <s v="Combination of Home Energy Scores and EPA ENERGY STAR Montana, all heating systems, Montana climate zones, single-family, new construction"/>
        <s v="Combination of Home Energy Scores and EPA ENERGY STAR Oregon, all heating systems, Oregon climate zones, single-family, new construction"/>
        <s v="Combination of Home Energy Scores and EPA ENERGY STAR Washington, all heating systems, Washington climate zones, single-family, new construction"/>
        <s v="Combination of Home Energy Scores and EPA ENERGY STAR Idaho, all heating systems, Idaho climate zones, multi-family, new construction"/>
        <s v="Combination of Home Energy Scores and EPA ENERGY STAR Montana, all heating systems, Montana climate zones, multi-family, new construction"/>
        <s v="Combination of Home Energy Scores and EPA ENERGY STAR Oregon, all heating systems, Oregon climate zones, multi-family, new construction"/>
        <s v="Combination of Home Energy Scores and EPA ENERGY STAR Washington, all heating systems, Washington climate zones, multi-family, new construction"/>
        <s v="Built Green  in Washington, all heating systems, Washington climate zones, multifamily, new construction"/>
        <s v="Performance path utility program for single-family home, new construction"/>
        <s v="National Green Building Standard in Washington, all heating systems, Washington climate zones, multifamily, new construction"/>
        <s v="OR National Green Building Standard Multifamily"/>
        <s v="ID National Green Building Standard Multifamily"/>
        <s v="MT National Green Building Standard Multifamily"/>
        <s v="New Homes Program PacifiCorp (2017)"/>
        <s v="Retail Products Portfolio"/>
        <s v="A residential central air conditioner is an important part of a home’s central heating_x000a_and cooling system that provides cooled air to the conditioned space through ductwork."/>
        <s v="Standard Battery Chargers"/>
        <s v="Federal standard for Heat Pumps effect in 2015"/>
        <s v="A furnace fan is an electrically-powered device used in residential buildings for the purposes of circulating air through duct work."/>
        <s v="The term &quot;external power supply&quot; means an external power supply circuit that is used to _x000a_convert household electric current into DC current or lower-voltage AC current to operate a _x000a_consumer product. (42 U.S.C. 6291(36)(A))"/>
        <s v="Compact upright freezers with manual defrost and Regular Compact Freezers"/>
        <s v="Standard Clothes Dryers"/>
        <s v="Clothes Dryers (Standard, Gas)"/>
        <s v="Clothes Dryers (Compact, Gas)"/>
        <s v="Dehumidifiers"/>
        <s v="Compact Refrigerators"/>
        <s v="Compact Clothes Dryers"/>
        <s v="Compact Clothes Washers"/>
        <s v="Televisions; Residential Applications; Ultra High Definition; &gt;= 39 inches"/>
        <s v="Residential Small Appliances"/>
        <s v="Residential Heating and Cooling"/>
        <s v="Home Audio"/>
        <s v="Upright Freezers"/>
        <s v="Residential Ultra High Definition televisions"/>
        <s v="Chest freezers and all other freezers except compact freezers."/>
        <s v="Manufactured Home"/>
        <s v="Residential Hydronic Heating Circulator"/>
        <s v="Commercial Hydronic Heating Circulator"/>
        <s v="Residential Domestic Hot Water Circulator"/>
        <s v="Commercial Domestic Hot Water Circulator"/>
        <s v="Commercial Constant Speed Clean Water Pump"/>
        <s v="Commercial Variable Speed Clean Water Pump"/>
      </sharedItems>
    </cacheField>
    <cacheField name="[vwMeasures].[Measure Description].[Measure Description]" caption="Measure Description" numFmtId="0" hierarchy="60" level="1">
      <sharedItems count="388">
        <s v="Irrigation Data Logger"/>
        <s v="TBD"/>
        <s v="Operator Certificate"/>
        <s v="Commissioning of commercial new construction"/>
        <s v="Retro Commissioning of commercial existing buildings"/>
        <s v="Commissioning of industrial new construction"/>
        <s v="Retro Commissioning of industrial existing buildings"/>
        <s v="2000 IECC and 2003 IECC Non-residential new construction built in Idaho"/>
        <s v="2030 IECC Non-residential new construction built in Idaho"/>
        <s v="2006 IECC Non-residential new construction built in Idaho"/>
        <s v="2009 IECC Non-residential new construction built in Idaho"/>
        <s v="2012 IECC Non-residential new construction built in Idaho"/>
        <s v="2015 IECC Non-residential new construction built in Idaho"/>
        <s v="2018 IECC Non-residential new construction built in Idaho"/>
        <s v="2021 IECC Non-residential new construction built in Idaho"/>
        <s v="2024 IECC Non-residential new construction built in Idaho"/>
        <s v="2027 IECC Non-residential new construction built in Idaho"/>
        <s v="2003 IECC Non-residential new construction built in Montana"/>
        <s v="2009 IECC Non-residential new construction built in Montana"/>
        <s v="2012 IECC Non-residential new construction built in Montana"/>
        <s v="2018 IECC Non-residential new construction built in Montana"/>
        <s v="2021 IECC Non-residential new construction built in Montana"/>
        <s v="2024 IECC Non-residential new construction built in Montana"/>
        <s v="2027 IECC Non-residential new construction built in Montana"/>
        <s v="2030 IECC Non-residential new construction built in Montana"/>
        <s v="2004 OSSC Non-residential new construction built in Oregon"/>
        <s v="2007 OSSC Non-residential new construction built in Oregon"/>
        <s v="2010 OEESC Non-residential new construction built in Oregon"/>
        <s v="2014 OEESC Non-residential new construction built in Oregon"/>
        <s v="2019 OZERCC Non-residential new construction built in Oregon"/>
        <s v="2021 OEESC Non-residential new construction built in Oregon"/>
        <s v="2023 OEESC Non-residential new construction built in Oregon"/>
        <s v="2026 OEESC Non-residential new construction built in Oregon"/>
        <s v="2029 OEESC Non-residential new construction built in Oregon"/>
        <s v="2000 WSEC, 2003 WSEC and emergency changes Non-residential new construction built in Washington"/>
        <s v="2027 WSEC Non-residential new construction built in Washington"/>
        <s v="2030 WSEC Non-residential new construction built in Washington"/>
        <s v="2004 WSEC Non-residential new construction built in Washington"/>
        <s v="2006 WSEC Non-residential new construction built in Washington"/>
        <s v="2009 WSEC Non-residential new construction built in Washington"/>
        <s v="2012 WSEC Non-residential new construction built in Washington"/>
        <s v="2015 WSEC Non-residential new construction built in Washington"/>
        <s v="2018 WSEC Non-residential new construction built in Washington"/>
        <s v="2021 WSEC Non-residential new construction built in Washington"/>
        <s v="2024 WSEC Non-residential new construction built in Washington"/>
        <s v="Network Management"/>
        <s v="Non-Qualifying Desktop - Commercial"/>
        <s v="80 PLUS"/>
        <s v="Commercial Desktop ENERGY STAR 5.0"/>
        <s v="Commercial Desktop ENERGY STAR 6.0"/>
        <s v="Commercial Desktop ENERGY STAR 7.0"/>
        <s v="Commercial Desktop ENERGY STAR 8.0"/>
        <s v="All"/>
        <s v="BetterBricks (2008-2010)"/>
        <s v="Strategic Energy Management"/>
        <s v="Strategic Energy Management in existing commercial buildings"/>
        <s v="Strategic Energy Management in existing commercial buildings in Washington"/>
        <s v="Strategic Energy Management in existing commercial buildings in Oregon"/>
        <s v="Strategic Energy Management in existing commercial buildings in Idaho"/>
        <s v="Pilot"/>
        <s v="Building Operator Certification"/>
        <s v="Federal Standard, Effective 2018 and 2023, DOE Final Rule 2016"/>
        <s v="Proxy forecast for other standards"/>
        <s v="Federal Standard, Effective 2019, DOE Final Rule 2016, Pre-rinse Spray Valves"/>
        <s v="Federal Standard, Effective 2020, DOE Final Rule 2017, Nonresidential Ceiling Fans"/>
        <s v="Federal Standard, Effective 2020, DOE Final Rule 2017, Nonresidential Ceiling Fan Light Kits"/>
        <s v="Federal Standard, Effective 2025, DOE Final Rule 2016, Commercial Air Compressors"/>
        <s v="Federal Standard, Effective 2025, DOE Final Rule 2016, Industrial Air Compressors"/>
        <s v="Federal Standard, Effective 2025, DOE Final Rule 2016, Non-Residential Portable Air Conditioners"/>
        <s v="Federal Standard, Effective 2022, DOE Final Rule 2016, Non-Residential Uninterruptible Power Supplies"/>
        <s v="Federal Standard, Effective 2023, DOE Final Rule 2016, Non-Residential Commercial Packaged Boilers"/>
        <s v="Washington State Standard, Effective 2019 for Commercial High-CRI Fluorescent Lamps"/>
        <s v="Oregon State Standard, Effective 2021 for Commercial High-CRI Fluorescent Lamps"/>
        <s v="Washington State Standard, Effective 2019 for Industrial High-CRI Fluorescent Lamps"/>
        <s v="Oregon State Standard, Effective 2021 for Industrial High-CRI Fluorescent Lamps"/>
        <s v="Washington State Standard, Effective 2019 for Electric Commercial Fryers"/>
        <s v="Oregon State Standard, Effective 2021 for Electric Commercial Fryers"/>
        <s v="Washington State Standard, Effective 2019 for Electric Steam Cookers"/>
        <s v="Oregon State Standard, Effective 2021 for Electric Steam Cookers"/>
        <s v="Washington State Standard, Effective 2019 for Gas Commercial Fryers"/>
        <s v="Oregon State Standard, Effective 2021 for Gas Commercial Fryers"/>
        <s v="Washington State Standard, Effective 2019 for Gas Steam Cookers"/>
        <s v="Federal Standard, Effective 2014, DOE Final Rule 2011, Nonresidential Fluorescent Lamp Ballasts"/>
        <s v="Oregon State Standard, Effective 2021 for Gas Steam Cookers"/>
        <s v="Federal Standard, Effective 2019, DOE Final Rule 2016, Refrigerated Beverage Vending Machines"/>
        <s v="Federal Standard, Effective 2015, DOE Final Rule 2010, Small Electric Motors"/>
        <s v="Federal Standard, Effective 2017, DOE Final Rule 2014, Commercial Refrigeration Equipment"/>
        <s v="Federal Standard, Effective 2017, DOE Final Rule 2014, Walk-in Coolers and Freezers"/>
        <s v="Federal Standard, Effective 2020, DOE Final Rule 2017, Walk-in Coolers and Freezers"/>
        <s v="Federal Standard, Effective 2018 and 2023, DOE Final Rule 2015, Commercial Unitary Air Conditioners (aka RTUs)"/>
        <s v="Federal Standard, Effective 2016, DOE Final Rule 2014, Electric Motors"/>
        <s v="Federal Standard, Effective 2020, DOE Final Rule 2015, Pumps in Commercial Applications"/>
        <s v="Federal Standard, Effective 2020, DOE Final Rule 2015, Pumps in Industrial Applications"/>
        <s v="Federal Standard, Effective 2020, DOE Final Rule 2015, Pumps in Agricultural Applications"/>
        <s v="Deep Energy Retrofits"/>
        <s v="Install Luminaire level lighting controls in commercial buildings"/>
        <s v="Solid State Streetlights with Controls"/>
        <s v="28W 4-foot T8 linear fluorescent lamp replacing 32W 4-foot T8 linear fluorescent lamps for commercial application"/>
        <s v="25W 4-foot T8 linear fluorescent lamp replacing 32W 4-foot linear fluorescent lamps for commercial application"/>
        <s v="28W 4-foot T8 linear fluorescent lamp replacing 32W 4-foot T8 linear fluorescent lamps for industrial application"/>
        <s v="25W 4-foot T8 linear fluorescent lamp replacing 32W 4-foot linear fluorescent lamps for industrial application"/>
        <s v="Upstream #2"/>
        <s v="Strategic Energy Management in industrial facilities"/>
        <s v="Strategic Energy Management in commercial facilities"/>
        <s v="Secondary windows attached on existing primary windows in commercial buildings"/>
        <s v="2018 WSEC Code-minimum HVAC system with Dedicated Outside Air System, 60% ERV/HRV, Installed in Existing Building where DOAS is Required by WSEC"/>
        <s v="Very High Efficiency Dedicated Outside Air Systems,  &gt;=82% ERV/HRV, Partially / Fully Decoupled Ventilation, Right / Oversized ENERGY STAR Heating and Cooling system, Installed in Existing Building where DOAS is Required by WSEC, Above Code"/>
        <s v="Very High Efficiency Dedicated Outside Air Systems, &gt;=82% ERV/HRV, Partially / Fully Decoupled Ventilation, Right / Oversized ENERGY STAR Heating and Cooling system, Installed in New Construction where DOAS is Required by WSEC, Above Code"/>
        <s v="Very High Efficiency Dedicated Outside Air Systems, 60%-81% ERV/HRV, Partially / Fully Decoupled Ventilation, Right / Oversized ENERGY STAR Heating and Cooling system, Installed in Existing Building"/>
        <s v="Very High Efficiency Dedicated Outside Air Systems, &gt;=82% ERV/HRV, Partially / Fully Decoupled Ventilation, Right / Oversized ENERGY STAR Heating and Cooling system, Installed in Existing Building"/>
        <s v="Very High Efficiency Dedicated Outside Air Systems, 60%-81% ERV/HRV, Partially / Fully Decoupled Ventilation, Right / Oversized ENERGY STAR Heating and Cooling system, Installed in New Construction"/>
        <s v="Very High Efficiency Dedicated Outside Air Systems, &gt;=82% ERV/HRV, Partially / Fully Decoupled Ventilation, Right / Oversized ENERGY STAR Heating and Cooling system, Installed in New Construction"/>
        <s v="Evap Fan"/>
        <s v="ASiMi and Silicon Crystal Growing Facilities"/>
        <s v="Asimi Crystal Growing Facilities"/>
        <s v="Silicon Crystal Growing Facilities"/>
        <s v="BacGen Technologies"/>
        <s v="MagnaDrive Adjustable Speed Drive"/>
        <s v="MagnaDrive Coupling"/>
        <s v="compressed air system"/>
        <s v="NEMA Premium Electric Motors 201-500 HP"/>
        <s v="Efficient Motor Rewinds for Industrial &amp; Ag Motors"/>
        <s v="Efficient Motor Rewinds for Agricultural Motors"/>
        <s v="NEMA Premium Electric Motors 1-200 HP"/>
        <s v="Strategic Energy Management in existing food processing facilities"/>
        <s v="Distribution Efficiency"/>
        <s v="Certified Refrigeration Energy Specialist"/>
        <s v="Non-Qualifying Laptop - Commercial"/>
        <s v="Commercial Laptop ENERGY STAR 6.0"/>
        <s v="Non-Qualifying Desktop - Residential"/>
        <s v="Residential Desktop ENERGY STAR 6.0"/>
        <s v="Non-Qualifying Laptop - Residential"/>
        <s v="Residential Laptop ENERGY STAR 6.0"/>
        <s v="Less efficient than the 2018 Standard."/>
        <s v="IMEF 0.88-1.02"/>
        <s v="Front-loading Residential Clothes Washers above the 7th Power Plan Baseline."/>
        <s v="IMEF 1.03-1.31"/>
        <s v="IMEF 1.32-1.58"/>
        <s v="IMEF 1.59-2.05"/>
        <s v="IMEF 2.06-2.37"/>
        <s v="IMEF 2.38-2.73"/>
        <s v="IMEF 2.74-2.91"/>
        <s v="IMEF 2.92+"/>
        <s v="Top-loading Residential Clothes Washers above the 7th Power Plan Baseline"/>
        <s v="Retail sales of general purpose CFL bulb in existing residential buildings"/>
        <s v="Retail sales of specialty CFL bulb in existing residential buildings"/>
        <s v="Retail sales of general purpose LED bulb in existing residential buildings"/>
        <s v="Retail sales of specialty LED bulb in existing residential buildings"/>
        <s v="Retail sales of other general purpose bulb in existing residential buildings"/>
        <s v="Retail sales of other specialty bulb in existing residential buildings"/>
        <s v="U Factor 0.35 (New and Existing Construction)"/>
        <s v="U-value 0.35"/>
        <s v="Certificate"/>
        <s v="Dishwashers EF 52"/>
        <s v="Dishwashers EF 58"/>
        <s v="Dishwashers EF 65"/>
        <s v="Dishwashers EF 68"/>
        <s v="Refrigerator ENERGY STAR and more efficient"/>
        <s v="Refrigerator ENERGY STAR 2003"/>
        <s v="Refrigerator  ENERGY STAR 2008"/>
        <s v="Refrigerator ENERGY STAR  V5"/>
        <s v="Refrigerator ENERGY STAR +15-20% above Standard (CEE Tier 2; 2016 and 2017 ENERGY STAR Most Efficient)"/>
        <s v="Refrigerator ENERGY STAR +20% or better above Standard (CEE Tier 3)"/>
        <s v="Refrigerator Below the 7th Power Plan Baseline (ENERGY STAR and lower efficiency levels)"/>
        <s v="ENERGY STAR Home built in Washington, all heating systems, Washington climate zones, single-family, new construction"/>
        <s v="ENERGY STAR Home built in Idaho, all heating systems, Idaho climate zones, multifamily, new construction"/>
        <s v="ENERGY STAR Home built in the Northwest, all heating systems, Idaho climate zones, single-family, new construction (measure is for pre 2010 savings)"/>
        <s v="ENERGY STAR Home built in Oregon, all heating systems, Oregon climate zones, multifamily, new construction"/>
        <s v="ENERGY STAR Home built in Washington, all heating systems, Washington climate zones, multifamily, new construction"/>
        <s v="ENERGY STAR Home built in Montana, all heating systems, Montana climate zones, multifamily, new construction"/>
        <s v="IECC 2006 Code home built in Idaho, all heating systems, Idaho climate zones, single-family, new construction"/>
        <s v="IECC 2009 Code home built in Idaho, all heating systems, Idaho climate zones, single-family, new construction"/>
        <s v="IECC 2012 with Amendments Code home built in Idaho, all heating systems, Idaho climate zones, single-family, new construction"/>
        <s v="IECC 2003 with Amendments Code home built in Montana, all heating systems, regional climate zone, single-family, new construction"/>
        <s v="IECC 2009 with Amendments Code home built in Montana, all heating systems, regional climate zone, single-family, new construction"/>
        <s v="IECC 2012 with Amendments Code home built in Montana, all heating systems, regional climate zone, single-family, new construction"/>
        <s v="Oregon Specialty 2008 Code home built in Oregon, regional heating system, any climate zone, single-family, new construction"/>
        <s v="Oregon Specialty 2011 Code home built in Oregon, regional heating system, any climate zone, single-family, new construction (updated in 2014)"/>
        <s v="Oregon Specialty 2015 Code home built in Oregon, regional heating system, any climate zone, single-family, new construction"/>
        <s v="WSEC  2006 home built in Idaho, all heating systems, regional climate zone, single-family, new construction"/>
        <s v="WSEC  2009 home built in Idaho, all heating systems, regional climate zone, single-family, new construction"/>
        <s v="WSEC  2012 home built in Idaho, all heating systems, regional climate zone, single-family, new construction"/>
        <s v="ENERGY STAR Home built in Idaho, all heating systems, Idaho climate zones, single-family, new construction"/>
        <s v="ENERGY STAR Home built in Montana, all heating systems, Montana climate zones, single-family, new construction"/>
        <s v="ENERGY STAR Home built in Oregon, all heating systems, Oregon climate zones, single-family, new construction"/>
        <s v="IECC 2006 Code home built in Idaho, all heating systems, Idaho climate zones, multifamily, new construction"/>
        <s v="IECC 2009 Code home built in Idaho, all heating systems, Idaho climate zones, multifamily, new construction"/>
        <s v="IECC 2012 with Amendments Code home built in Idaho, all heating systems, Idaho climate zones, multifamily, new construction"/>
        <s v="IECC 2015 Code home built in Idaho, all heating systems, Idaho climate zones, multifamily, new construction"/>
        <s v="IECC 2018 Code home built in Idaho, all heating systems, Idaho climate zones, multifamily, new construction"/>
        <s v="Future IECC Code home built in Idaho, all heating systems, Idaho climate zones, multifamily, new construction"/>
        <s v="IECC 2003 with Amendments Code home built in Montana, all heating systems, regional climate zone, multifamily, new construction"/>
        <s v="IECC 2009 with Amendments Code home built in Montana, all heating systems, regional climate zone, multifamily, new construction"/>
        <s v="IECC 2012 with Amendments Code home built in Montana, all heating systems, regional climate zone, multifamily, new construction"/>
        <s v="IECC 2015 Code home built in Montana, all heating systems, Idaho climate zones, multifamily, new construction"/>
        <s v="IECC 2018 Code home built in Montana, all heating systems, Idaho climate zones, multifamily, new construction"/>
        <s v="IECC 2021 Code home built in Montana, all heating systems, regional climate zones, multifamily, new construction"/>
        <s v="Oregon Specialty 2008 Code home built in Oregon, regional heating system, any climate zone, multifamily, new construction"/>
        <s v="Oregon Specialty 2011 Code home built in Oregon, regional heating system, any climate zone, multifamily, new construction"/>
        <s v="Oregon Specialty Code 2014 home built in Oregon, regional heating system, any climate zone, single-family, new construction"/>
        <s v="Oregon Specialty 2017 Code home built in Oregon, regional heating system, any climate zone, multifamily, new construction"/>
        <s v="Future Oregon Specialty Code home built in Oregon, regional heating system, any climate zone, single-family, new construction"/>
        <s v="WSEC  2006 home built in Washington, all heating systems, regional climate zone, multifamily, new construction"/>
        <s v="WSEC  2009 home built in Washington, all heating systems, regional climate zone, multifamily, new construction"/>
        <s v="WSEC  2012 home built in Washington, all heating systems, regional climate zone, multifamily, new construction"/>
        <s v="WSEC  2015 home built in Washington, all heating systems, regional climate zone, multifamily, new construction"/>
        <s v="WSEC  2018 home built in Washington, all heating systems, regional climate zone, multifamily, new construction"/>
        <s v="Future WSEC Code home built in Washington, all heating systems, regional climate zone, multifamily, new construction"/>
        <s v="Install Ductless Heat Pump in Single Family House with Existing Zonal Heat- Any Climate Zone- Weighted for Supplemental Fuel Use"/>
        <s v="Install Ductless Heat Pump in Single Family Home with Existing  Electric Forced Air Furnace Heat- Any Climate Zone- Weighted for Supplemental Fuel Use"/>
        <s v="Install Ductless Heat Pump in Manufactured House with Existing  Electric Forced Air Furnace Heat- Any Climate Zone- Weighted for Supplemental Fuel Use"/>
        <s v="Any Screen Size Television,  Residential Dwelling- Includes Savings from HD and UHD Sales not Counted through the Retail Products Portfolio program"/>
        <s v="Any Screen Size Television, Residential Dwelling- ENERGY STAR 3.0+ 30%"/>
        <s v="Any Screen Size Television,  Residential Dwelling- Most Efficient 2015 and Most Efficient 2016"/>
        <s v="Any Screen Size, Television, Residential Dwelling- ENERGY STAR 4.1"/>
        <s v="Any Screen Size Television, Residential Dwelling- ENERGY STAR 5.3"/>
        <s v="Any Screen Size Television, Residential Dwelling- ENERGY STAR 5.3 +20%"/>
        <s v="Any Screen Size Television, Residential Dwelling- ENERGY STAR 5.3 +35%"/>
        <s v="Any Screen Size Television, Residential Dwelling- ENERGY STAR 6.2+20%"/>
        <s v="Any Screen Size Television,  Residential Dwelling- Most Efficient 2013"/>
        <s v="Any Screen Size Television, Residential Dwelling- ENERGY STAR 7"/>
        <s v="Any Screen Size Television,  Residential Dwelling- ENERGY STAR 7+35% (UHD)"/>
        <s v="Retail sales of residential clothes dryer-Non-qualifying"/>
        <s v="Retail sales of residential clothes dryer-ENERGY STAR"/>
        <s v="Retail sales of residential clothes dryer-Tier 2 heat pump hybrid"/>
        <s v="Retail sales of residential clothes dryer-Tier 3 heat pump hybrid"/>
        <s v="Retail sales of residential clothes dryer-Tier 4 pure heat pump"/>
        <s v="Retail sales of residential clothes dryer-Tier 5 pure heat pump"/>
        <s v="Retail sales of residential clothes dryer-Tier 6 pure heat pump"/>
        <s v="Small Heat Pump Water Heater installed in existing, single-family or manufactured homes"/>
        <s v="Large Heat Pump Water Heater installed in existing, single-family or manufactured homes"/>
        <s v="Small Heat Pump Water Heater installed in new construction, single-family or manufactured homes"/>
        <s v="Large Heat Pump Water Heater installed in new construction, single-family or manufactured homes"/>
        <s v="Next Step Home built in Oregon, all heating systems, Oregon climate zones, single-family, new construction"/>
        <s v="Next Step Home built in Washington all heating systems, Washington climate zones, single-family,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Home with RESNET Home Energy Rating System (HERS) index in Idaho, all heating systems, Idaho climate zones, single-family, new construction."/>
        <s v="Home with RESNET Home Energy Rating System (HERS) index in Montana, all heating systems, Montana climate zones, single-family, new construction."/>
        <s v="Home with a RESNET Home Energy Rating System (HERS) index in Oregon, all heating systems, Oregon climate zones, single-family, new construction."/>
        <s v="Home with a RESNET Energy Rating System (HERS) index in Washington, all heating systems, Washington climate zones, single-family new construction."/>
        <s v="Home with a RESNET Home Energy Rating System (HERS) index in Idaho, all heating systems, Idaho climate zones, multi-family, new construction."/>
        <s v="Home with a RESNET Home Energy Rating System (HERS) index in Montana, all heating systems, Montana climate zones, multi-family, new construction."/>
        <s v="Home with a RESNET Home Energy Rating System (HERS) index in Oregon, all heating systems, Oregon climate zones, multi-family, new construction."/>
        <s v="Home with a RESNET Home Energy Rating System (HERS) index in Washington, all heating systems, Washington climate zones, multi-family, new construction."/>
        <s v="ENERGY STAR Home built in Washington, all heating systems, Idaho climate zones, multifamily, new construction"/>
        <s v="Energy Performance Score Homes"/>
        <s v="Idaho International Energy Conservation Code 2015 with Idaho Amendments,  Residential, Single-family"/>
        <s v="Idaho International Energy Conservation Code 2018 with Idaho Amendments,  Residential, Single-family"/>
        <s v="Idaho International Energy Conservation Code 2021 with Idaho Amendments,  Residential, Single-family"/>
        <s v="Idaho International Energy Conservation Code 2024,  Residential, Single-family"/>
        <s v="Idaho International Energy Conservation Code 2027,  Residential, Single-family"/>
        <s v="Built Green  in Washington, all heating systems, Washington climate zones, multifamily, new construction"/>
        <s v="New single-family homes built in Idaho incentivized under the BPA residential single-family new construction performance path."/>
        <s v="New single-family homes built in Montana incentivized under the BPA residential single-family new construction performance path."/>
        <s v="New single-family homes built in Oregon incentivized under the BPA residential single-family new construction performance path."/>
        <s v="New single-family homes built in Washington incentivized under the BPA residential single-family new construction performance path."/>
        <s v="National Green Building Standard in Washington, all heating systems, Washington climate zones, multifamily, new construction"/>
        <s v="National Green Building Standard in Oregon, all heating systems, Oregon climate zones, multifamily, new construction"/>
        <s v="National Green Building Standard in Idaho, all heating systems, Idaho climate zones, multifamily, new construction"/>
        <s v="National Green Building Standard in Montana, all heating systems, Montana climate zones, multifamily, new construction"/>
        <s v="New single-family homes built in Oregon certified by Earth Advantage's residential single-family new construction specifications."/>
        <s v="New single-family homes built in Washington a part of a Home Energy Program."/>
        <s v="Montana International Energy Conservation Code 2018,  Residential, Single-family"/>
        <s v="Montana International Energy Conservation Code 2021,  Residential, Single-family"/>
        <s v="Montana International Energy Conservation Code 2024,  Residential, Single-family"/>
        <s v="Montana International Energy Conservation Code 2027,  Residential, Single-family"/>
        <s v="Oregon Residential Specialty Code 2017, Residential, Single-family"/>
        <s v="Oregon Residential Specialty Code 2020, Residential, Single-family"/>
        <s v="Oregon Residential Specialty Code 2023, Residential, Single-family"/>
        <s v="Oregon Residential Specialty Code 2026, Residential, Single-family"/>
        <s v="Oregon Residential Specialty Code 2029, Residential, Single-family"/>
        <s v="Washington State Energy Code 2015, Residential, Single-family"/>
        <s v="Washington State Energy Code 2018, Residential, Single-family"/>
        <s v="Washington State Energy Code 2021, Residential, Single-family"/>
        <s v="Washington State Energy Code 2024, Residential, Single-family"/>
        <s v="Washington State Energy Code 2027, Residential, Single-family"/>
        <s v="Next Step Home built in Idaho, all heating systems, Idaho climate zones, single-family, new construction"/>
        <s v="Next Step Home built in Montana, all heating systems, Montana climate zones, single-family, new construction"/>
        <s v="Federal Standard, Effective 2020, DOE Final Rule 2017, Residential Ceiling Fan Light Kits"/>
        <s v="Federal Standard, Effective 2025, DOE Final Rule 2016, Residential Portable Air Conditioners"/>
        <s v="Federal Standard, Effective 2022, DOE Final Rule 2016, Residential Uninterruptible Power Supplies"/>
        <s v="Federal Standard, Effective 2023, DOE Final Rule 2016, Residential Commercial Packaged Boilers"/>
        <s v="Federal Standard, Effective 2015, DOE Final Rule 2015, Residential Central AC"/>
        <s v="Oregon Standard, Effective 2014, ODOE Rule 2013, Residential/Commercial Battery Chargers"/>
        <s v="Federal Standard, Effective 2015, DOE Final Rule 2015, Residential Heat Pumps"/>
        <s v="Federal Standard, Effective 2019, DOE Final Rule 2014, Furnace Fans"/>
        <s v="Federal Standard, Effective 2015, DOE Final Rule 2011, Clothes Dryers"/>
        <s v="Federal Standard, Effective 2016, DOE Final Rule 2014, External Power Supplies"/>
        <s v="Federal Standard, Effective 2014, DOE Final Rule 2011, Residential Fluorescent Lamp Ballasts"/>
        <s v="Federal Standard, Effective 2020, DOE Final Rule 2017, Residential Ceiling Fans"/>
        <s v="Freezers, Compact Chest and Upright, Non-Qualifying"/>
        <s v="Freezers, Compact Chest and Upright, ENERGY STAR v5"/>
        <s v="Freezers, Compact Chest and Upright, ENERGY STAR v5 +5%"/>
        <s v="Clothes Washers, Standard-size Top-Loading, Electric, Non-ENERGY STAR"/>
        <s v="Clothes Washers, Standard-size Top-Loading, Electric, ENERGY STAR v7 (IMEF 2.09)"/>
        <s v="Clothes Washers, Standard-size Top-Loading, Electric, ENERGY STAR v8 Most Efficient (CEE Tier 1, IMEF 2.76)"/>
        <s v="Clothes Washers, Standard-size Top Loading, Electric, ENERGY STAR Most Efficient 2017+"/>
        <s v="Refrigerators, Standard-size Bottom-mount Freezers, Non-ENERGY STAR"/>
        <s v="Refrigerators, Standard-size Bottom-mount Freezers, ENERGY STAR v5"/>
        <s v="Refrigerators, Standard-size Bottom-mount Freezers, ENERGY STAR Most Efficient and Emerging Tech Award"/>
        <s v="Refrigerators, Standard-size Bottom-mount Freezers, ENERGY STAR +20% or better above Standard"/>
        <s v="Refrigerators, Standard-size Side-mount Freezers, Non-Qualifying"/>
        <s v="Refrigerators, Standard-size Side-mount Freezers, ENERGY STAR v5"/>
        <s v="Refrigerators, Standard-size Side-mount Freezers, ENERGY STAR Most Efficient and Emerging Tech Award"/>
        <s v="Refrigerators, Standard-size Side-mount Freezers, ENERGY STAR +20% or better above Standard"/>
        <s v="Clothes Dryer, Standard, Electric, Non-Qualifying"/>
        <s v="Clothes Dryer, Standard, Electric, ENERGY STAR v1"/>
        <s v="Clothes Dryer, Standard, Electric, UCEF 3.00 to 4.19"/>
        <s v="Clothes Dryer, Standard, Electric, UCEF 4.20 to 5.29"/>
        <s v="Clothes Dryer, Standard, Electric, UCEF 5.30 to 6.09"/>
        <s v="Clothes Dryer, Standard, Electric, UCEF 6.10 to 7.19"/>
        <s v="Clothes Dryer, Standard, Electric, UCEF 7.20 to 8.00"/>
        <s v="Clothes Dryer, Standard, Gas, Non-Qualifying"/>
        <s v="Clothes Dryer, Standard, Gas, ENERGY STAR v1"/>
        <s v="Clothes Dryer, Standard, Gas, ENERGY STAR v1 Most Efficient"/>
        <s v="Clothes Dryer, Compact, Gas, Non-Qualifying"/>
        <s v="Clothes Dryer, Compact, Gas, ENERGY STAR v1"/>
        <s v="Clothes Dryer, Compact, Gas, ENERGY STAR v1 Most Efficient"/>
        <s v="Dehumidifier, Standard, Electric, Non-Qualifying"/>
        <s v="Dehumidifier, Standard, Electric, ENERGY STAR v4"/>
        <s v="Refrigerators, Compact, Non-Qualifying"/>
        <s v="Refrigerators, Compact, ENERGY STAR v5"/>
        <s v="Refrigerators, Compact, ENERGY STAR v5 Most Efficient"/>
        <s v="Clothes Dryer, Compact, Electric, Non-Qualifying"/>
        <s v="Clothes Dryer, Compact, Electric, ENERGY STAR v1"/>
        <s v="Clothes Dryer, Compact, Electric, ENERGY STAR v1 Most Efficient"/>
        <s v="Potential Small Applianecs, Electronics, and Television measures- ENERGY STAR and ENERGY STAR +"/>
        <s v="Clothes Washer, Compact, Electric, Non-Qualifying"/>
        <s v="Televisions; Residential Applications; Ultra High Definition; &gt;= 39 inches; Meet the ENERGY STAR v9 Standby Mode Requirements"/>
        <s v="Room Air Cleaners, All Sizes, Non-Qualifying"/>
        <s v="Room Air Cleaners, All Sizes, ENERGY STAR v1"/>
        <s v="Room Air Cleaners, All Sizes, ENERGY STAR v2"/>
        <s v="Room Air Cleaners, All Sizes, ENERGY STAR v2 +50%"/>
        <s v="Room Air Conditioners, All Sizes, Non-ENERGY STAR"/>
        <s v="Room Air Conditioners, All Sizes, ENERGY STAR v4"/>
        <s v="Room Air Conditioners, All Sizes, ENERGY STAR  v5 (proposed)"/>
        <s v="Soundbar, Non-Qualifying"/>
        <s v="Soundbar, ENERGY STAR"/>
        <s v="Soundbar, ENERGY STAR V3 +15%"/>
        <s v="Soundbar, ENERGY STAR +50%"/>
        <s v="Soundbar, ENERGY STAR +60-70%"/>
        <s v="Freezers, Standard-size Upright, Non-ENERGY STAR"/>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ENERGY STAR +20% or better above Standard"/>
        <s v="Televisions; Residential Applications; Ultra High Definition; &gt;= 39 inches; Meet the ENERGY STAR v9 On Power Mode Requirements"/>
        <s v="Televisions, Ultra-High Definition, ENERGY STAR v8 +20%"/>
        <s v="Television, Ultra High Definition, ENERGY STAR Most Efficient"/>
        <s v="Televisions, Ultra-High Definition, ENERGY STAR v8 +35%"/>
        <s v="Television, Ultra High Definition, TBD"/>
        <s v="Clothes Washer, Front-Loading, Electric, Non-Qualifying (IMEF 1.84)"/>
        <s v="Clothes Washer, Front-Loading, Electric, ENERGY STAR 7/8 (CEE Tier 1, IMEF 2.12)"/>
        <s v="Clothes Washer, Front-Loading, Electric, ENERGY STAR v8 Most Efficient 2017 (CEE Tier 1, IMEF 2.77)"/>
        <s v="Clothes Washer, Front-Loading, Electric, ENERGY STAR v8 Most Efficient 2018 (CEE Tier 2, IMEF 2.91)"/>
        <s v="Clothes Washer, Front-Loading, Electric, CEE Tier 3, IMEF 2.92+"/>
        <s v="Freezers, Standard-size Chest, Non-Qualifying"/>
        <s v="Freezers, Standard-size Chest, ENERGY STAR v5"/>
        <s v="Freezers, Standard-size Chest, ENERGY STAR v5 +5%"/>
        <s v="Inefficient Manufactured Home"/>
        <s v="Manufactured Home (HUD Code)"/>
        <s v="NEEM 1.1 Manufactured Home"/>
        <s v="NEEM Plus Manufactured Home"/>
        <s v="Non-Qualifying Residential Hydronic Heating Circulator with an efficient Electronically Commutated Motor (ECM)."/>
        <s v="Residential Hydronic Heating Circulator with an efficient Electronically Commutated Motor (ECM)."/>
        <s v="Residential Hydronic Heating Circulator with an efficient Electronically Commutated Motor (ECM) and &quot;Advanced Speed Controls.&quot;  Advanced controls include proportional pressure, adaptive pressure, or differential temperature."/>
        <s v="Non-Qualifying Commercial Hydronic Heating Circulator with an efficient Electronically Commutated Motor (ECM)."/>
        <s v="Commercial Hydronic Heating Circulator with an efficient Electronically Commutated Motor (ECM)."/>
        <s v="Commercial Hydronic Heating Circulator with an efficient Electronically Commutated Motor (ECM) and &quot;Advanced Speed Controls.&quot;  Advanced controls include proportional pressure, adaptive pressure, or differential temperature."/>
        <s v="A non-qualifying residential circulator pump with efficient Electronically Commutated Motor (ECM) and no Run Hours Controls"/>
        <s v="A residential circulator pump with efficient Electronically Commutated Motor (ECM) and no Run Hours Controls"/>
        <s v="A residential circulator pump with induction motor and Run Hours Controls."/>
        <s v="A residential circulator pump with efficient Electronically Commutated Motor (ECM) and Run Hours Controls."/>
        <s v="A non-qualifying commercial circulator pump with efficient Electronically Commutated Motor (ECM) and no Run Hours Controls"/>
        <s v="A commercial circulator pump with efficient Electronically Commutated Motor (ECM) and no Run Hours Controls"/>
        <s v="A commercial circulator pump with induction motor and Run Hours Controls."/>
        <s v="A commercial circulator pump with efficient Electronically Commutated Motor (ECM) and Run Hours Controls."/>
        <s v="Non-Qualifying Commercial Constant Speed Clean Water Pump."/>
        <s v="Commercial Constant Speed Clean Water Pump."/>
        <s v="Non-Qualifying Commercial Variable Speed Clean Water Pump."/>
        <s v="Commercial Variable Speed Clean Water Pump."/>
        <s v="Commercial Variable Speed Clean Water Pump replacing Constant Speed Pump."/>
      </sharedItems>
    </cacheField>
    <cacheField name="[vwMeasures].[Measure Index].[Measure Index]" caption="Measure Index" numFmtId="0" hierarchy="59" level="1">
      <sharedItems count="422">
        <s v="AGR_200201_P1T1"/>
        <s v="AGR_201401_P1T1"/>
        <s v="COM_199701_P1T1"/>
        <s v="COM_200002_P1T1"/>
        <s v="COM_200002_P2T1"/>
        <s v="COM_200002_P3T1"/>
        <s v="COM_200002_P4T1"/>
        <s v="COM_200202_P1T1"/>
        <s v="COM_200202_P1T10"/>
        <s v="COM_200202_P1T2"/>
        <s v="COM_200202_P1T3"/>
        <s v="COM_200202_P1T4"/>
        <s v="COM_200202_P1T5"/>
        <s v="COM_200202_P1T6"/>
        <s v="COM_200202_P1T7"/>
        <s v="COM_200202_P1T8"/>
        <s v="COM_200202_P1T9"/>
        <s v="COM_200202_P2T1"/>
        <s v="COM_200202_P2T2"/>
        <s v="COM_200202_P2T3"/>
        <s v="COM_200202_P2T4"/>
        <s v="COM_200202_P2T5"/>
        <s v="COM_200202_P2T6"/>
        <s v="COM_200202_P2T7"/>
        <s v="COM_200202_P2T8"/>
        <s v="COM_200202_P3T1"/>
        <s v="COM_200202_P3T2"/>
        <s v="COM_200202_P3T3"/>
        <s v="COM_200202_P3T4"/>
        <s v="COM_200202_P3T5"/>
        <s v="COM_200202_P3T6"/>
        <s v="COM_200202_P3T7"/>
        <s v="COM_200202_P3T8"/>
        <s v="COM_200202_P3T9"/>
        <s v="COM_200202_P4T1"/>
        <s v="COM_200202_P4T10"/>
        <s v="COM_200202_P4T11"/>
        <s v="COM_200202_P4T2"/>
        <s v="COM_200202_P4T3"/>
        <s v="COM_200202_P4T4"/>
        <s v="COM_200202_P4T5"/>
        <s v="COM_200202_P4T6"/>
        <s v="COM_200202_P4T7"/>
        <s v="COM_200202_P4T8"/>
        <s v="COM_200202_P4T9"/>
        <s v="COM_200203_P1T1"/>
        <s v="COM_200701_P1T0"/>
        <s v="COM_200701_P1T1"/>
        <s v="COM_200701_P1T2"/>
        <s v="COM_200701_P1T3"/>
        <s v="COM_200701_P1T4"/>
        <s v="COM_200701_P1T5"/>
        <s v="COM_200702_P1T1"/>
        <s v="COM_200801_P1T1"/>
        <s v="COM_200802_P1T1"/>
        <s v="COM_200803_P1T1"/>
        <s v="COM_200803_P2T1"/>
        <s v="COM_200803_P3T1"/>
        <s v="COM_200803_P4T1"/>
        <s v="COM_200901_P1T1"/>
        <s v="COM_201101_P1T1"/>
        <s v="COM_201201_P1T1"/>
        <s v="COM_201304_P10T1"/>
        <s v="COM_201304_P11T1"/>
        <s v="COM_201304_P12T1"/>
        <s v="COM_201304_P13T1"/>
        <s v="COM_201304_P14T1"/>
        <s v="COM_201304_P15T1"/>
        <s v="COM_201304_P15T2"/>
        <s v="COM_201304_P16T1"/>
        <s v="COM_201304_P17T1"/>
        <s v="COM_201304_P18T1"/>
        <s v="COM_201304_P19T1"/>
        <s v="COM_201304_P20T1"/>
        <s v="COM_201304_P21T1"/>
        <s v="COM_201304_P22T1"/>
        <s v="COM_201304_P23T1"/>
        <s v="COM_201304_P24T1"/>
        <s v="COM_201304_P25T1"/>
        <s v="COM_201304_P26T1"/>
        <s v="COM_201304_P27T1"/>
        <s v="COM_201304_P28T1"/>
        <s v="COM_201304_P29T1"/>
        <s v="COM_201304_P2T1"/>
        <s v="COM_201304_P30T1"/>
        <s v="COM_201304_P3T1"/>
        <s v="COM_201304_P4T1"/>
        <s v="COM_201304_P5T1"/>
        <s v="COM_201304_P6T1"/>
        <s v="COM_201304_P6T2"/>
        <s v="COM_201304_P7T1"/>
        <s v="COM_201304_P8T1"/>
        <s v="COM_201304_P9T1"/>
        <s v="COM_201304_P9T2"/>
        <s v="COM_201304_P9T3"/>
        <s v="COM_201305_P1T1"/>
        <s v="COM_201401_P1T1"/>
        <s v="COM_201402_P1T1"/>
        <s v="COM_201403_P1T0"/>
        <s v="COM_201403_P1T1"/>
        <s v="COM_201403_P2T0"/>
        <s v="COM_201403_P2T1"/>
        <s v="COM_201403_P3T0"/>
        <s v="COM_201403_P3T1"/>
        <s v="COM_201403_P4T0"/>
        <s v="COM_201403_P4T1"/>
        <s v="COM_201404_P1T1"/>
        <s v="COM_201405_P1T1"/>
        <s v="COM_201405_P2T1"/>
        <s v="COM_201601_P1T1"/>
        <s v="COM_202201_P1T1"/>
        <s v="COM_202201_P1T2"/>
        <s v="COM_202201_P2T1"/>
        <s v="COM_202201_P3T1"/>
        <s v="COM_202201_P4T1"/>
        <s v="COM_202201_P5T1"/>
        <s v="COM_202201_P6T1"/>
        <s v="IND_199801_P1T1"/>
        <s v="IND_199802_P1T1"/>
        <s v="IND_199802_P2T1"/>
        <s v="IND_199802_P3T1"/>
        <s v="IND_199901_P1T1"/>
        <s v="IND_199902_P1T1"/>
        <s v="IND_199902_P2T1"/>
        <s v="IND_200004_P1T1"/>
        <s v="IND_200402_P1T1"/>
        <s v="IND_200402_P2T1"/>
        <s v="IND_200402_P2T2"/>
        <s v="IND_200402_P3T1"/>
        <s v="IND_200602_P1T1"/>
        <s v="IND_200603_P1T1"/>
        <s v="IND_200702_P1T1"/>
        <s v="IND_201301_P1T1"/>
        <s v="IND_201302_P1T1"/>
        <s v="OTH_201601_P1T0"/>
        <s v="OTH_201601_P1T1"/>
        <s v="OTH_201601_P2T0"/>
        <s v="OTH_201601_P2T1"/>
        <s v="OTH_201601_P3T0"/>
        <s v="OTH_201601_P3T1"/>
        <s v="RES_199702_P1T0"/>
        <s v="RES_199702_P1T1"/>
        <s v="RES_199702_P1T10"/>
        <s v="RES_199702_P1T11"/>
        <s v="RES_199702_P1T2"/>
        <s v="RES_199702_P1T3"/>
        <s v="RES_199702_P1T4"/>
        <s v="RES_199702_P1T5"/>
        <s v="RES_199702_P1T6"/>
        <s v="RES_199702_P1T7"/>
        <s v="RES_199702_P1T8"/>
        <s v="RES_199702_P1T9"/>
        <s v="RES_199703_P1T1"/>
        <s v="RES_199703_P2T1"/>
        <s v="RES_199703_P3T1"/>
        <s v="RES_199703_P4T1"/>
        <s v="RES_199703_P5T1"/>
        <s v="RES_199703_P6T1"/>
        <s v="RES_199705_P1T1"/>
        <s v="RES_199705_P2T1"/>
        <s v="RES_199705_P3T1"/>
        <s v="RES_199706_P1T1"/>
        <s v="RES_199802_P1T1"/>
        <s v="RES_200005_P1T1"/>
        <s v="RES_200005_P1T2"/>
        <s v="RES_200005_P1T3"/>
        <s v="RES_200005_P1T4"/>
        <s v="RES_200006_P1T0"/>
        <s v="RES_200006_P1T1"/>
        <s v="RES_200006_P1T2"/>
        <s v="RES_200006_P1T3"/>
        <s v="RES_200006_P1T4"/>
        <s v="RES_200006_P1T5"/>
        <s v="RES_200006_P1T6"/>
        <s v="RES_200401_P11T1"/>
        <s v="RES_200401_P12T1"/>
        <s v="RES_200401_P13T1"/>
        <s v="RES_200401_P14T1"/>
        <s v="RES_200401_P15T1"/>
        <s v="RES_200401_P16T1"/>
        <s v="RES_200401_P1T1"/>
        <s v="RES_200401_P1T2"/>
        <s v="RES_200401_P1T3"/>
        <s v="RES_200401_P2T1"/>
        <s v="RES_200401_P2T2"/>
        <s v="RES_200401_P2T3"/>
        <s v="RES_200401_P3T1"/>
        <s v="RES_200401_P3T2"/>
        <s v="RES_200401_P3T3"/>
        <s v="RES_200401_P4T1"/>
        <s v="RES_200401_P4T2"/>
        <s v="RES_200401_P4T3"/>
        <s v="RES_200401_P5T1"/>
        <s v="RES_200401_P6T1"/>
        <s v="RES_200401_P7T1"/>
        <s v="RES_200601_P1T1"/>
        <s v="RES_200601_P1T2"/>
        <s v="RES_200601_P1T3"/>
        <s v="RES_200601_P1T4"/>
        <s v="RES_200601_P1T5"/>
        <s v="RES_200601_P1T6"/>
        <s v="RES_200601_P2T1"/>
        <s v="RES_200601_P2T2"/>
        <s v="RES_200601_P2T3"/>
        <s v="RES_200601_P2T4"/>
        <s v="RES_200601_P2T5"/>
        <s v="RES_200601_P2T6"/>
        <s v="RES_200601_P3T1"/>
        <s v="RES_200601_P3T2"/>
        <s v="RES_200601_P3T3"/>
        <s v="RES_200601_P3T4"/>
        <s v="RES_200601_P3T5"/>
        <s v="RES_200601_P3T6"/>
        <s v="RES_200601_P4T1"/>
        <s v="RES_200601_P4T2"/>
        <s v="RES_200601_P4T3"/>
        <s v="RES_200601_P4T4"/>
        <s v="RES_200601_P4T5"/>
        <s v="RES_200601_P4T6"/>
        <s v="RES_200804_P1T1"/>
        <s v="RES_200804_P2T1"/>
        <s v="RES_200804_P3T1"/>
        <s v="RES_200902_P1T0"/>
        <s v="RES_200902_P1T1"/>
        <s v="RES_200902_P1T10"/>
        <s v="RES_200902_P1T2"/>
        <s v="RES_200902_P1T3"/>
        <s v="RES_200902_P1T4"/>
        <s v="RES_200902_P1T5"/>
        <s v="RES_200902_P1T6"/>
        <s v="RES_200902_P1T7"/>
        <s v="RES_200902_P1T8"/>
        <s v="RES_200902_P1T9"/>
        <s v="RES_201101_P1T0"/>
        <s v="RES_201101_P1T1"/>
        <s v="RES_201101_P1T2"/>
        <s v="RES_201101_P1T3"/>
        <s v="RES_201101_P1T4"/>
        <s v="RES_201101_P1T5"/>
        <s v="RES_201101_P1T6"/>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0T1"/>
        <s v="RES_201301_P11T1"/>
        <s v="RES_201301_P12T1"/>
        <s v="RES_201301_P13T1"/>
        <s v="RES_201301_P13T2"/>
        <s v="RES_201301_P13T3"/>
        <s v="RES_201301_P13T4"/>
        <s v="RES_201301_P14T1"/>
        <s v="RES_201301_P15T1"/>
        <s v="RES_201301_P15T2"/>
        <s v="RES_201301_P15T3"/>
        <s v="RES_201301_P15T4"/>
        <s v="RES_201301_P16T1"/>
        <s v="RES_201301_P16T2"/>
        <s v="RES_201301_P16T3"/>
        <s v="RES_201301_P16T4"/>
        <s v="RES_201301_P17T1"/>
        <s v="RES_201301_P18T1"/>
        <s v="Res_201301_P19T1"/>
        <s v="RES_201301_P1T4"/>
        <s v="RES_201301_P1T5"/>
        <s v="RES_201301_P1T6"/>
        <s v="RES_201301_P1T7"/>
        <s v="RES_201301_P1T8"/>
        <s v="Res_201301_P20T3"/>
        <s v="RES_201301_P21T1"/>
        <s v="RES_201301_P22T1"/>
        <s v="RES_201301_P23T1"/>
        <s v="RES_201301_P24T1"/>
        <s v="RES_201301_P25T1"/>
        <s v="RES_201301_P25T2"/>
        <s v="RES_201301_P25T3"/>
        <s v="RES_201301_P25T4"/>
        <s v="RES_201301_P26T5"/>
        <s v="RES_201301_P27T1"/>
        <s v="RES_201301_P2T4"/>
        <s v="RES_201301_P2T5"/>
        <s v="RES_201301_P2T6"/>
        <s v="RES_201301_P2T7"/>
        <s v="RES_201301_P3T3"/>
        <s v="RES_201301_P3T4"/>
        <s v="RES_201301_P3T5"/>
        <s v="RES_201301_P3T6"/>
        <s v="RES_201301_P3T7"/>
        <s v="RES_201301_P4T4"/>
        <s v="RES_201301_P4T5"/>
        <s v="RES_201301_P4T6"/>
        <s v="RES_201301_P4T7"/>
        <s v="RES_201301_P4T8"/>
        <s v="RES_201301_P5T1"/>
        <s v="RES_201301_P6T1"/>
        <s v="RES_201301_P7T1"/>
        <s v="RES_201301_P8T1"/>
        <s v="RES_201301_P9T1"/>
        <s v="RES_201402_P10T1"/>
        <s v="RES_201402_P11T1"/>
        <s v="RES_201402_P12T1"/>
        <s v="RES_201402_P13T1"/>
        <s v="RES_201402_P1T1"/>
        <s v="RES_201402_P2T1"/>
        <s v="RES_201402_P3T1"/>
        <s v="RES_201402_P4T1"/>
        <s v="RES_201402_P5T1"/>
        <s v="RES_201402_P6T1"/>
        <s v="RES_201402_P7T1"/>
        <s v="RES_201402_P8T1"/>
        <s v="RES_201402_P9T1"/>
        <s v="RES_201403_P10T0"/>
        <s v="RES_201403_P10T1"/>
        <s v="RES_201403_P10T2"/>
        <s v="RES_201403_P11T0"/>
        <s v="RES_201403_P11T1"/>
        <s v="RES_201403_P11T2"/>
        <s v="RES_201403_P11T3"/>
        <s v="RES_201403_P12T0"/>
        <s v="RES_201403_P12T1"/>
        <s v="RES_201403_P12T2"/>
        <s v="RES_201403_P12T3"/>
        <s v="RES_201403_P13T0"/>
        <s v="RES_201403_P13T1"/>
        <s v="RES_201403_P13T2"/>
        <s v="RES_201403_P13T3"/>
        <s v="RES_201403_P14T0"/>
        <s v="RES_201403_P14T1"/>
        <s v="RES_201403_P14T2"/>
        <s v="RES_201403_P14T3"/>
        <s v="RES_201403_P14T4"/>
        <s v="RES_201403_P14T5"/>
        <s v="RES_201403_P14T6"/>
        <s v="RES_201403_P15T0"/>
        <s v="RES_201403_P15T1"/>
        <s v="RES_201403_P15T2"/>
        <s v="RES_201403_P16T0"/>
        <s v="RES_201403_P16T1"/>
        <s v="RES_201403_P16T2"/>
        <s v="RES_201403_P17T0"/>
        <s v="RES_201403_P17T1"/>
        <s v="RES_201403_P18T0"/>
        <s v="RES_201403_P18T1"/>
        <s v="RES_201403_P18T2"/>
        <s v="RES_201403_P19T0"/>
        <s v="RES_201403_P19T1"/>
        <s v="RES_201403_P19T2"/>
        <s v="RES_201403_P1T1"/>
        <s v="RES_201403_P20T0"/>
        <s v="RES_201403_P20T1"/>
        <s v="RES_201403_P2T0"/>
        <s v="RES_201403_P2T1"/>
        <s v="RES_201403_P2T2"/>
        <s v="RES_201403_P2T3"/>
        <s v="RES_201403_P3T0"/>
        <s v="RES_201403_P3T1"/>
        <s v="RES_201403_P3T2"/>
        <s v="RES_201403_P4T0"/>
        <s v="RES_201403_P4T1"/>
        <s v="RES_201403_P4T2"/>
        <s v="RES_201403_P4T3"/>
        <s v="RES_201403_P4T4"/>
        <s v="RES_201403_P5T0"/>
        <s v="RES_201403_P5T1"/>
        <s v="RES_201403_P5T2"/>
        <s v="RES_201403_P5T3"/>
        <s v="RES_201403_P6T0"/>
        <s v="RES_201403_P6T1"/>
        <s v="RES_201403_P6T2"/>
        <s v="RES_201403_P6T3"/>
        <s v="RES_201403_P7T1"/>
        <s v="RES_201403_P7T1_0"/>
        <s v="RES_201403_P7T2"/>
        <s v="RES_201403_P7T2_0"/>
        <s v="RES_201403_P7T3"/>
        <s v="RES_201403_P8T0"/>
        <s v="RES_201403_P8T1"/>
        <s v="RES_201403_P8T2"/>
        <s v="RES_201403_P8T3"/>
        <s v="RES_201403_P8T4"/>
        <s v="RES_201403_P9T0"/>
        <s v="RES_201403_P9T1"/>
        <s v="RES_201403_P9T2"/>
        <s v="RES_201601_P1T0"/>
        <s v="RES_201601_P1T1"/>
        <s v="RES_201601_P1T2"/>
        <s v="RES_201601_P1T3"/>
        <s v="XMP_202001_P1T0"/>
        <s v="XMP_202001_P1T1"/>
        <s v="XMP_202001_P1T2"/>
        <s v="XMP_202001_P2T0"/>
        <s v="XMP_202001_P2T1"/>
        <s v="XMP_202001_P2T2"/>
        <s v="XMP_202001_P3T0"/>
        <s v="XMP_202001_P3T1"/>
        <s v="XMP_202001_P3T2"/>
        <s v="XMP_202001_P3T3"/>
        <s v="XMP_202001_P4T0"/>
        <s v="XMP_202001_P4T1"/>
        <s v="XMP_202001_P4T2"/>
        <s v="XMP_202001_P4T3"/>
        <s v="XMP_202001_P5T0"/>
        <s v="XMP_202001_P5T1"/>
        <s v="XMP_202001_P6T0"/>
        <s v="XMP_202001_P6T1"/>
        <s v="XMP_202001_P6T2"/>
      </sharedItems>
    </cacheField>
    <cacheField name="[vwMeasures].[Measure].[Measure]" caption="Measure" numFmtId="0" hierarchy="57" level="1">
      <sharedItems count="419">
        <s v="Irrigation Data Logger"/>
        <s v="Irrigation"/>
        <s v="Operator Certificate"/>
        <s v="Commercial Commissioning, New Construction"/>
        <s v="Commercial Commissioning, Retro"/>
        <s v="Industrial Commissioning, New Construction"/>
        <s v="Industrial Commissioning, Retro"/>
        <s v="Idaho Code, New Commercial, IECC 2000 &amp; 2003 IECC"/>
        <s v="Idaho Code, New Commercial, IECC 2030"/>
        <s v="Idaho Code, New Commercial, IECC 2006"/>
        <s v="Idaho Code, New Commercial, IECC 2009"/>
        <s v="Idaho Code, New Commercial, IECC 2012"/>
        <s v="Idaho Code, New Commercial, IECC 2015"/>
        <s v="Idaho Code, New Commercial, IECC 2018"/>
        <s v="Idaho Code, New Commercial, IECC 2021"/>
        <s v="Idaho Code, New Commercial, IECC 2024"/>
        <s v="Idaho Code, New Commercial, IECC 2027"/>
        <s v="Montana Code, New Commercial, IECC 2003 with Amend."/>
        <s v="Montana Code, New Commercial, IECC 2009 with Amend."/>
        <s v="Montana Code, New Commercial, IECC 2012"/>
        <s v="Montana Code, New Commercial, IECC 2018"/>
        <s v="Montana Code, New Commercial, IECC 2021"/>
        <s v="Montana Code, New Commercial, IECC 2024"/>
        <s v="Montana Code, New Commercial, IECC 2027"/>
        <s v="Montana Code, New Commercial, IECC 2030"/>
        <s v="Oregon Code, New Commercial, OSSC 2004"/>
        <s v="Oregon Code, New Commercial, OSSC 2007"/>
        <s v="Oregon Code, New Commercial, OEESC 2010"/>
        <s v="Oregon Code, New Commercial, OEESC 2014"/>
        <s v="Oregon Code, New Commercial, OZERCC 2019"/>
        <s v="Oregon Code, New Commercial, OEESC 2021"/>
        <s v="Oregon Code, New Commercial, OEESC 2023"/>
        <s v="Oregon Code, New Commercial, OEESC 2026"/>
        <s v="Oregon Code, New Commercial, OEESC 2029"/>
        <s v="Washington Code, New Commercial, WSEC 2000 &amp; WSEC 2003 with emergency changes"/>
        <s v="Washington Code, New Commercial, WSEC 2027"/>
        <s v="Washington Code, New Commercial, WSEC 2030"/>
        <s v="Washington Code, New Commercial, WSEC 2004"/>
        <s v="Washington Code, New Commercial, WSEC 2006"/>
        <s v="Washington Code, New Commercial, WSEC 2009"/>
        <s v="Washington Code, New Commercial, WSEC 2012"/>
        <s v="Washington Code, New Commercial, WSEC 2015"/>
        <s v="Washington Code, New Commercial, WSEC 2018"/>
        <s v="Washington Code, New Commercial, WSEC 2021"/>
        <s v="Washington Code, New Commercial, WSEC 2024"/>
        <s v="Network Management"/>
        <s v="Commercial Desktops, Non-Qualifying"/>
        <s v="Commercial Desktops, 80 PLUS"/>
        <s v="Commercial Desktops, ENERGY STAR 5.0"/>
        <s v="Commercial Desktops, ENERGY STAR 6.0"/>
        <s v="Commercial Desktops, ENERGY STAR 7.0"/>
        <s v="Commercial Desktops, ENERGY STAR 8.0"/>
        <s v="Grocery - All"/>
        <s v="BetterBricks (2008-2010) - Building Operations"/>
        <s v="Healthcare - Strategic Energy Management"/>
        <s v="Strategic Energy Management COM Existing"/>
        <s v="Washington Strategic Energy Management COM Existing"/>
        <s v="Oregon Strategic Energy Management COM Existing"/>
        <s v="Idaho Strategic Energy Management COM Existing"/>
        <s v="BetterBricks (2008-2010) - New Commercial Construction"/>
        <s v="Pilot"/>
        <s v="Commercial Building Operator Certification (Existing)"/>
        <s v="Non-Residential, Small, Large, and Very Large Commercial Package Air Conditioners &amp; Heat Pumps"/>
        <s v="Non-Residential Standard TBD"/>
        <s v="Non-Residential, Pre-rinse Spray Valves (2016)"/>
        <s v="Non-Residential, Ceiling Fans (2017)"/>
        <s v="Non-Residential, Ceiling Fan Light Kits (2017)"/>
        <s v="Non-Residential, Commercial Air Compressors (2016)"/>
        <s v="Non-Residential, Industrial Air Compressors (2016)"/>
        <s v="Non-Residential, Portable Air Conditioners (2020)"/>
        <s v="Non-Residential, Uninterruptible Power Supplies (2020)"/>
        <s v="Non-Residential, Commercial Packaged Boilers"/>
        <s v="Non-Residential, Washington Commercial High-CRI Fluorescent Lamp (2019)"/>
        <s v="Non-Residential, Oregon Commercial High-CRI Fluorescent Lamp (2021)"/>
        <s v="Non-Residential, Washington Industrial High-CRI Fluorescent Lamp (2019)"/>
        <s v="Non-Residential, Oregon Industrial High-CRI Fluorescent Lamp (2021)"/>
        <s v="Non-Residential, Washington Commercial Fryers - Electric (2019)"/>
        <s v="Non-Residential, Oregon Commercial Fryers - Electric (2021)"/>
        <s v="Non-Residential, Washington Steam Cookers - Electric (2019)"/>
        <s v="Non-Residential, Oregon Steam Cookers - Electric (2021)"/>
        <s v="Non-Residential, Washington Commercial Fryers - Gas (2019)"/>
        <s v="Non-Residential, Oregon Commercial Fryers - Gas (2021)"/>
        <s v="Non-Residential, Washington Steam Cookers - Gas (2019)"/>
        <s v="Non-Residential, Fluorescent Lamp Ballasts (2011)"/>
        <s v="Non-Residential, Oregon Steam Cookers - Gas (2021)"/>
        <s v="Non-Residential, Beverage Vending Machines (2016)"/>
        <s v="Non-Residential, Small Electric Motors (2010)"/>
        <s v="Non-Residential, Commercial Refrigeration Equipment (2014)"/>
        <s v="Non-Residential, Walk-in Coolers and Freezers (2014)"/>
        <s v="Non-Residential, Walk-in Coolers and Freezers (2017)"/>
        <s v="Non-Residential, Commercial Unitary Air Conditioners (RTUs) (2015)"/>
        <s v="Non-Residential, Electric Motors (2014)"/>
        <s v="Non-Residential, Commercial Pumps (2015)"/>
        <s v="Non-Residential, Industrial Pumps (2015)"/>
        <s v="Non-Residential, Agricultural Pumps (2015)"/>
        <s v="Deep Retrofits"/>
        <s v="Luminaire Level Lighting Controls"/>
        <s v="Solid State Streetlights with Controls"/>
        <s v="Commercial T8 Linear Fluorescent, 28W (7th Power Plan Baseline Adjustment)"/>
        <s v="Commercial T8 Linear Fluorescent, 28W"/>
        <s v="Commercial T8 Linear Fluorescent, 25W (7th Power Plan Baseline Adjustment)"/>
        <s v="Commercial T8 Linear Fluorescent, 25W"/>
        <s v="Industrial T8 Linear Fluorescent, 28W (7th Power Plan Baseline Adjustment)"/>
        <s v="Industrial T8 Linear Fluorescent, 28W"/>
        <s v="Industrial T8 Linear Fluorescent, 25W (7th Power Plan Baseline Adjustment)"/>
        <s v="Industrial T8 Linear Fluorescent, 25W"/>
        <s v="Upstream #2"/>
        <s v="Industrial Strategic Energy Management (SEM)"/>
        <s v="Commercial Strategic Energy Management (SEM)"/>
        <s v="Commercial Secondary Windows"/>
        <s v="DOAS, Existing Buildings, Where Required by Code, 60% ERV/HRV"/>
        <s v="VHE-DOAS, Existing Buildings, Where Required by Washington Code, &gt;=82% ERV/HRV"/>
        <s v="VHE-DOAS, New Buildings, Where Required by Washington Code&gt;= 82% ERV/HRV"/>
        <s v="VHE-DOAS, Existing Buildings, 60-81% ERV/HRV"/>
        <s v="VHE-DOAS, Existing Buildings, &gt;= 82% ERV/HRV"/>
        <s v="VHE-DOAS, New Buildings, 60-81% ERV/HRV"/>
        <s v="VHE-DOAS, New Buildings, &gt;= 82% ERV/HRV"/>
        <s v="Evap Fan"/>
        <s v="ASiMi and Silicon Crystal Growing Facilities"/>
        <s v="Asimi Crystal Growing Facilities"/>
        <s v="Silicon Crystal Growing Facilities"/>
        <s v="BacGen Technologies"/>
        <s v="MagnaDrive Adjustable Speed Drive"/>
        <s v="MagnaDrive Coupling"/>
        <s v="compressed air system"/>
        <s v="Motors, Non-Standard, 201-500 HP"/>
        <s v="Efficient Motor Rewinds, Industrial &amp; Ag"/>
        <s v="Efficient Motor Rewinds, Agricultural"/>
        <s v="Motors, Federal Standard, 1-200 HP"/>
        <s v="Strategic Energy Management IND Existing"/>
        <s v="Pulp and Paper - Strategic Energy Management"/>
        <s v="Distribution Efficiency"/>
        <s v="Refrigeration Operator Certification Projects"/>
        <s v="Small/Medium Industrials - Strategic Energy Management"/>
        <s v="Laptops, Commercial, Non-Qualifying"/>
        <s v="Laptops, Commercial, ENERGY STAR 6.0"/>
        <s v="Desktops, Residential, Non-Qualifying"/>
        <s v="Desktops, Residential, ENERGY STAR 6.0"/>
        <s v="Laptops, Residential, Non-Qualifying"/>
        <s v="Laptops, Residential, ENERGY STAR 6.0"/>
        <s v="Clothes Washers, Top-Loading, Non ENERGY STAR, pre 2015 measure"/>
        <s v="Clothes Washers, Below Federal Standard, IMEF 0.88-1.02"/>
        <s v="Clothes Washers, Front-Loading, Less Efficient than the Power Plan Baseline."/>
        <s v="Clothes Washers, Front-Loading, Non ENERGY STAR, pre 2015 measure"/>
        <s v="Clothes Washers, Below Federal Standard, IMEF 1.03-1.31"/>
        <s v="Clothes Washers, Federal Standard, IMEF 1.32-1.58"/>
        <s v="Clothes Washers, Federal Standard, IMEF 1.59-2.05"/>
        <s v="Clothes Washers, ENERGY STAR, IMEF 2.06-2.37"/>
        <s v="Clothes Washers, CEE TIER 1, IMEF 2.38-2.73"/>
        <s v="Clothes Washers, CEE TIER 2, IMEF 2.74-2.91"/>
        <s v="Clothes Washers, CEE TIER 3, IMEF 2.92+"/>
        <s v="Clothes Washers, Top-Loading, ENERGY STAR , pre 2015 measure"/>
        <s v="CFL, General Purpose"/>
        <s v="CFL, Specialty"/>
        <s v="LED, General Purpose"/>
        <s v="LED, Specialty"/>
        <s v="Other, General Purpose"/>
        <s v="Other, Specialty"/>
        <s v="U Factor 0.35 (New and Existing Construction)"/>
        <s v="U-value 0.35 New Residential Construction"/>
        <s v="Certificate"/>
        <s v="Lighting Fixtures - All"/>
        <s v="Dishwashers, Energy Factor 52"/>
        <s v="Dishwashers, Energy Factor 58"/>
        <s v="Dishwashers, Energy Factor 65"/>
        <s v="Dishwashers, Energy Factor 68"/>
        <s v="Refrigerators, ENERGY STAR &amp; More Efficient"/>
        <s v="Refrigerators, ENERGY STAR 2003"/>
        <s v="Refrigerators, ENERGY STAR 2008"/>
        <s v="Refrigerators, ENERGY STAR V5"/>
        <s v="Refrigerators, ENERGY STAR +15-20% above Standard (CEE Tier 2; 2016 and 2017 ENERGY STAR Most Efficient)"/>
        <s v="Refrigerators, ENERGY STAR +20% or better above Standard (CEE Tier 3)"/>
        <s v="Refrigerators, Non-Qualifying"/>
        <s v="Washington ENERGY STAR Home, New Single-Family"/>
        <s v="Idaho ENERGY STAR Home, New Multifamily"/>
        <s v="Regional ENERGY STAR Home, New Single-Family"/>
        <s v="Oregon ENERGY STAR Home, New Multifamily"/>
        <s v="Washington ENERGY STAR Home, New Multifamily"/>
        <s v="Montana ENERGY STAR Home, New Multifamily"/>
        <s v="Idaho Code, New Single-Family, IECC 2006"/>
        <s v="Idaho Code, New Single-Family, IECC 2009"/>
        <s v="Idaho Code, New Single-Family, IECC 2012 with Amend."/>
        <s v="Montana Code, New Single-Family, IECC 2003 with Amend."/>
        <s v="Montana Code, New Single-Family, IECC 2009 with Amend."/>
        <s v="Montana Code, New Single-Family, IECC 2012 with Amend."/>
        <s v="Oregon Code, New Single-Family, ORSC 2008"/>
        <s v="Oregon Code, New Single-Family, ORSC 2011"/>
        <s v="Oregon Code, New Single-Family, ORSC 2015"/>
        <s v="Washington Code, New Single-Family, WSEC 2006"/>
        <s v="Washington Code, New Single-Family, WSEC 2009"/>
        <s v="Washington Code, New Single-Family WSEC 2012"/>
        <s v="Idaho ENERGY STAR Home, New Single-Family"/>
        <s v="Montana ENERGY STAR Home, New Single-Family"/>
        <s v="Oregon ENERGY STAR Home New Single-Family"/>
        <s v="Idaho Code, New Multifamily, IECC 2006"/>
        <s v="Idaho Code, New Multifamily, IECC 2009"/>
        <s v="Idaho Code, New Multifamily, IECC 2012 with ID Amend."/>
        <s v="Idaho Code, New Multifamily, IECC 2015"/>
        <s v="Idaho Code, New Multifamily, IECC 2018"/>
        <s v="Idaho Code, New Multifamily, IECC 2021"/>
        <s v="Montana Code, New Multifamily, IECC 2003 with MT Amend."/>
        <s v="Montana Code, New Multifamily, IECC 2009 with MT Amend."/>
        <s v="Montana Code, New Multifamily, IECC 2012 with MT Amend."/>
        <s v="Montana Code, New Multifamily, IECC 2015"/>
        <s v="Montana Code, New Multifamily, IECC 2018 with MT Amend"/>
        <s v="Montana Code, New Multifamily, IECC 2021"/>
        <s v="Oregon Code, New Multifamily, ORSC 2008"/>
        <s v="Oregon Code, New Multifamily, ORSC 2011"/>
        <s v="Oregon Code, New Multifamily, ORSC 2014"/>
        <s v="Oregon Code, New Multifamily, ORSC 2017"/>
        <s v="Oregon Code, New Multifamily, ORSC 2021"/>
        <s v="Oregon Code, New Multifamily, ORSC 2023"/>
        <s v="Washington Code, New Multifamily, WSEC 2006"/>
        <s v="Washington Code, New Multifamily, WSEC 2009"/>
        <s v="Washington Code, New Multifamily, WSEC 2012"/>
        <s v="Washington Code, New Multifamily, WSEC 2015"/>
        <s v="Washington Code, New Multifamily, WSEC 2018"/>
        <s v="Washington Code, New Multifamily, WSEC 2021"/>
        <s v="Ductless Heat Pumps, Single-Family Home, Existing Displace - Zonal"/>
        <s v="Ductless Heat Pumps, Single-Family Home, Existing Displace - eFAF"/>
        <s v="Ductless Heat Pumps, Manufactured Home, Existing Displace - eFAF"/>
        <s v="Televisions, Above baseline established in NEEA's original Televisions Program (2009-2014)"/>
        <s v="Televisions, ENERGY STAR 3.0 +30%"/>
        <s v="Televisions, Most Efficient 2015"/>
        <s v="Televisions, ENERGY STAR 4.1"/>
        <s v="Televisions, ENERGY STAR 5.3"/>
        <s v="Televisions, ENERGY STAR 5.3 +20%"/>
        <s v="Televisions, ENERGY STAR 5.3 +35%"/>
        <s v="Televisions, ENERGY STAR 6.2 +20%"/>
        <s v="Televisions, Most Efficient 2013"/>
        <s v="Televisions, ENERGY STAR 7"/>
        <s v="Televisions, ENERGY STAR 7 +35%"/>
        <s v="Super Efficient Dryers, Non-Qualifying"/>
        <s v="Super Efficient Dryers, ENERGY STAR"/>
        <s v="Super Efficient Dryers, Tier 2"/>
        <s v="Super Efficient Dryers, Tier 3"/>
        <s v="Super Efficient Dryers, Tier 4"/>
        <s v="Super Efficient Dryers, Tier 5"/>
        <s v="Super Efficient Dryers, Tier 6"/>
        <s v="HPWH, Existing Construction, Small Tank, Tier 1"/>
        <s v="HPWH, Existing Construction, Small Tank, Tier 2"/>
        <s v="HPWH, Existing Construction, Small Tank, Tier 3"/>
        <s v="HPWH, Existing Construction, Small Tank, Tier 4"/>
        <s v="HPWH, Existing Construction, Small Tank, Tier 5"/>
        <s v="HPWH, Existing Construction, Large Tank, Tier 1"/>
        <s v="HPWH, Existing Construction, Large Tank, Tier 2"/>
        <s v="HPWH, Existing Construction, Large Tank, Tier 3"/>
        <s v="HPWH, Existing Construction, Large Tank, Tier 4"/>
        <s v="HPWH, Existing Construction, Large Tank, Tier 5"/>
        <s v="HPWH, New Construction, Small Tank, Tier 1"/>
        <s v="HPWH, New Construction, Small Tank, Tier 2"/>
        <s v="HPWH, New Construction, Small Tank, Tier 3"/>
        <s v="HPWH, New Construction, Small Tank, Tier 4"/>
        <s v="HPWH, New Construction, Small Tank, Tier 5"/>
        <s v="HPWH, New Construction, Large Tank, Tier 1"/>
        <s v="HPWH, New Construction, Large Tank, Tier 2"/>
        <s v="HPWH, New Construction, Large Tank, Tier 3"/>
        <s v="HPWH, New Construction, Large Tank, Tier 4"/>
        <s v="HPWH, New Construction, Large Tank, Tier 5"/>
        <s v="Oregon Next Step Home, New Single-Family"/>
        <s v="Washington Northwest ENERGY STAR Home, New Single-Family"/>
        <s v="Washington Next Step Home, New Single-Family"/>
        <s v="Idaho National Green Building Standard, New Single-Family"/>
        <s v="Montana National Green Building Standard, New Single-Family"/>
        <s v="Oregon National Green Building Standard, New Single-Family"/>
        <s v="Washington National Green Building Standard, New Single-Family"/>
        <s v="Washington BuiltGreen Home, New Single-Family"/>
        <s v="Idaho Home Energy Rating System (HERS)/ENERGY STAR, New Single-Family"/>
        <s v="Montana Home Energy Rating System (HERS)/ENERGY STAR, New Single-Family"/>
        <s v="Oregon Home Energy Rating System (HERS)/ENERGY STAR New Single-Family"/>
        <s v="Washington Home Energy Rating System (HERS)/ENERGY STAR, New Single-Family"/>
        <s v="Idaho Home Energy Rating System (HERS)/ENERGY STAR, New Multifamily"/>
        <s v="Montana Home Energy Rating System (HERS)/ENERGY STAR, New Multifamily"/>
        <s v="Oregon Home Energy Rating System (HERS)/ENERGY STAR, New Multifamily"/>
        <s v="Washington Home Energy Rating System (HERS)/ENERGY STAR, New Multifamily"/>
        <s v="Idaho ENERGY STAR Northwest Home, New Multifamily"/>
        <s v="Washington ENERGY STAR Northwest Home, New Multifamily"/>
        <s v="Oregon Energy Performance Score Home, New Single-Family"/>
        <s v="Idaho Code, Single-Family, IECC 2015"/>
        <s v="Idaho Code, Single-Family, IECC 2018"/>
        <s v="Idaho Code, Single-Family, IECC 2021"/>
        <s v="Idaho Code, Single-Family, IECC 2024"/>
        <s v="Idaho Code, Single-Family, IECC 2027"/>
        <s v="Washington BuiltGreen Home, New Multifamily"/>
        <s v="Idaho Performance Path, New Single-Family"/>
        <s v="Montana Performance Path, New Single-Family"/>
        <s v="Oregon Performance Path, New Single-Family"/>
        <s v="Washington Performance Path, New Single-Family"/>
        <s v="Washington National Green Building Standard, New Multifamily"/>
        <s v="Oregon National Green Building Standard, New Multifamily"/>
        <s v="Idaho National Green Building Standard, New Multifamily"/>
        <s v="Montana National Green Building Standard, New Multifamily"/>
        <s v="Oregon Earth Advantage, New Single-Family"/>
        <s v="Washington Home Energy Program, New Single-Family"/>
        <s v="Montana Code, Single-Family, IECC 2018"/>
        <s v="Montana Code, Single-Family, IECC 2021"/>
        <s v="Montana Code, Single-Family, IECC 2024"/>
        <s v="Montana Code, Single-Family, IECC 2027"/>
        <s v="Oregon Code, Single-Family, ORSC 2017"/>
        <s v="Oregon Code, Single-Family, ORSC 2021"/>
        <s v="Oregon Code, Single-Family, ORSC 2023"/>
        <s v="Oregon Code, Single-Family, ORSC 2026"/>
        <s v="Oregon Code, Single-Family, ORSC 2029"/>
        <s v="Washington Code, Single-Family, WSEC 2015"/>
        <s v="Washington Code, Single-Family, WSEC 2018"/>
        <s v="Washington Code, Single-Family, WSEC 2021"/>
        <s v="Washington Code, Single-Family, WSEC 2024"/>
        <s v="Washington Code, Single-Family, WSEC 2027"/>
        <s v="Idaho Northwest ENERGY STAR Home, New Single-Family"/>
        <s v="Montana Northwest ENERGY STAR Home, New Single-Family"/>
        <s v="Oregon Northwest ENERGY STAR Home, New Single-Family"/>
        <s v="Idaho Next Step Home, New Single-Family"/>
        <s v="Montana Next Step Home, New Single-Family"/>
        <s v="Residential, Ceiling Fan Light Kits (2017)"/>
        <s v="Residential, Portable Air Conditioners (2020)"/>
        <s v="Residential, Uninterruptible Power Supplies (2020)"/>
        <s v="Residential, Commercial Packaged Boilers"/>
        <s v="Residential Standard TBD"/>
        <s v="Residential, Central AC (2015)"/>
        <s v="Residential, Battery Chargers (2013)"/>
        <s v="Residential, Heat Pumps (2015)"/>
        <s v="Residential, Furnaces Fans (2014)"/>
        <s v="Residential, Dryers (2011)"/>
        <s v="Residential, External Power Supplies (2014)"/>
        <s v="Residential, Fluorescent Lamp Ballast (2014)"/>
        <s v="Residential, Ceiling Fans (2017)"/>
        <s v="Freezers, Compact Chest and Upright, Non-Qualifying"/>
        <s v="Freezers, Compact Chest and Upright, ENERGY STAR v5"/>
        <s v="Freezers, Compact Chest and Upright, ENERGY STAR v5 +5%"/>
        <s v="Clothes Washers, Standard-size Top-Loading, Electric, Non ENERGY STAR v8"/>
        <s v="Clothes Washers, Standard-size Top-Loading, Electric, ENERGY STAR v7"/>
        <s v="Clothes Washers, Standard-size Top-Loading, Electric, ENERGY STAR Most Efficient 2017+"/>
        <s v="Clothes Washers, Standard-size Top Loading, Electric, ENERGY STAR TBD"/>
        <s v="Refrigerators, Standard-size Bottom-mount Freezers, Non-Qualifying"/>
        <s v="Refrigerators, Standard-size Bottom-mount Freezers, ENERGY STAR v5"/>
        <s v="Refrigerators, Standard-size Bottom-mount Freezers, ENERGY STAR Most Efficient &amp; Emerging Tech Award"/>
        <s v="TBD Measures"/>
        <s v="Refrigerators, Standard-size Side-mount Freezers, Non-Qualifying"/>
        <s v="Refrigerators, Standard-size Side-mount Freezers, ENERGY STAR v5"/>
        <s v="Refrigerators, Standard-size Side-mount Freezers, ENERGY STAR v5 Most Efficient &amp; Emerging Tech Award"/>
        <s v="Refrigerators, Standard-size Side-mount Freezers, ENERGY STAR +20% or better above Standard"/>
        <s v="Clothes Dryers, Standard, Electric, Non-Qualifying"/>
        <s v="Clothes Dryers, Standard, Electric, ENERGY STAR v1"/>
        <s v="Clothes Dryers, Standard, Electric, UCEF 3.00 to 4.19"/>
        <s v="Clothes Dryers, Standard, Electric, UCEF 4.20 to 5.29"/>
        <s v="Clothes Dryers, Standard, Electric, UCEF 5.30 to 6.09"/>
        <s v="Clothes Dryers, Standard, Electric, UCEF 6.10 to 7.19"/>
        <s v="Clothes Dryers, Standard, Electric, UCEF 7.20 to 8.00"/>
        <s v="Clothes Dryers, Standard, Gas, Non-Qualifying"/>
        <s v="Clothes Dryers, Standard, Gas, ENERGY STAR v1"/>
        <s v="Clothes Dryers, Standard, Gas, ENERGY STAR v1 Most Efficient"/>
        <s v="Clothes Dryers, Compact, Gas, Non-Qualifying"/>
        <s v="Clothes Dryers, Compact, Gas, ENERGY STAR v1"/>
        <s v="Clothes Dryers, Compact, Gas, ENERGY STAR v1 Most Efficient"/>
        <s v="Dehumidifiers, Standard, Electric, Non-Qualifying"/>
        <s v="Dehumidifiers, Standard, Electric, ENERGY STAR v4"/>
        <s v="Refrigerators, Compact, Non-Qualifying"/>
        <s v="Refrigerators, Compact, ENERGY STAR v5"/>
        <s v="Refrigerators, Compact, ENERGY STAR v5 Most Efficient"/>
        <s v="Clothes Dryers, Compact, Electric, Non-Qualifying"/>
        <s v="Clothes Dryers, Compact, Electric, ENERGY STAR v1"/>
        <s v="Clothes Dryers, Compact, Electric, ENERGY STAR v1 Most Efficient"/>
        <s v="Clothes Washers, Compact, Electric, Non ENERGY STAR v8"/>
        <s v="Televisions, Ultra-High Definition, ENERGY STAR v9 (Standby Mode Power)"/>
        <s v="Room Air Cleaners, All Sizes, Non-Qualifying"/>
        <s v="Room Air Cleaners, All Sizes, ENERGY STAR v1"/>
        <s v="Room Air Cleaners, All Sizes, ENERGY STAR v2"/>
        <s v="Room Air Cleaners, All Sizes, ENERGY STAR v2 +50%"/>
        <s v="Room Air Conditioners, Med/Large, Non-Qualifying"/>
        <s v="Room Air Conditioners, Med/Large, ENERGY STAR v4"/>
        <s v="Room Air Conditioners, Med/Large, ENERGY STAR Most Efficient"/>
        <s v="Soundbars, Non-Qualifying"/>
        <s v="Soundbars, ENERGY STAR"/>
        <s v="Soundbars, ENERGY STAR V3 +15%"/>
        <s v="Soundbars, ENERGY STAR V3 +50%"/>
        <s v="Soundbars, ENERGY STAR V3 +60-70%"/>
        <s v="Freezers, Standard-size Upright, Non-Qualifying"/>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TBD)"/>
        <s v="Televisions, Ultra-High Definition, ENERGY STAR v9 (On Mode Power)"/>
        <s v="Televisions, Ultra-High Definition, ENERGY STAR v8 +20%"/>
        <s v="Televisions, Ultra-High Definition, ENERGY STAR Most Efficient"/>
        <s v="Televisions, Ultra-High Definition, ENERGY STAR v8 +35%"/>
        <s v="Televisions, Ultra-High Definition, TBD"/>
        <s v="Clothes Washers, Front-Loading, Electric, NonENERGY STAR v8 (IMEF 1.84)"/>
        <s v="Clothes Washers, Front-Loading, Electric, ENERGY STAR v7 &amp; v8"/>
        <s v="Clothes Washers, Front-Loading, Electric, ENERGY STAR v8 Most Efficient 2017"/>
        <s v="Clothes Washers, Front-Loading, Electric, ENERGY STAR v8 Most Efficient 2018+"/>
        <s v="Clothes Washers, Front-Loading, Electric, IMEF 2.92+"/>
        <s v="Freezers, Standard-size Chest, Non-Qualifying"/>
        <s v="Freezers, Standard-size Chest, ENERGY STAR v5"/>
        <s v="Freezers, Standard-size Chest, ENERGY STAR v5 +5%"/>
        <s v="Manufactured Home, Inefficient"/>
        <s v="Manufactured Home, HUD Code"/>
        <s v="Manufactured Home, NEEM 1.1"/>
        <s v="Manufactured Home, NEEM Plus"/>
        <s v="Residential, Non-Qualifying Hydronic Heating Circulator with ECM"/>
        <s v="Residential, Hydronic Heating Circulator with ECM"/>
        <s v="Residential, Hydronic Heating Circulator with ECM and Controls"/>
        <s v="Commercial, Non-Qualifying Hydronic Heating Circulator with ECM"/>
        <s v="Commercial, Hydronic Heating Circulator with ECM"/>
        <s v="Commercial, Hydronic Heating Circulator with ECM and Controls"/>
        <s v="Residential, Non-Qualifying DHW ECM Circulator"/>
        <s v="Residential, DHW ECM Circulator"/>
        <s v="Residential, DHW Induction Circulator with Controls"/>
        <s v="Residential, DHW ECM Circulator with Controls"/>
        <s v="Commercial, Non-Qualifying DHW ECM Circulator"/>
        <s v="Commercial, DHW ECM Circulator"/>
        <s v="Commercial, DHW Induction Circulator with Controls"/>
        <s v="Commercial, DHW ECM Circulator with Controls"/>
        <s v="Commercial, Non-Qualifying Constant Speed Clean Water Pump"/>
        <s v="Commercial, Constant Speed Clean Water Pump"/>
        <s v="Commercial, Non-Qualifying Variable Speed Clean Water Pump"/>
        <s v="Commercial, Variable Speed Clean Water Pump"/>
        <s v="Commercial, Variable Speed Clean Water Pump - Constant Speed Replacement"/>
      </sharedItems>
    </cacheField>
    <cacheField name="[vwMeasures].[Measure Life].[Measure Life]" caption="Measure Life" numFmtId="0" hierarchy="58" level="1">
      <sharedItems containsString="0" containsBlank="1" containsNumber="1" minValue="2" maxValue="45" count="27">
        <n v="10"/>
        <m/>
        <n v="5"/>
        <n v="20"/>
        <n v="15"/>
        <n v="4"/>
        <n v="14"/>
        <n v="13"/>
        <n v="11"/>
        <n v="6"/>
        <n v="25"/>
        <n v="8"/>
        <n v="9"/>
        <n v="16"/>
        <n v="12"/>
        <n v="23"/>
        <n v="30"/>
        <n v="7"/>
        <n v="2"/>
        <n v="45"/>
        <n v="19"/>
        <n v="21"/>
        <n v="6.5"/>
        <n v="15.2"/>
        <n v="22"/>
        <n v="42"/>
        <n v="11.5"/>
      </sharedItems>
    </cacheField>
    <cacheField name="[vwMeasures].[Initiative Description].[Initiative Description]" caption="Initiative Description" numFmtId="0" hierarchy="64" level="1">
      <sharedItems count="51" longText="1">
        <s v="NEEA helped accelerate the adoption of AM400, a soil moister data logger that helps reduce the amount of electricity consumed for pumping water into fields, by conducting training and outreach."/>
        <s v="20% reduction in energy intensity Electrical Savings by 2020 on AG | IRR on farms greater than 100 acres with Center Pivot"/>
        <s v="NEEA developed this regional certification program to educate building operator professionals on how to manage commercial building controls to reduce energy and operating costs."/>
        <s v="NEEA helped make commissioning standard practice in public buildings in the Northwest by educating and building awareness of the value of commissioning, supporting the Building Commissioning Association and supporting projects like the commissioning certification."/>
        <s v="To affect permanent market change as part of Market Transformation, NEEA provides market intelligence, product and performance data and technical expertise to influence and accelerate the adoption of new and more stringent building energy codes.  NEEA also provides training and information to builders, trades and code officials once a new code has passed to increase awareness and understanding how to implement code changes."/>
        <s v="NEEA partnered with Verdiem, Inc. to commercialize this software that enables IT administrators to effectively control power management settings of desktop computers through network controls."/>
        <s v="NEEA engaged with computer manufacturers to expedite the adoption of highly efficient power supplies while also developing and advocating for a standard thereby dramatically improving the energy efficiency of commercial desktops."/>
        <s v="Accelerate the adoption of energy-efficient building design and operations within the grocery market by working with regional grocery wholesalers and larger chain operators to increase the demand for these products and services while building the capacity of the market."/>
        <s v="NEEA engaged with supply side market actors (service providers) to encourage more efficient building operations.  This was a component of Better Bricks."/>
        <s v="Establish Strategic Energy Management as a common business practice in the healthcare sector"/>
        <s v="The Commercial Real Estate (CRE) Infrastructure program leverages strategic relationships to deliver regional market resources to advance energy efficiency best practices and increase utility program participation by the region's commercial real estate market."/>
        <s v="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
        <s v="Commercial Lighting Solutions Description"/>
        <s v="Achieve lasting improvement in the energy efficient and maintenance (O&amp;M) of commercial buildings by developing market demand for and increasing the supply of educated and credentialed building operators."/>
        <s v="To affect permanent market change as part of Market Transformation, NEEA provides market intelligence, product and performance data and technical expertise to influence and accelerate the adoption of more stringent appliance and equipment standards at a state and federal level."/>
        <s v="The Existing Building Renewal (EBR) initiative demonstrates the competitive advantages and investment opportunity of energy efficiency gained through comprehensive deep-energy retrofits to owners and investors of commercial real estate office buildings over 20,000 sq. ft."/>
        <s v="The Luminaire Level Lighting Controls (LLLC) initiative works to bring clarity to the controls market by specification development, training, utility program support and supply chain intervention so that LLLC systems become standard practice for commercial buildings."/>
        <s v="Solid State Streetlights with Controls Description"/>
        <s v="Develop an upstream platform with distributors and manufacturers that influences the stocking and sales practices of efficient lighting products."/>
        <s v="​The Top Tier Trade Ally infrastructure accelerates market adoption of commercial and industrial advanced lighting practices by building connectivity between contractors, training resources and utility program throughout the Northwest."/>
        <s v="Establish Strategic Energy Management as a common business practice in select commercial and industrial sectors"/>
        <s v="Commercial Secondary Windows become established as the standard product and practice for addressing poor performing windows in commercial buildings."/>
        <s v="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
        <s v="NEEA accelerated market adoption of variable frequency drives, which allow evaporator fan motors to run at slower speeds, by funding pilot research and strategic market intervention strategies."/>
        <s v="Microelectronics (Asimi, Silicon Crystal Growing Facilities) Description"/>
        <s v="NEEA and BacGen Technologies, Inc. developed a method for reducing the energy consumption of small- to medium sized wastewater treatment facilities with a proprietary mix of micronutrients and process control technologies."/>
        <s v="NEEA supported development and commercialization of technology that allows older motors to operate more efficiently through a magnetic industrial adjustable speed drive."/>
        <s v="NEEA partnered with SAV-AIR, LLC on the Pneu-Logic SAV-AIR initiative, which delivered comprehensive compressed air management systems and engineering services to help customers control compressed air systems using sensors, computers and software."/>
        <s v="NEEA partnered with the League of the Pacific Northwest to increase the region’s motor fleet efficiency by influencing end-users to incorporate life-cycle analysis in investment decisions and helping motor service centers improve repair and motor management services."/>
        <s v="If NEEA overcomes Supply, Demand, and Know-How barriers to implementing Strategic Energy Management, SEM will become a recognized best practice for saving energy in the industrial sector."/>
        <s v="Pulp and Paper Description"/>
        <s v="Building on a BPA study, the region asked NEEA to coordinate a multi-state research effort to look at the savings potential of optimizing substation operations and introduce voltage regulation devices to residential customers."/>
        <s v="CRES certification becomes a required credential to work as a refrigeration operator in the Industrial Refrigeration Market."/>
        <s v="Small/Medium Industrials Description"/>
        <s v="This is a placefholder for Other Energy Star products associated with Desktop Power supplies. This will be tracking desktops and laptops influenced by NEEA, but not directly tied to 80+ efforts."/>
        <s v="NEEA influenced more stringent efficiency standards for clothes washers and accelerated market adoption by partnering with manufacturers, utilities and retailers to increase availability and increase consumer demand through targeted public outreach and marketing campaigns."/>
        <s v="NEEA collaborated with the region to develop and implement strategic market interventions that accelerated the market adoption of ENERGY STAR compact fluorescent lamps."/>
        <s v="NEEA accelerated the market adoption of high efficiency ENERGY STAR residential windows by working with manufacturers and retailers to increase availability and increase consumer demand through strategic marketing campaigns with manufacturers."/>
        <s v="Super Good Cents Manufactured Homes Description"/>
        <s v="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
        <s v="NEEA accelerated the market adoption of ENERGY STAR dishwashers by partnering with manufacturers, retailers and regional utilities to increase the availability and consumer awareness of these products."/>
        <s v="NEEA leveraged its relationships with retailers to accelerate the market adoption of ENERGY STAR refrigerators as part of a “white goods” strategy to increase market awareness of ENERGY STAR “white goods” appliances such as refrigerators and dishwashers."/>
        <s v="Northwest ENERGY STAR Homes creates a pathway to influence and advance residential building code through voluntary adoption of advanced building practices and technologies."/>
        <s v="Accelerate the adoption and market acceptance of inverter-driven ductless heat pumps in electrically heated homes."/>
        <s v="Leverage mid-stream incentives to influence retail buying practices, ultimately driving manufacturing, product specification and standards of energy-efficient televisions sold through the retail channel."/>
        <s v="Supporting manufacturer development and US market entry of super-efficient dryers; influencing improved federal test protocols and efficiency standards requiring heat pump technology for residential clothes dryers."/>
        <s v="NEEA’s goal for Heat Pump Water Heaters (HPWH) is to influence the passage of a federal standard requiring HPWHs for all electric storage tanks greater than 45 gallons in size by 2028. To do this, the program must create national alignment by influencing ENERGY STAR and Federal test procedures to incorporate key elements of our Advanced Water Heating Specification, continue working upstream with water heater manufacturers to influence product development, and continue training the supply chain in HPWH technology until it becomes standard practice."/>
        <s v="The Next Step Homes initiative leverages the infrastructure created by prior Efficient Homes programs to develop and increase market adoption of energy efficient advanced building practices for single-family homes, aimed at influencing and accelerating code adoption."/>
        <s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
        <s v="The region is working together to demonstrate success for a new voluntary above code specification (NEEM 2.0), which NEEA influenced, in the market prior to a HUD code change. The NEEM 2.0 spec. will be the basis for NEEA to influence the next HUD code change. NEEA provides manufacturer with information and materials for their marketing and sales efforts of NEEM 2.0 homes."/>
        <s v="The Extended Motor Product (XMP) initiative engages with manufacturers, distributors, and trade associations to increase adoption of energy efficient pumps and circulators. Primary interventions include: mid-stream incentives to influence stocking/sales practices; training and awareness campaigns to demonstrate that efficient pumps are cost-effective, reliable and easy to maintain; development and promotion of energy labeling for pumps to allow for product differentiation; and ultimately the passage of more stringent Federal Standards."/>
      </sharedItems>
    </cacheField>
    <cacheField name="[vwMeasures].[Initiative Index].[Initiative Index]" caption="Initiative Index" numFmtId="0" hierarchy="63" level="1">
      <sharedItems count="53">
        <s v="AGR_200201"/>
        <s v="AGR_201401"/>
        <s v="COM_199701"/>
        <s v="COM_200002"/>
        <s v="COM_200202"/>
        <s v="COM_200203"/>
        <s v="COM_200701"/>
        <s v="COM_200702"/>
        <s v="COM_200801"/>
        <s v="COM_200802"/>
        <s v="COM_200803"/>
        <s v="COM_200901"/>
        <s v="COM_201101"/>
        <s v="COM_201201"/>
        <s v="COM_201304"/>
        <s v="COM_201305"/>
        <s v="COM_201401"/>
        <s v="COM_201402"/>
        <s v="COM_201403"/>
        <s v="COM_201404"/>
        <s v="COM_201405"/>
        <s v="COM_201601"/>
        <s v="COM_202201"/>
        <s v="IND_199801"/>
        <s v="IND_199802"/>
        <s v="IND_199901"/>
        <s v="IND_199902"/>
        <s v="IND_200004"/>
        <s v="IND_200402"/>
        <s v="IND_200602"/>
        <s v="IND_200603"/>
        <s v="IND_200702"/>
        <s v="IND_201301"/>
        <s v="IND_201302"/>
        <s v="OTH_201601"/>
        <s v="RES_199702"/>
        <s v="RES_199703"/>
        <s v="RES_199705"/>
        <s v="RES_199706"/>
        <s v="RES_199802"/>
        <s v="RES_200005"/>
        <s v="RES_200006"/>
        <s v="RES_200401"/>
        <s v="RES_200601"/>
        <s v="RES_200804"/>
        <s v="RES_200902"/>
        <s v="RES_201101"/>
        <s v="RES_201202"/>
        <s v="RES_201301"/>
        <s v="RES_201402"/>
        <s v="Res_201403"/>
        <s v="RES_201601"/>
        <s v="XMP_202001"/>
      </sharedItems>
    </cacheField>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2" memberValueDatatype="130" unbalanced="0">
      <fieldsUsage count="2">
        <fieldUsage x="-1"/>
        <fieldUsage x="6"/>
      </fieldsUsage>
    </cacheHierarchy>
    <cacheHierarchy uniqueName="[vwMeasures].[Measure Life]" caption="Measure Life" attribute="1" defaultMemberUniqueName="[vwMeasures].[Measure Life].[All]" allUniqueName="[vwMeasures].[Measure Life].[All]" dimensionUniqueName="[vwMeasures]" displayFolder="" count="2" memberValueDatatype="5" unbalanced="0">
      <fieldsUsage count="2">
        <fieldUsage x="-1"/>
        <fieldUsage x="7"/>
      </fieldsUsage>
    </cacheHierarchy>
    <cacheHierarchy uniqueName="[vwMeasures].[Measure Index]" caption="Measure Index" attribute="1" defaultMemberUniqueName="[vwMeasures].[Measure Index].[All]" allUniqueName="[vwMeasures].[Measure Index].[All]" dimensionUniqueName="[vwMeasures]" displayFolder="" count="2" memberValueDatatype="130" unbalanced="0">
      <fieldsUsage count="2">
        <fieldUsage x="-1"/>
        <fieldUsage x="5"/>
      </fieldsUsage>
    </cacheHierarchy>
    <cacheHierarchy uniqueName="[vwMeasures].[Measure Description]" caption="Measure Description" attribute="1" defaultMemberUniqueName="[vwMeasures].[Measure Description].[All]" allUniqueName="[vwMeasures].[Measure Description].[All]" dimensionUniqueName="[vwMeasures]" displayFolder="" count="2" memberValueDatatype="130" unbalanced="0">
      <fieldsUsage count="2">
        <fieldUsage x="-1"/>
        <fieldUsage x="4"/>
      </fieldsUsage>
    </cacheHierarchy>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2" memberValueDatatype="130" unbalanced="0">
      <fieldsUsage count="2">
        <fieldUsage x="-1"/>
        <fieldUsage x="0"/>
      </fieldsUsage>
    </cacheHierarchy>
    <cacheHierarchy uniqueName="[vwMeasures].[Initiative Index]" caption="Initiative Index" attribute="1" defaultMemberUniqueName="[vwMeasures].[Initiative Index].[All]" allUniqueName="[vwMeasures].[Initiative Index].[All]" dimensionUniqueName="[vwMeasures]" displayFolder="" count="2" memberValueDatatype="130" unbalanced="0">
      <fieldsUsage count="2">
        <fieldUsage x="-1"/>
        <fieldUsage x="9"/>
      </fieldsUsage>
    </cacheHierarchy>
    <cacheHierarchy uniqueName="[vwMeasures].[Initiative Description]" caption="Initiative Description" attribute="1" defaultMemberUniqueName="[vwMeasures].[Initiative Description].[All]" allUniqueName="[vwMeasures].[Initiative Description].[All]" dimensionUniqueName="[vwMeasures]" displayFolder="" count="2" memberValueDatatype="130" unbalanced="0">
      <fieldsUsage count="2">
        <fieldUsage x="-1"/>
        <fieldUsage x="8"/>
      </fieldsUsage>
    </cacheHierarchy>
    <cacheHierarchy uniqueName="[vwMeasures].[Product]" caption="Product" attribute="1" defaultMemberUniqueName="[vwMeasures].[Product].[All]" allUniqueName="[vwMeasures].[Product].[All]" dimensionUniqueName="[vwMeasures]" displayFolder="" count="2" memberValueDatatype="130" unbalanced="0">
      <fieldsUsage count="2">
        <fieldUsage x="-1"/>
        <fieldUsage x="1"/>
      </fieldsUsage>
    </cacheHierarchy>
    <cacheHierarchy uniqueName="[vwMeasures].[Product Description]" caption="Product Description" attribute="1" defaultMemberUniqueName="[vwMeasures].[Product Description].[All]" allUniqueName="[vwMeasures].[Product Description].[All]" dimensionUniqueName="[vwMeasures]" displayFolder="" count="2" memberValueDatatype="130" unbalanced="0">
      <fieldsUsage count="2">
        <fieldUsage x="-1"/>
        <fieldUsage x="3"/>
      </fieldsUsage>
    </cacheHierarchy>
    <cacheHierarchy uniqueName="[vwMeasures].[Tier]" caption="Tier" attribute="1" defaultMemberUniqueName="[vwMeasures].[Tier].[All]" allUniqueName="[vwMeasures].[Tier].[All]" dimensionUniqueName="[vwMeasures]" displayFolder="" count="2" memberValueDatatype="130" unbalanced="0">
      <fieldsUsage count="2">
        <fieldUsage x="-1"/>
        <fieldUsage x="2"/>
      </fieldsUsage>
    </cacheHierarchy>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22800924" createdVersion="8" refreshedVersion="8" minRefreshableVersion="3" recordCount="0" supportSubquery="1" supportAdvancedDrill="1" xr:uid="{516608F7-8ED7-43A7-BCCC-0F5D7D24FED5}">
  <cacheSource type="external" connectionId="15"/>
  <cacheFields count="3">
    <cacheField name="[State Shares for Codes].[Stakeholder].[Stakeholder]" caption="Stakeholder" numFmtId="0" hierarchy="22" level="1">
      <sharedItems count="3">
        <s v="Avista Utilities-Washington"/>
        <s v="Pacific Power-Washington"/>
        <s v="Puget Sound Energy-Washington"/>
      </sharedItems>
    </cacheField>
    <cacheField name="[Measures].[Average of Commercial]" caption="Average of Commercial" numFmtId="0" hierarchy="147" level="32767"/>
    <cacheField name="[Measures].[Average of Residential]" caption="Average of Residential" numFmtId="0" hierarchy="148"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2" memberValueDatatype="130" unbalanced="0">
      <fieldsUsage count="2">
        <fieldUsage x="-1"/>
        <fieldUsage x="0"/>
      </fieldsUsage>
    </cacheHierarchy>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oneField="1" hidden="1">
      <fieldsUsage count="1">
        <fieldUsage x="1"/>
      </fieldsUsage>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oneField="1" hidden="1">
      <fieldsUsage count="1">
        <fieldUsage x="2"/>
      </fieldsUsage>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A78547E-D9D0-4B3E-A10A-CF90B21C0E4B}" name="PivotTable1" cacheId="741" applyNumberFormats="0" applyBorderFormats="0" applyFontFormats="0" applyPatternFormats="0" applyAlignmentFormats="0" applyWidthHeightFormats="1" dataCaption="Values" tag="1996ee8f-9af9-4f8a-af4e-c450f6885a76" updatedVersion="8" minRefreshableVersion="3" useAutoFormatting="1" itemPrintTitles="1" createdVersion="5" indent="0" compact="0" compactData="0" multipleFieldFilters="0">
  <location ref="A1:J424" firstHeaderRow="1" firstDataRow="1" firstDataCol="10"/>
  <pivotFields count="10">
    <pivotField axis="axisRow" compact="0" allDrilled="1" outline="0" subtotalTop="0" showAll="0" dataSourceSort="1" defaultSubtotal="0" defaultAttributeDrillState="1">
      <items count="4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7">
        <item x="0"/>
        <item x="1"/>
        <item x="2"/>
        <item x="3"/>
        <item x="4"/>
        <item x="5"/>
        <item x="6"/>
        <item x="7"/>
        <item x="8"/>
        <item x="9"/>
        <item x="10"/>
        <item x="11"/>
        <item x="12"/>
        <item x="13"/>
        <item x="14"/>
        <item x="15"/>
        <item x="16"/>
        <item x="17"/>
        <item x="18"/>
        <item x="19"/>
        <item x="20"/>
        <item x="21"/>
        <item x="22"/>
        <item x="23"/>
        <item x="24"/>
        <item x="25"/>
        <item x="2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8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extLst>
        <ext xmlns:x14="http://schemas.microsoft.com/office/spreadsheetml/2009/9/main" uri="{2946ED86-A175-432a-8AC1-64E0C546D7DE}">
          <x14:pivotField fillDownLabels="1"/>
        </ext>
      </extLst>
    </pivotField>
  </pivotFields>
  <rowFields count="10">
    <field x="1"/>
    <field x="4"/>
    <field x="7"/>
    <field x="8"/>
    <field x="0"/>
    <field x="2"/>
    <field x="9"/>
    <field x="3"/>
    <field x="6"/>
    <field x="5"/>
  </rowFields>
  <rowItems count="423">
    <i>
      <x/>
      <x/>
      <x/>
      <x/>
      <x/>
      <x/>
      <x/>
      <x/>
      <x/>
      <x/>
    </i>
    <i>
      <x v="1"/>
      <x v="1"/>
      <x v="1"/>
      <x v="1"/>
      <x v="1"/>
      <x v="1"/>
      <x/>
      <x v="1"/>
      <x v="1"/>
      <x v="1"/>
    </i>
    <i>
      <x v="2"/>
      <x v="2"/>
      <x v="2"/>
      <x v="2"/>
      <x v="2"/>
      <x v="2"/>
      <x v="1"/>
      <x v="2"/>
      <x v="2"/>
      <x v="2"/>
    </i>
    <i>
      <x v="3"/>
      <x v="3"/>
      <x v="3"/>
      <x v="2"/>
      <x v="3"/>
      <x v="3"/>
      <x v="2"/>
      <x v="2"/>
      <x v="3"/>
      <x v="3"/>
    </i>
    <i>
      <x v="4"/>
      <x v="3"/>
      <x v="4"/>
      <x v="2"/>
      <x v="4"/>
      <x v="4"/>
      <x v="3"/>
      <x v="2"/>
      <x v="3"/>
      <x v="3"/>
    </i>
    <i>
      <x v="5"/>
      <x v="3"/>
      <x v="5"/>
      <x v="2"/>
      <x v="5"/>
      <x v="5"/>
      <x v="4"/>
      <x v="2"/>
      <x v="3"/>
      <x v="3"/>
    </i>
    <i>
      <x v="6"/>
      <x v="3"/>
      <x v="6"/>
      <x v="2"/>
      <x v="6"/>
      <x v="6"/>
      <x v="5"/>
      <x v="2"/>
      <x v="3"/>
      <x v="3"/>
    </i>
    <i>
      <x v="7"/>
      <x v="4"/>
      <x v="7"/>
      <x v="3"/>
      <x v="7"/>
      <x v="7"/>
      <x v="6"/>
      <x v="3"/>
      <x v="4"/>
      <x v="4"/>
    </i>
    <i>
      <x v="8"/>
      <x v="4"/>
      <x v="7"/>
      <x v="4"/>
      <x v="8"/>
      <x v="8"/>
      <x v="6"/>
      <x v="3"/>
      <x v="4"/>
      <x v="4"/>
    </i>
    <i>
      <x v="9"/>
      <x v="4"/>
      <x v="7"/>
      <x v="5"/>
      <x v="9"/>
      <x v="9"/>
      <x v="6"/>
      <x v="3"/>
      <x v="4"/>
      <x v="4"/>
    </i>
    <i>
      <x v="10"/>
      <x v="4"/>
      <x v="7"/>
      <x v="6"/>
      <x v="10"/>
      <x v="10"/>
      <x v="6"/>
      <x v="3"/>
      <x v="4"/>
      <x v="4"/>
    </i>
    <i>
      <x v="11"/>
      <x v="4"/>
      <x v="7"/>
      <x v="7"/>
      <x v="11"/>
      <x v="11"/>
      <x v="6"/>
      <x v="3"/>
      <x v="4"/>
      <x v="4"/>
    </i>
    <i>
      <x v="12"/>
      <x v="4"/>
      <x v="7"/>
      <x v="8"/>
      <x v="12"/>
      <x v="12"/>
      <x v="6"/>
      <x v="3"/>
      <x v="4"/>
      <x v="4"/>
    </i>
    <i>
      <x v="13"/>
      <x v="4"/>
      <x v="7"/>
      <x v="9"/>
      <x v="13"/>
      <x v="13"/>
      <x v="6"/>
      <x v="3"/>
      <x v="4"/>
      <x v="4"/>
    </i>
    <i>
      <x v="14"/>
      <x v="4"/>
      <x v="7"/>
      <x v="10"/>
      <x v="14"/>
      <x v="14"/>
      <x v="6"/>
      <x v="3"/>
      <x v="4"/>
      <x v="4"/>
    </i>
    <i>
      <x v="15"/>
      <x v="4"/>
      <x v="7"/>
      <x v="11"/>
      <x v="15"/>
      <x v="15"/>
      <x v="6"/>
      <x v="3"/>
      <x v="4"/>
      <x v="4"/>
    </i>
    <i>
      <x v="16"/>
      <x v="4"/>
      <x v="7"/>
      <x v="12"/>
      <x v="16"/>
      <x v="16"/>
      <x v="6"/>
      <x v="3"/>
      <x v="4"/>
      <x v="4"/>
    </i>
    <i>
      <x v="17"/>
      <x v="4"/>
      <x v="8"/>
      <x v="13"/>
      <x v="17"/>
      <x v="17"/>
      <x v="6"/>
      <x v="3"/>
      <x v="4"/>
      <x v="4"/>
    </i>
    <i>
      <x v="18"/>
      <x v="4"/>
      <x v="8"/>
      <x v="14"/>
      <x v="18"/>
      <x v="18"/>
      <x v="6"/>
      <x v="3"/>
      <x v="4"/>
      <x v="4"/>
    </i>
    <i>
      <x v="19"/>
      <x v="4"/>
      <x v="8"/>
      <x v="15"/>
      <x v="19"/>
      <x v="19"/>
      <x v="6"/>
      <x v="3"/>
      <x v="4"/>
      <x v="4"/>
    </i>
    <i>
      <x v="20"/>
      <x v="4"/>
      <x v="8"/>
      <x v="16"/>
      <x v="20"/>
      <x v="20"/>
      <x v="6"/>
      <x v="3"/>
      <x v="4"/>
      <x v="4"/>
    </i>
    <i>
      <x v="21"/>
      <x v="4"/>
      <x v="8"/>
      <x v="17"/>
      <x v="21"/>
      <x v="21"/>
      <x v="6"/>
      <x v="3"/>
      <x v="4"/>
      <x v="4"/>
    </i>
    <i>
      <x v="22"/>
      <x v="4"/>
      <x v="8"/>
      <x v="18"/>
      <x v="22"/>
      <x v="22"/>
      <x v="6"/>
      <x v="3"/>
      <x v="4"/>
      <x v="4"/>
    </i>
    <i>
      <x v="23"/>
      <x v="4"/>
      <x v="8"/>
      <x v="19"/>
      <x v="23"/>
      <x v="23"/>
      <x v="6"/>
      <x v="3"/>
      <x v="4"/>
      <x v="4"/>
    </i>
    <i>
      <x v="24"/>
      <x v="4"/>
      <x v="8"/>
      <x v="20"/>
      <x v="24"/>
      <x v="24"/>
      <x v="6"/>
      <x v="3"/>
      <x v="4"/>
      <x v="4"/>
    </i>
    <i>
      <x v="25"/>
      <x v="4"/>
      <x v="9"/>
      <x v="21"/>
      <x v="25"/>
      <x v="25"/>
      <x v="6"/>
      <x v="3"/>
      <x v="4"/>
      <x v="4"/>
    </i>
    <i>
      <x v="26"/>
      <x v="4"/>
      <x v="9"/>
      <x v="22"/>
      <x v="26"/>
      <x v="26"/>
      <x v="6"/>
      <x v="3"/>
      <x v="4"/>
      <x v="4"/>
    </i>
    <i>
      <x v="27"/>
      <x v="4"/>
      <x v="9"/>
      <x v="23"/>
      <x v="27"/>
      <x v="27"/>
      <x v="6"/>
      <x v="3"/>
      <x v="4"/>
      <x v="4"/>
    </i>
    <i>
      <x v="28"/>
      <x v="4"/>
      <x v="9"/>
      <x v="24"/>
      <x v="28"/>
      <x v="28"/>
      <x v="6"/>
      <x v="3"/>
      <x v="4"/>
      <x v="4"/>
    </i>
    <i>
      <x v="29"/>
      <x v="4"/>
      <x v="9"/>
      <x v="25"/>
      <x v="29"/>
      <x v="29"/>
      <x v="6"/>
      <x v="3"/>
      <x v="4"/>
      <x v="4"/>
    </i>
    <i>
      <x v="30"/>
      <x v="4"/>
      <x v="9"/>
      <x v="26"/>
      <x v="30"/>
      <x v="30"/>
      <x v="6"/>
      <x v="3"/>
      <x v="4"/>
      <x v="4"/>
    </i>
    <i>
      <x v="31"/>
      <x v="4"/>
      <x v="9"/>
      <x v="27"/>
      <x v="31"/>
      <x v="31"/>
      <x v="6"/>
      <x v="3"/>
      <x v="4"/>
      <x v="4"/>
    </i>
    <i>
      <x v="32"/>
      <x v="4"/>
      <x v="9"/>
      <x v="28"/>
      <x v="32"/>
      <x v="32"/>
      <x v="6"/>
      <x v="3"/>
      <x v="4"/>
      <x v="4"/>
    </i>
    <i>
      <x v="33"/>
      <x v="4"/>
      <x v="9"/>
      <x v="29"/>
      <x v="33"/>
      <x v="33"/>
      <x v="6"/>
      <x v="3"/>
      <x v="4"/>
      <x v="4"/>
    </i>
    <i>
      <x v="34"/>
      <x v="4"/>
      <x v="10"/>
      <x v="30"/>
      <x v="34"/>
      <x v="34"/>
      <x v="6"/>
      <x v="3"/>
      <x v="4"/>
      <x v="4"/>
    </i>
    <i>
      <x v="35"/>
      <x v="4"/>
      <x v="10"/>
      <x v="31"/>
      <x v="35"/>
      <x v="35"/>
      <x v="6"/>
      <x v="3"/>
      <x v="4"/>
      <x v="4"/>
    </i>
    <i>
      <x v="36"/>
      <x v="4"/>
      <x v="10"/>
      <x v="32"/>
      <x v="36"/>
      <x v="36"/>
      <x v="6"/>
      <x v="3"/>
      <x v="4"/>
      <x v="4"/>
    </i>
    <i>
      <x v="37"/>
      <x v="4"/>
      <x v="10"/>
      <x v="33"/>
      <x v="37"/>
      <x v="37"/>
      <x v="6"/>
      <x v="3"/>
      <x v="4"/>
      <x v="4"/>
    </i>
    <i>
      <x v="38"/>
      <x v="4"/>
      <x v="10"/>
      <x v="34"/>
      <x v="38"/>
      <x v="38"/>
      <x v="6"/>
      <x v="3"/>
      <x v="4"/>
      <x v="4"/>
    </i>
    <i>
      <x v="39"/>
      <x v="4"/>
      <x v="10"/>
      <x v="35"/>
      <x v="39"/>
      <x v="39"/>
      <x v="6"/>
      <x v="3"/>
      <x v="4"/>
      <x v="4"/>
    </i>
    <i>
      <x v="40"/>
      <x v="4"/>
      <x v="10"/>
      <x v="36"/>
      <x v="40"/>
      <x v="40"/>
      <x v="6"/>
      <x v="3"/>
      <x v="4"/>
      <x v="4"/>
    </i>
    <i>
      <x v="41"/>
      <x v="4"/>
      <x v="10"/>
      <x v="37"/>
      <x v="41"/>
      <x v="41"/>
      <x v="6"/>
      <x v="3"/>
      <x v="4"/>
      <x v="4"/>
    </i>
    <i>
      <x v="42"/>
      <x v="4"/>
      <x v="10"/>
      <x v="38"/>
      <x v="42"/>
      <x v="42"/>
      <x v="6"/>
      <x v="3"/>
      <x v="4"/>
      <x v="4"/>
    </i>
    <i>
      <x v="43"/>
      <x v="4"/>
      <x v="10"/>
      <x v="39"/>
      <x v="43"/>
      <x v="43"/>
      <x v="6"/>
      <x v="3"/>
      <x v="4"/>
      <x v="4"/>
    </i>
    <i>
      <x v="44"/>
      <x v="4"/>
      <x v="10"/>
      <x v="40"/>
      <x v="44"/>
      <x v="44"/>
      <x v="6"/>
      <x v="3"/>
      <x v="4"/>
      <x v="4"/>
    </i>
    <i>
      <x v="45"/>
      <x v="5"/>
      <x v="11"/>
      <x v="2"/>
      <x v="45"/>
      <x v="45"/>
      <x v="7"/>
      <x v="2"/>
      <x v="5"/>
      <x v="5"/>
    </i>
    <i>
      <x v="46"/>
      <x v="6"/>
      <x v="12"/>
      <x v="41"/>
      <x v="46"/>
      <x v="46"/>
      <x v="8"/>
      <x v="2"/>
      <x v="6"/>
      <x v="6"/>
    </i>
    <i>
      <x v="47"/>
      <x v="6"/>
      <x v="12"/>
      <x v="42"/>
      <x v="47"/>
      <x v="47"/>
      <x v="8"/>
      <x v="2"/>
      <x v="6"/>
      <x v="6"/>
    </i>
    <i>
      <x v="48"/>
      <x v="6"/>
      <x v="12"/>
      <x v="43"/>
      <x v="48"/>
      <x v="48"/>
      <x v="8"/>
      <x v="2"/>
      <x v="6"/>
      <x v="6"/>
    </i>
    <i>
      <x v="49"/>
      <x v="6"/>
      <x v="12"/>
      <x v="44"/>
      <x v="49"/>
      <x v="49"/>
      <x v="8"/>
      <x v="2"/>
      <x v="6"/>
      <x v="6"/>
    </i>
    <i>
      <x v="50"/>
      <x v="6"/>
      <x v="12"/>
      <x v="45"/>
      <x v="50"/>
      <x v="50"/>
      <x v="8"/>
      <x v="2"/>
      <x v="6"/>
      <x v="6"/>
    </i>
    <i>
      <x v="51"/>
      <x v="6"/>
      <x v="12"/>
      <x v="46"/>
      <x v="51"/>
      <x v="51"/>
      <x v="8"/>
      <x v="2"/>
      <x v="6"/>
      <x v="6"/>
    </i>
    <i>
      <x v="52"/>
      <x v="7"/>
      <x v="13"/>
      <x v="47"/>
      <x v="52"/>
      <x v="52"/>
      <x v="9"/>
      <x v="1"/>
      <x v="7"/>
      <x v="7"/>
    </i>
    <i>
      <x v="53"/>
      <x v="8"/>
      <x v="14"/>
      <x v="47"/>
      <x v="53"/>
      <x v="53"/>
      <x v="10"/>
      <x v="2"/>
      <x v="8"/>
      <x v="8"/>
    </i>
    <i>
      <x v="54"/>
      <x v="9"/>
      <x v="15"/>
      <x v="2"/>
      <x v="54"/>
      <x v="54"/>
      <x v="11"/>
      <x v="4"/>
      <x v="9"/>
      <x v="9"/>
    </i>
    <i>
      <x v="55"/>
      <x v="10"/>
      <x v="16"/>
      <x v="2"/>
      <x v="55"/>
      <x v="55"/>
      <x v="12"/>
      <x v="2"/>
      <x v="10"/>
      <x v="10"/>
    </i>
    <i>
      <x v="56"/>
      <x v="10"/>
      <x v="17"/>
      <x v="2"/>
      <x v="56"/>
      <x v="56"/>
      <x v="13"/>
      <x v="2"/>
      <x v="10"/>
      <x v="10"/>
    </i>
    <i>
      <x v="57"/>
      <x v="10"/>
      <x v="18"/>
      <x v="2"/>
      <x v="57"/>
      <x v="57"/>
      <x v="14"/>
      <x v="2"/>
      <x v="10"/>
      <x v="10"/>
    </i>
    <i>
      <x v="58"/>
      <x v="10"/>
      <x v="19"/>
      <x v="2"/>
      <x v="58"/>
      <x v="58"/>
      <x v="15"/>
      <x v="2"/>
      <x v="10"/>
      <x v="10"/>
    </i>
    <i>
      <x v="59"/>
      <x v="11"/>
      <x v="20"/>
      <x v="47"/>
      <x v="59"/>
      <x v="53"/>
      <x v="16"/>
      <x v="1"/>
      <x v="11"/>
      <x v="11"/>
    </i>
    <i>
      <x v="60"/>
      <x v="12"/>
      <x v="21"/>
      <x v="48"/>
      <x v="60"/>
      <x v="59"/>
      <x v="17"/>
      <x/>
      <x v="12"/>
      <x v="12"/>
    </i>
    <i>
      <x v="61"/>
      <x v="13"/>
      <x v="22"/>
      <x v="2"/>
      <x v="61"/>
      <x v="60"/>
      <x v="18"/>
      <x v="2"/>
      <x v="13"/>
      <x v="13"/>
    </i>
    <i>
      <x v="62"/>
      <x v="14"/>
      <x v="23"/>
      <x v="49"/>
      <x v="62"/>
      <x v="61"/>
      <x v="19"/>
      <x v="1"/>
      <x v="14"/>
      <x v="14"/>
    </i>
    <i>
      <x v="63"/>
      <x v="14"/>
      <x v="24"/>
      <x v="49"/>
      <x v="63"/>
      <x v="62"/>
      <x v="20"/>
      <x v="1"/>
      <x v="14"/>
      <x v="14"/>
    </i>
    <i>
      <x v="64"/>
      <x v="14"/>
      <x v="25"/>
      <x v="49"/>
      <x v="64"/>
      <x v="63"/>
      <x v="21"/>
      <x v="5"/>
      <x v="14"/>
      <x v="14"/>
    </i>
    <i>
      <x v="65"/>
      <x v="14"/>
      <x v="26"/>
      <x v="50"/>
      <x v="65"/>
      <x v="64"/>
      <x v="22"/>
      <x v="6"/>
      <x v="14"/>
      <x v="14"/>
    </i>
    <i>
      <x v="66"/>
      <x v="14"/>
      <x v="27"/>
      <x v="50"/>
      <x v="66"/>
      <x v="65"/>
      <x v="23"/>
      <x v="6"/>
      <x v="14"/>
      <x v="14"/>
    </i>
    <i>
      <x v="67"/>
      <x v="14"/>
      <x v="28"/>
      <x v="51"/>
      <x v="67"/>
      <x v="66"/>
      <x v="24"/>
      <x v="7"/>
      <x v="14"/>
      <x v="14"/>
    </i>
    <i>
      <x v="68"/>
      <x v="14"/>
      <x v="28"/>
      <x v="52"/>
      <x v="68"/>
      <x v="67"/>
      <x v="24"/>
      <x v="7"/>
      <x v="14"/>
      <x v="14"/>
    </i>
    <i>
      <x v="69"/>
      <x v="14"/>
      <x v="29"/>
      <x v="53"/>
      <x v="69"/>
      <x v="68"/>
      <x v="25"/>
      <x v="8"/>
      <x v="14"/>
      <x v="14"/>
    </i>
    <i>
      <x v="70"/>
      <x v="14"/>
      <x v="30"/>
      <x v="53"/>
      <x v="70"/>
      <x v="69"/>
      <x v="26"/>
      <x v="9"/>
      <x v="14"/>
      <x v="14"/>
    </i>
    <i>
      <x v="71"/>
      <x v="14"/>
      <x v="31"/>
      <x v="51"/>
      <x v="71"/>
      <x v="70"/>
      <x v="27"/>
      <x v="10"/>
      <x v="14"/>
      <x v="14"/>
    </i>
    <i>
      <x v="72"/>
      <x v="14"/>
      <x v="32"/>
      <x v="54"/>
      <x v="72"/>
      <x v="71"/>
      <x v="28"/>
      <x v="11"/>
      <x v="14"/>
      <x v="14"/>
    </i>
    <i>
      <x v="73"/>
      <x v="14"/>
      <x v="32"/>
      <x v="55"/>
      <x v="73"/>
      <x v="72"/>
      <x v="28"/>
      <x v="11"/>
      <x v="14"/>
      <x v="14"/>
    </i>
    <i>
      <x v="74"/>
      <x v="14"/>
      <x v="33"/>
      <x v="54"/>
      <x v="74"/>
      <x v="73"/>
      <x v="29"/>
      <x v="11"/>
      <x v="14"/>
      <x v="14"/>
    </i>
    <i>
      <x v="75"/>
      <x v="14"/>
      <x v="33"/>
      <x v="55"/>
      <x v="75"/>
      <x v="74"/>
      <x v="29"/>
      <x v="11"/>
      <x v="14"/>
      <x v="14"/>
    </i>
    <i>
      <x v="76"/>
      <x v="14"/>
      <x v="34"/>
      <x v="54"/>
      <x v="76"/>
      <x v="75"/>
      <x v="26"/>
      <x v="12"/>
      <x v="14"/>
      <x v="14"/>
    </i>
    <i>
      <x v="77"/>
      <x v="14"/>
      <x v="34"/>
      <x v="55"/>
      <x v="77"/>
      <x v="76"/>
      <x v="26"/>
      <x v="12"/>
      <x v="14"/>
      <x v="14"/>
    </i>
    <i>
      <x v="78"/>
      <x v="14"/>
      <x v="35"/>
      <x v="54"/>
      <x v="78"/>
      <x v="77"/>
      <x v="26"/>
      <x v="12"/>
      <x v="14"/>
      <x v="14"/>
    </i>
    <i>
      <x v="79"/>
      <x v="14"/>
      <x v="35"/>
      <x v="55"/>
      <x v="79"/>
      <x v="78"/>
      <x v="26"/>
      <x v="12"/>
      <x v="14"/>
      <x v="14"/>
    </i>
    <i>
      <x v="80"/>
      <x v="14"/>
      <x v="36"/>
      <x v="54"/>
      <x v="80"/>
      <x v="79"/>
      <x v="26"/>
      <x v="11"/>
      <x v="14"/>
      <x v="14"/>
    </i>
    <i>
      <x v="81"/>
      <x v="14"/>
      <x v="36"/>
      <x v="55"/>
      <x v="81"/>
      <x v="80"/>
      <x v="26"/>
      <x v="11"/>
      <x v="14"/>
      <x v="14"/>
    </i>
    <i>
      <x v="82"/>
      <x v="14"/>
      <x v="37"/>
      <x v="54"/>
      <x v="82"/>
      <x v="81"/>
      <x v="26"/>
      <x v="11"/>
      <x v="14"/>
      <x v="14"/>
    </i>
    <i>
      <x v="83"/>
      <x v="14"/>
      <x v="38"/>
      <x v="49"/>
      <x v="83"/>
      <x v="82"/>
      <x v="30"/>
      <x v="13"/>
      <x v="14"/>
      <x v="14"/>
    </i>
    <i>
      <x v="84"/>
      <x v="14"/>
      <x v="37"/>
      <x v="55"/>
      <x v="84"/>
      <x v="83"/>
      <x v="26"/>
      <x v="11"/>
      <x v="14"/>
      <x v="14"/>
    </i>
    <i>
      <x v="85"/>
      <x v="14"/>
      <x v="39"/>
      <x v="49"/>
      <x v="85"/>
      <x v="84"/>
      <x v="31"/>
      <x v="6"/>
      <x v="14"/>
      <x v="14"/>
    </i>
    <i>
      <x v="86"/>
      <x v="14"/>
      <x v="40"/>
      <x v="49"/>
      <x v="86"/>
      <x v="85"/>
      <x v="32"/>
      <x v="11"/>
      <x v="14"/>
      <x v="14"/>
    </i>
    <i>
      <x v="87"/>
      <x v="14"/>
      <x v="41"/>
      <x v="49"/>
      <x v="87"/>
      <x v="86"/>
      <x v="33"/>
      <x v="14"/>
      <x v="14"/>
      <x v="14"/>
    </i>
    <i>
      <x v="88"/>
      <x v="14"/>
      <x v="42"/>
      <x v="56"/>
      <x v="88"/>
      <x v="87"/>
      <x v="34"/>
      <x v="8"/>
      <x v="14"/>
      <x v="14"/>
    </i>
    <i>
      <x v="89"/>
      <x v="14"/>
      <x v="42"/>
      <x v="57"/>
      <x v="89"/>
      <x v="88"/>
      <x v="34"/>
      <x v="8"/>
      <x v="14"/>
      <x v="14"/>
    </i>
    <i>
      <x v="90"/>
      <x v="14"/>
      <x v="43"/>
      <x v="49"/>
      <x v="90"/>
      <x v="89"/>
      <x v="35"/>
      <x v="15"/>
      <x v="14"/>
      <x v="14"/>
    </i>
    <i>
      <x v="91"/>
      <x v="14"/>
      <x v="44"/>
      <x v="49"/>
      <x v="91"/>
      <x v="90"/>
      <x v="36"/>
      <x v="3"/>
      <x v="14"/>
      <x v="14"/>
    </i>
    <i>
      <x v="92"/>
      <x v="14"/>
      <x v="45"/>
      <x v="51"/>
      <x v="92"/>
      <x v="91"/>
      <x v="37"/>
      <x v="6"/>
      <x v="14"/>
      <x v="14"/>
    </i>
    <i>
      <x v="93"/>
      <x v="14"/>
      <x v="45"/>
      <x v="52"/>
      <x v="93"/>
      <x v="92"/>
      <x v="37"/>
      <x v="6"/>
      <x v="14"/>
      <x v="14"/>
    </i>
    <i>
      <x v="94"/>
      <x v="14"/>
      <x v="45"/>
      <x v="58"/>
      <x v="94"/>
      <x v="93"/>
      <x v="37"/>
      <x v="6"/>
      <x v="14"/>
      <x v="14"/>
    </i>
    <i>
      <x v="95"/>
      <x v="15"/>
      <x v="46"/>
      <x v="2"/>
      <x v="95"/>
      <x v="94"/>
      <x v="38"/>
      <x v="2"/>
      <x v="15"/>
      <x v="15"/>
    </i>
    <i>
      <x v="96"/>
      <x v="16"/>
      <x v="47"/>
      <x v="2"/>
      <x v="96"/>
      <x v="95"/>
      <x v="39"/>
      <x v="4"/>
      <x v="16"/>
      <x v="16"/>
    </i>
    <i>
      <x v="97"/>
      <x v="17"/>
      <x v="48"/>
      <x v="2"/>
      <x v="97"/>
      <x v="96"/>
      <x v="40"/>
      <x v="1"/>
      <x v="17"/>
      <x v="17"/>
    </i>
    <i>
      <x v="98"/>
      <x v="18"/>
      <x v="49"/>
      <x v="59"/>
      <x v="98"/>
      <x v="97"/>
      <x v="41"/>
      <x v="11"/>
      <x v="18"/>
      <x v="18"/>
    </i>
    <i>
      <x v="99"/>
      <x v="18"/>
      <x v="49"/>
      <x v="47"/>
      <x v="99"/>
      <x v="97"/>
      <x v="41"/>
      <x v="11"/>
      <x v="18"/>
      <x v="18"/>
    </i>
    <i>
      <x v="100"/>
      <x v="18"/>
      <x v="50"/>
      <x v="59"/>
      <x v="100"/>
      <x v="98"/>
      <x v="41"/>
      <x v="11"/>
      <x v="18"/>
      <x v="18"/>
    </i>
    <i>
      <x v="101"/>
      <x v="18"/>
      <x v="50"/>
      <x v="47"/>
      <x v="101"/>
      <x v="98"/>
      <x v="41"/>
      <x v="11"/>
      <x v="18"/>
      <x v="18"/>
    </i>
    <i>
      <x v="102"/>
      <x v="18"/>
      <x v="51"/>
      <x v="59"/>
      <x v="102"/>
      <x v="99"/>
      <x v="42"/>
      <x v="11"/>
      <x v="18"/>
      <x v="18"/>
    </i>
    <i>
      <x v="103"/>
      <x v="18"/>
      <x v="51"/>
      <x v="47"/>
      <x v="103"/>
      <x v="99"/>
      <x v="42"/>
      <x v="11"/>
      <x v="18"/>
      <x v="18"/>
    </i>
    <i>
      <x v="104"/>
      <x v="18"/>
      <x v="52"/>
      <x v="59"/>
      <x v="104"/>
      <x v="100"/>
      <x v="42"/>
      <x v="11"/>
      <x v="18"/>
      <x v="18"/>
    </i>
    <i>
      <x v="105"/>
      <x v="18"/>
      <x v="52"/>
      <x v="47"/>
      <x v="105"/>
      <x v="100"/>
      <x v="42"/>
      <x v="11"/>
      <x v="18"/>
      <x v="18"/>
    </i>
    <i>
      <x v="106"/>
      <x v="19"/>
      <x v="53"/>
      <x v="2"/>
      <x v="106"/>
      <x v="101"/>
      <x v="43"/>
      <x v="1"/>
      <x v="19"/>
      <x v="19"/>
    </i>
    <i>
      <x v="107"/>
      <x v="20"/>
      <x v="54"/>
      <x v="2"/>
      <x v="107"/>
      <x v="102"/>
      <x v="44"/>
      <x v="2"/>
      <x v="20"/>
      <x v="20"/>
    </i>
    <i>
      <x v="108"/>
      <x v="20"/>
      <x v="55"/>
      <x v="2"/>
      <x v="108"/>
      <x v="103"/>
      <x v="45"/>
      <x v="2"/>
      <x v="20"/>
      <x v="20"/>
    </i>
    <i>
      <x v="109"/>
      <x v="21"/>
      <x v="56"/>
      <x v="47"/>
      <x v="109"/>
      <x v="104"/>
      <x v="46"/>
      <x v="16"/>
      <x v="21"/>
      <x v="21"/>
    </i>
    <i>
      <x v="110"/>
      <x v="22"/>
      <x v="57"/>
      <x v="60"/>
      <x v="110"/>
      <x v="105"/>
      <x v="47"/>
      <x v="3"/>
      <x v="22"/>
      <x v="22"/>
    </i>
    <i>
      <x v="111"/>
      <x v="22"/>
      <x v="58"/>
      <x v="61"/>
      <x v="111"/>
      <x v="106"/>
      <x v="48"/>
      <x v="3"/>
      <x v="22"/>
      <x v="22"/>
    </i>
    <i>
      <x v="112"/>
      <x v="22"/>
      <x v="59"/>
      <x v="61"/>
      <x v="112"/>
      <x v="107"/>
      <x v="49"/>
      <x v="3"/>
      <x v="22"/>
      <x v="22"/>
    </i>
    <i>
      <x v="113"/>
      <x v="22"/>
      <x v="60"/>
      <x v="62"/>
      <x v="113"/>
      <x v="108"/>
      <x v="50"/>
      <x v="3"/>
      <x v="22"/>
      <x v="22"/>
    </i>
    <i>
      <x v="114"/>
      <x v="22"/>
      <x v="60"/>
      <x v="61"/>
      <x v="114"/>
      <x v="109"/>
      <x v="50"/>
      <x v="3"/>
      <x v="22"/>
      <x v="22"/>
    </i>
    <i>
      <x v="115"/>
      <x v="22"/>
      <x v="61"/>
      <x v="62"/>
      <x v="115"/>
      <x v="110"/>
      <x v="51"/>
      <x v="3"/>
      <x v="22"/>
      <x v="22"/>
    </i>
    <i>
      <x v="116"/>
      <x v="22"/>
      <x v="61"/>
      <x v="61"/>
      <x v="116"/>
      <x v="111"/>
      <x v="51"/>
      <x v="3"/>
      <x v="22"/>
      <x v="22"/>
    </i>
    <i>
      <x v="117"/>
      <x v="23"/>
      <x v="62"/>
      <x v="2"/>
      <x v="117"/>
      <x v="112"/>
      <x v="52"/>
      <x/>
      <x v="23"/>
      <x v="23"/>
    </i>
    <i>
      <x v="118"/>
      <x v="24"/>
      <x v="63"/>
      <x v="47"/>
      <x v="118"/>
      <x v="113"/>
      <x v="53"/>
      <x v="1"/>
      <x v="24"/>
      <x v="24"/>
    </i>
    <i>
      <x v="119"/>
      <x v="24"/>
      <x v="64"/>
      <x v="47"/>
      <x v="119"/>
      <x v="114"/>
      <x v="53"/>
      <x v="1"/>
      <x v="24"/>
      <x v="24"/>
    </i>
    <i>
      <x v="120"/>
      <x v="24"/>
      <x v="65"/>
      <x v="47"/>
      <x v="120"/>
      <x v="115"/>
      <x v="54"/>
      <x v="1"/>
      <x v="24"/>
      <x v="24"/>
    </i>
    <i>
      <x v="121"/>
      <x v="25"/>
      <x v="66"/>
      <x v="47"/>
      <x v="121"/>
      <x v="116"/>
      <x v="55"/>
      <x v="3"/>
      <x v="25"/>
      <x v="25"/>
    </i>
    <i>
      <x v="122"/>
      <x v="26"/>
      <x v="67"/>
      <x v="2"/>
      <x v="122"/>
      <x v="117"/>
      <x v="56"/>
      <x/>
      <x v="26"/>
      <x v="26"/>
    </i>
    <i>
      <x v="123"/>
      <x v="26"/>
      <x v="68"/>
      <x v="2"/>
      <x v="123"/>
      <x v="118"/>
      <x v="57"/>
      <x/>
      <x v="26"/>
      <x v="26"/>
    </i>
    <i>
      <x v="124"/>
      <x v="27"/>
      <x v="69"/>
      <x v="2"/>
      <x v="124"/>
      <x v="119"/>
      <x v="26"/>
      <x/>
      <x v="27"/>
      <x v="27"/>
    </i>
    <i>
      <x v="125"/>
      <x v="28"/>
      <x v="70"/>
      <x v="2"/>
      <x v="125"/>
      <x v="120"/>
      <x v="58"/>
      <x v="12"/>
      <x v="28"/>
      <x v="28"/>
    </i>
    <i>
      <x v="126"/>
      <x v="28"/>
      <x v="71"/>
      <x v="2"/>
      <x v="126"/>
      <x v="121"/>
      <x v="59"/>
      <x v="12"/>
      <x v="28"/>
      <x v="28"/>
    </i>
    <i>
      <x v="127"/>
      <x v="28"/>
      <x v="72"/>
      <x v="58"/>
      <x v="127"/>
      <x v="122"/>
      <x v="60"/>
      <x v="12"/>
      <x v="28"/>
      <x v="28"/>
    </i>
    <i>
      <x v="128"/>
      <x v="28"/>
      <x v="73"/>
      <x v="2"/>
      <x v="128"/>
      <x v="123"/>
      <x v="61"/>
      <x v="12"/>
      <x v="28"/>
      <x v="28"/>
    </i>
    <i>
      <x v="129"/>
      <x v="29"/>
      <x v="74"/>
      <x v="2"/>
      <x v="129"/>
      <x v="124"/>
      <x v="11"/>
      <x/>
      <x v="29"/>
      <x v="29"/>
    </i>
    <i>
      <x v="130"/>
      <x v="30"/>
      <x v="75"/>
      <x v="47"/>
      <x v="130"/>
      <x v="54"/>
      <x v="62"/>
      <x v="1"/>
      <x v="30"/>
      <x v="30"/>
    </i>
    <i>
      <x v="131"/>
      <x v="31"/>
      <x v="76"/>
      <x v="47"/>
      <x v="131"/>
      <x v="125"/>
      <x v="63"/>
      <x v="1"/>
      <x v="31"/>
      <x v="31"/>
    </i>
    <i>
      <x v="132"/>
      <x v="32"/>
      <x v="77"/>
      <x v="2"/>
      <x v="132"/>
      <x v="126"/>
      <x v="64"/>
      <x v="2"/>
      <x v="32"/>
      <x v="32"/>
    </i>
    <i>
      <x v="133"/>
      <x v="33"/>
      <x v="78"/>
      <x v="2"/>
      <x v="133"/>
      <x v="54"/>
      <x v="65"/>
      <x v="2"/>
      <x v="33"/>
      <x v="33"/>
    </i>
    <i>
      <x v="134"/>
      <x v="34"/>
      <x v="79"/>
      <x v="41"/>
      <x v="134"/>
      <x v="127"/>
      <x v="66"/>
      <x v="5"/>
      <x v="34"/>
      <x v="34"/>
    </i>
    <i>
      <x v="135"/>
      <x v="34"/>
      <x v="79"/>
      <x v="44"/>
      <x v="135"/>
      <x v="128"/>
      <x v="66"/>
      <x v="5"/>
      <x v="34"/>
      <x v="34"/>
    </i>
    <i>
      <x v="136"/>
      <x v="34"/>
      <x v="80"/>
      <x v="41"/>
      <x v="136"/>
      <x v="129"/>
      <x v="67"/>
      <x v="2"/>
      <x v="34"/>
      <x v="34"/>
    </i>
    <i>
      <x v="137"/>
      <x v="34"/>
      <x v="80"/>
      <x v="44"/>
      <x v="137"/>
      <x v="130"/>
      <x v="67"/>
      <x v="2"/>
      <x v="34"/>
      <x v="34"/>
    </i>
    <i>
      <x v="138"/>
      <x v="34"/>
      <x v="81"/>
      <x v="41"/>
      <x v="138"/>
      <x v="131"/>
      <x v="68"/>
      <x v="5"/>
      <x v="34"/>
      <x v="34"/>
    </i>
    <i>
      <x v="139"/>
      <x v="34"/>
      <x v="81"/>
      <x v="44"/>
      <x v="139"/>
      <x v="132"/>
      <x v="68"/>
      <x v="5"/>
      <x v="34"/>
      <x v="34"/>
    </i>
    <i>
      <x v="140"/>
      <x v="35"/>
      <x v="82"/>
      <x v="41"/>
      <x v="140"/>
      <x v="133"/>
      <x v="69"/>
      <x v="6"/>
      <x v="35"/>
      <x v="35"/>
    </i>
    <i>
      <x v="141"/>
      <x v="35"/>
      <x v="83"/>
      <x v="63"/>
      <x v="141"/>
      <x v="134"/>
      <x v="70"/>
      <x v="6"/>
      <x v="35"/>
      <x v="35"/>
    </i>
    <i>
      <x v="142"/>
      <x v="35"/>
      <x v="84"/>
      <x v="41"/>
      <x v="142"/>
      <x v="133"/>
      <x v="71"/>
      <x v="6"/>
      <x v="35"/>
      <x v="35"/>
    </i>
    <i>
      <x v="143"/>
      <x v="35"/>
      <x v="84"/>
      <x v="64"/>
      <x v="143"/>
      <x v="135"/>
      <x v="71"/>
      <x v="6"/>
      <x v="35"/>
      <x v="35"/>
    </i>
    <i>
      <x v="144"/>
      <x v="35"/>
      <x v="83"/>
      <x v="65"/>
      <x v="144"/>
      <x v="136"/>
      <x v="70"/>
      <x v="6"/>
      <x v="35"/>
      <x v="35"/>
    </i>
    <i>
      <x v="145"/>
      <x v="35"/>
      <x v="83"/>
      <x v="66"/>
      <x v="145"/>
      <x v="137"/>
      <x v="70"/>
      <x v="6"/>
      <x v="35"/>
      <x v="35"/>
    </i>
    <i>
      <x v="146"/>
      <x v="35"/>
      <x v="83"/>
      <x v="67"/>
      <x v="146"/>
      <x v="138"/>
      <x v="70"/>
      <x v="6"/>
      <x v="35"/>
      <x v="35"/>
    </i>
    <i>
      <x v="147"/>
      <x v="35"/>
      <x v="83"/>
      <x v="68"/>
      <x v="147"/>
      <x v="139"/>
      <x v="70"/>
      <x v="6"/>
      <x v="35"/>
      <x v="35"/>
    </i>
    <i>
      <x v="148"/>
      <x v="35"/>
      <x v="83"/>
      <x v="69"/>
      <x v="148"/>
      <x v="140"/>
      <x v="70"/>
      <x v="6"/>
      <x v="35"/>
      <x v="35"/>
    </i>
    <i>
      <x v="149"/>
      <x v="35"/>
      <x v="83"/>
      <x v="70"/>
      <x v="149"/>
      <x v="141"/>
      <x v="70"/>
      <x v="6"/>
      <x v="35"/>
      <x v="35"/>
    </i>
    <i>
      <x v="150"/>
      <x v="35"/>
      <x v="83"/>
      <x v="71"/>
      <x v="150"/>
      <x v="142"/>
      <x v="70"/>
      <x v="6"/>
      <x v="35"/>
      <x v="35"/>
    </i>
    <i>
      <x v="151"/>
      <x v="35"/>
      <x v="82"/>
      <x v="72"/>
      <x v="151"/>
      <x v="143"/>
      <x v="69"/>
      <x v="6"/>
      <x v="35"/>
      <x v="35"/>
    </i>
    <i>
      <x v="152"/>
      <x v="36"/>
      <x v="85"/>
      <x v="47"/>
      <x v="152"/>
      <x v="144"/>
      <x v="72"/>
      <x v="9"/>
      <x v="36"/>
      <x v="36"/>
    </i>
    <i>
      <x v="153"/>
      <x v="36"/>
      <x v="86"/>
      <x v="47"/>
      <x v="153"/>
      <x v="145"/>
      <x v="73"/>
      <x v="17"/>
      <x v="36"/>
      <x v="36"/>
    </i>
    <i>
      <x v="154"/>
      <x v="36"/>
      <x v="87"/>
      <x v="47"/>
      <x v="154"/>
      <x v="146"/>
      <x v="74"/>
      <x v="14"/>
      <x v="36"/>
      <x v="36"/>
    </i>
    <i>
      <x v="155"/>
      <x v="36"/>
      <x v="88"/>
      <x v="47"/>
      <x v="155"/>
      <x v="147"/>
      <x v="75"/>
      <x v="14"/>
      <x v="36"/>
      <x v="36"/>
    </i>
    <i>
      <x v="156"/>
      <x v="36"/>
      <x v="89"/>
      <x v="47"/>
      <x v="156"/>
      <x v="148"/>
      <x v="76"/>
      <x v="18"/>
      <x v="36"/>
      <x v="36"/>
    </i>
    <i>
      <x v="157"/>
      <x v="36"/>
      <x v="90"/>
      <x v="47"/>
      <x v="157"/>
      <x v="149"/>
      <x v="77"/>
      <x v="18"/>
      <x v="36"/>
      <x v="36"/>
    </i>
    <i>
      <x v="158"/>
      <x v="37"/>
      <x v="91"/>
      <x v="73"/>
      <x v="158"/>
      <x v="150"/>
      <x v="78"/>
      <x v="3"/>
      <x v="37"/>
      <x v="37"/>
    </i>
    <i>
      <x v="159"/>
      <x v="37"/>
      <x v="92"/>
      <x v="73"/>
      <x v="159"/>
      <x v="151"/>
      <x v="79"/>
      <x v="1"/>
      <x v="37"/>
      <x v="37"/>
    </i>
    <i>
      <x v="160"/>
      <x v="37"/>
      <x v="93"/>
      <x v="73"/>
      <x v="159"/>
      <x v="151"/>
      <x v="79"/>
      <x v="1"/>
      <x v="37"/>
      <x v="37"/>
    </i>
    <i>
      <x v="161"/>
      <x v="38"/>
      <x v="94"/>
      <x v="47"/>
      <x v="160"/>
      <x v="152"/>
      <x v="80"/>
      <x v="1"/>
      <x v="38"/>
      <x v="38"/>
    </i>
    <i>
      <x v="162"/>
      <x v="39"/>
      <x v="95"/>
      <x v="47"/>
      <x v="161"/>
      <x v="52"/>
      <x v="81"/>
      <x v="1"/>
      <x v="39"/>
      <x v="39"/>
    </i>
    <i>
      <x v="163"/>
      <x v="40"/>
      <x v="96"/>
      <x v="74"/>
      <x v="162"/>
      <x v="153"/>
      <x v="82"/>
      <x v="6"/>
      <x v="40"/>
      <x v="40"/>
    </i>
    <i>
      <x v="164"/>
      <x v="40"/>
      <x v="96"/>
      <x v="75"/>
      <x v="163"/>
      <x v="154"/>
      <x v="82"/>
      <x v="6"/>
      <x v="40"/>
      <x v="40"/>
    </i>
    <i>
      <x v="165"/>
      <x v="40"/>
      <x v="96"/>
      <x v="76"/>
      <x v="164"/>
      <x v="155"/>
      <x v="82"/>
      <x v="6"/>
      <x v="40"/>
      <x v="40"/>
    </i>
    <i>
      <x v="166"/>
      <x v="40"/>
      <x v="96"/>
      <x v="77"/>
      <x v="165"/>
      <x v="156"/>
      <x v="82"/>
      <x v="6"/>
      <x v="40"/>
      <x v="40"/>
    </i>
    <i>
      <x v="167"/>
      <x v="41"/>
      <x v="97"/>
      <x v="78"/>
      <x v="166"/>
      <x v="157"/>
      <x v="83"/>
      <x v="3"/>
      <x v="41"/>
      <x v="41"/>
    </i>
    <i>
      <x v="168"/>
      <x v="41"/>
      <x v="97"/>
      <x v="79"/>
      <x v="167"/>
      <x v="158"/>
      <x v="83"/>
      <x v="3"/>
      <x v="41"/>
      <x v="41"/>
    </i>
    <i>
      <x v="169"/>
      <x v="41"/>
      <x v="97"/>
      <x v="80"/>
      <x v="168"/>
      <x v="159"/>
      <x v="83"/>
      <x v="3"/>
      <x v="41"/>
      <x v="41"/>
    </i>
    <i>
      <x v="170"/>
      <x v="41"/>
      <x v="97"/>
      <x v="81"/>
      <x v="169"/>
      <x v="160"/>
      <x v="83"/>
      <x v="3"/>
      <x v="41"/>
      <x v="41"/>
    </i>
    <i>
      <x v="171"/>
      <x v="41"/>
      <x v="97"/>
      <x v="82"/>
      <x v="170"/>
      <x v="161"/>
      <x v="83"/>
      <x v="3"/>
      <x v="41"/>
      <x v="41"/>
    </i>
    <i>
      <x v="172"/>
      <x v="41"/>
      <x v="97"/>
      <x v="83"/>
      <x v="171"/>
      <x v="162"/>
      <x v="83"/>
      <x v="3"/>
      <x v="41"/>
      <x v="41"/>
    </i>
    <i>
      <x v="173"/>
      <x v="41"/>
      <x v="97"/>
      <x v="84"/>
      <x v="172"/>
      <x v="163"/>
      <x v="83"/>
      <x v="3"/>
      <x v="41"/>
      <x v="41"/>
    </i>
    <i>
      <x v="174"/>
      <x v="42"/>
      <x v="98"/>
      <x v="72"/>
      <x v="173"/>
      <x v="164"/>
      <x v="84"/>
      <x v="19"/>
      <x v="42"/>
      <x v="42"/>
    </i>
    <i>
      <x v="175"/>
      <x v="42"/>
      <x v="99"/>
      <x v="72"/>
      <x v="174"/>
      <x v="165"/>
      <x v="85"/>
      <x v="19"/>
      <x v="42"/>
      <x v="42"/>
    </i>
    <i>
      <x v="176"/>
      <x v="42"/>
      <x v="100"/>
      <x v="72"/>
      <x v="175"/>
      <x v="166"/>
      <x v="84"/>
      <x v="19"/>
      <x v="42"/>
      <x v="42"/>
    </i>
    <i>
      <x v="177"/>
      <x v="42"/>
      <x v="101"/>
      <x v="72"/>
      <x v="176"/>
      <x v="167"/>
      <x v="85"/>
      <x v="19"/>
      <x v="42"/>
      <x v="42"/>
    </i>
    <i>
      <x v="178"/>
      <x v="42"/>
      <x v="102"/>
      <x v="72"/>
      <x v="177"/>
      <x v="168"/>
      <x v="85"/>
      <x v="19"/>
      <x v="42"/>
      <x v="42"/>
    </i>
    <i>
      <x v="179"/>
      <x v="42"/>
      <x v="103"/>
      <x v="72"/>
      <x v="178"/>
      <x v="169"/>
      <x v="85"/>
      <x v="19"/>
      <x v="42"/>
      <x v="42"/>
    </i>
    <i>
      <x v="180"/>
      <x v="42"/>
      <x v="104"/>
      <x v="85"/>
      <x v="179"/>
      <x v="170"/>
      <x v="84"/>
      <x v="19"/>
      <x v="42"/>
      <x v="42"/>
    </i>
    <i>
      <x v="181"/>
      <x v="42"/>
      <x v="104"/>
      <x v="86"/>
      <x v="180"/>
      <x v="171"/>
      <x v="84"/>
      <x v="19"/>
      <x v="42"/>
      <x v="42"/>
    </i>
    <i>
      <x v="182"/>
      <x v="42"/>
      <x v="104"/>
      <x v="87"/>
      <x v="181"/>
      <x v="172"/>
      <x v="84"/>
      <x v="19"/>
      <x v="42"/>
      <x v="42"/>
    </i>
    <i>
      <x v="183"/>
      <x v="42"/>
      <x v="105"/>
      <x v="88"/>
      <x v="182"/>
      <x v="173"/>
      <x v="84"/>
      <x v="19"/>
      <x v="42"/>
      <x v="42"/>
    </i>
    <i>
      <x v="184"/>
      <x v="42"/>
      <x v="105"/>
      <x v="89"/>
      <x v="183"/>
      <x v="174"/>
      <x v="84"/>
      <x v="19"/>
      <x v="42"/>
      <x v="42"/>
    </i>
    <i>
      <x v="185"/>
      <x v="42"/>
      <x v="105"/>
      <x v="90"/>
      <x v="184"/>
      <x v="175"/>
      <x v="84"/>
      <x v="19"/>
      <x v="42"/>
      <x v="42"/>
    </i>
    <i>
      <x v="186"/>
      <x v="42"/>
      <x v="106"/>
      <x v="91"/>
      <x v="185"/>
      <x v="176"/>
      <x v="84"/>
      <x v="19"/>
      <x v="42"/>
      <x v="42"/>
    </i>
    <i>
      <x v="187"/>
      <x v="42"/>
      <x v="106"/>
      <x v="92"/>
      <x v="186"/>
      <x v="177"/>
      <x v="84"/>
      <x v="19"/>
      <x v="42"/>
      <x v="42"/>
    </i>
    <i>
      <x v="188"/>
      <x v="42"/>
      <x v="106"/>
      <x v="93"/>
      <x v="187"/>
      <x v="178"/>
      <x v="84"/>
      <x v="19"/>
      <x v="42"/>
      <x v="42"/>
    </i>
    <i>
      <x v="189"/>
      <x v="42"/>
      <x v="107"/>
      <x v="94"/>
      <x v="188"/>
      <x v="179"/>
      <x v="84"/>
      <x v="19"/>
      <x v="42"/>
      <x v="42"/>
    </i>
    <i>
      <x v="190"/>
      <x v="42"/>
      <x v="107"/>
      <x v="95"/>
      <x v="189"/>
      <x v="180"/>
      <x v="84"/>
      <x v="19"/>
      <x v="42"/>
      <x v="42"/>
    </i>
    <i>
      <x v="191"/>
      <x v="42"/>
      <x v="107"/>
      <x v="96"/>
      <x v="190"/>
      <x v="181"/>
      <x v="84"/>
      <x v="19"/>
      <x v="42"/>
      <x v="42"/>
    </i>
    <i>
      <x v="192"/>
      <x v="42"/>
      <x v="108"/>
      <x v="72"/>
      <x v="191"/>
      <x v="182"/>
      <x v="84"/>
      <x v="19"/>
      <x v="42"/>
      <x v="42"/>
    </i>
    <i>
      <x v="193"/>
      <x v="42"/>
      <x v="109"/>
      <x v="72"/>
      <x v="192"/>
      <x v="183"/>
      <x v="84"/>
      <x v="19"/>
      <x v="42"/>
      <x v="42"/>
    </i>
    <i>
      <x v="194"/>
      <x v="42"/>
      <x v="110"/>
      <x v="72"/>
      <x v="193"/>
      <x v="184"/>
      <x v="84"/>
      <x v="19"/>
      <x v="42"/>
      <x v="42"/>
    </i>
    <i>
      <x v="195"/>
      <x v="43"/>
      <x v="111"/>
      <x v="85"/>
      <x v="194"/>
      <x v="185"/>
      <x v="85"/>
      <x v="19"/>
      <x v="4"/>
      <x v="43"/>
    </i>
    <i>
      <x v="196"/>
      <x v="43"/>
      <x v="111"/>
      <x v="86"/>
      <x v="195"/>
      <x v="186"/>
      <x v="85"/>
      <x v="19"/>
      <x v="4"/>
      <x v="43"/>
    </i>
    <i>
      <x v="197"/>
      <x v="43"/>
      <x v="111"/>
      <x v="87"/>
      <x v="196"/>
      <x v="187"/>
      <x v="85"/>
      <x v="19"/>
      <x v="4"/>
      <x v="43"/>
    </i>
    <i>
      <x v="198"/>
      <x v="43"/>
      <x v="111"/>
      <x v="97"/>
      <x v="197"/>
      <x v="188"/>
      <x v="85"/>
      <x v="19"/>
      <x v="4"/>
      <x v="43"/>
    </i>
    <i>
      <x v="199"/>
      <x v="43"/>
      <x v="111"/>
      <x v="98"/>
      <x v="198"/>
      <x v="189"/>
      <x v="85"/>
      <x v="19"/>
      <x v="4"/>
      <x v="43"/>
    </i>
    <i>
      <x v="200"/>
      <x v="43"/>
      <x v="111"/>
      <x v="99"/>
      <x v="199"/>
      <x v="190"/>
      <x v="85"/>
      <x v="19"/>
      <x v="4"/>
      <x v="43"/>
    </i>
    <i>
      <x v="201"/>
      <x v="43"/>
      <x v="112"/>
      <x v="88"/>
      <x v="200"/>
      <x v="191"/>
      <x v="85"/>
      <x v="19"/>
      <x v="4"/>
      <x v="43"/>
    </i>
    <i>
      <x v="202"/>
      <x v="43"/>
      <x v="112"/>
      <x v="89"/>
      <x v="201"/>
      <x v="192"/>
      <x v="85"/>
      <x v="19"/>
      <x v="4"/>
      <x v="43"/>
    </i>
    <i>
      <x v="203"/>
      <x v="43"/>
      <x v="112"/>
      <x v="90"/>
      <x v="202"/>
      <x v="193"/>
      <x v="85"/>
      <x v="19"/>
      <x v="4"/>
      <x v="43"/>
    </i>
    <i>
      <x v="204"/>
      <x v="43"/>
      <x v="112"/>
      <x v="97"/>
      <x v="203"/>
      <x v="194"/>
      <x v="85"/>
      <x v="19"/>
      <x v="4"/>
      <x v="43"/>
    </i>
    <i>
      <x v="205"/>
      <x v="43"/>
      <x v="112"/>
      <x v="98"/>
      <x v="204"/>
      <x v="195"/>
      <x v="85"/>
      <x v="19"/>
      <x v="4"/>
      <x v="43"/>
    </i>
    <i>
      <x v="206"/>
      <x v="43"/>
      <x v="112"/>
      <x v="99"/>
      <x v="205"/>
      <x v="196"/>
      <x v="85"/>
      <x v="19"/>
      <x v="4"/>
      <x v="43"/>
    </i>
    <i>
      <x v="207"/>
      <x v="43"/>
      <x v="113"/>
      <x v="91"/>
      <x v="206"/>
      <x v="197"/>
      <x v="85"/>
      <x v="19"/>
      <x v="4"/>
      <x v="43"/>
    </i>
    <i>
      <x v="208"/>
      <x v="43"/>
      <x v="113"/>
      <x v="92"/>
      <x v="207"/>
      <x v="198"/>
      <x v="85"/>
      <x v="19"/>
      <x v="4"/>
      <x v="43"/>
    </i>
    <i>
      <x v="209"/>
      <x v="43"/>
      <x v="113"/>
      <x v="100"/>
      <x v="208"/>
      <x v="199"/>
      <x v="85"/>
      <x v="19"/>
      <x v="4"/>
      <x v="43"/>
    </i>
    <i>
      <x v="210"/>
      <x v="43"/>
      <x v="113"/>
      <x v="101"/>
      <x v="209"/>
      <x v="200"/>
      <x v="85"/>
      <x v="19"/>
      <x v="4"/>
      <x v="43"/>
    </i>
    <i>
      <x v="211"/>
      <x v="43"/>
      <x v="113"/>
      <x v="102"/>
      <x v="210"/>
      <x v="201"/>
      <x v="85"/>
      <x v="19"/>
      <x v="4"/>
      <x v="43"/>
    </i>
    <i>
      <x v="212"/>
      <x v="43"/>
      <x v="113"/>
      <x v="103"/>
      <x v="211"/>
      <x v="201"/>
      <x v="85"/>
      <x v="19"/>
      <x v="4"/>
      <x v="43"/>
    </i>
    <i>
      <x v="213"/>
      <x v="43"/>
      <x v="114"/>
      <x v="94"/>
      <x v="212"/>
      <x v="202"/>
      <x v="85"/>
      <x v="19"/>
      <x v="4"/>
      <x v="43"/>
    </i>
    <i>
      <x v="214"/>
      <x v="43"/>
      <x v="114"/>
      <x v="95"/>
      <x v="213"/>
      <x v="203"/>
      <x v="85"/>
      <x v="19"/>
      <x v="4"/>
      <x v="43"/>
    </i>
    <i>
      <x v="215"/>
      <x v="43"/>
      <x v="114"/>
      <x v="96"/>
      <x v="214"/>
      <x v="204"/>
      <x v="85"/>
      <x v="19"/>
      <x v="4"/>
      <x v="43"/>
    </i>
    <i>
      <x v="216"/>
      <x v="43"/>
      <x v="114"/>
      <x v="104"/>
      <x v="215"/>
      <x v="205"/>
      <x v="85"/>
      <x v="19"/>
      <x v="4"/>
      <x v="43"/>
    </i>
    <i>
      <x v="217"/>
      <x v="43"/>
      <x v="114"/>
      <x v="105"/>
      <x v="216"/>
      <x v="206"/>
      <x v="85"/>
      <x v="19"/>
      <x v="4"/>
      <x v="43"/>
    </i>
    <i>
      <x v="218"/>
      <x v="43"/>
      <x v="114"/>
      <x v="106"/>
      <x v="217"/>
      <x v="207"/>
      <x v="85"/>
      <x v="19"/>
      <x v="4"/>
      <x v="43"/>
    </i>
    <i>
      <x v="219"/>
      <x v="44"/>
      <x v="115"/>
      <x v="47"/>
      <x v="218"/>
      <x v="208"/>
      <x v="86"/>
      <x v="4"/>
      <x v="43"/>
      <x v="44"/>
    </i>
    <i>
      <x v="220"/>
      <x v="44"/>
      <x v="116"/>
      <x v="47"/>
      <x v="219"/>
      <x v="209"/>
      <x v="87"/>
      <x v="4"/>
      <x v="43"/>
      <x v="44"/>
    </i>
    <i>
      <x v="221"/>
      <x v="44"/>
      <x v="117"/>
      <x v="47"/>
      <x v="220"/>
      <x v="210"/>
      <x v="87"/>
      <x v="4"/>
      <x v="43"/>
      <x v="44"/>
    </i>
    <i>
      <x v="222"/>
      <x v="45"/>
      <x v="118"/>
      <x v="107"/>
      <x v="221"/>
      <x v="211"/>
      <x v="88"/>
      <x v="17"/>
      <x v="44"/>
      <x v="45"/>
    </i>
    <i>
      <x v="223"/>
      <x v="45"/>
      <x v="118"/>
      <x v="108"/>
      <x v="222"/>
      <x v="212"/>
      <x v="88"/>
      <x v="17"/>
      <x v="44"/>
      <x v="45"/>
    </i>
    <i>
      <x v="224"/>
      <x v="45"/>
      <x v="118"/>
      <x v="109"/>
      <x v="223"/>
      <x v="213"/>
      <x v="88"/>
      <x v="17"/>
      <x v="44"/>
      <x v="45"/>
    </i>
    <i>
      <x v="225"/>
      <x v="45"/>
      <x v="118"/>
      <x v="110"/>
      <x v="224"/>
      <x v="214"/>
      <x v="88"/>
      <x v="17"/>
      <x v="44"/>
      <x v="45"/>
    </i>
    <i>
      <x v="226"/>
      <x v="45"/>
      <x v="118"/>
      <x v="111"/>
      <x v="225"/>
      <x v="215"/>
      <x v="88"/>
      <x v="17"/>
      <x v="44"/>
      <x v="45"/>
    </i>
    <i>
      <x v="227"/>
      <x v="45"/>
      <x v="118"/>
      <x v="112"/>
      <x v="226"/>
      <x v="216"/>
      <x v="88"/>
      <x v="17"/>
      <x v="44"/>
      <x v="45"/>
    </i>
    <i>
      <x v="228"/>
      <x v="45"/>
      <x v="118"/>
      <x v="113"/>
      <x v="227"/>
      <x v="217"/>
      <x v="88"/>
      <x v="17"/>
      <x v="44"/>
      <x v="45"/>
    </i>
    <i>
      <x v="229"/>
      <x v="45"/>
      <x v="118"/>
      <x v="114"/>
      <x v="228"/>
      <x v="218"/>
      <x v="88"/>
      <x v="17"/>
      <x v="44"/>
      <x v="45"/>
    </i>
    <i>
      <x v="230"/>
      <x v="45"/>
      <x v="118"/>
      <x v="115"/>
      <x v="229"/>
      <x v="219"/>
      <x v="88"/>
      <x v="17"/>
      <x v="44"/>
      <x v="45"/>
    </i>
    <i>
      <x v="231"/>
      <x v="45"/>
      <x v="118"/>
      <x v="116"/>
      <x v="230"/>
      <x v="220"/>
      <x v="88"/>
      <x v="17"/>
      <x v="44"/>
      <x v="45"/>
    </i>
    <i>
      <x v="232"/>
      <x v="45"/>
      <x v="118"/>
      <x v="117"/>
      <x v="231"/>
      <x v="221"/>
      <x v="88"/>
      <x v="17"/>
      <x v="44"/>
      <x v="45"/>
    </i>
    <i>
      <x v="233"/>
      <x v="46"/>
      <x v="119"/>
      <x v="41"/>
      <x v="232"/>
      <x v="222"/>
      <x v="89"/>
      <x v="14"/>
      <x v="45"/>
      <x v="46"/>
    </i>
    <i>
      <x v="234"/>
      <x v="46"/>
      <x v="119"/>
      <x v="118"/>
      <x v="233"/>
      <x v="223"/>
      <x v="89"/>
      <x v="14"/>
      <x v="45"/>
      <x v="46"/>
    </i>
    <i>
      <x v="235"/>
      <x v="46"/>
      <x v="119"/>
      <x v="119"/>
      <x v="234"/>
      <x v="224"/>
      <x v="89"/>
      <x v="14"/>
      <x v="45"/>
      <x v="46"/>
    </i>
    <i>
      <x v="236"/>
      <x v="46"/>
      <x v="119"/>
      <x v="120"/>
      <x v="235"/>
      <x v="225"/>
      <x v="89"/>
      <x v="14"/>
      <x v="45"/>
      <x v="46"/>
    </i>
    <i>
      <x v="237"/>
      <x v="46"/>
      <x v="119"/>
      <x v="121"/>
      <x v="236"/>
      <x v="226"/>
      <x v="89"/>
      <x v="14"/>
      <x v="45"/>
      <x v="46"/>
    </i>
    <i>
      <x v="238"/>
      <x v="46"/>
      <x v="119"/>
      <x v="122"/>
      <x v="237"/>
      <x v="227"/>
      <x v="89"/>
      <x v="14"/>
      <x v="45"/>
      <x v="46"/>
    </i>
    <i>
      <x v="239"/>
      <x v="46"/>
      <x v="119"/>
      <x v="123"/>
      <x v="238"/>
      <x v="228"/>
      <x v="89"/>
      <x v="14"/>
      <x v="45"/>
      <x v="46"/>
    </i>
    <i>
      <x v="240"/>
      <x v="47"/>
      <x v="120"/>
      <x v="47"/>
      <x v="239"/>
      <x v="229"/>
      <x v="90"/>
      <x v="7"/>
      <x v="46"/>
      <x v="47"/>
    </i>
    <i>
      <x v="241"/>
      <x v="47"/>
      <x v="120"/>
      <x v="124"/>
      <x v="240"/>
      <x v="229"/>
      <x v="90"/>
      <x v="7"/>
      <x v="46"/>
      <x v="47"/>
    </i>
    <i>
      <x v="242"/>
      <x v="47"/>
      <x v="120"/>
      <x v="125"/>
      <x v="241"/>
      <x v="229"/>
      <x v="90"/>
      <x v="7"/>
      <x v="46"/>
      <x v="47"/>
    </i>
    <i>
      <x v="243"/>
      <x v="47"/>
      <x v="120"/>
      <x v="126"/>
      <x v="242"/>
      <x v="229"/>
      <x v="90"/>
      <x v="7"/>
      <x v="46"/>
      <x v="47"/>
    </i>
    <i>
      <x v="244"/>
      <x v="47"/>
      <x v="120"/>
      <x v="127"/>
      <x v="243"/>
      <x v="229"/>
      <x v="90"/>
      <x v="7"/>
      <x v="46"/>
      <x v="47"/>
    </i>
    <i>
      <x v="245"/>
      <x v="47"/>
      <x v="121"/>
      <x v="47"/>
      <x v="244"/>
      <x v="230"/>
      <x v="91"/>
      <x v="7"/>
      <x v="46"/>
      <x v="47"/>
    </i>
    <i>
      <x v="246"/>
      <x v="47"/>
      <x v="121"/>
      <x v="124"/>
      <x v="245"/>
      <x v="230"/>
      <x v="91"/>
      <x v="7"/>
      <x v="46"/>
      <x v="47"/>
    </i>
    <i>
      <x v="247"/>
      <x v="47"/>
      <x v="121"/>
      <x v="125"/>
      <x v="246"/>
      <x v="230"/>
      <x v="91"/>
      <x v="7"/>
      <x v="46"/>
      <x v="47"/>
    </i>
    <i>
      <x v="248"/>
      <x v="47"/>
      <x v="121"/>
      <x v="126"/>
      <x v="247"/>
      <x v="230"/>
      <x v="91"/>
      <x v="7"/>
      <x v="46"/>
      <x v="47"/>
    </i>
    <i>
      <x v="249"/>
      <x v="47"/>
      <x v="121"/>
      <x v="127"/>
      <x v="248"/>
      <x v="230"/>
      <x v="91"/>
      <x v="7"/>
      <x v="46"/>
      <x v="47"/>
    </i>
    <i>
      <x v="250"/>
      <x v="47"/>
      <x v="122"/>
      <x v="47"/>
      <x v="249"/>
      <x v="231"/>
      <x v="92"/>
      <x v="7"/>
      <x v="46"/>
      <x v="47"/>
    </i>
    <i>
      <x v="251"/>
      <x v="47"/>
      <x v="122"/>
      <x v="124"/>
      <x v="250"/>
      <x v="231"/>
      <x v="92"/>
      <x v="7"/>
      <x v="46"/>
      <x v="47"/>
    </i>
    <i>
      <x v="252"/>
      <x v="47"/>
      <x v="122"/>
      <x v="125"/>
      <x v="251"/>
      <x v="231"/>
      <x v="92"/>
      <x v="7"/>
      <x v="46"/>
      <x v="47"/>
    </i>
    <i>
      <x v="253"/>
      <x v="47"/>
      <x v="122"/>
      <x v="126"/>
      <x v="252"/>
      <x v="231"/>
      <x v="92"/>
      <x v="7"/>
      <x v="46"/>
      <x v="47"/>
    </i>
    <i>
      <x v="254"/>
      <x v="47"/>
      <x v="122"/>
      <x v="127"/>
      <x v="253"/>
      <x v="231"/>
      <x v="92"/>
      <x v="7"/>
      <x v="46"/>
      <x v="47"/>
    </i>
    <i>
      <x v="255"/>
      <x v="47"/>
      <x v="123"/>
      <x v="47"/>
      <x v="254"/>
      <x v="232"/>
      <x v="93"/>
      <x v="7"/>
      <x v="46"/>
      <x v="47"/>
    </i>
    <i>
      <x v="256"/>
      <x v="47"/>
      <x v="123"/>
      <x v="124"/>
      <x v="255"/>
      <x v="232"/>
      <x v="93"/>
      <x v="7"/>
      <x v="46"/>
      <x v="47"/>
    </i>
    <i>
      <x v="257"/>
      <x v="47"/>
      <x v="123"/>
      <x v="125"/>
      <x v="256"/>
      <x v="232"/>
      <x v="93"/>
      <x v="7"/>
      <x v="46"/>
      <x v="47"/>
    </i>
    <i>
      <x v="258"/>
      <x v="47"/>
      <x v="123"/>
      <x v="126"/>
      <x v="257"/>
      <x v="232"/>
      <x v="93"/>
      <x v="7"/>
      <x v="46"/>
      <x v="47"/>
    </i>
    <i>
      <x v="259"/>
      <x v="47"/>
      <x v="123"/>
      <x v="127"/>
      <x v="258"/>
      <x v="232"/>
      <x v="93"/>
      <x v="7"/>
      <x v="46"/>
      <x v="47"/>
    </i>
    <i>
      <x v="260"/>
      <x v="48"/>
      <x v="124"/>
      <x v="128"/>
      <x v="259"/>
      <x v="233"/>
      <x v="84"/>
      <x v="19"/>
      <x v="47"/>
      <x v="48"/>
    </i>
    <i>
      <x v="261"/>
      <x v="48"/>
      <x v="98"/>
      <x v="72"/>
      <x v="260"/>
      <x v="164"/>
      <x v="84"/>
      <x v="19"/>
      <x v="47"/>
      <x v="48"/>
    </i>
    <i>
      <x v="262"/>
      <x v="48"/>
      <x v="125"/>
      <x v="128"/>
      <x v="261"/>
      <x v="234"/>
      <x v="84"/>
      <x v="19"/>
      <x v="47"/>
      <x v="48"/>
    </i>
    <i>
      <x v="263"/>
      <x v="48"/>
      <x v="126"/>
      <x v="129"/>
      <x v="262"/>
      <x v="235"/>
      <x v="94"/>
      <x v="19"/>
      <x v="47"/>
      <x v="48"/>
    </i>
    <i>
      <x v="264"/>
      <x v="48"/>
      <x v="127"/>
      <x v="129"/>
      <x v="263"/>
      <x v="236"/>
      <x v="95"/>
      <x v="19"/>
      <x v="47"/>
      <x v="48"/>
    </i>
    <i>
      <x v="265"/>
      <x v="48"/>
      <x v="128"/>
      <x v="129"/>
      <x v="264"/>
      <x v="237"/>
      <x v="96"/>
      <x v="19"/>
      <x v="47"/>
      <x v="48"/>
    </i>
    <i>
      <x v="266"/>
      <x v="48"/>
      <x v="129"/>
      <x v="129"/>
      <x v="265"/>
      <x v="238"/>
      <x v="97"/>
      <x v="19"/>
      <x v="47"/>
      <x v="48"/>
    </i>
    <i>
      <x v="267"/>
      <x v="48"/>
      <x v="130"/>
      <x v="129"/>
      <x v="266"/>
      <x v="239"/>
      <x v="98"/>
      <x v="19"/>
      <x v="47"/>
      <x v="48"/>
    </i>
    <i>
      <x v="268"/>
      <x v="48"/>
      <x v="131"/>
      <x v="129"/>
      <x v="267"/>
      <x v="240"/>
      <x v="99"/>
      <x v="19"/>
      <x v="47"/>
      <x v="48"/>
    </i>
    <i>
      <x v="269"/>
      <x v="48"/>
      <x v="132"/>
      <x v="129"/>
      <x v="268"/>
      <x v="241"/>
      <x v="100"/>
      <x v="19"/>
      <x v="47"/>
      <x v="48"/>
    </i>
    <i>
      <x v="270"/>
      <x v="48"/>
      <x v="133"/>
      <x v="129"/>
      <x v="269"/>
      <x v="242"/>
      <x v="101"/>
      <x v="19"/>
      <x v="47"/>
      <x v="48"/>
    </i>
    <i>
      <x v="271"/>
      <x v="48"/>
      <x v="134"/>
      <x v="129"/>
      <x v="270"/>
      <x v="243"/>
      <x v="102"/>
      <x v="19"/>
      <x v="47"/>
      <x v="48"/>
    </i>
    <i>
      <x v="272"/>
      <x v="48"/>
      <x v="135"/>
      <x v="129"/>
      <x v="271"/>
      <x v="244"/>
      <x v="103"/>
      <x v="19"/>
      <x v="47"/>
      <x v="48"/>
    </i>
    <i>
      <x v="273"/>
      <x v="48"/>
      <x v="136"/>
      <x v="129"/>
      <x v="272"/>
      <x v="245"/>
      <x v="104"/>
      <x v="19"/>
      <x v="47"/>
      <x v="48"/>
    </i>
    <i>
      <x v="274"/>
      <x v="48"/>
      <x v="137"/>
      <x v="129"/>
      <x v="273"/>
      <x v="246"/>
      <x v="105"/>
      <x v="19"/>
      <x v="47"/>
      <x v="48"/>
    </i>
    <i>
      <x v="275"/>
      <x v="48"/>
      <x v="138"/>
      <x v="129"/>
      <x v="274"/>
      <x v="247"/>
      <x v="106"/>
      <x v="19"/>
      <x v="47"/>
      <x v="48"/>
    </i>
    <i>
      <x v="276"/>
      <x v="48"/>
      <x v="99"/>
      <x v="72"/>
      <x v="275"/>
      <x v="248"/>
      <x v="85"/>
      <x v="19"/>
      <x v="47"/>
      <x v="48"/>
    </i>
    <i>
      <x v="277"/>
      <x v="48"/>
      <x v="102"/>
      <x v="72"/>
      <x v="276"/>
      <x v="168"/>
      <x v="85"/>
      <x v="19"/>
      <x v="47"/>
      <x v="48"/>
    </i>
    <i>
      <x v="278"/>
      <x v="48"/>
      <x v="139"/>
      <x v="129"/>
      <x v="277"/>
      <x v="249"/>
      <x v="84"/>
      <x v="19"/>
      <x v="47"/>
      <x v="48"/>
    </i>
    <i>
      <x v="279"/>
      <x v="42"/>
      <x v="104"/>
      <x v="97"/>
      <x v="278"/>
      <x v="250"/>
      <x v="84"/>
      <x v="19"/>
      <x v="42"/>
      <x v="42"/>
    </i>
    <i>
      <x v="280"/>
      <x v="43"/>
      <x v="104"/>
      <x v="98"/>
      <x v="279"/>
      <x v="251"/>
      <x v="84"/>
      <x v="19"/>
      <x v="4"/>
      <x v="43"/>
    </i>
    <i>
      <x v="281"/>
      <x v="43"/>
      <x v="104"/>
      <x v="99"/>
      <x v="280"/>
      <x v="252"/>
      <x v="84"/>
      <x v="19"/>
      <x v="4"/>
      <x v="43"/>
    </i>
    <i>
      <x v="282"/>
      <x v="43"/>
      <x v="104"/>
      <x v="130"/>
      <x v="281"/>
      <x v="253"/>
      <x v="84"/>
      <x v="19"/>
      <x v="4"/>
      <x v="43"/>
    </i>
    <i>
      <x v="283"/>
      <x v="43"/>
      <x v="104"/>
      <x v="131"/>
      <x v="282"/>
      <x v="254"/>
      <x v="84"/>
      <x v="19"/>
      <x v="4"/>
      <x v="43"/>
    </i>
    <i>
      <x v="284"/>
      <x v="48"/>
      <x v="140"/>
      <x v="129"/>
      <x v="283"/>
      <x v="255"/>
      <x v="107"/>
      <x v="19"/>
      <x v="47"/>
      <x v="48"/>
    </i>
    <i>
      <x v="285"/>
      <x v="48"/>
      <x v="141"/>
      <x v="129"/>
      <x v="284"/>
      <x v="256"/>
      <x v="108"/>
      <x v="19"/>
      <x v="47"/>
      <x v="48"/>
    </i>
    <i>
      <x v="286"/>
      <x v="48"/>
      <x v="142"/>
      <x v="129"/>
      <x v="285"/>
      <x v="257"/>
      <x v="108"/>
      <x v="19"/>
      <x v="47"/>
      <x v="48"/>
    </i>
    <i>
      <x v="287"/>
      <x v="48"/>
      <x v="143"/>
      <x v="129"/>
      <x v="286"/>
      <x v="258"/>
      <x v="108"/>
      <x v="19"/>
      <x v="47"/>
      <x v="48"/>
    </i>
    <i>
      <x v="288"/>
      <x v="48"/>
      <x v="144"/>
      <x v="129"/>
      <x v="287"/>
      <x v="259"/>
      <x v="108"/>
      <x v="19"/>
      <x v="47"/>
      <x v="48"/>
    </i>
    <i>
      <x v="289"/>
      <x v="48"/>
      <x v="145"/>
      <x v="129"/>
      <x v="288"/>
      <x v="260"/>
      <x v="109"/>
      <x v="19"/>
      <x v="47"/>
      <x v="48"/>
    </i>
    <i>
      <x v="290"/>
      <x v="48"/>
      <x v="146"/>
      <x v="129"/>
      <x v="289"/>
      <x v="261"/>
      <x v="110"/>
      <x v="19"/>
      <x v="47"/>
      <x v="48"/>
    </i>
    <i>
      <x v="291"/>
      <x v="48"/>
      <x v="147"/>
      <x v="129"/>
      <x v="290"/>
      <x v="262"/>
      <x v="111"/>
      <x v="19"/>
      <x v="47"/>
      <x v="48"/>
    </i>
    <i>
      <x v="292"/>
      <x v="48"/>
      <x v="148"/>
      <x v="129"/>
      <x v="291"/>
      <x v="263"/>
      <x v="112"/>
      <x v="19"/>
      <x v="47"/>
      <x v="48"/>
    </i>
    <i>
      <x v="293"/>
      <x v="48"/>
      <x v="149"/>
      <x v="129"/>
      <x v="292"/>
      <x v="264"/>
      <x v="84"/>
      <x v="19"/>
      <x v="47"/>
      <x v="48"/>
    </i>
    <i>
      <x v="294"/>
      <x v="48"/>
      <x v="150"/>
      <x v="129"/>
      <x v="293"/>
      <x v="265"/>
      <x v="113"/>
      <x v="19"/>
      <x v="47"/>
      <x v="48"/>
    </i>
    <i>
      <x v="295"/>
      <x v="43"/>
      <x v="105"/>
      <x v="98"/>
      <x v="294"/>
      <x v="266"/>
      <x v="84"/>
      <x v="19"/>
      <x v="4"/>
      <x v="43"/>
    </i>
    <i>
      <x v="296"/>
      <x v="43"/>
      <x v="105"/>
      <x v="99"/>
      <x v="295"/>
      <x v="267"/>
      <x v="84"/>
      <x v="19"/>
      <x v="4"/>
      <x v="43"/>
    </i>
    <i>
      <x v="297"/>
      <x v="43"/>
      <x v="105"/>
      <x v="130"/>
      <x v="296"/>
      <x v="268"/>
      <x v="84"/>
      <x v="19"/>
      <x v="4"/>
      <x v="43"/>
    </i>
    <i>
      <x v="298"/>
      <x v="43"/>
      <x v="105"/>
      <x v="131"/>
      <x v="297"/>
      <x v="269"/>
      <x v="84"/>
      <x v="19"/>
      <x v="4"/>
      <x v="43"/>
    </i>
    <i>
      <x v="299"/>
      <x v="43"/>
      <x v="106"/>
      <x v="101"/>
      <x v="298"/>
      <x v="270"/>
      <x v="84"/>
      <x v="19"/>
      <x v="4"/>
      <x v="43"/>
    </i>
    <i>
      <x v="300"/>
      <x v="43"/>
      <x v="106"/>
      <x v="102"/>
      <x v="299"/>
      <x v="271"/>
      <x v="84"/>
      <x v="19"/>
      <x v="4"/>
      <x v="43"/>
    </i>
    <i>
      <x v="301"/>
      <x v="43"/>
      <x v="106"/>
      <x v="103"/>
      <x v="300"/>
      <x v="272"/>
      <x v="84"/>
      <x v="19"/>
      <x v="4"/>
      <x v="43"/>
    </i>
    <i>
      <x v="302"/>
      <x v="43"/>
      <x v="106"/>
      <x v="132"/>
      <x v="301"/>
      <x v="273"/>
      <x v="84"/>
      <x v="19"/>
      <x v="4"/>
      <x v="43"/>
    </i>
    <i>
      <x v="303"/>
      <x v="43"/>
      <x v="106"/>
      <x v="133"/>
      <x v="302"/>
      <x v="274"/>
      <x v="84"/>
      <x v="19"/>
      <x v="4"/>
      <x v="43"/>
    </i>
    <i>
      <x v="304"/>
      <x v="42"/>
      <x v="107"/>
      <x v="104"/>
      <x v="303"/>
      <x v="275"/>
      <x v="84"/>
      <x v="19"/>
      <x v="42"/>
      <x v="42"/>
    </i>
    <i>
      <x v="305"/>
      <x v="43"/>
      <x v="107"/>
      <x v="105"/>
      <x v="304"/>
      <x v="276"/>
      <x v="84"/>
      <x v="19"/>
      <x v="4"/>
      <x v="43"/>
    </i>
    <i>
      <x v="306"/>
      <x v="43"/>
      <x v="107"/>
      <x v="106"/>
      <x v="305"/>
      <x v="277"/>
      <x v="84"/>
      <x v="19"/>
      <x v="4"/>
      <x v="43"/>
    </i>
    <i>
      <x v="307"/>
      <x v="43"/>
      <x v="107"/>
      <x v="134"/>
      <x v="306"/>
      <x v="278"/>
      <x v="84"/>
      <x v="19"/>
      <x v="4"/>
      <x v="43"/>
    </i>
    <i>
      <x v="308"/>
      <x v="43"/>
      <x v="107"/>
      <x v="135"/>
      <x v="307"/>
      <x v="279"/>
      <x v="84"/>
      <x v="19"/>
      <x v="4"/>
      <x v="43"/>
    </i>
    <i>
      <x v="309"/>
      <x v="48"/>
      <x v="108"/>
      <x v="72"/>
      <x v="308"/>
      <x v="182"/>
      <x v="84"/>
      <x v="19"/>
      <x v="47"/>
      <x v="48"/>
    </i>
    <i>
      <x v="310"/>
      <x v="48"/>
      <x v="109"/>
      <x v="72"/>
      <x v="309"/>
      <x v="183"/>
      <x v="84"/>
      <x v="19"/>
      <x v="47"/>
      <x v="48"/>
    </i>
    <i>
      <x v="311"/>
      <x v="48"/>
      <x v="110"/>
      <x v="72"/>
      <x v="310"/>
      <x v="184"/>
      <x v="84"/>
      <x v="19"/>
      <x v="47"/>
      <x v="48"/>
    </i>
    <i>
      <x v="312"/>
      <x v="48"/>
      <x v="151"/>
      <x v="128"/>
      <x v="311"/>
      <x v="280"/>
      <x v="84"/>
      <x v="19"/>
      <x v="47"/>
      <x v="48"/>
    </i>
    <i>
      <x v="313"/>
      <x v="48"/>
      <x v="152"/>
      <x v="128"/>
      <x v="312"/>
      <x v="281"/>
      <x v="84"/>
      <x v="19"/>
      <x v="47"/>
      <x v="48"/>
    </i>
    <i>
      <x v="314"/>
      <x v="49"/>
      <x v="27"/>
      <x v="136"/>
      <x v="313"/>
      <x v="282"/>
      <x v="23"/>
      <x v="6"/>
      <x v="14"/>
      <x v="49"/>
    </i>
    <i>
      <x v="315"/>
      <x v="49"/>
      <x v="29"/>
      <x v="137"/>
      <x v="314"/>
      <x v="283"/>
      <x v="25"/>
      <x v="8"/>
      <x v="14"/>
      <x v="49"/>
    </i>
    <i>
      <x v="316"/>
      <x v="49"/>
      <x v="30"/>
      <x v="137"/>
      <x v="315"/>
      <x v="284"/>
      <x v="26"/>
      <x v="9"/>
      <x v="14"/>
      <x v="49"/>
    </i>
    <i>
      <x v="317"/>
      <x v="49"/>
      <x v="31"/>
      <x v="137"/>
      <x v="316"/>
      <x v="285"/>
      <x v="27"/>
      <x v="10"/>
      <x v="14"/>
      <x v="49"/>
    </i>
    <i>
      <x v="318"/>
      <x v="49"/>
      <x v="153"/>
      <x v="138"/>
      <x v="317"/>
      <x v="62"/>
      <x v="114"/>
      <x v="1"/>
      <x v="14"/>
      <x v="49"/>
    </i>
    <i>
      <x v="319"/>
      <x v="49"/>
      <x v="154"/>
      <x v="49"/>
      <x v="318"/>
      <x v="286"/>
      <x v="115"/>
      <x v="20"/>
      <x v="14"/>
      <x v="49"/>
    </i>
    <i>
      <x v="320"/>
      <x v="49"/>
      <x v="155"/>
      <x v="49"/>
      <x v="319"/>
      <x v="287"/>
      <x v="116"/>
      <x v="2"/>
      <x v="14"/>
      <x v="49"/>
    </i>
    <i>
      <x v="321"/>
      <x v="49"/>
      <x v="156"/>
      <x v="49"/>
      <x v="320"/>
      <x v="288"/>
      <x v="117"/>
      <x v="13"/>
      <x v="14"/>
      <x v="49"/>
    </i>
    <i>
      <x v="322"/>
      <x v="49"/>
      <x v="157"/>
      <x v="49"/>
      <x v="321"/>
      <x v="289"/>
      <x v="118"/>
      <x v="21"/>
      <x v="14"/>
      <x v="49"/>
    </i>
    <i>
      <x v="323"/>
      <x v="49"/>
      <x v="119"/>
      <x v="49"/>
      <x v="322"/>
      <x v="290"/>
      <x v="89"/>
      <x v="13"/>
      <x v="14"/>
      <x v="49"/>
    </i>
    <i>
      <x v="324"/>
      <x v="49"/>
      <x v="158"/>
      <x v="49"/>
      <x v="323"/>
      <x v="291"/>
      <x v="119"/>
      <x v="2"/>
      <x v="14"/>
      <x v="49"/>
    </i>
    <i>
      <x v="325"/>
      <x v="49"/>
      <x v="159"/>
      <x v="49"/>
      <x v="324"/>
      <x v="292"/>
      <x v="30"/>
      <x v="13"/>
      <x v="14"/>
      <x v="49"/>
    </i>
    <i>
      <x v="326"/>
      <x v="49"/>
      <x v="26"/>
      <x v="136"/>
      <x v="325"/>
      <x v="293"/>
      <x v="22"/>
      <x v="6"/>
      <x v="14"/>
      <x v="49"/>
    </i>
    <i>
      <x v="327"/>
      <x v="50"/>
      <x v="160"/>
      <x v="41"/>
      <x v="326"/>
      <x v="294"/>
      <x v="120"/>
      <x v="22"/>
      <x v="48"/>
      <x v="50"/>
    </i>
    <i>
      <x v="328"/>
      <x v="50"/>
      <x v="160"/>
      <x v="139"/>
      <x v="327"/>
      <x v="295"/>
      <x v="120"/>
      <x v="22"/>
      <x v="48"/>
      <x v="50"/>
    </i>
    <i>
      <x v="329"/>
      <x v="50"/>
      <x v="160"/>
      <x v="140"/>
      <x v="328"/>
      <x v="296"/>
      <x v="120"/>
      <x v="22"/>
      <x v="48"/>
      <x v="50"/>
    </i>
    <i>
      <x v="330"/>
      <x v="50"/>
      <x v="82"/>
      <x v="41"/>
      <x v="329"/>
      <x v="297"/>
      <x v="69"/>
      <x v="6"/>
      <x v="48"/>
      <x v="50"/>
    </i>
    <i>
      <x v="331"/>
      <x v="50"/>
      <x v="82"/>
      <x v="141"/>
      <x v="330"/>
      <x v="298"/>
      <x v="69"/>
      <x v="6"/>
      <x v="48"/>
      <x v="50"/>
    </i>
    <i>
      <x v="332"/>
      <x v="50"/>
      <x v="82"/>
      <x v="142"/>
      <x v="331"/>
      <x v="299"/>
      <x v="69"/>
      <x v="6"/>
      <x v="48"/>
      <x v="50"/>
    </i>
    <i>
      <x v="333"/>
      <x v="50"/>
      <x v="82"/>
      <x v="143"/>
      <x v="332"/>
      <x v="300"/>
      <x v="69"/>
      <x v="6"/>
      <x v="48"/>
      <x v="50"/>
    </i>
    <i>
      <x v="334"/>
      <x v="50"/>
      <x v="161"/>
      <x v="41"/>
      <x v="333"/>
      <x v="301"/>
      <x v="26"/>
      <x v="23"/>
      <x v="48"/>
      <x v="50"/>
    </i>
    <i>
      <x v="335"/>
      <x v="50"/>
      <x v="161"/>
      <x v="139"/>
      <x v="334"/>
      <x v="302"/>
      <x v="26"/>
      <x v="23"/>
      <x v="48"/>
      <x v="50"/>
    </i>
    <i>
      <x v="336"/>
      <x v="50"/>
      <x v="161"/>
      <x v="64"/>
      <x v="335"/>
      <x v="303"/>
      <x v="26"/>
      <x v="23"/>
      <x v="48"/>
      <x v="50"/>
    </i>
    <i>
      <x v="337"/>
      <x v="50"/>
      <x v="161"/>
      <x v="144"/>
      <x v="336"/>
      <x v="304"/>
      <x v="26"/>
      <x v="23"/>
      <x v="48"/>
      <x v="50"/>
    </i>
    <i>
      <x v="338"/>
      <x v="50"/>
      <x v="162"/>
      <x v="41"/>
      <x v="337"/>
      <x v="305"/>
      <x v="26"/>
      <x v="23"/>
      <x v="48"/>
      <x v="50"/>
    </i>
    <i>
      <x v="339"/>
      <x v="50"/>
      <x v="162"/>
      <x v="139"/>
      <x v="338"/>
      <x v="306"/>
      <x v="26"/>
      <x v="23"/>
      <x v="48"/>
      <x v="50"/>
    </i>
    <i>
      <x v="340"/>
      <x v="50"/>
      <x v="162"/>
      <x v="64"/>
      <x v="339"/>
      <x v="307"/>
      <x v="26"/>
      <x v="23"/>
      <x v="48"/>
      <x v="50"/>
    </i>
    <i>
      <x v="341"/>
      <x v="50"/>
      <x v="162"/>
      <x v="144"/>
      <x v="340"/>
      <x v="308"/>
      <x v="26"/>
      <x v="23"/>
      <x v="48"/>
      <x v="50"/>
    </i>
    <i>
      <x v="342"/>
      <x v="50"/>
      <x v="163"/>
      <x v="41"/>
      <x v="341"/>
      <x v="309"/>
      <x v="121"/>
      <x v="13"/>
      <x v="48"/>
      <x v="50"/>
    </i>
    <i>
      <x v="343"/>
      <x v="50"/>
      <x v="163"/>
      <x v="145"/>
      <x v="342"/>
      <x v="310"/>
      <x v="121"/>
      <x v="13"/>
      <x v="48"/>
      <x v="50"/>
    </i>
    <i>
      <x v="344"/>
      <x v="50"/>
      <x v="163"/>
      <x v="119"/>
      <x v="343"/>
      <x v="311"/>
      <x v="121"/>
      <x v="13"/>
      <x v="48"/>
      <x v="50"/>
    </i>
    <i>
      <x v="345"/>
      <x v="50"/>
      <x v="163"/>
      <x v="120"/>
      <x v="344"/>
      <x v="312"/>
      <x v="121"/>
      <x v="13"/>
      <x v="48"/>
      <x v="50"/>
    </i>
    <i>
      <x v="346"/>
      <x v="50"/>
      <x v="163"/>
      <x v="121"/>
      <x v="345"/>
      <x v="313"/>
      <x v="121"/>
      <x v="13"/>
      <x v="48"/>
      <x v="50"/>
    </i>
    <i>
      <x v="347"/>
      <x v="50"/>
      <x v="163"/>
      <x v="122"/>
      <x v="346"/>
      <x v="314"/>
      <x v="121"/>
      <x v="13"/>
      <x v="48"/>
      <x v="50"/>
    </i>
    <i>
      <x v="348"/>
      <x v="50"/>
      <x v="163"/>
      <x v="123"/>
      <x v="347"/>
      <x v="315"/>
      <x v="121"/>
      <x v="13"/>
      <x v="48"/>
      <x v="50"/>
    </i>
    <i>
      <x v="349"/>
      <x v="50"/>
      <x v="164"/>
      <x v="41"/>
      <x v="348"/>
      <x v="316"/>
      <x v="122"/>
      <x v="14"/>
      <x v="48"/>
      <x v="50"/>
    </i>
    <i>
      <x v="350"/>
      <x v="50"/>
      <x v="164"/>
      <x v="145"/>
      <x v="349"/>
      <x v="317"/>
      <x v="122"/>
      <x v="14"/>
      <x v="48"/>
      <x v="50"/>
    </i>
    <i>
      <x v="351"/>
      <x v="50"/>
      <x v="164"/>
      <x v="146"/>
      <x v="350"/>
      <x v="318"/>
      <x v="122"/>
      <x v="14"/>
      <x v="48"/>
      <x v="50"/>
    </i>
    <i>
      <x v="352"/>
      <x v="50"/>
      <x v="165"/>
      <x v="41"/>
      <x v="351"/>
      <x v="319"/>
      <x v="123"/>
      <x v="14"/>
      <x v="48"/>
      <x v="50"/>
    </i>
    <i>
      <x v="353"/>
      <x v="50"/>
      <x v="165"/>
      <x v="145"/>
      <x v="352"/>
      <x v="320"/>
      <x v="123"/>
      <x v="14"/>
      <x v="48"/>
      <x v="50"/>
    </i>
    <i>
      <x v="354"/>
      <x v="50"/>
      <x v="165"/>
      <x v="146"/>
      <x v="353"/>
      <x v="321"/>
      <x v="123"/>
      <x v="14"/>
      <x v="48"/>
      <x v="50"/>
    </i>
    <i>
      <x v="355"/>
      <x v="50"/>
      <x v="166"/>
      <x v="41"/>
      <x v="354"/>
      <x v="322"/>
      <x v="124"/>
      <x v="8"/>
      <x v="48"/>
      <x v="50"/>
    </i>
    <i>
      <x v="356"/>
      <x v="50"/>
      <x v="166"/>
      <x v="147"/>
      <x v="355"/>
      <x v="323"/>
      <x v="124"/>
      <x v="8"/>
      <x v="48"/>
      <x v="50"/>
    </i>
    <i>
      <x v="357"/>
      <x v="50"/>
      <x v="167"/>
      <x v="41"/>
      <x v="356"/>
      <x v="324"/>
      <x v="125"/>
      <x v="23"/>
      <x v="48"/>
      <x v="50"/>
    </i>
    <i>
      <x v="358"/>
      <x v="50"/>
      <x v="167"/>
      <x v="139"/>
      <x v="357"/>
      <x v="325"/>
      <x v="125"/>
      <x v="23"/>
      <x v="48"/>
      <x v="50"/>
    </i>
    <i>
      <x v="359"/>
      <x v="50"/>
      <x v="167"/>
      <x v="148"/>
      <x v="358"/>
      <x v="326"/>
      <x v="125"/>
      <x v="23"/>
      <x v="48"/>
      <x v="50"/>
    </i>
    <i>
      <x v="360"/>
      <x v="50"/>
      <x v="168"/>
      <x v="41"/>
      <x v="359"/>
      <x v="327"/>
      <x v="126"/>
      <x v="14"/>
      <x v="48"/>
      <x v="50"/>
    </i>
    <i>
      <x v="361"/>
      <x v="50"/>
      <x v="168"/>
      <x v="145"/>
      <x v="360"/>
      <x v="328"/>
      <x v="126"/>
      <x v="14"/>
      <x v="48"/>
      <x v="50"/>
    </i>
    <i>
      <x v="362"/>
      <x v="50"/>
      <x v="168"/>
      <x v="146"/>
      <x v="361"/>
      <x v="329"/>
      <x v="126"/>
      <x v="14"/>
      <x v="48"/>
      <x v="50"/>
    </i>
    <i>
      <x v="363"/>
      <x v="50"/>
      <x v="153"/>
      <x v="138"/>
      <x v="336"/>
      <x v="330"/>
      <x v="114"/>
      <x v="17"/>
      <x v="48"/>
      <x v="50"/>
    </i>
    <i>
      <x v="364"/>
      <x v="50"/>
      <x v="169"/>
      <x v="41"/>
      <x v="362"/>
      <x v="331"/>
      <x v="127"/>
      <x v="6"/>
      <x v="48"/>
      <x v="50"/>
    </i>
    <i>
      <x v="365"/>
      <x v="50"/>
      <x v="170"/>
      <x v="149"/>
      <x v="363"/>
      <x v="332"/>
      <x v="128"/>
      <x v="17"/>
      <x v="48"/>
      <x v="50"/>
    </i>
    <i>
      <x v="366"/>
      <x v="50"/>
      <x v="171"/>
      <x v="41"/>
      <x v="364"/>
      <x v="333"/>
      <x v="129"/>
      <x v="12"/>
      <x v="48"/>
      <x v="50"/>
    </i>
    <i>
      <x v="367"/>
      <x v="50"/>
      <x v="171"/>
      <x v="145"/>
      <x v="365"/>
      <x v="334"/>
      <x v="129"/>
      <x v="12"/>
      <x v="48"/>
      <x v="50"/>
    </i>
    <i>
      <x v="368"/>
      <x v="50"/>
      <x v="171"/>
      <x v="150"/>
      <x v="366"/>
      <x v="335"/>
      <x v="129"/>
      <x v="12"/>
      <x v="48"/>
      <x v="50"/>
    </i>
    <i>
      <x v="369"/>
      <x v="50"/>
      <x v="171"/>
      <x v="151"/>
      <x v="367"/>
      <x v="336"/>
      <x v="129"/>
      <x v="12"/>
      <x v="48"/>
      <x v="50"/>
    </i>
    <i>
      <x v="370"/>
      <x v="50"/>
      <x v="172"/>
      <x v="41"/>
      <x v="368"/>
      <x v="337"/>
      <x v="130"/>
      <x v="12"/>
      <x v="48"/>
      <x v="50"/>
    </i>
    <i>
      <x v="371"/>
      <x v="50"/>
      <x v="172"/>
      <x v="147"/>
      <x v="369"/>
      <x v="338"/>
      <x v="130"/>
      <x v="12"/>
      <x v="48"/>
      <x v="50"/>
    </i>
    <i>
      <x v="372"/>
      <x v="50"/>
      <x v="172"/>
      <x v="64"/>
      <x v="370"/>
      <x v="339"/>
      <x v="130"/>
      <x v="12"/>
      <x v="48"/>
      <x v="50"/>
    </i>
    <i>
      <x v="373"/>
      <x v="50"/>
      <x v="173"/>
      <x v="41"/>
      <x v="371"/>
      <x v="340"/>
      <x v="131"/>
      <x v="17"/>
      <x v="48"/>
      <x v="50"/>
    </i>
    <i>
      <x v="374"/>
      <x v="50"/>
      <x v="173"/>
      <x v="152"/>
      <x v="372"/>
      <x v="341"/>
      <x v="131"/>
      <x v="17"/>
      <x v="48"/>
      <x v="50"/>
    </i>
    <i>
      <x v="375"/>
      <x v="50"/>
      <x v="173"/>
      <x v="153"/>
      <x v="373"/>
      <x v="342"/>
      <x v="131"/>
      <x v="17"/>
      <x v="48"/>
      <x v="50"/>
    </i>
    <i>
      <x v="376"/>
      <x v="50"/>
      <x v="173"/>
      <x v="154"/>
      <x v="374"/>
      <x v="343"/>
      <x v="131"/>
      <x v="17"/>
      <x v="48"/>
      <x v="50"/>
    </i>
    <i>
      <x v="377"/>
      <x v="50"/>
      <x v="173"/>
      <x v="155"/>
      <x v="375"/>
      <x v="344"/>
      <x v="131"/>
      <x v="17"/>
      <x v="48"/>
      <x v="50"/>
    </i>
    <i>
      <x v="378"/>
      <x v="50"/>
      <x v="174"/>
      <x v="41"/>
      <x v="376"/>
      <x v="345"/>
      <x v="132"/>
      <x v="24"/>
      <x v="48"/>
      <x v="50"/>
    </i>
    <i>
      <x v="379"/>
      <x v="50"/>
      <x v="174"/>
      <x v="139"/>
      <x v="377"/>
      <x v="346"/>
      <x v="132"/>
      <x v="24"/>
      <x v="48"/>
      <x v="50"/>
    </i>
    <i>
      <x v="380"/>
      <x v="50"/>
      <x v="174"/>
      <x v="140"/>
      <x v="378"/>
      <x v="347"/>
      <x v="132"/>
      <x v="24"/>
      <x v="48"/>
      <x v="50"/>
    </i>
    <i>
      <x v="381"/>
      <x v="50"/>
      <x v="174"/>
      <x v="138"/>
      <x v="379"/>
      <x v="348"/>
      <x v="132"/>
      <x v="24"/>
      <x v="48"/>
      <x v="50"/>
    </i>
    <i>
      <x v="382"/>
      <x v="50"/>
      <x v="175"/>
      <x v="41"/>
      <x v="380"/>
      <x v="349"/>
      <x v="26"/>
      <x v="23"/>
      <x v="48"/>
      <x v="50"/>
    </i>
    <i>
      <x v="383"/>
      <x v="50"/>
      <x v="175"/>
      <x v="156"/>
      <x v="381"/>
      <x v="350"/>
      <x v="26"/>
      <x v="23"/>
      <x v="48"/>
      <x v="50"/>
    </i>
    <i>
      <x v="384"/>
      <x v="50"/>
      <x v="175"/>
      <x v="138"/>
      <x v="382"/>
      <x v="1"/>
      <x v="26"/>
      <x v="23"/>
      <x v="48"/>
      <x v="50"/>
    </i>
    <i>
      <x v="385"/>
      <x v="50"/>
      <x v="175"/>
      <x v="144"/>
      <x v="336"/>
      <x v="351"/>
      <x v="26"/>
      <x v="23"/>
      <x v="48"/>
      <x v="50"/>
    </i>
    <i>
      <x v="386"/>
      <x v="50"/>
      <x v="176"/>
      <x v="149"/>
      <x v="383"/>
      <x v="352"/>
      <x v="128"/>
      <x v="17"/>
      <x v="48"/>
      <x v="50"/>
    </i>
    <i>
      <x v="387"/>
      <x v="50"/>
      <x v="177"/>
      <x v="157"/>
      <x v="384"/>
      <x v="353"/>
      <x v="133"/>
      <x v="17"/>
      <x v="48"/>
      <x v="50"/>
    </i>
    <i>
      <x v="388"/>
      <x v="50"/>
      <x v="177"/>
      <x v="64"/>
      <x v="385"/>
      <x v="354"/>
      <x v="133"/>
      <x v="17"/>
      <x v="48"/>
      <x v="50"/>
    </i>
    <i>
      <x v="389"/>
      <x v="50"/>
      <x v="177"/>
      <x v="158"/>
      <x v="386"/>
      <x v="355"/>
      <x v="133"/>
      <x v="17"/>
      <x v="48"/>
      <x v="50"/>
    </i>
    <i>
      <x v="390"/>
      <x v="50"/>
      <x v="177"/>
      <x v="138"/>
      <x v="387"/>
      <x v="356"/>
      <x v="133"/>
      <x v="17"/>
      <x v="48"/>
      <x v="50"/>
    </i>
    <i>
      <x v="391"/>
      <x v="50"/>
      <x v="84"/>
      <x v="41"/>
      <x v="388"/>
      <x v="357"/>
      <x v="71"/>
      <x v="6"/>
      <x v="48"/>
      <x v="50"/>
    </i>
    <i>
      <x v="392"/>
      <x v="50"/>
      <x v="84"/>
      <x v="142"/>
      <x v="389"/>
      <x v="358"/>
      <x v="71"/>
      <x v="6"/>
      <x v="48"/>
      <x v="50"/>
    </i>
    <i>
      <x v="393"/>
      <x v="50"/>
      <x v="84"/>
      <x v="159"/>
      <x v="390"/>
      <x v="359"/>
      <x v="71"/>
      <x v="6"/>
      <x v="48"/>
      <x v="50"/>
    </i>
    <i>
      <x v="394"/>
      <x v="50"/>
      <x v="84"/>
      <x v="160"/>
      <x v="391"/>
      <x v="360"/>
      <x v="71"/>
      <x v="6"/>
      <x v="48"/>
      <x v="50"/>
    </i>
    <i>
      <x v="395"/>
      <x v="50"/>
      <x v="84"/>
      <x v="71"/>
      <x v="392"/>
      <x v="361"/>
      <x v="71"/>
      <x v="6"/>
      <x v="48"/>
      <x v="50"/>
    </i>
    <i>
      <x v="396"/>
      <x v="50"/>
      <x v="178"/>
      <x v="41"/>
      <x v="393"/>
      <x v="362"/>
      <x v="134"/>
      <x v="24"/>
      <x v="48"/>
      <x v="50"/>
    </i>
    <i>
      <x v="397"/>
      <x v="50"/>
      <x v="178"/>
      <x v="139"/>
      <x v="394"/>
      <x v="363"/>
      <x v="134"/>
      <x v="24"/>
      <x v="48"/>
      <x v="50"/>
    </i>
    <i>
      <x v="398"/>
      <x v="50"/>
      <x v="178"/>
      <x v="140"/>
      <x v="395"/>
      <x v="364"/>
      <x v="134"/>
      <x v="24"/>
      <x v="48"/>
      <x v="50"/>
    </i>
    <i>
      <x v="399"/>
      <x v="51"/>
      <x v="179"/>
      <x v="161"/>
      <x v="396"/>
      <x v="365"/>
      <x v="135"/>
      <x v="25"/>
      <x v="49"/>
      <x v="51"/>
    </i>
    <i>
      <x v="400"/>
      <x v="51"/>
      <x v="179"/>
      <x v="162"/>
      <x v="397"/>
      <x v="366"/>
      <x v="135"/>
      <x v="25"/>
      <x v="49"/>
      <x v="51"/>
    </i>
    <i>
      <x v="401"/>
      <x v="51"/>
      <x v="179"/>
      <x v="163"/>
      <x v="398"/>
      <x v="367"/>
      <x v="135"/>
      <x v="25"/>
      <x v="49"/>
      <x v="51"/>
    </i>
    <i>
      <x v="402"/>
      <x v="51"/>
      <x v="179"/>
      <x v="164"/>
      <x v="399"/>
      <x v="368"/>
      <x v="135"/>
      <x v="25"/>
      <x v="49"/>
      <x v="51"/>
    </i>
    <i>
      <x v="403"/>
      <x v="52"/>
      <x v="180"/>
      <x v="41"/>
      <x v="400"/>
      <x v="369"/>
      <x v="136"/>
      <x v="26"/>
      <x v="50"/>
      <x v="52"/>
    </i>
    <i>
      <x v="404"/>
      <x v="52"/>
      <x v="180"/>
      <x v="47"/>
      <x v="401"/>
      <x v="370"/>
      <x v="136"/>
      <x v="26"/>
      <x v="50"/>
      <x v="52"/>
    </i>
    <i>
      <x v="405"/>
      <x v="52"/>
      <x v="180"/>
      <x v="124"/>
      <x v="402"/>
      <x v="371"/>
      <x v="136"/>
      <x v="26"/>
      <x v="50"/>
      <x v="52"/>
    </i>
    <i>
      <x v="406"/>
      <x v="52"/>
      <x v="181"/>
      <x v="41"/>
      <x v="403"/>
      <x v="372"/>
      <x v="137"/>
      <x v="26"/>
      <x v="50"/>
      <x v="52"/>
    </i>
    <i>
      <x v="407"/>
      <x v="52"/>
      <x v="181"/>
      <x v="47"/>
      <x v="404"/>
      <x v="373"/>
      <x v="137"/>
      <x v="26"/>
      <x v="50"/>
      <x v="52"/>
    </i>
    <i>
      <x v="408"/>
      <x v="52"/>
      <x v="181"/>
      <x v="124"/>
      <x v="405"/>
      <x v="374"/>
      <x v="137"/>
      <x v="26"/>
      <x v="50"/>
      <x v="52"/>
    </i>
    <i>
      <x v="409"/>
      <x v="52"/>
      <x v="182"/>
      <x v="41"/>
      <x v="406"/>
      <x v="375"/>
      <x v="138"/>
      <x v="26"/>
      <x v="50"/>
      <x v="52"/>
    </i>
    <i>
      <x v="410"/>
      <x v="52"/>
      <x v="182"/>
      <x v="47"/>
      <x v="407"/>
      <x v="376"/>
      <x v="138"/>
      <x v="26"/>
      <x v="50"/>
      <x v="52"/>
    </i>
    <i>
      <x v="411"/>
      <x v="52"/>
      <x v="182"/>
      <x v="124"/>
      <x v="408"/>
      <x v="377"/>
      <x v="138"/>
      <x v="26"/>
      <x v="50"/>
      <x v="52"/>
    </i>
    <i>
      <x v="412"/>
      <x v="52"/>
      <x v="182"/>
      <x v="125"/>
      <x v="409"/>
      <x v="378"/>
      <x v="138"/>
      <x v="26"/>
      <x v="50"/>
      <x v="52"/>
    </i>
    <i>
      <x v="413"/>
      <x v="52"/>
      <x v="183"/>
      <x v="41"/>
      <x v="410"/>
      <x v="379"/>
      <x v="139"/>
      <x v="26"/>
      <x v="50"/>
      <x v="52"/>
    </i>
    <i>
      <x v="414"/>
      <x v="52"/>
      <x v="183"/>
      <x v="47"/>
      <x v="411"/>
      <x v="380"/>
      <x v="139"/>
      <x v="26"/>
      <x v="50"/>
      <x v="52"/>
    </i>
    <i>
      <x v="415"/>
      <x v="52"/>
      <x v="183"/>
      <x v="124"/>
      <x v="412"/>
      <x v="381"/>
      <x v="139"/>
      <x v="26"/>
      <x v="50"/>
      <x v="52"/>
    </i>
    <i>
      <x v="416"/>
      <x v="52"/>
      <x v="183"/>
      <x v="125"/>
      <x v="413"/>
      <x v="382"/>
      <x v="139"/>
      <x v="26"/>
      <x v="50"/>
      <x v="52"/>
    </i>
    <i>
      <x v="417"/>
      <x v="52"/>
      <x v="184"/>
      <x v="41"/>
      <x v="414"/>
      <x v="383"/>
      <x v="140"/>
      <x v="20"/>
      <x v="50"/>
      <x v="52"/>
    </i>
    <i>
      <x v="418"/>
      <x v="52"/>
      <x v="184"/>
      <x v="2"/>
      <x v="415"/>
      <x v="384"/>
      <x v="140"/>
      <x v="20"/>
      <x v="50"/>
      <x v="52"/>
    </i>
    <i>
      <x v="419"/>
      <x v="52"/>
      <x v="185"/>
      <x v="41"/>
      <x v="416"/>
      <x v="385"/>
      <x v="141"/>
      <x v="20"/>
      <x v="50"/>
      <x v="52"/>
    </i>
    <i>
      <x v="420"/>
      <x v="52"/>
      <x v="185"/>
      <x v="47"/>
      <x v="417"/>
      <x v="386"/>
      <x v="141"/>
      <x v="20"/>
      <x v="50"/>
      <x v="52"/>
    </i>
    <i>
      <x v="421"/>
      <x v="52"/>
      <x v="185"/>
      <x v="124"/>
      <x v="418"/>
      <x v="387"/>
      <x v="141"/>
      <x v="20"/>
      <x v="50"/>
      <x v="52"/>
    </i>
    <i t="grand">
      <x/>
    </i>
  </rowItem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0">
    <rowHierarchyUsage hierarchyUsage="59"/>
    <rowHierarchyUsage hierarchyUsage="62"/>
    <rowHierarchyUsage hierarchyUsage="65"/>
    <rowHierarchyUsage hierarchyUsage="67"/>
    <rowHierarchyUsage hierarchyUsage="57"/>
    <rowHierarchyUsage hierarchyUsage="60"/>
    <rowHierarchyUsage hierarchyUsage="66"/>
    <rowHierarchyUsage hierarchyUsage="58"/>
    <rowHierarchyUsage hierarchyUsage="64"/>
    <rowHierarchyUsage hierarchyUsage="63"/>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Measur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E6310C7-9367-4898-A19E-D526852C7A22}" name="PivotTable1" cacheId="737"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1:F410" firstHeaderRow="0" firstDataRow="1" firstDataCol="2"/>
  <pivotFields count="6">
    <pivotField axis="axisRow" compact="0" allDrilled="1" outline="0" subtotalTop="0" showAll="0" dataSourceSort="1" defaultSubtotal="0" defaultAttributeDrillState="1">
      <items count="1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409">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v="2"/>
    </i>
    <i r="1">
      <x v="3"/>
    </i>
    <i>
      <x v="8"/>
      <x v="1"/>
    </i>
    <i r="1">
      <x v="2"/>
    </i>
    <i r="1">
      <x v="3"/>
    </i>
    <i>
      <x v="9"/>
      <x/>
    </i>
    <i r="1">
      <x v="1"/>
    </i>
    <i r="1">
      <x v="2"/>
    </i>
    <i r="1">
      <x v="3"/>
    </i>
    <i>
      <x v="10"/>
      <x/>
    </i>
    <i r="1">
      <x v="1"/>
    </i>
    <i r="1">
      <x v="2"/>
    </i>
    <i r="1">
      <x v="3"/>
    </i>
    <i>
      <x v="11"/>
      <x/>
    </i>
    <i r="1">
      <x v="1"/>
    </i>
    <i r="1">
      <x v="2"/>
    </i>
    <i r="1">
      <x v="3"/>
    </i>
    <i>
      <x v="12"/>
      <x/>
    </i>
    <i r="1">
      <x v="1"/>
    </i>
    <i r="1">
      <x v="2"/>
    </i>
    <i r="1">
      <x v="3"/>
    </i>
    <i>
      <x v="13"/>
      <x/>
    </i>
    <i r="1">
      <x v="1"/>
    </i>
    <i r="1">
      <x v="2"/>
    </i>
    <i r="1">
      <x v="3"/>
    </i>
    <i>
      <x v="14"/>
      <x/>
    </i>
    <i r="1">
      <x v="1"/>
    </i>
    <i r="1">
      <x v="2"/>
    </i>
    <i r="1">
      <x v="3"/>
    </i>
    <i>
      <x v="15"/>
      <x/>
    </i>
    <i>
      <x v="16"/>
      <x/>
    </i>
    <i>
      <x v="17"/>
      <x/>
    </i>
    <i r="1">
      <x v="1"/>
    </i>
    <i r="1">
      <x v="2"/>
    </i>
    <i r="1">
      <x v="3"/>
    </i>
    <i>
      <x v="18"/>
      <x/>
    </i>
    <i r="1">
      <x v="1"/>
    </i>
    <i r="1">
      <x v="2"/>
    </i>
    <i r="1">
      <x v="3"/>
    </i>
    <i>
      <x v="19"/>
      <x/>
    </i>
    <i r="1">
      <x v="1"/>
    </i>
    <i r="1">
      <x v="2"/>
    </i>
    <i r="1">
      <x v="3"/>
    </i>
    <i>
      <x v="20"/>
      <x/>
    </i>
    <i r="1">
      <x v="1"/>
    </i>
    <i r="1">
      <x v="2"/>
    </i>
    <i r="1">
      <x v="3"/>
    </i>
    <i>
      <x v="21"/>
      <x/>
    </i>
    <i r="1">
      <x v="1"/>
    </i>
    <i r="1">
      <x v="2"/>
    </i>
    <i r="1">
      <x v="3"/>
    </i>
    <i>
      <x v="22"/>
      <x/>
    </i>
    <i r="1">
      <x v="1"/>
    </i>
    <i r="1">
      <x v="2"/>
    </i>
    <i r="1">
      <x v="3"/>
    </i>
    <i>
      <x v="23"/>
      <x v="3"/>
    </i>
    <i>
      <x v="24"/>
      <x/>
    </i>
    <i r="1">
      <x v="1"/>
    </i>
    <i r="1">
      <x v="2"/>
    </i>
    <i r="1">
      <x v="3"/>
    </i>
    <i>
      <x v="25"/>
      <x/>
    </i>
    <i r="1">
      <x v="1"/>
    </i>
    <i r="1">
      <x v="2"/>
    </i>
    <i r="1">
      <x v="3"/>
    </i>
    <i>
      <x v="26"/>
      <x/>
    </i>
    <i r="1">
      <x v="1"/>
    </i>
    <i r="1">
      <x v="2"/>
    </i>
    <i r="1">
      <x v="3"/>
    </i>
    <i>
      <x v="27"/>
      <x/>
    </i>
    <i r="1">
      <x v="1"/>
    </i>
    <i r="1">
      <x v="2"/>
    </i>
    <i r="1">
      <x v="3"/>
    </i>
    <i>
      <x v="28"/>
      <x/>
    </i>
    <i r="1">
      <x v="1"/>
    </i>
    <i r="1">
      <x v="2"/>
    </i>
    <i r="1">
      <x v="3"/>
    </i>
    <i>
      <x v="29"/>
      <x/>
    </i>
    <i r="1">
      <x v="1"/>
    </i>
    <i r="1">
      <x v="2"/>
    </i>
    <i r="1">
      <x v="3"/>
    </i>
    <i>
      <x v="30"/>
      <x/>
    </i>
    <i r="1">
      <x v="1"/>
    </i>
    <i r="1">
      <x v="2"/>
    </i>
    <i r="1">
      <x v="3"/>
    </i>
    <i>
      <x v="31"/>
      <x/>
    </i>
    <i r="1">
      <x v="1"/>
    </i>
    <i r="1">
      <x v="2"/>
    </i>
    <i r="1">
      <x v="3"/>
    </i>
    <i>
      <x v="32"/>
      <x/>
    </i>
    <i r="1">
      <x v="1"/>
    </i>
    <i r="1">
      <x v="2"/>
    </i>
    <i r="1">
      <x v="3"/>
    </i>
    <i>
      <x v="33"/>
      <x/>
    </i>
    <i r="1">
      <x v="1"/>
    </i>
    <i r="1">
      <x v="2"/>
    </i>
    <i r="1">
      <x v="3"/>
    </i>
    <i>
      <x v="34"/>
      <x/>
    </i>
    <i r="1">
      <x v="1"/>
    </i>
    <i r="1">
      <x v="2"/>
    </i>
    <i r="1">
      <x v="3"/>
    </i>
    <i>
      <x v="35"/>
      <x/>
    </i>
    <i r="1">
      <x v="1"/>
    </i>
    <i r="1">
      <x v="2"/>
    </i>
    <i r="1">
      <x v="3"/>
    </i>
    <i>
      <x v="36"/>
      <x v="2"/>
    </i>
    <i r="1">
      <x v="3"/>
    </i>
    <i>
      <x v="37"/>
      <x/>
    </i>
    <i r="1">
      <x v="1"/>
    </i>
    <i r="1">
      <x v="2"/>
    </i>
    <i r="1">
      <x v="3"/>
    </i>
    <i>
      <x v="38"/>
      <x/>
    </i>
    <i r="1">
      <x v="1"/>
    </i>
    <i r="1">
      <x v="2"/>
    </i>
    <i r="1">
      <x v="3"/>
    </i>
    <i>
      <x v="39"/>
      <x/>
    </i>
    <i r="1">
      <x v="1"/>
    </i>
    <i r="1">
      <x v="2"/>
    </i>
    <i r="1">
      <x v="3"/>
    </i>
    <i>
      <x v="40"/>
      <x/>
    </i>
    <i r="1">
      <x v="1"/>
    </i>
    <i r="1">
      <x v="2"/>
    </i>
    <i r="1">
      <x v="3"/>
    </i>
    <i>
      <x v="41"/>
      <x v="2"/>
    </i>
    <i r="1">
      <x v="3"/>
    </i>
    <i>
      <x v="42"/>
      <x/>
    </i>
    <i r="1">
      <x v="1"/>
    </i>
    <i r="1">
      <x v="2"/>
    </i>
    <i r="1">
      <x v="3"/>
    </i>
    <i>
      <x v="43"/>
      <x/>
    </i>
    <i r="1">
      <x v="1"/>
    </i>
    <i r="1">
      <x v="2"/>
    </i>
    <i r="1">
      <x v="3"/>
    </i>
    <i>
      <x v="44"/>
      <x/>
    </i>
    <i r="1">
      <x v="1"/>
    </i>
    <i r="1">
      <x v="2"/>
    </i>
    <i r="1">
      <x v="3"/>
    </i>
    <i>
      <x v="45"/>
      <x/>
    </i>
    <i r="1">
      <x v="1"/>
    </i>
    <i r="1">
      <x v="2"/>
    </i>
    <i r="1">
      <x v="3"/>
    </i>
    <i>
      <x v="46"/>
      <x v="2"/>
    </i>
    <i r="1">
      <x v="3"/>
    </i>
    <i>
      <x v="47"/>
      <x/>
    </i>
    <i r="1">
      <x v="1"/>
    </i>
    <i r="1">
      <x v="2"/>
    </i>
    <i r="1">
      <x v="3"/>
    </i>
    <i>
      <x v="48"/>
      <x/>
    </i>
    <i r="1">
      <x v="1"/>
    </i>
    <i r="1">
      <x v="2"/>
    </i>
    <i r="1">
      <x v="3"/>
    </i>
    <i>
      <x v="49"/>
      <x/>
    </i>
    <i r="1">
      <x v="1"/>
    </i>
    <i r="1">
      <x v="2"/>
    </i>
    <i r="1">
      <x v="3"/>
    </i>
    <i>
      <x v="50"/>
      <x/>
    </i>
    <i r="1">
      <x v="1"/>
    </i>
    <i r="1">
      <x v="2"/>
    </i>
    <i r="1">
      <x v="3"/>
    </i>
    <i>
      <x v="51"/>
      <x v="2"/>
    </i>
    <i r="1">
      <x v="3"/>
    </i>
    <i>
      <x v="52"/>
      <x/>
    </i>
    <i r="1">
      <x v="1"/>
    </i>
    <i r="1">
      <x v="2"/>
    </i>
    <i r="1">
      <x v="3"/>
    </i>
    <i>
      <x v="53"/>
      <x v="3"/>
    </i>
    <i>
      <x v="54"/>
      <x/>
    </i>
    <i r="1">
      <x v="1"/>
    </i>
    <i r="1">
      <x v="2"/>
    </i>
    <i r="1">
      <x v="3"/>
    </i>
    <i>
      <x v="55"/>
      <x/>
    </i>
    <i r="1">
      <x v="1"/>
    </i>
    <i r="1">
      <x v="2"/>
    </i>
    <i r="1">
      <x v="3"/>
    </i>
    <i>
      <x v="56"/>
      <x v="2"/>
    </i>
    <i r="1">
      <x v="3"/>
    </i>
    <i>
      <x v="57"/>
      <x/>
    </i>
    <i r="1">
      <x v="1"/>
    </i>
    <i r="1">
      <x v="2"/>
    </i>
    <i r="1">
      <x v="3"/>
    </i>
    <i>
      <x v="58"/>
      <x/>
    </i>
    <i r="1">
      <x v="1"/>
    </i>
    <i r="1">
      <x v="2"/>
    </i>
    <i r="1">
      <x v="3"/>
    </i>
    <i>
      <x v="59"/>
      <x v="3"/>
    </i>
    <i>
      <x v="60"/>
      <x/>
    </i>
    <i r="1">
      <x v="1"/>
    </i>
    <i r="1">
      <x v="2"/>
    </i>
    <i r="1">
      <x v="3"/>
    </i>
    <i>
      <x v="61"/>
      <x v="3"/>
    </i>
    <i>
      <x v="62"/>
      <x v="1"/>
    </i>
    <i r="1">
      <x v="2"/>
    </i>
    <i r="1">
      <x v="3"/>
    </i>
    <i>
      <x v="63"/>
      <x/>
    </i>
    <i r="1">
      <x v="1"/>
    </i>
    <i r="1">
      <x v="2"/>
    </i>
    <i r="1">
      <x v="3"/>
    </i>
    <i>
      <x v="64"/>
      <x/>
    </i>
    <i r="1">
      <x v="1"/>
    </i>
    <i r="1">
      <x v="2"/>
    </i>
    <i r="1">
      <x v="3"/>
    </i>
    <i>
      <x v="65"/>
      <x/>
    </i>
    <i r="1">
      <x v="1"/>
    </i>
    <i r="1">
      <x v="2"/>
    </i>
    <i r="1">
      <x v="3"/>
    </i>
    <i>
      <x v="66"/>
      <x/>
    </i>
    <i r="1">
      <x v="1"/>
    </i>
    <i r="1">
      <x v="2"/>
    </i>
    <i r="1">
      <x v="3"/>
    </i>
    <i>
      <x v="67"/>
      <x/>
    </i>
    <i r="1">
      <x v="1"/>
    </i>
    <i r="1">
      <x v="2"/>
    </i>
    <i r="1">
      <x v="3"/>
    </i>
    <i>
      <x v="68"/>
      <x/>
    </i>
    <i r="1">
      <x v="1"/>
    </i>
    <i r="1">
      <x v="2"/>
    </i>
    <i r="1">
      <x v="3"/>
    </i>
    <i>
      <x v="69"/>
      <x/>
    </i>
    <i r="1">
      <x v="1"/>
    </i>
    <i r="1">
      <x v="2"/>
    </i>
    <i r="1">
      <x v="3"/>
    </i>
    <i>
      <x v="70"/>
      <x/>
    </i>
    <i r="1">
      <x v="1"/>
    </i>
    <i r="1">
      <x v="2"/>
    </i>
    <i r="1">
      <x v="3"/>
    </i>
    <i>
      <x v="71"/>
      <x/>
    </i>
    <i r="1">
      <x v="1"/>
    </i>
    <i r="1">
      <x v="2"/>
    </i>
    <i r="1">
      <x v="3"/>
    </i>
    <i>
      <x v="72"/>
      <x/>
    </i>
    <i r="1">
      <x v="1"/>
    </i>
    <i r="1">
      <x v="2"/>
    </i>
    <i r="1">
      <x v="3"/>
    </i>
    <i>
      <x v="73"/>
      <x/>
    </i>
    <i r="1">
      <x v="1"/>
    </i>
    <i r="1">
      <x v="2"/>
    </i>
    <i r="1">
      <x v="3"/>
    </i>
    <i>
      <x v="74"/>
      <x/>
    </i>
    <i r="1">
      <x v="1"/>
    </i>
    <i r="1">
      <x v="2"/>
    </i>
    <i r="1">
      <x v="3"/>
    </i>
    <i>
      <x v="75"/>
      <x/>
    </i>
    <i r="1">
      <x v="1"/>
    </i>
    <i r="1">
      <x v="2"/>
    </i>
    <i r="1">
      <x v="3"/>
    </i>
    <i>
      <x v="76"/>
      <x/>
    </i>
    <i r="1">
      <x v="1"/>
    </i>
    <i r="1">
      <x v="2"/>
    </i>
    <i r="1">
      <x v="3"/>
    </i>
    <i>
      <x v="77"/>
      <x/>
    </i>
    <i r="1">
      <x v="1"/>
    </i>
    <i r="1">
      <x v="2"/>
    </i>
    <i r="1">
      <x v="3"/>
    </i>
    <i>
      <x v="78"/>
      <x/>
    </i>
    <i r="1">
      <x v="1"/>
    </i>
    <i r="1">
      <x v="2"/>
    </i>
    <i r="1">
      <x v="3"/>
    </i>
    <i>
      <x v="79"/>
      <x/>
    </i>
    <i r="1">
      <x v="1"/>
    </i>
    <i r="1">
      <x v="2"/>
    </i>
    <i r="1">
      <x v="3"/>
    </i>
    <i>
      <x v="80"/>
      <x/>
    </i>
    <i r="1">
      <x v="1"/>
    </i>
    <i r="1">
      <x v="2"/>
    </i>
    <i r="1">
      <x v="3"/>
    </i>
    <i>
      <x v="81"/>
      <x/>
    </i>
    <i r="1">
      <x v="1"/>
    </i>
    <i r="1">
      <x v="2"/>
    </i>
    <i r="1">
      <x v="3"/>
    </i>
    <i>
      <x v="82"/>
      <x/>
    </i>
    <i r="1">
      <x v="1"/>
    </i>
    <i r="1">
      <x v="2"/>
    </i>
    <i r="1">
      <x v="3"/>
    </i>
    <i>
      <x v="83"/>
      <x/>
    </i>
    <i r="1">
      <x v="1"/>
    </i>
    <i r="1">
      <x v="2"/>
    </i>
    <i r="1">
      <x v="3"/>
    </i>
    <i>
      <x v="84"/>
      <x/>
    </i>
    <i r="1">
      <x v="1"/>
    </i>
    <i r="1">
      <x v="2"/>
    </i>
    <i r="1">
      <x v="3"/>
    </i>
    <i>
      <x v="85"/>
      <x/>
    </i>
    <i r="1">
      <x v="1"/>
    </i>
    <i r="1">
      <x v="2"/>
    </i>
    <i r="1">
      <x v="3"/>
    </i>
    <i>
      <x v="86"/>
      <x/>
    </i>
    <i r="1">
      <x v="1"/>
    </i>
    <i r="1">
      <x v="2"/>
    </i>
    <i r="1">
      <x v="3"/>
    </i>
    <i>
      <x v="87"/>
      <x/>
    </i>
    <i r="1">
      <x v="1"/>
    </i>
    <i r="1">
      <x v="2"/>
    </i>
    <i r="1">
      <x v="3"/>
    </i>
    <i>
      <x v="88"/>
      <x/>
    </i>
    <i r="1">
      <x v="1"/>
    </i>
    <i r="1">
      <x v="2"/>
    </i>
    <i r="1">
      <x v="3"/>
    </i>
    <i>
      <x v="89"/>
      <x/>
    </i>
    <i r="1">
      <x v="1"/>
    </i>
    <i r="1">
      <x v="2"/>
    </i>
    <i r="1">
      <x v="3"/>
    </i>
    <i>
      <x v="90"/>
      <x/>
    </i>
    <i r="1">
      <x v="1"/>
    </i>
    <i r="1">
      <x v="2"/>
    </i>
    <i r="1">
      <x v="3"/>
    </i>
    <i>
      <x v="91"/>
      <x/>
    </i>
    <i r="1">
      <x v="1"/>
    </i>
    <i r="1">
      <x v="2"/>
    </i>
    <i r="1">
      <x v="3"/>
    </i>
    <i>
      <x v="92"/>
      <x/>
    </i>
    <i r="1">
      <x v="1"/>
    </i>
    <i r="1">
      <x v="2"/>
    </i>
    <i r="1">
      <x v="3"/>
    </i>
    <i>
      <x v="93"/>
      <x/>
    </i>
    <i r="1">
      <x v="1"/>
    </i>
    <i r="1">
      <x v="2"/>
    </i>
    <i r="1">
      <x v="3"/>
    </i>
    <i>
      <x v="94"/>
      <x/>
    </i>
    <i r="1">
      <x v="1"/>
    </i>
    <i r="1">
      <x v="2"/>
    </i>
    <i r="1">
      <x v="3"/>
    </i>
    <i>
      <x v="95"/>
      <x/>
    </i>
    <i>
      <x v="96"/>
      <x/>
    </i>
    <i r="1">
      <x v="1"/>
    </i>
    <i r="1">
      <x v="2"/>
    </i>
    <i r="1">
      <x v="3"/>
    </i>
    <i>
      <x v="97"/>
      <x/>
    </i>
    <i r="1">
      <x v="1"/>
    </i>
    <i r="1">
      <x v="2"/>
    </i>
    <i r="1">
      <x v="3"/>
    </i>
    <i>
      <x v="98"/>
      <x/>
    </i>
    <i r="1">
      <x v="1"/>
    </i>
    <i r="1">
      <x v="2"/>
    </i>
    <i r="1">
      <x v="3"/>
    </i>
    <i>
      <x v="99"/>
      <x/>
    </i>
    <i r="1">
      <x v="1"/>
    </i>
    <i r="1">
      <x v="2"/>
    </i>
    <i r="1">
      <x v="3"/>
    </i>
    <i>
      <x v="100"/>
      <x/>
    </i>
    <i r="1">
      <x v="1"/>
    </i>
    <i r="1">
      <x v="2"/>
    </i>
    <i r="1">
      <x v="3"/>
    </i>
    <i>
      <x v="101"/>
      <x/>
    </i>
    <i r="1">
      <x v="1"/>
    </i>
    <i r="1">
      <x v="2"/>
    </i>
    <i r="1">
      <x v="3"/>
    </i>
    <i>
      <x v="102"/>
      <x/>
    </i>
    <i r="1">
      <x v="1"/>
    </i>
    <i r="1">
      <x v="2"/>
    </i>
    <i r="1">
      <x v="3"/>
    </i>
    <i>
      <x v="103"/>
      <x/>
    </i>
    <i r="1">
      <x v="1"/>
    </i>
    <i r="1">
      <x v="2"/>
    </i>
    <i r="1">
      <x v="3"/>
    </i>
    <i>
      <x v="104"/>
      <x/>
    </i>
    <i r="1">
      <x v="1"/>
    </i>
    <i r="1">
      <x v="2"/>
    </i>
    <i r="1">
      <x v="3"/>
    </i>
    <i>
      <x v="105"/>
      <x/>
    </i>
    <i r="1">
      <x v="1"/>
    </i>
    <i r="1">
      <x v="2"/>
    </i>
    <i r="1">
      <x v="3"/>
    </i>
    <i>
      <x v="106"/>
      <x/>
    </i>
    <i r="1">
      <x v="1"/>
    </i>
    <i r="1">
      <x v="2"/>
    </i>
    <i r="1">
      <x v="3"/>
    </i>
    <i>
      <x v="107"/>
      <x/>
    </i>
    <i r="1">
      <x v="1"/>
    </i>
    <i r="1">
      <x v="2"/>
    </i>
    <i r="1">
      <x v="3"/>
    </i>
    <i>
      <x v="108"/>
      <x/>
    </i>
    <i r="1">
      <x v="1"/>
    </i>
    <i r="1">
      <x v="2"/>
    </i>
    <i r="1">
      <x v="3"/>
    </i>
    <i>
      <x v="109"/>
      <x/>
    </i>
    <i r="1">
      <x v="1"/>
    </i>
    <i r="1">
      <x v="2"/>
    </i>
    <i r="1">
      <x v="3"/>
    </i>
    <i>
      <x v="110"/>
      <x/>
    </i>
    <i r="1">
      <x v="1"/>
    </i>
    <i r="1">
      <x v="2"/>
    </i>
    <i r="1">
      <x v="3"/>
    </i>
  </rowItems>
  <colFields count="1">
    <field x="-2"/>
  </colFields>
  <colItems count="4">
    <i>
      <x/>
    </i>
    <i i="1">
      <x v="1"/>
    </i>
    <i i="2">
      <x v="2"/>
    </i>
    <i i="3">
      <x v="3"/>
    </i>
  </colItems>
  <dataFields count="4">
    <dataField name="Sum of C4 Share" fld="2" baseField="1" baseItem="0" numFmtId="10"/>
    <dataField name="Sum of C5 Share" fld="3" baseField="1" baseItem="0" numFmtId="10"/>
    <dataField name="Sum of C6 Share" fld="4" baseField="1" baseItem="0" numFmtId="10"/>
    <dataField name="Sum of C7 Share" fld="5" baseField="1" baseItem="0" numFmtId="10"/>
  </dataField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7"/>
    <rowHierarchyUsage hierarchyUsage="3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UnitsFunderShareAllocatio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0DD6F73-D888-42D5-B956-EAEFFB110EED}" name="PivotTable3" cacheId="742" applyNumberFormats="0" applyBorderFormats="0" applyFontFormats="0" applyPatternFormats="0" applyAlignmentFormats="0" applyWidthHeightFormats="1" dataCaption="Values" tag="2b5fe35a-28d1-4b97-862f-08830f9e46f6" updatedVersion="8" minRefreshableVersion="3" useAutoFormatting="1" subtotalHiddenItems="1" rowGrandTotals="0" colGrandTotals="0" itemPrintTitles="1" createdVersion="6" indent="0" compact="0" compactData="0" multipleFieldFilters="0">
  <location ref="A1:J423" firstHeaderRow="1" firstDataRow="1" firstDataCol="10"/>
  <pivotFields count="10">
    <pivotField axis="axisRow" compact="0" allDrilled="1" outline="0"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8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7">
        <item x="0"/>
        <item x="1"/>
        <item x="2"/>
        <item x="3"/>
        <item x="4"/>
        <item x="5"/>
        <item x="6"/>
        <item x="7"/>
        <item x="8"/>
        <item x="9"/>
        <item x="10"/>
        <item x="11"/>
        <item x="12"/>
        <item x="13"/>
        <item x="14"/>
        <item x="15"/>
        <item x="16"/>
        <item x="17"/>
        <item x="18"/>
        <item x="19"/>
        <item x="20"/>
        <item x="21"/>
        <item x="22"/>
        <item x="23"/>
        <item x="24"/>
        <item x="25"/>
        <item x="2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n="To affect permanent market change as part of Market Transformation, NEEA provides market intelligence, product and performance data and technical expertise to influence and accelerate the adoption of new and more stringent building energy codes.  NEEA al"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extLst>
        <ext xmlns:x14="http://schemas.microsoft.com/office/spreadsheetml/2009/9/main" uri="{2946ED86-A175-432a-8AC1-64E0C546D7DE}">
          <x14:pivotField fillDownLabels="1"/>
        </ext>
      </extLst>
    </pivotField>
  </pivotFields>
  <rowFields count="10">
    <field x="5"/>
    <field x="0"/>
    <field x="1"/>
    <field x="2"/>
    <field x="6"/>
    <field x="4"/>
    <field x="3"/>
    <field x="7"/>
    <field x="8"/>
    <field x="9"/>
  </rowFields>
  <rowItems count="422">
    <i>
      <x/>
      <x/>
      <x/>
      <x/>
      <x/>
      <x/>
      <x/>
      <x/>
      <x/>
      <x/>
    </i>
    <i>
      <x v="1"/>
      <x v="1"/>
      <x v="1"/>
      <x v="1"/>
      <x v="1"/>
      <x v="1"/>
      <x/>
      <x v="1"/>
      <x v="1"/>
      <x v="1"/>
    </i>
    <i>
      <x v="2"/>
      <x v="2"/>
      <x v="2"/>
      <x v="2"/>
      <x v="2"/>
      <x v="2"/>
      <x v="1"/>
      <x v="2"/>
      <x v="2"/>
      <x v="2"/>
    </i>
    <i>
      <x v="3"/>
      <x v="3"/>
      <x v="3"/>
      <x v="2"/>
      <x v="3"/>
      <x v="3"/>
      <x v="2"/>
      <x v="2"/>
      <x v="3"/>
      <x v="3"/>
    </i>
    <i>
      <x v="4"/>
      <x v="3"/>
      <x v="4"/>
      <x v="2"/>
      <x v="4"/>
      <x v="4"/>
      <x v="3"/>
      <x v="2"/>
      <x v="3"/>
      <x v="3"/>
    </i>
    <i>
      <x v="5"/>
      <x v="3"/>
      <x v="5"/>
      <x v="2"/>
      <x v="5"/>
      <x v="5"/>
      <x v="4"/>
      <x v="2"/>
      <x v="3"/>
      <x v="3"/>
    </i>
    <i>
      <x v="6"/>
      <x v="3"/>
      <x v="6"/>
      <x v="2"/>
      <x v="6"/>
      <x v="6"/>
      <x v="5"/>
      <x v="2"/>
      <x v="3"/>
      <x v="3"/>
    </i>
    <i>
      <x v="7"/>
      <x v="4"/>
      <x v="7"/>
      <x v="3"/>
      <x v="7"/>
      <x v="7"/>
      <x v="6"/>
      <x v="3"/>
      <x v="4"/>
      <x v="4"/>
    </i>
    <i>
      <x v="8"/>
      <x v="4"/>
      <x v="7"/>
      <x v="4"/>
      <x v="8"/>
      <x v="8"/>
      <x v="6"/>
      <x v="3"/>
      <x v="4"/>
      <x v="4"/>
    </i>
    <i>
      <x v="9"/>
      <x v="4"/>
      <x v="7"/>
      <x v="5"/>
      <x v="9"/>
      <x v="9"/>
      <x v="6"/>
      <x v="3"/>
      <x v="4"/>
      <x v="4"/>
    </i>
    <i>
      <x v="10"/>
      <x v="4"/>
      <x v="7"/>
      <x v="6"/>
      <x v="10"/>
      <x v="10"/>
      <x v="6"/>
      <x v="3"/>
      <x v="4"/>
      <x v="4"/>
    </i>
    <i>
      <x v="11"/>
      <x v="4"/>
      <x v="7"/>
      <x v="7"/>
      <x v="11"/>
      <x v="11"/>
      <x v="6"/>
      <x v="3"/>
      <x v="4"/>
      <x v="4"/>
    </i>
    <i>
      <x v="12"/>
      <x v="4"/>
      <x v="7"/>
      <x v="8"/>
      <x v="12"/>
      <x v="12"/>
      <x v="6"/>
      <x v="3"/>
      <x v="4"/>
      <x v="4"/>
    </i>
    <i>
      <x v="13"/>
      <x v="4"/>
      <x v="7"/>
      <x v="9"/>
      <x v="13"/>
      <x v="13"/>
      <x v="6"/>
      <x v="3"/>
      <x v="4"/>
      <x v="4"/>
    </i>
    <i>
      <x v="14"/>
      <x v="4"/>
      <x v="7"/>
      <x v="10"/>
      <x v="14"/>
      <x v="14"/>
      <x v="6"/>
      <x v="3"/>
      <x v="4"/>
      <x v="4"/>
    </i>
    <i>
      <x v="15"/>
      <x v="4"/>
      <x v="7"/>
      <x v="11"/>
      <x v="15"/>
      <x v="15"/>
      <x v="6"/>
      <x v="3"/>
      <x v="4"/>
      <x v="4"/>
    </i>
    <i>
      <x v="16"/>
      <x v="4"/>
      <x v="7"/>
      <x v="12"/>
      <x v="16"/>
      <x v="16"/>
      <x v="6"/>
      <x v="3"/>
      <x v="4"/>
      <x v="4"/>
    </i>
    <i>
      <x v="17"/>
      <x v="4"/>
      <x v="8"/>
      <x v="13"/>
      <x v="17"/>
      <x v="17"/>
      <x v="6"/>
      <x v="3"/>
      <x v="4"/>
      <x v="4"/>
    </i>
    <i>
      <x v="18"/>
      <x v="4"/>
      <x v="8"/>
      <x v="14"/>
      <x v="18"/>
      <x v="18"/>
      <x v="6"/>
      <x v="3"/>
      <x v="4"/>
      <x v="4"/>
    </i>
    <i>
      <x v="19"/>
      <x v="4"/>
      <x v="8"/>
      <x v="15"/>
      <x v="19"/>
      <x v="19"/>
      <x v="6"/>
      <x v="3"/>
      <x v="4"/>
      <x v="4"/>
    </i>
    <i>
      <x v="20"/>
      <x v="4"/>
      <x v="8"/>
      <x v="16"/>
      <x v="20"/>
      <x v="20"/>
      <x v="6"/>
      <x v="3"/>
      <x v="4"/>
      <x v="4"/>
    </i>
    <i>
      <x v="21"/>
      <x v="4"/>
      <x v="8"/>
      <x v="17"/>
      <x v="21"/>
      <x v="21"/>
      <x v="6"/>
      <x v="3"/>
      <x v="4"/>
      <x v="4"/>
    </i>
    <i>
      <x v="22"/>
      <x v="4"/>
      <x v="8"/>
      <x v="18"/>
      <x v="22"/>
      <x v="22"/>
      <x v="6"/>
      <x v="3"/>
      <x v="4"/>
      <x v="4"/>
    </i>
    <i>
      <x v="23"/>
      <x v="4"/>
      <x v="8"/>
      <x v="19"/>
      <x v="23"/>
      <x v="23"/>
      <x v="6"/>
      <x v="3"/>
      <x v="4"/>
      <x v="4"/>
    </i>
    <i>
      <x v="24"/>
      <x v="4"/>
      <x v="8"/>
      <x v="20"/>
      <x v="24"/>
      <x v="24"/>
      <x v="6"/>
      <x v="3"/>
      <x v="4"/>
      <x v="4"/>
    </i>
    <i>
      <x v="25"/>
      <x v="4"/>
      <x v="9"/>
      <x v="21"/>
      <x v="25"/>
      <x v="25"/>
      <x v="6"/>
      <x v="3"/>
      <x v="4"/>
      <x v="4"/>
    </i>
    <i>
      <x v="26"/>
      <x v="4"/>
      <x v="9"/>
      <x v="22"/>
      <x v="26"/>
      <x v="26"/>
      <x v="6"/>
      <x v="3"/>
      <x v="4"/>
      <x v="4"/>
    </i>
    <i>
      <x v="27"/>
      <x v="4"/>
      <x v="9"/>
      <x v="23"/>
      <x v="27"/>
      <x v="27"/>
      <x v="6"/>
      <x v="3"/>
      <x v="4"/>
      <x v="4"/>
    </i>
    <i>
      <x v="28"/>
      <x v="4"/>
      <x v="9"/>
      <x v="24"/>
      <x v="28"/>
      <x v="28"/>
      <x v="6"/>
      <x v="3"/>
      <x v="4"/>
      <x v="4"/>
    </i>
    <i>
      <x v="29"/>
      <x v="4"/>
      <x v="9"/>
      <x v="25"/>
      <x v="29"/>
      <x v="29"/>
      <x v="6"/>
      <x v="3"/>
      <x v="4"/>
      <x v="4"/>
    </i>
    <i>
      <x v="30"/>
      <x v="4"/>
      <x v="9"/>
      <x v="26"/>
      <x v="30"/>
      <x v="30"/>
      <x v="6"/>
      <x v="3"/>
      <x v="4"/>
      <x v="4"/>
    </i>
    <i>
      <x v="31"/>
      <x v="4"/>
      <x v="9"/>
      <x v="27"/>
      <x v="31"/>
      <x v="31"/>
      <x v="6"/>
      <x v="3"/>
      <x v="4"/>
      <x v="4"/>
    </i>
    <i>
      <x v="32"/>
      <x v="4"/>
      <x v="9"/>
      <x v="28"/>
      <x v="32"/>
      <x v="32"/>
      <x v="6"/>
      <x v="3"/>
      <x v="4"/>
      <x v="4"/>
    </i>
    <i>
      <x v="33"/>
      <x v="4"/>
      <x v="9"/>
      <x v="29"/>
      <x v="33"/>
      <x v="33"/>
      <x v="6"/>
      <x v="3"/>
      <x v="4"/>
      <x v="4"/>
    </i>
    <i>
      <x v="34"/>
      <x v="4"/>
      <x v="10"/>
      <x v="30"/>
      <x v="34"/>
      <x v="34"/>
      <x v="6"/>
      <x v="3"/>
      <x v="4"/>
      <x v="4"/>
    </i>
    <i>
      <x v="35"/>
      <x v="4"/>
      <x v="10"/>
      <x v="31"/>
      <x v="35"/>
      <x v="35"/>
      <x v="6"/>
      <x v="3"/>
      <x v="4"/>
      <x v="4"/>
    </i>
    <i>
      <x v="36"/>
      <x v="4"/>
      <x v="10"/>
      <x v="32"/>
      <x v="36"/>
      <x v="36"/>
      <x v="6"/>
      <x v="3"/>
      <x v="4"/>
      <x v="4"/>
    </i>
    <i>
      <x v="37"/>
      <x v="4"/>
      <x v="10"/>
      <x v="33"/>
      <x v="37"/>
      <x v="37"/>
      <x v="6"/>
      <x v="3"/>
      <x v="4"/>
      <x v="4"/>
    </i>
    <i>
      <x v="38"/>
      <x v="4"/>
      <x v="10"/>
      <x v="34"/>
      <x v="38"/>
      <x v="38"/>
      <x v="6"/>
      <x v="3"/>
      <x v="4"/>
      <x v="4"/>
    </i>
    <i>
      <x v="39"/>
      <x v="4"/>
      <x v="10"/>
      <x v="35"/>
      <x v="39"/>
      <x v="39"/>
      <x v="6"/>
      <x v="3"/>
      <x v="4"/>
      <x v="4"/>
    </i>
    <i>
      <x v="40"/>
      <x v="4"/>
      <x v="10"/>
      <x v="36"/>
      <x v="40"/>
      <x v="40"/>
      <x v="6"/>
      <x v="3"/>
      <x v="4"/>
      <x v="4"/>
    </i>
    <i>
      <x v="41"/>
      <x v="4"/>
      <x v="10"/>
      <x v="37"/>
      <x v="41"/>
      <x v="41"/>
      <x v="6"/>
      <x v="3"/>
      <x v="4"/>
      <x v="4"/>
    </i>
    <i>
      <x v="42"/>
      <x v="4"/>
      <x v="10"/>
      <x v="38"/>
      <x v="42"/>
      <x v="42"/>
      <x v="6"/>
      <x v="3"/>
      <x v="4"/>
      <x v="4"/>
    </i>
    <i>
      <x v="43"/>
      <x v="4"/>
      <x v="10"/>
      <x v="39"/>
      <x v="43"/>
      <x v="43"/>
      <x v="6"/>
      <x v="3"/>
      <x v="4"/>
      <x v="4"/>
    </i>
    <i>
      <x v="44"/>
      <x v="4"/>
      <x v="10"/>
      <x v="40"/>
      <x v="44"/>
      <x v="44"/>
      <x v="6"/>
      <x v="3"/>
      <x v="4"/>
      <x v="4"/>
    </i>
    <i>
      <x v="45"/>
      <x v="5"/>
      <x v="11"/>
      <x v="2"/>
      <x v="45"/>
      <x v="45"/>
      <x v="7"/>
      <x v="2"/>
      <x v="5"/>
      <x v="5"/>
    </i>
    <i>
      <x v="46"/>
      <x v="6"/>
      <x v="12"/>
      <x v="41"/>
      <x v="46"/>
      <x v="46"/>
      <x v="8"/>
      <x v="2"/>
      <x v="6"/>
      <x v="6"/>
    </i>
    <i>
      <x v="47"/>
      <x v="6"/>
      <x v="12"/>
      <x v="42"/>
      <x v="47"/>
      <x v="47"/>
      <x v="8"/>
      <x v="2"/>
      <x v="6"/>
      <x v="6"/>
    </i>
    <i>
      <x v="48"/>
      <x v="6"/>
      <x v="12"/>
      <x v="43"/>
      <x v="48"/>
      <x v="48"/>
      <x v="8"/>
      <x v="2"/>
      <x v="6"/>
      <x v="6"/>
    </i>
    <i>
      <x v="49"/>
      <x v="6"/>
      <x v="12"/>
      <x v="44"/>
      <x v="49"/>
      <x v="49"/>
      <x v="8"/>
      <x v="2"/>
      <x v="6"/>
      <x v="6"/>
    </i>
    <i>
      <x v="50"/>
      <x v="6"/>
      <x v="12"/>
      <x v="45"/>
      <x v="50"/>
      <x v="50"/>
      <x v="8"/>
      <x v="2"/>
      <x v="6"/>
      <x v="6"/>
    </i>
    <i>
      <x v="51"/>
      <x v="6"/>
      <x v="12"/>
      <x v="46"/>
      <x v="51"/>
      <x v="51"/>
      <x v="8"/>
      <x v="2"/>
      <x v="6"/>
      <x v="6"/>
    </i>
    <i>
      <x v="52"/>
      <x v="7"/>
      <x v="13"/>
      <x v="47"/>
      <x v="52"/>
      <x v="52"/>
      <x v="9"/>
      <x v="1"/>
      <x v="7"/>
      <x v="7"/>
    </i>
    <i>
      <x v="53"/>
      <x v="8"/>
      <x v="14"/>
      <x v="47"/>
      <x v="53"/>
      <x v="53"/>
      <x v="10"/>
      <x v="2"/>
      <x v="8"/>
      <x v="8"/>
    </i>
    <i>
      <x v="54"/>
      <x v="9"/>
      <x v="15"/>
      <x v="2"/>
      <x v="54"/>
      <x v="54"/>
      <x v="11"/>
      <x v="4"/>
      <x v="9"/>
      <x v="9"/>
    </i>
    <i>
      <x v="55"/>
      <x v="10"/>
      <x v="16"/>
      <x v="2"/>
      <x v="55"/>
      <x v="55"/>
      <x v="12"/>
      <x v="2"/>
      <x v="10"/>
      <x v="10"/>
    </i>
    <i>
      <x v="56"/>
      <x v="10"/>
      <x v="17"/>
      <x v="2"/>
      <x v="56"/>
      <x v="56"/>
      <x v="13"/>
      <x v="2"/>
      <x v="10"/>
      <x v="10"/>
    </i>
    <i>
      <x v="57"/>
      <x v="10"/>
      <x v="18"/>
      <x v="2"/>
      <x v="57"/>
      <x v="57"/>
      <x v="14"/>
      <x v="2"/>
      <x v="10"/>
      <x v="10"/>
    </i>
    <i>
      <x v="58"/>
      <x v="10"/>
      <x v="19"/>
      <x v="2"/>
      <x v="58"/>
      <x v="58"/>
      <x v="15"/>
      <x v="2"/>
      <x v="10"/>
      <x v="10"/>
    </i>
    <i>
      <x v="59"/>
      <x v="11"/>
      <x v="20"/>
      <x v="47"/>
      <x v="59"/>
      <x v="53"/>
      <x v="16"/>
      <x v="1"/>
      <x v="11"/>
      <x v="11"/>
    </i>
    <i>
      <x v="60"/>
      <x v="12"/>
      <x v="21"/>
      <x v="48"/>
      <x v="60"/>
      <x v="59"/>
      <x v="17"/>
      <x/>
      <x v="12"/>
      <x v="12"/>
    </i>
    <i>
      <x v="61"/>
      <x v="13"/>
      <x v="22"/>
      <x v="2"/>
      <x v="61"/>
      <x v="60"/>
      <x v="18"/>
      <x v="2"/>
      <x v="13"/>
      <x v="13"/>
    </i>
    <i>
      <x v="62"/>
      <x v="14"/>
      <x v="23"/>
      <x v="49"/>
      <x v="62"/>
      <x v="61"/>
      <x v="19"/>
      <x v="1"/>
      <x v="14"/>
      <x v="14"/>
    </i>
    <i>
      <x v="63"/>
      <x v="14"/>
      <x v="24"/>
      <x v="49"/>
      <x v="63"/>
      <x v="62"/>
      <x v="20"/>
      <x v="1"/>
      <x v="14"/>
      <x v="14"/>
    </i>
    <i>
      <x v="64"/>
      <x v="14"/>
      <x v="25"/>
      <x v="49"/>
      <x v="64"/>
      <x v="63"/>
      <x v="21"/>
      <x v="5"/>
      <x v="14"/>
      <x v="14"/>
    </i>
    <i>
      <x v="65"/>
      <x v="14"/>
      <x v="26"/>
      <x v="50"/>
      <x v="65"/>
      <x v="64"/>
      <x v="22"/>
      <x v="6"/>
      <x v="14"/>
      <x v="14"/>
    </i>
    <i>
      <x v="66"/>
      <x v="14"/>
      <x v="27"/>
      <x v="50"/>
      <x v="66"/>
      <x v="65"/>
      <x v="23"/>
      <x v="6"/>
      <x v="14"/>
      <x v="14"/>
    </i>
    <i>
      <x v="67"/>
      <x v="14"/>
      <x v="28"/>
      <x v="51"/>
      <x v="67"/>
      <x v="66"/>
      <x v="24"/>
      <x v="7"/>
      <x v="14"/>
      <x v="14"/>
    </i>
    <i>
      <x v="68"/>
      <x v="14"/>
      <x v="28"/>
      <x v="52"/>
      <x v="68"/>
      <x v="67"/>
      <x v="24"/>
      <x v="7"/>
      <x v="14"/>
      <x v="14"/>
    </i>
    <i>
      <x v="69"/>
      <x v="14"/>
      <x v="29"/>
      <x v="53"/>
      <x v="69"/>
      <x v="68"/>
      <x v="25"/>
      <x v="8"/>
      <x v="14"/>
      <x v="14"/>
    </i>
    <i>
      <x v="70"/>
      <x v="14"/>
      <x v="30"/>
      <x v="53"/>
      <x v="70"/>
      <x v="69"/>
      <x v="26"/>
      <x v="9"/>
      <x v="14"/>
      <x v="14"/>
    </i>
    <i>
      <x v="71"/>
      <x v="14"/>
      <x v="31"/>
      <x v="51"/>
      <x v="71"/>
      <x v="70"/>
      <x v="27"/>
      <x v="10"/>
      <x v="14"/>
      <x v="14"/>
    </i>
    <i>
      <x v="72"/>
      <x v="14"/>
      <x v="32"/>
      <x v="54"/>
      <x v="72"/>
      <x v="71"/>
      <x v="28"/>
      <x v="11"/>
      <x v="14"/>
      <x v="14"/>
    </i>
    <i>
      <x v="73"/>
      <x v="14"/>
      <x v="32"/>
      <x v="55"/>
      <x v="73"/>
      <x v="72"/>
      <x v="28"/>
      <x v="11"/>
      <x v="14"/>
      <x v="14"/>
    </i>
    <i>
      <x v="74"/>
      <x v="14"/>
      <x v="33"/>
      <x v="54"/>
      <x v="74"/>
      <x v="73"/>
      <x v="29"/>
      <x v="11"/>
      <x v="14"/>
      <x v="14"/>
    </i>
    <i>
      <x v="75"/>
      <x v="14"/>
      <x v="33"/>
      <x v="55"/>
      <x v="75"/>
      <x v="74"/>
      <x v="29"/>
      <x v="11"/>
      <x v="14"/>
      <x v="14"/>
    </i>
    <i>
      <x v="76"/>
      <x v="14"/>
      <x v="34"/>
      <x v="54"/>
      <x v="76"/>
      <x v="75"/>
      <x v="26"/>
      <x v="12"/>
      <x v="14"/>
      <x v="14"/>
    </i>
    <i>
      <x v="77"/>
      <x v="14"/>
      <x v="34"/>
      <x v="55"/>
      <x v="77"/>
      <x v="76"/>
      <x v="26"/>
      <x v="12"/>
      <x v="14"/>
      <x v="14"/>
    </i>
    <i>
      <x v="78"/>
      <x v="14"/>
      <x v="35"/>
      <x v="54"/>
      <x v="78"/>
      <x v="77"/>
      <x v="26"/>
      <x v="12"/>
      <x v="14"/>
      <x v="14"/>
    </i>
    <i>
      <x v="79"/>
      <x v="14"/>
      <x v="35"/>
      <x v="55"/>
      <x v="79"/>
      <x v="78"/>
      <x v="26"/>
      <x v="12"/>
      <x v="14"/>
      <x v="14"/>
    </i>
    <i>
      <x v="80"/>
      <x v="14"/>
      <x v="36"/>
      <x v="54"/>
      <x v="80"/>
      <x v="79"/>
      <x v="26"/>
      <x v="11"/>
      <x v="14"/>
      <x v="14"/>
    </i>
    <i>
      <x v="81"/>
      <x v="14"/>
      <x v="36"/>
      <x v="55"/>
      <x v="81"/>
      <x v="80"/>
      <x v="26"/>
      <x v="11"/>
      <x v="14"/>
      <x v="14"/>
    </i>
    <i>
      <x v="82"/>
      <x v="14"/>
      <x v="37"/>
      <x v="54"/>
      <x v="82"/>
      <x v="81"/>
      <x v="26"/>
      <x v="11"/>
      <x v="14"/>
      <x v="14"/>
    </i>
    <i>
      <x v="83"/>
      <x v="14"/>
      <x v="38"/>
      <x v="49"/>
      <x v="83"/>
      <x v="82"/>
      <x v="30"/>
      <x v="13"/>
      <x v="14"/>
      <x v="14"/>
    </i>
    <i>
      <x v="84"/>
      <x v="14"/>
      <x v="37"/>
      <x v="55"/>
      <x v="84"/>
      <x v="83"/>
      <x v="26"/>
      <x v="11"/>
      <x v="14"/>
      <x v="14"/>
    </i>
    <i>
      <x v="85"/>
      <x v="14"/>
      <x v="39"/>
      <x v="49"/>
      <x v="85"/>
      <x v="84"/>
      <x v="31"/>
      <x v="6"/>
      <x v="14"/>
      <x v="14"/>
    </i>
    <i>
      <x v="86"/>
      <x v="14"/>
      <x v="40"/>
      <x v="49"/>
      <x v="86"/>
      <x v="85"/>
      <x v="32"/>
      <x v="11"/>
      <x v="14"/>
      <x v="14"/>
    </i>
    <i>
      <x v="87"/>
      <x v="14"/>
      <x v="41"/>
      <x v="49"/>
      <x v="87"/>
      <x v="86"/>
      <x v="33"/>
      <x v="14"/>
      <x v="14"/>
      <x v="14"/>
    </i>
    <i>
      <x v="88"/>
      <x v="14"/>
      <x v="42"/>
      <x v="56"/>
      <x v="88"/>
      <x v="87"/>
      <x v="34"/>
      <x v="8"/>
      <x v="14"/>
      <x v="14"/>
    </i>
    <i>
      <x v="89"/>
      <x v="14"/>
      <x v="42"/>
      <x v="57"/>
      <x v="89"/>
      <x v="88"/>
      <x v="34"/>
      <x v="8"/>
      <x v="14"/>
      <x v="14"/>
    </i>
    <i>
      <x v="90"/>
      <x v="14"/>
      <x v="43"/>
      <x v="49"/>
      <x v="90"/>
      <x v="89"/>
      <x v="35"/>
      <x v="15"/>
      <x v="14"/>
      <x v="14"/>
    </i>
    <i>
      <x v="91"/>
      <x v="14"/>
      <x v="44"/>
      <x v="49"/>
      <x v="91"/>
      <x v="90"/>
      <x v="36"/>
      <x v="3"/>
      <x v="14"/>
      <x v="14"/>
    </i>
    <i>
      <x v="92"/>
      <x v="14"/>
      <x v="45"/>
      <x v="51"/>
      <x v="92"/>
      <x v="91"/>
      <x v="37"/>
      <x v="6"/>
      <x v="14"/>
      <x v="14"/>
    </i>
    <i>
      <x v="93"/>
      <x v="14"/>
      <x v="45"/>
      <x v="52"/>
      <x v="93"/>
      <x v="92"/>
      <x v="37"/>
      <x v="6"/>
      <x v="14"/>
      <x v="14"/>
    </i>
    <i>
      <x v="94"/>
      <x v="14"/>
      <x v="45"/>
      <x v="58"/>
      <x v="94"/>
      <x v="93"/>
      <x v="37"/>
      <x v="6"/>
      <x v="14"/>
      <x v="14"/>
    </i>
    <i>
      <x v="95"/>
      <x v="15"/>
      <x v="46"/>
      <x v="2"/>
      <x v="95"/>
      <x v="94"/>
      <x v="38"/>
      <x v="2"/>
      <x v="15"/>
      <x v="15"/>
    </i>
    <i>
      <x v="96"/>
      <x v="16"/>
      <x v="47"/>
      <x v="2"/>
      <x v="96"/>
      <x v="95"/>
      <x v="39"/>
      <x v="4"/>
      <x v="16"/>
      <x v="16"/>
    </i>
    <i>
      <x v="97"/>
      <x v="17"/>
      <x v="48"/>
      <x v="2"/>
      <x v="97"/>
      <x v="96"/>
      <x v="40"/>
      <x v="1"/>
      <x v="17"/>
      <x v="17"/>
    </i>
    <i>
      <x v="98"/>
      <x v="18"/>
      <x v="49"/>
      <x v="59"/>
      <x v="98"/>
      <x v="97"/>
      <x v="41"/>
      <x v="11"/>
      <x v="18"/>
      <x v="18"/>
    </i>
    <i>
      <x v="99"/>
      <x v="18"/>
      <x v="49"/>
      <x v="47"/>
      <x v="99"/>
      <x v="97"/>
      <x v="41"/>
      <x v="11"/>
      <x v="18"/>
      <x v="18"/>
    </i>
    <i>
      <x v="100"/>
      <x v="18"/>
      <x v="50"/>
      <x v="59"/>
      <x v="100"/>
      <x v="98"/>
      <x v="41"/>
      <x v="11"/>
      <x v="18"/>
      <x v="18"/>
    </i>
    <i>
      <x v="101"/>
      <x v="18"/>
      <x v="50"/>
      <x v="47"/>
      <x v="101"/>
      <x v="98"/>
      <x v="41"/>
      <x v="11"/>
      <x v="18"/>
      <x v="18"/>
    </i>
    <i>
      <x v="102"/>
      <x v="18"/>
      <x v="51"/>
      <x v="59"/>
      <x v="102"/>
      <x v="99"/>
      <x v="42"/>
      <x v="11"/>
      <x v="18"/>
      <x v="18"/>
    </i>
    <i>
      <x v="103"/>
      <x v="18"/>
      <x v="51"/>
      <x v="47"/>
      <x v="103"/>
      <x v="99"/>
      <x v="42"/>
      <x v="11"/>
      <x v="18"/>
      <x v="18"/>
    </i>
    <i>
      <x v="104"/>
      <x v="18"/>
      <x v="52"/>
      <x v="59"/>
      <x v="104"/>
      <x v="100"/>
      <x v="42"/>
      <x v="11"/>
      <x v="18"/>
      <x v="18"/>
    </i>
    <i>
      <x v="105"/>
      <x v="18"/>
      <x v="52"/>
      <x v="47"/>
      <x v="105"/>
      <x v="100"/>
      <x v="42"/>
      <x v="11"/>
      <x v="18"/>
      <x v="18"/>
    </i>
    <i>
      <x v="106"/>
      <x v="19"/>
      <x v="53"/>
      <x v="2"/>
      <x v="106"/>
      <x v="101"/>
      <x v="43"/>
      <x v="1"/>
      <x v="19"/>
      <x v="19"/>
    </i>
    <i>
      <x v="107"/>
      <x v="20"/>
      <x v="54"/>
      <x v="2"/>
      <x v="107"/>
      <x v="102"/>
      <x v="44"/>
      <x v="2"/>
      <x v="20"/>
      <x v="20"/>
    </i>
    <i>
      <x v="108"/>
      <x v="20"/>
      <x v="55"/>
      <x v="2"/>
      <x v="108"/>
      <x v="103"/>
      <x v="45"/>
      <x v="2"/>
      <x v="20"/>
      <x v="20"/>
    </i>
    <i>
      <x v="109"/>
      <x v="21"/>
      <x v="56"/>
      <x v="47"/>
      <x v="109"/>
      <x v="104"/>
      <x v="46"/>
      <x v="16"/>
      <x v="21"/>
      <x v="21"/>
    </i>
    <i>
      <x v="110"/>
      <x v="22"/>
      <x v="57"/>
      <x v="60"/>
      <x v="110"/>
      <x v="105"/>
      <x v="47"/>
      <x v="3"/>
      <x v="22"/>
      <x v="22"/>
    </i>
    <i>
      <x v="111"/>
      <x v="22"/>
      <x v="58"/>
      <x v="61"/>
      <x v="111"/>
      <x v="106"/>
      <x v="48"/>
      <x v="3"/>
      <x v="22"/>
      <x v="22"/>
    </i>
    <i>
      <x v="112"/>
      <x v="22"/>
      <x v="59"/>
      <x v="61"/>
      <x v="112"/>
      <x v="107"/>
      <x v="49"/>
      <x v="3"/>
      <x v="22"/>
      <x v="22"/>
    </i>
    <i>
      <x v="113"/>
      <x v="22"/>
      <x v="60"/>
      <x v="62"/>
      <x v="113"/>
      <x v="108"/>
      <x v="50"/>
      <x v="3"/>
      <x v="22"/>
      <x v="22"/>
    </i>
    <i>
      <x v="114"/>
      <x v="22"/>
      <x v="60"/>
      <x v="61"/>
      <x v="114"/>
      <x v="109"/>
      <x v="50"/>
      <x v="3"/>
      <x v="22"/>
      <x v="22"/>
    </i>
    <i>
      <x v="115"/>
      <x v="22"/>
      <x v="61"/>
      <x v="62"/>
      <x v="115"/>
      <x v="110"/>
      <x v="51"/>
      <x v="3"/>
      <x v="22"/>
      <x v="22"/>
    </i>
    <i>
      <x v="116"/>
      <x v="22"/>
      <x v="61"/>
      <x v="61"/>
      <x v="116"/>
      <x v="111"/>
      <x v="51"/>
      <x v="3"/>
      <x v="22"/>
      <x v="22"/>
    </i>
    <i>
      <x v="117"/>
      <x v="23"/>
      <x v="62"/>
      <x v="2"/>
      <x v="117"/>
      <x v="112"/>
      <x v="52"/>
      <x/>
      <x v="23"/>
      <x v="23"/>
    </i>
    <i>
      <x v="118"/>
      <x v="24"/>
      <x v="63"/>
      <x v="47"/>
      <x v="118"/>
      <x v="113"/>
      <x v="53"/>
      <x v="1"/>
      <x v="24"/>
      <x v="24"/>
    </i>
    <i>
      <x v="119"/>
      <x v="24"/>
      <x v="64"/>
      <x v="47"/>
      <x v="119"/>
      <x v="114"/>
      <x v="53"/>
      <x v="1"/>
      <x v="24"/>
      <x v="24"/>
    </i>
    <i>
      <x v="120"/>
      <x v="24"/>
      <x v="65"/>
      <x v="47"/>
      <x v="120"/>
      <x v="115"/>
      <x v="54"/>
      <x v="1"/>
      <x v="24"/>
      <x v="24"/>
    </i>
    <i>
      <x v="121"/>
      <x v="25"/>
      <x v="66"/>
      <x v="47"/>
      <x v="121"/>
      <x v="116"/>
      <x v="55"/>
      <x v="3"/>
      <x v="25"/>
      <x v="25"/>
    </i>
    <i>
      <x v="122"/>
      <x v="26"/>
      <x v="67"/>
      <x v="2"/>
      <x v="122"/>
      <x v="117"/>
      <x v="56"/>
      <x/>
      <x v="26"/>
      <x v="26"/>
    </i>
    <i>
      <x v="123"/>
      <x v="26"/>
      <x v="68"/>
      <x v="2"/>
      <x v="123"/>
      <x v="118"/>
      <x v="57"/>
      <x/>
      <x v="26"/>
      <x v="26"/>
    </i>
    <i>
      <x v="124"/>
      <x v="27"/>
      <x v="69"/>
      <x v="2"/>
      <x v="124"/>
      <x v="119"/>
      <x v="26"/>
      <x/>
      <x v="27"/>
      <x v="27"/>
    </i>
    <i>
      <x v="125"/>
      <x v="28"/>
      <x v="70"/>
      <x v="2"/>
      <x v="125"/>
      <x v="120"/>
      <x v="58"/>
      <x v="12"/>
      <x v="28"/>
      <x v="28"/>
    </i>
    <i>
      <x v="126"/>
      <x v="28"/>
      <x v="71"/>
      <x v="2"/>
      <x v="126"/>
      <x v="121"/>
      <x v="59"/>
      <x v="12"/>
      <x v="28"/>
      <x v="28"/>
    </i>
    <i>
      <x v="127"/>
      <x v="28"/>
      <x v="72"/>
      <x v="58"/>
      <x v="127"/>
      <x v="122"/>
      <x v="60"/>
      <x v="12"/>
      <x v="28"/>
      <x v="28"/>
    </i>
    <i>
      <x v="128"/>
      <x v="28"/>
      <x v="73"/>
      <x v="2"/>
      <x v="128"/>
      <x v="123"/>
      <x v="61"/>
      <x v="12"/>
      <x v="28"/>
      <x v="28"/>
    </i>
    <i>
      <x v="129"/>
      <x v="29"/>
      <x v="74"/>
      <x v="2"/>
      <x v="129"/>
      <x v="124"/>
      <x v="11"/>
      <x/>
      <x v="29"/>
      <x v="29"/>
    </i>
    <i>
      <x v="130"/>
      <x v="30"/>
      <x v="75"/>
      <x v="47"/>
      <x v="130"/>
      <x v="54"/>
      <x v="62"/>
      <x v="1"/>
      <x v="30"/>
      <x v="30"/>
    </i>
    <i>
      <x v="131"/>
      <x v="31"/>
      <x v="76"/>
      <x v="47"/>
      <x v="131"/>
      <x v="125"/>
      <x v="63"/>
      <x v="1"/>
      <x v="31"/>
      <x v="31"/>
    </i>
    <i>
      <x v="132"/>
      <x v="32"/>
      <x v="77"/>
      <x v="2"/>
      <x v="132"/>
      <x v="126"/>
      <x v="64"/>
      <x v="2"/>
      <x v="32"/>
      <x v="32"/>
    </i>
    <i>
      <x v="133"/>
      <x v="33"/>
      <x v="78"/>
      <x v="2"/>
      <x v="133"/>
      <x v="54"/>
      <x v="65"/>
      <x v="2"/>
      <x v="33"/>
      <x v="33"/>
    </i>
    <i>
      <x v="134"/>
      <x v="34"/>
      <x v="79"/>
      <x v="41"/>
      <x v="134"/>
      <x v="127"/>
      <x v="66"/>
      <x v="5"/>
      <x v="34"/>
      <x v="34"/>
    </i>
    <i>
      <x v="135"/>
      <x v="34"/>
      <x v="79"/>
      <x v="44"/>
      <x v="135"/>
      <x v="128"/>
      <x v="66"/>
      <x v="5"/>
      <x v="34"/>
      <x v="34"/>
    </i>
    <i>
      <x v="136"/>
      <x v="34"/>
      <x v="80"/>
      <x v="41"/>
      <x v="136"/>
      <x v="129"/>
      <x v="67"/>
      <x v="2"/>
      <x v="34"/>
      <x v="34"/>
    </i>
    <i>
      <x v="137"/>
      <x v="34"/>
      <x v="80"/>
      <x v="44"/>
      <x v="137"/>
      <x v="130"/>
      <x v="67"/>
      <x v="2"/>
      <x v="34"/>
      <x v="34"/>
    </i>
    <i>
      <x v="138"/>
      <x v="34"/>
      <x v="81"/>
      <x v="41"/>
      <x v="138"/>
      <x v="131"/>
      <x v="68"/>
      <x v="5"/>
      <x v="34"/>
      <x v="34"/>
    </i>
    <i>
      <x v="139"/>
      <x v="34"/>
      <x v="81"/>
      <x v="44"/>
      <x v="139"/>
      <x v="132"/>
      <x v="68"/>
      <x v="5"/>
      <x v="34"/>
      <x v="34"/>
    </i>
    <i>
      <x v="140"/>
      <x v="35"/>
      <x v="82"/>
      <x v="41"/>
      <x v="140"/>
      <x v="133"/>
      <x v="69"/>
      <x v="6"/>
      <x v="35"/>
      <x v="35"/>
    </i>
    <i>
      <x v="141"/>
      <x v="35"/>
      <x v="83"/>
      <x v="63"/>
      <x v="141"/>
      <x v="134"/>
      <x v="70"/>
      <x v="6"/>
      <x v="35"/>
      <x v="35"/>
    </i>
    <i>
      <x v="142"/>
      <x v="35"/>
      <x v="84"/>
      <x v="41"/>
      <x v="142"/>
      <x v="133"/>
      <x v="71"/>
      <x v="6"/>
      <x v="35"/>
      <x v="35"/>
    </i>
    <i>
      <x v="143"/>
      <x v="35"/>
      <x v="84"/>
      <x v="64"/>
      <x v="143"/>
      <x v="135"/>
      <x v="71"/>
      <x v="6"/>
      <x v="35"/>
      <x v="35"/>
    </i>
    <i>
      <x v="144"/>
      <x v="35"/>
      <x v="83"/>
      <x v="65"/>
      <x v="144"/>
      <x v="136"/>
      <x v="70"/>
      <x v="6"/>
      <x v="35"/>
      <x v="35"/>
    </i>
    <i>
      <x v="145"/>
      <x v="35"/>
      <x v="83"/>
      <x v="66"/>
      <x v="145"/>
      <x v="137"/>
      <x v="70"/>
      <x v="6"/>
      <x v="35"/>
      <x v="35"/>
    </i>
    <i>
      <x v="146"/>
      <x v="35"/>
      <x v="83"/>
      <x v="67"/>
      <x v="146"/>
      <x v="138"/>
      <x v="70"/>
      <x v="6"/>
      <x v="35"/>
      <x v="35"/>
    </i>
    <i>
      <x v="147"/>
      <x v="35"/>
      <x v="83"/>
      <x v="68"/>
      <x v="147"/>
      <x v="139"/>
      <x v="70"/>
      <x v="6"/>
      <x v="35"/>
      <x v="35"/>
    </i>
    <i>
      <x v="148"/>
      <x v="35"/>
      <x v="83"/>
      <x v="69"/>
      <x v="148"/>
      <x v="140"/>
      <x v="70"/>
      <x v="6"/>
      <x v="35"/>
      <x v="35"/>
    </i>
    <i>
      <x v="149"/>
      <x v="35"/>
      <x v="83"/>
      <x v="70"/>
      <x v="149"/>
      <x v="141"/>
      <x v="70"/>
      <x v="6"/>
      <x v="35"/>
      <x v="35"/>
    </i>
    <i>
      <x v="150"/>
      <x v="35"/>
      <x v="83"/>
      <x v="71"/>
      <x v="150"/>
      <x v="142"/>
      <x v="70"/>
      <x v="6"/>
      <x v="35"/>
      <x v="35"/>
    </i>
    <i>
      <x v="151"/>
      <x v="35"/>
      <x v="82"/>
      <x v="72"/>
      <x v="151"/>
      <x v="143"/>
      <x v="69"/>
      <x v="6"/>
      <x v="35"/>
      <x v="35"/>
    </i>
    <i>
      <x v="152"/>
      <x v="36"/>
      <x v="85"/>
      <x v="47"/>
      <x v="152"/>
      <x v="144"/>
      <x v="72"/>
      <x v="9"/>
      <x v="36"/>
      <x v="36"/>
    </i>
    <i>
      <x v="153"/>
      <x v="36"/>
      <x v="86"/>
      <x v="47"/>
      <x v="153"/>
      <x v="145"/>
      <x v="73"/>
      <x v="17"/>
      <x v="36"/>
      <x v="36"/>
    </i>
    <i>
      <x v="154"/>
      <x v="36"/>
      <x v="87"/>
      <x v="47"/>
      <x v="154"/>
      <x v="146"/>
      <x v="74"/>
      <x v="14"/>
      <x v="36"/>
      <x v="36"/>
    </i>
    <i>
      <x v="155"/>
      <x v="36"/>
      <x v="88"/>
      <x v="47"/>
      <x v="155"/>
      <x v="147"/>
      <x v="75"/>
      <x v="14"/>
      <x v="36"/>
      <x v="36"/>
    </i>
    <i>
      <x v="156"/>
      <x v="36"/>
      <x v="89"/>
      <x v="47"/>
      <x v="156"/>
      <x v="148"/>
      <x v="76"/>
      <x v="18"/>
      <x v="36"/>
      <x v="36"/>
    </i>
    <i>
      <x v="157"/>
      <x v="36"/>
      <x v="90"/>
      <x v="47"/>
      <x v="157"/>
      <x v="149"/>
      <x v="77"/>
      <x v="18"/>
      <x v="36"/>
      <x v="36"/>
    </i>
    <i>
      <x v="158"/>
      <x v="37"/>
      <x v="91"/>
      <x v="73"/>
      <x v="158"/>
      <x v="150"/>
      <x v="78"/>
      <x v="3"/>
      <x v="37"/>
      <x v="37"/>
    </i>
    <i>
      <x v="159"/>
      <x v="37"/>
      <x v="92"/>
      <x v="73"/>
      <x v="159"/>
      <x v="151"/>
      <x v="79"/>
      <x v="1"/>
      <x v="37"/>
      <x v="37"/>
    </i>
    <i>
      <x v="160"/>
      <x v="37"/>
      <x v="93"/>
      <x v="73"/>
      <x v="159"/>
      <x v="151"/>
      <x v="79"/>
      <x v="1"/>
      <x v="37"/>
      <x v="37"/>
    </i>
    <i>
      <x v="161"/>
      <x v="38"/>
      <x v="94"/>
      <x v="47"/>
      <x v="160"/>
      <x v="152"/>
      <x v="80"/>
      <x v="1"/>
      <x v="38"/>
      <x v="38"/>
    </i>
    <i>
      <x v="162"/>
      <x v="39"/>
      <x v="95"/>
      <x v="47"/>
      <x v="161"/>
      <x v="52"/>
      <x v="81"/>
      <x v="1"/>
      <x v="39"/>
      <x v="39"/>
    </i>
    <i>
      <x v="163"/>
      <x v="40"/>
      <x v="96"/>
      <x v="74"/>
      <x v="162"/>
      <x v="153"/>
      <x v="82"/>
      <x v="6"/>
      <x v="40"/>
      <x v="40"/>
    </i>
    <i>
      <x v="164"/>
      <x v="40"/>
      <x v="96"/>
      <x v="75"/>
      <x v="163"/>
      <x v="154"/>
      <x v="82"/>
      <x v="6"/>
      <x v="40"/>
      <x v="40"/>
    </i>
    <i>
      <x v="165"/>
      <x v="40"/>
      <x v="96"/>
      <x v="76"/>
      <x v="164"/>
      <x v="155"/>
      <x v="82"/>
      <x v="6"/>
      <x v="40"/>
      <x v="40"/>
    </i>
    <i>
      <x v="166"/>
      <x v="40"/>
      <x v="96"/>
      <x v="77"/>
      <x v="165"/>
      <x v="156"/>
      <x v="82"/>
      <x v="6"/>
      <x v="40"/>
      <x v="40"/>
    </i>
    <i>
      <x v="167"/>
      <x v="41"/>
      <x v="97"/>
      <x v="78"/>
      <x v="166"/>
      <x v="157"/>
      <x v="83"/>
      <x v="3"/>
      <x v="41"/>
      <x v="41"/>
    </i>
    <i>
      <x v="168"/>
      <x v="41"/>
      <x v="97"/>
      <x v="79"/>
      <x v="167"/>
      <x v="158"/>
      <x v="83"/>
      <x v="3"/>
      <x v="41"/>
      <x v="41"/>
    </i>
    <i>
      <x v="169"/>
      <x v="41"/>
      <x v="97"/>
      <x v="80"/>
      <x v="168"/>
      <x v="159"/>
      <x v="83"/>
      <x v="3"/>
      <x v="41"/>
      <x v="41"/>
    </i>
    <i>
      <x v="170"/>
      <x v="41"/>
      <x v="97"/>
      <x v="81"/>
      <x v="169"/>
      <x v="160"/>
      <x v="83"/>
      <x v="3"/>
      <x v="41"/>
      <x v="41"/>
    </i>
    <i>
      <x v="171"/>
      <x v="41"/>
      <x v="97"/>
      <x v="82"/>
      <x v="170"/>
      <x v="161"/>
      <x v="83"/>
      <x v="3"/>
      <x v="41"/>
      <x v="41"/>
    </i>
    <i>
      <x v="172"/>
      <x v="41"/>
      <x v="97"/>
      <x v="83"/>
      <x v="171"/>
      <x v="162"/>
      <x v="83"/>
      <x v="3"/>
      <x v="41"/>
      <x v="41"/>
    </i>
    <i>
      <x v="173"/>
      <x v="41"/>
      <x v="97"/>
      <x v="84"/>
      <x v="172"/>
      <x v="163"/>
      <x v="83"/>
      <x v="3"/>
      <x v="41"/>
      <x v="41"/>
    </i>
    <i>
      <x v="174"/>
      <x v="42"/>
      <x v="98"/>
      <x v="72"/>
      <x v="173"/>
      <x v="164"/>
      <x v="84"/>
      <x v="19"/>
      <x v="42"/>
      <x v="42"/>
    </i>
    <i>
      <x v="175"/>
      <x v="42"/>
      <x v="99"/>
      <x v="72"/>
      <x v="174"/>
      <x v="165"/>
      <x v="85"/>
      <x v="19"/>
      <x v="42"/>
      <x v="42"/>
    </i>
    <i>
      <x v="176"/>
      <x v="42"/>
      <x v="100"/>
      <x v="72"/>
      <x v="175"/>
      <x v="166"/>
      <x v="84"/>
      <x v="19"/>
      <x v="42"/>
      <x v="42"/>
    </i>
    <i>
      <x v="177"/>
      <x v="42"/>
      <x v="101"/>
      <x v="72"/>
      <x v="176"/>
      <x v="167"/>
      <x v="85"/>
      <x v="19"/>
      <x v="42"/>
      <x v="42"/>
    </i>
    <i>
      <x v="178"/>
      <x v="42"/>
      <x v="102"/>
      <x v="72"/>
      <x v="177"/>
      <x v="168"/>
      <x v="85"/>
      <x v="19"/>
      <x v="42"/>
      <x v="42"/>
    </i>
    <i>
      <x v="179"/>
      <x v="42"/>
      <x v="103"/>
      <x v="72"/>
      <x v="178"/>
      <x v="169"/>
      <x v="85"/>
      <x v="19"/>
      <x v="42"/>
      <x v="42"/>
    </i>
    <i>
      <x v="180"/>
      <x v="42"/>
      <x v="104"/>
      <x v="85"/>
      <x v="179"/>
      <x v="170"/>
      <x v="84"/>
      <x v="19"/>
      <x v="42"/>
      <x v="42"/>
    </i>
    <i>
      <x v="181"/>
      <x v="42"/>
      <x v="104"/>
      <x v="86"/>
      <x v="180"/>
      <x v="171"/>
      <x v="84"/>
      <x v="19"/>
      <x v="42"/>
      <x v="42"/>
    </i>
    <i>
      <x v="182"/>
      <x v="42"/>
      <x v="104"/>
      <x v="87"/>
      <x v="181"/>
      <x v="172"/>
      <x v="84"/>
      <x v="19"/>
      <x v="42"/>
      <x v="42"/>
    </i>
    <i>
      <x v="183"/>
      <x v="42"/>
      <x v="105"/>
      <x v="88"/>
      <x v="182"/>
      <x v="173"/>
      <x v="84"/>
      <x v="19"/>
      <x v="42"/>
      <x v="42"/>
    </i>
    <i>
      <x v="184"/>
      <x v="42"/>
      <x v="105"/>
      <x v="89"/>
      <x v="183"/>
      <x v="174"/>
      <x v="84"/>
      <x v="19"/>
      <x v="42"/>
      <x v="42"/>
    </i>
    <i>
      <x v="185"/>
      <x v="42"/>
      <x v="105"/>
      <x v="90"/>
      <x v="184"/>
      <x v="175"/>
      <x v="84"/>
      <x v="19"/>
      <x v="42"/>
      <x v="42"/>
    </i>
    <i>
      <x v="186"/>
      <x v="42"/>
      <x v="106"/>
      <x v="91"/>
      <x v="185"/>
      <x v="176"/>
      <x v="84"/>
      <x v="19"/>
      <x v="42"/>
      <x v="42"/>
    </i>
    <i>
      <x v="187"/>
      <x v="42"/>
      <x v="106"/>
      <x v="92"/>
      <x v="186"/>
      <x v="177"/>
      <x v="84"/>
      <x v="19"/>
      <x v="42"/>
      <x v="42"/>
    </i>
    <i>
      <x v="188"/>
      <x v="42"/>
      <x v="106"/>
      <x v="93"/>
      <x v="187"/>
      <x v="178"/>
      <x v="84"/>
      <x v="19"/>
      <x v="42"/>
      <x v="42"/>
    </i>
    <i>
      <x v="189"/>
      <x v="42"/>
      <x v="107"/>
      <x v="94"/>
      <x v="188"/>
      <x v="179"/>
      <x v="84"/>
      <x v="19"/>
      <x v="42"/>
      <x v="42"/>
    </i>
    <i>
      <x v="190"/>
      <x v="42"/>
      <x v="107"/>
      <x v="95"/>
      <x v="189"/>
      <x v="180"/>
      <x v="84"/>
      <x v="19"/>
      <x v="42"/>
      <x v="42"/>
    </i>
    <i>
      <x v="191"/>
      <x v="42"/>
      <x v="107"/>
      <x v="96"/>
      <x v="190"/>
      <x v="181"/>
      <x v="84"/>
      <x v="19"/>
      <x v="42"/>
      <x v="42"/>
    </i>
    <i>
      <x v="192"/>
      <x v="42"/>
      <x v="108"/>
      <x v="72"/>
      <x v="191"/>
      <x v="182"/>
      <x v="84"/>
      <x v="19"/>
      <x v="42"/>
      <x v="42"/>
    </i>
    <i>
      <x v="193"/>
      <x v="42"/>
      <x v="109"/>
      <x v="72"/>
      <x v="192"/>
      <x v="183"/>
      <x v="84"/>
      <x v="19"/>
      <x v="42"/>
      <x v="42"/>
    </i>
    <i>
      <x v="194"/>
      <x v="42"/>
      <x v="110"/>
      <x v="72"/>
      <x v="193"/>
      <x v="184"/>
      <x v="84"/>
      <x v="19"/>
      <x v="42"/>
      <x v="42"/>
    </i>
    <i>
      <x v="195"/>
      <x v="43"/>
      <x v="111"/>
      <x v="85"/>
      <x v="194"/>
      <x v="185"/>
      <x v="85"/>
      <x v="19"/>
      <x v="4"/>
      <x v="43"/>
    </i>
    <i>
      <x v="196"/>
      <x v="43"/>
      <x v="111"/>
      <x v="86"/>
      <x v="195"/>
      <x v="186"/>
      <x v="85"/>
      <x v="19"/>
      <x v="4"/>
      <x v="43"/>
    </i>
    <i>
      <x v="197"/>
      <x v="43"/>
      <x v="111"/>
      <x v="87"/>
      <x v="196"/>
      <x v="187"/>
      <x v="85"/>
      <x v="19"/>
      <x v="4"/>
      <x v="43"/>
    </i>
    <i>
      <x v="198"/>
      <x v="43"/>
      <x v="111"/>
      <x v="97"/>
      <x v="197"/>
      <x v="188"/>
      <x v="85"/>
      <x v="19"/>
      <x v="4"/>
      <x v="43"/>
    </i>
    <i>
      <x v="199"/>
      <x v="43"/>
      <x v="111"/>
      <x v="98"/>
      <x v="198"/>
      <x v="189"/>
      <x v="85"/>
      <x v="19"/>
      <x v="4"/>
      <x v="43"/>
    </i>
    <i>
      <x v="200"/>
      <x v="43"/>
      <x v="111"/>
      <x v="99"/>
      <x v="199"/>
      <x v="190"/>
      <x v="85"/>
      <x v="19"/>
      <x v="4"/>
      <x v="43"/>
    </i>
    <i>
      <x v="201"/>
      <x v="43"/>
      <x v="112"/>
      <x v="88"/>
      <x v="200"/>
      <x v="191"/>
      <x v="85"/>
      <x v="19"/>
      <x v="4"/>
      <x v="43"/>
    </i>
    <i>
      <x v="202"/>
      <x v="43"/>
      <x v="112"/>
      <x v="89"/>
      <x v="201"/>
      <x v="192"/>
      <x v="85"/>
      <x v="19"/>
      <x v="4"/>
      <x v="43"/>
    </i>
    <i>
      <x v="203"/>
      <x v="43"/>
      <x v="112"/>
      <x v="90"/>
      <x v="202"/>
      <x v="193"/>
      <x v="85"/>
      <x v="19"/>
      <x v="4"/>
      <x v="43"/>
    </i>
    <i>
      <x v="204"/>
      <x v="43"/>
      <x v="112"/>
      <x v="97"/>
      <x v="203"/>
      <x v="194"/>
      <x v="85"/>
      <x v="19"/>
      <x v="4"/>
      <x v="43"/>
    </i>
    <i>
      <x v="205"/>
      <x v="43"/>
      <x v="112"/>
      <x v="98"/>
      <x v="204"/>
      <x v="195"/>
      <x v="85"/>
      <x v="19"/>
      <x v="4"/>
      <x v="43"/>
    </i>
    <i>
      <x v="206"/>
      <x v="43"/>
      <x v="112"/>
      <x v="99"/>
      <x v="205"/>
      <x v="196"/>
      <x v="85"/>
      <x v="19"/>
      <x v="4"/>
      <x v="43"/>
    </i>
    <i>
      <x v="207"/>
      <x v="43"/>
      <x v="113"/>
      <x v="91"/>
      <x v="206"/>
      <x v="197"/>
      <x v="85"/>
      <x v="19"/>
      <x v="4"/>
      <x v="43"/>
    </i>
    <i>
      <x v="208"/>
      <x v="43"/>
      <x v="113"/>
      <x v="92"/>
      <x v="207"/>
      <x v="198"/>
      <x v="85"/>
      <x v="19"/>
      <x v="4"/>
      <x v="43"/>
    </i>
    <i>
      <x v="209"/>
      <x v="43"/>
      <x v="113"/>
      <x v="100"/>
      <x v="208"/>
      <x v="199"/>
      <x v="85"/>
      <x v="19"/>
      <x v="4"/>
      <x v="43"/>
    </i>
    <i>
      <x v="210"/>
      <x v="43"/>
      <x v="113"/>
      <x v="101"/>
      <x v="209"/>
      <x v="200"/>
      <x v="85"/>
      <x v="19"/>
      <x v="4"/>
      <x v="43"/>
    </i>
    <i>
      <x v="211"/>
      <x v="43"/>
      <x v="113"/>
      <x v="102"/>
      <x v="210"/>
      <x v="201"/>
      <x v="85"/>
      <x v="19"/>
      <x v="4"/>
      <x v="43"/>
    </i>
    <i>
      <x v="212"/>
      <x v="43"/>
      <x v="113"/>
      <x v="103"/>
      <x v="211"/>
      <x v="201"/>
      <x v="85"/>
      <x v="19"/>
      <x v="4"/>
      <x v="43"/>
    </i>
    <i>
      <x v="213"/>
      <x v="43"/>
      <x v="114"/>
      <x v="94"/>
      <x v="212"/>
      <x v="202"/>
      <x v="85"/>
      <x v="19"/>
      <x v="4"/>
      <x v="43"/>
    </i>
    <i>
      <x v="214"/>
      <x v="43"/>
      <x v="114"/>
      <x v="95"/>
      <x v="213"/>
      <x v="203"/>
      <x v="85"/>
      <x v="19"/>
      <x v="4"/>
      <x v="43"/>
    </i>
    <i>
      <x v="215"/>
      <x v="43"/>
      <x v="114"/>
      <x v="96"/>
      <x v="214"/>
      <x v="204"/>
      <x v="85"/>
      <x v="19"/>
      <x v="4"/>
      <x v="43"/>
    </i>
    <i>
      <x v="216"/>
      <x v="43"/>
      <x v="114"/>
      <x v="104"/>
      <x v="215"/>
      <x v="205"/>
      <x v="85"/>
      <x v="19"/>
      <x v="4"/>
      <x v="43"/>
    </i>
    <i>
      <x v="217"/>
      <x v="43"/>
      <x v="114"/>
      <x v="105"/>
      <x v="216"/>
      <x v="206"/>
      <x v="85"/>
      <x v="19"/>
      <x v="4"/>
      <x v="43"/>
    </i>
    <i>
      <x v="218"/>
      <x v="43"/>
      <x v="114"/>
      <x v="106"/>
      <x v="217"/>
      <x v="207"/>
      <x v="85"/>
      <x v="19"/>
      <x v="4"/>
      <x v="43"/>
    </i>
    <i>
      <x v="219"/>
      <x v="44"/>
      <x v="115"/>
      <x v="47"/>
      <x v="218"/>
      <x v="208"/>
      <x v="86"/>
      <x v="4"/>
      <x v="43"/>
      <x v="44"/>
    </i>
    <i>
      <x v="220"/>
      <x v="44"/>
      <x v="116"/>
      <x v="47"/>
      <x v="219"/>
      <x v="209"/>
      <x v="87"/>
      <x v="4"/>
      <x v="43"/>
      <x v="44"/>
    </i>
    <i>
      <x v="221"/>
      <x v="44"/>
      <x v="117"/>
      <x v="47"/>
      <x v="220"/>
      <x v="210"/>
      <x v="87"/>
      <x v="4"/>
      <x v="43"/>
      <x v="44"/>
    </i>
    <i>
      <x v="222"/>
      <x v="45"/>
      <x v="118"/>
      <x v="107"/>
      <x v="221"/>
      <x v="211"/>
      <x v="88"/>
      <x v="17"/>
      <x v="44"/>
      <x v="45"/>
    </i>
    <i>
      <x v="223"/>
      <x v="45"/>
      <x v="118"/>
      <x v="108"/>
      <x v="222"/>
      <x v="212"/>
      <x v="88"/>
      <x v="17"/>
      <x v="44"/>
      <x v="45"/>
    </i>
    <i>
      <x v="224"/>
      <x v="45"/>
      <x v="118"/>
      <x v="109"/>
      <x v="223"/>
      <x v="213"/>
      <x v="88"/>
      <x v="17"/>
      <x v="44"/>
      <x v="45"/>
    </i>
    <i>
      <x v="225"/>
      <x v="45"/>
      <x v="118"/>
      <x v="110"/>
      <x v="224"/>
      <x v="214"/>
      <x v="88"/>
      <x v="17"/>
      <x v="44"/>
      <x v="45"/>
    </i>
    <i>
      <x v="226"/>
      <x v="45"/>
      <x v="118"/>
      <x v="111"/>
      <x v="225"/>
      <x v="215"/>
      <x v="88"/>
      <x v="17"/>
      <x v="44"/>
      <x v="45"/>
    </i>
    <i>
      <x v="227"/>
      <x v="45"/>
      <x v="118"/>
      <x v="112"/>
      <x v="226"/>
      <x v="216"/>
      <x v="88"/>
      <x v="17"/>
      <x v="44"/>
      <x v="45"/>
    </i>
    <i>
      <x v="228"/>
      <x v="45"/>
      <x v="118"/>
      <x v="113"/>
      <x v="227"/>
      <x v="217"/>
      <x v="88"/>
      <x v="17"/>
      <x v="44"/>
      <x v="45"/>
    </i>
    <i>
      <x v="229"/>
      <x v="45"/>
      <x v="118"/>
      <x v="114"/>
      <x v="228"/>
      <x v="218"/>
      <x v="88"/>
      <x v="17"/>
      <x v="44"/>
      <x v="45"/>
    </i>
    <i>
      <x v="230"/>
      <x v="45"/>
      <x v="118"/>
      <x v="115"/>
      <x v="229"/>
      <x v="219"/>
      <x v="88"/>
      <x v="17"/>
      <x v="44"/>
      <x v="45"/>
    </i>
    <i>
      <x v="231"/>
      <x v="45"/>
      <x v="118"/>
      <x v="116"/>
      <x v="230"/>
      <x v="220"/>
      <x v="88"/>
      <x v="17"/>
      <x v="44"/>
      <x v="45"/>
    </i>
    <i>
      <x v="232"/>
      <x v="45"/>
      <x v="118"/>
      <x v="117"/>
      <x v="231"/>
      <x v="221"/>
      <x v="88"/>
      <x v="17"/>
      <x v="44"/>
      <x v="45"/>
    </i>
    <i>
      <x v="233"/>
      <x v="46"/>
      <x v="119"/>
      <x v="41"/>
      <x v="232"/>
      <x v="222"/>
      <x v="89"/>
      <x v="14"/>
      <x v="45"/>
      <x v="46"/>
    </i>
    <i>
      <x v="234"/>
      <x v="46"/>
      <x v="119"/>
      <x v="118"/>
      <x v="233"/>
      <x v="223"/>
      <x v="89"/>
      <x v="14"/>
      <x v="45"/>
      <x v="46"/>
    </i>
    <i>
      <x v="235"/>
      <x v="46"/>
      <x v="119"/>
      <x v="119"/>
      <x v="234"/>
      <x v="224"/>
      <x v="89"/>
      <x v="14"/>
      <x v="45"/>
      <x v="46"/>
    </i>
    <i>
      <x v="236"/>
      <x v="46"/>
      <x v="119"/>
      <x v="120"/>
      <x v="235"/>
      <x v="225"/>
      <x v="89"/>
      <x v="14"/>
      <x v="45"/>
      <x v="46"/>
    </i>
    <i>
      <x v="237"/>
      <x v="46"/>
      <x v="119"/>
      <x v="121"/>
      <x v="236"/>
      <x v="226"/>
      <x v="89"/>
      <x v="14"/>
      <x v="45"/>
      <x v="46"/>
    </i>
    <i>
      <x v="238"/>
      <x v="46"/>
      <x v="119"/>
      <x v="122"/>
      <x v="237"/>
      <x v="227"/>
      <x v="89"/>
      <x v="14"/>
      <x v="45"/>
      <x v="46"/>
    </i>
    <i>
      <x v="239"/>
      <x v="46"/>
      <x v="119"/>
      <x v="123"/>
      <x v="238"/>
      <x v="228"/>
      <x v="89"/>
      <x v="14"/>
      <x v="45"/>
      <x v="46"/>
    </i>
    <i>
      <x v="240"/>
      <x v="47"/>
      <x v="120"/>
      <x v="47"/>
      <x v="239"/>
      <x v="229"/>
      <x v="90"/>
      <x v="7"/>
      <x v="46"/>
      <x v="47"/>
    </i>
    <i>
      <x v="241"/>
      <x v="47"/>
      <x v="120"/>
      <x v="124"/>
      <x v="240"/>
      <x v="229"/>
      <x v="90"/>
      <x v="7"/>
      <x v="46"/>
      <x v="47"/>
    </i>
    <i>
      <x v="242"/>
      <x v="47"/>
      <x v="120"/>
      <x v="125"/>
      <x v="241"/>
      <x v="229"/>
      <x v="90"/>
      <x v="7"/>
      <x v="46"/>
      <x v="47"/>
    </i>
    <i>
      <x v="243"/>
      <x v="47"/>
      <x v="120"/>
      <x v="126"/>
      <x v="242"/>
      <x v="229"/>
      <x v="90"/>
      <x v="7"/>
      <x v="46"/>
      <x v="47"/>
    </i>
    <i>
      <x v="244"/>
      <x v="47"/>
      <x v="120"/>
      <x v="127"/>
      <x v="243"/>
      <x v="229"/>
      <x v="90"/>
      <x v="7"/>
      <x v="46"/>
      <x v="47"/>
    </i>
    <i>
      <x v="245"/>
      <x v="47"/>
      <x v="121"/>
      <x v="47"/>
      <x v="244"/>
      <x v="230"/>
      <x v="91"/>
      <x v="7"/>
      <x v="46"/>
      <x v="47"/>
    </i>
    <i>
      <x v="246"/>
      <x v="47"/>
      <x v="121"/>
      <x v="124"/>
      <x v="245"/>
      <x v="230"/>
      <x v="91"/>
      <x v="7"/>
      <x v="46"/>
      <x v="47"/>
    </i>
    <i>
      <x v="247"/>
      <x v="47"/>
      <x v="121"/>
      <x v="125"/>
      <x v="246"/>
      <x v="230"/>
      <x v="91"/>
      <x v="7"/>
      <x v="46"/>
      <x v="47"/>
    </i>
    <i>
      <x v="248"/>
      <x v="47"/>
      <x v="121"/>
      <x v="126"/>
      <x v="247"/>
      <x v="230"/>
      <x v="91"/>
      <x v="7"/>
      <x v="46"/>
      <x v="47"/>
    </i>
    <i>
      <x v="249"/>
      <x v="47"/>
      <x v="121"/>
      <x v="127"/>
      <x v="248"/>
      <x v="230"/>
      <x v="91"/>
      <x v="7"/>
      <x v="46"/>
      <x v="47"/>
    </i>
    <i>
      <x v="250"/>
      <x v="47"/>
      <x v="122"/>
      <x v="47"/>
      <x v="249"/>
      <x v="231"/>
      <x v="92"/>
      <x v="7"/>
      <x v="46"/>
      <x v="47"/>
    </i>
    <i>
      <x v="251"/>
      <x v="47"/>
      <x v="122"/>
      <x v="124"/>
      <x v="250"/>
      <x v="231"/>
      <x v="92"/>
      <x v="7"/>
      <x v="46"/>
      <x v="47"/>
    </i>
    <i>
      <x v="252"/>
      <x v="47"/>
      <x v="122"/>
      <x v="125"/>
      <x v="251"/>
      <x v="231"/>
      <x v="92"/>
      <x v="7"/>
      <x v="46"/>
      <x v="47"/>
    </i>
    <i>
      <x v="253"/>
      <x v="47"/>
      <x v="122"/>
      <x v="126"/>
      <x v="252"/>
      <x v="231"/>
      <x v="92"/>
      <x v="7"/>
      <x v="46"/>
      <x v="47"/>
    </i>
    <i>
      <x v="254"/>
      <x v="47"/>
      <x v="122"/>
      <x v="127"/>
      <x v="253"/>
      <x v="231"/>
      <x v="92"/>
      <x v="7"/>
      <x v="46"/>
      <x v="47"/>
    </i>
    <i>
      <x v="255"/>
      <x v="47"/>
      <x v="123"/>
      <x v="47"/>
      <x v="254"/>
      <x v="232"/>
      <x v="93"/>
      <x v="7"/>
      <x v="46"/>
      <x v="47"/>
    </i>
    <i>
      <x v="256"/>
      <x v="47"/>
      <x v="123"/>
      <x v="124"/>
      <x v="255"/>
      <x v="232"/>
      <x v="93"/>
      <x v="7"/>
      <x v="46"/>
      <x v="47"/>
    </i>
    <i>
      <x v="257"/>
      <x v="47"/>
      <x v="123"/>
      <x v="125"/>
      <x v="256"/>
      <x v="232"/>
      <x v="93"/>
      <x v="7"/>
      <x v="46"/>
      <x v="47"/>
    </i>
    <i>
      <x v="258"/>
      <x v="47"/>
      <x v="123"/>
      <x v="126"/>
      <x v="257"/>
      <x v="232"/>
      <x v="93"/>
      <x v="7"/>
      <x v="46"/>
      <x v="47"/>
    </i>
    <i>
      <x v="259"/>
      <x v="47"/>
      <x v="123"/>
      <x v="127"/>
      <x v="258"/>
      <x v="232"/>
      <x v="93"/>
      <x v="7"/>
      <x v="46"/>
      <x v="47"/>
    </i>
    <i>
      <x v="260"/>
      <x v="48"/>
      <x v="124"/>
      <x v="128"/>
      <x v="259"/>
      <x v="233"/>
      <x v="84"/>
      <x v="19"/>
      <x v="47"/>
      <x v="48"/>
    </i>
    <i>
      <x v="261"/>
      <x v="48"/>
      <x v="98"/>
      <x v="72"/>
      <x v="260"/>
      <x v="164"/>
      <x v="84"/>
      <x v="19"/>
      <x v="47"/>
      <x v="48"/>
    </i>
    <i>
      <x v="262"/>
      <x v="48"/>
      <x v="125"/>
      <x v="128"/>
      <x v="261"/>
      <x v="234"/>
      <x v="84"/>
      <x v="19"/>
      <x v="47"/>
      <x v="48"/>
    </i>
    <i>
      <x v="263"/>
      <x v="48"/>
      <x v="126"/>
      <x v="129"/>
      <x v="262"/>
      <x v="235"/>
      <x v="94"/>
      <x v="19"/>
      <x v="47"/>
      <x v="48"/>
    </i>
    <i>
      <x v="264"/>
      <x v="48"/>
      <x v="127"/>
      <x v="129"/>
      <x v="263"/>
      <x v="236"/>
      <x v="95"/>
      <x v="19"/>
      <x v="47"/>
      <x v="48"/>
    </i>
    <i>
      <x v="265"/>
      <x v="48"/>
      <x v="128"/>
      <x v="129"/>
      <x v="264"/>
      <x v="237"/>
      <x v="96"/>
      <x v="19"/>
      <x v="47"/>
      <x v="48"/>
    </i>
    <i>
      <x v="266"/>
      <x v="48"/>
      <x v="129"/>
      <x v="129"/>
      <x v="265"/>
      <x v="238"/>
      <x v="97"/>
      <x v="19"/>
      <x v="47"/>
      <x v="48"/>
    </i>
    <i>
      <x v="267"/>
      <x v="48"/>
      <x v="130"/>
      <x v="129"/>
      <x v="266"/>
      <x v="239"/>
      <x v="98"/>
      <x v="19"/>
      <x v="47"/>
      <x v="48"/>
    </i>
    <i>
      <x v="268"/>
      <x v="48"/>
      <x v="131"/>
      <x v="129"/>
      <x v="267"/>
      <x v="240"/>
      <x v="99"/>
      <x v="19"/>
      <x v="47"/>
      <x v="48"/>
    </i>
    <i>
      <x v="269"/>
      <x v="48"/>
      <x v="132"/>
      <x v="129"/>
      <x v="268"/>
      <x v="241"/>
      <x v="100"/>
      <x v="19"/>
      <x v="47"/>
      <x v="48"/>
    </i>
    <i>
      <x v="270"/>
      <x v="48"/>
      <x v="133"/>
      <x v="129"/>
      <x v="269"/>
      <x v="242"/>
      <x v="101"/>
      <x v="19"/>
      <x v="47"/>
      <x v="48"/>
    </i>
    <i>
      <x v="271"/>
      <x v="48"/>
      <x v="134"/>
      <x v="129"/>
      <x v="270"/>
      <x v="243"/>
      <x v="102"/>
      <x v="19"/>
      <x v="47"/>
      <x v="48"/>
    </i>
    <i>
      <x v="272"/>
      <x v="48"/>
      <x v="135"/>
      <x v="129"/>
      <x v="271"/>
      <x v="244"/>
      <x v="103"/>
      <x v="19"/>
      <x v="47"/>
      <x v="48"/>
    </i>
    <i>
      <x v="273"/>
      <x v="48"/>
      <x v="136"/>
      <x v="129"/>
      <x v="272"/>
      <x v="245"/>
      <x v="104"/>
      <x v="19"/>
      <x v="47"/>
      <x v="48"/>
    </i>
    <i>
      <x v="274"/>
      <x v="48"/>
      <x v="137"/>
      <x v="129"/>
      <x v="273"/>
      <x v="246"/>
      <x v="105"/>
      <x v="19"/>
      <x v="47"/>
      <x v="48"/>
    </i>
    <i>
      <x v="275"/>
      <x v="48"/>
      <x v="138"/>
      <x v="129"/>
      <x v="274"/>
      <x v="247"/>
      <x v="106"/>
      <x v="19"/>
      <x v="47"/>
      <x v="48"/>
    </i>
    <i>
      <x v="276"/>
      <x v="48"/>
      <x v="99"/>
      <x v="72"/>
      <x v="275"/>
      <x v="248"/>
      <x v="85"/>
      <x v="19"/>
      <x v="47"/>
      <x v="48"/>
    </i>
    <i>
      <x v="277"/>
      <x v="48"/>
      <x v="102"/>
      <x v="72"/>
      <x v="276"/>
      <x v="168"/>
      <x v="85"/>
      <x v="19"/>
      <x v="47"/>
      <x v="48"/>
    </i>
    <i>
      <x v="278"/>
      <x v="48"/>
      <x v="139"/>
      <x v="129"/>
      <x v="277"/>
      <x v="249"/>
      <x v="84"/>
      <x v="19"/>
      <x v="47"/>
      <x v="48"/>
    </i>
    <i>
      <x v="279"/>
      <x v="42"/>
      <x v="104"/>
      <x v="97"/>
      <x v="278"/>
      <x v="250"/>
      <x v="84"/>
      <x v="19"/>
      <x v="42"/>
      <x v="42"/>
    </i>
    <i>
      <x v="280"/>
      <x v="43"/>
      <x v="104"/>
      <x v="98"/>
      <x v="279"/>
      <x v="251"/>
      <x v="84"/>
      <x v="19"/>
      <x v="4"/>
      <x v="43"/>
    </i>
    <i>
      <x v="281"/>
      <x v="43"/>
      <x v="104"/>
      <x v="99"/>
      <x v="280"/>
      <x v="252"/>
      <x v="84"/>
      <x v="19"/>
      <x v="4"/>
      <x v="43"/>
    </i>
    <i>
      <x v="282"/>
      <x v="43"/>
      <x v="104"/>
      <x v="130"/>
      <x v="281"/>
      <x v="253"/>
      <x v="84"/>
      <x v="19"/>
      <x v="4"/>
      <x v="43"/>
    </i>
    <i>
      <x v="283"/>
      <x v="43"/>
      <x v="104"/>
      <x v="131"/>
      <x v="282"/>
      <x v="254"/>
      <x v="84"/>
      <x v="19"/>
      <x v="4"/>
      <x v="43"/>
    </i>
    <i>
      <x v="284"/>
      <x v="48"/>
      <x v="140"/>
      <x v="129"/>
      <x v="283"/>
      <x v="255"/>
      <x v="107"/>
      <x v="19"/>
      <x v="47"/>
      <x v="48"/>
    </i>
    <i>
      <x v="285"/>
      <x v="48"/>
      <x v="141"/>
      <x v="129"/>
      <x v="284"/>
      <x v="256"/>
      <x v="108"/>
      <x v="19"/>
      <x v="47"/>
      <x v="48"/>
    </i>
    <i>
      <x v="286"/>
      <x v="48"/>
      <x v="142"/>
      <x v="129"/>
      <x v="285"/>
      <x v="257"/>
      <x v="108"/>
      <x v="19"/>
      <x v="47"/>
      <x v="48"/>
    </i>
    <i>
      <x v="287"/>
      <x v="48"/>
      <x v="143"/>
      <x v="129"/>
      <x v="286"/>
      <x v="258"/>
      <x v="108"/>
      <x v="19"/>
      <x v="47"/>
      <x v="48"/>
    </i>
    <i>
      <x v="288"/>
      <x v="48"/>
      <x v="144"/>
      <x v="129"/>
      <x v="287"/>
      <x v="259"/>
      <x v="108"/>
      <x v="19"/>
      <x v="47"/>
      <x v="48"/>
    </i>
    <i>
      <x v="289"/>
      <x v="48"/>
      <x v="145"/>
      <x v="129"/>
      <x v="288"/>
      <x v="260"/>
      <x v="109"/>
      <x v="19"/>
      <x v="47"/>
      <x v="48"/>
    </i>
    <i>
      <x v="290"/>
      <x v="48"/>
      <x v="146"/>
      <x v="129"/>
      <x v="289"/>
      <x v="261"/>
      <x v="110"/>
      <x v="19"/>
      <x v="47"/>
      <x v="48"/>
    </i>
    <i>
      <x v="291"/>
      <x v="48"/>
      <x v="147"/>
      <x v="129"/>
      <x v="290"/>
      <x v="262"/>
      <x v="111"/>
      <x v="19"/>
      <x v="47"/>
      <x v="48"/>
    </i>
    <i>
      <x v="292"/>
      <x v="48"/>
      <x v="148"/>
      <x v="129"/>
      <x v="291"/>
      <x v="263"/>
      <x v="112"/>
      <x v="19"/>
      <x v="47"/>
      <x v="48"/>
    </i>
    <i>
      <x v="293"/>
      <x v="48"/>
      <x v="149"/>
      <x v="129"/>
      <x v="292"/>
      <x v="264"/>
      <x v="84"/>
      <x v="19"/>
      <x v="47"/>
      <x v="48"/>
    </i>
    <i>
      <x v="294"/>
      <x v="48"/>
      <x v="150"/>
      <x v="129"/>
      <x v="293"/>
      <x v="265"/>
      <x v="113"/>
      <x v="19"/>
      <x v="47"/>
      <x v="48"/>
    </i>
    <i>
      <x v="295"/>
      <x v="43"/>
      <x v="105"/>
      <x v="98"/>
      <x v="294"/>
      <x v="266"/>
      <x v="84"/>
      <x v="19"/>
      <x v="4"/>
      <x v="43"/>
    </i>
    <i>
      <x v="296"/>
      <x v="43"/>
      <x v="105"/>
      <x v="99"/>
      <x v="295"/>
      <x v="267"/>
      <x v="84"/>
      <x v="19"/>
      <x v="4"/>
      <x v="43"/>
    </i>
    <i>
      <x v="297"/>
      <x v="43"/>
      <x v="105"/>
      <x v="130"/>
      <x v="296"/>
      <x v="268"/>
      <x v="84"/>
      <x v="19"/>
      <x v="4"/>
      <x v="43"/>
    </i>
    <i>
      <x v="298"/>
      <x v="43"/>
      <x v="105"/>
      <x v="131"/>
      <x v="297"/>
      <x v="269"/>
      <x v="84"/>
      <x v="19"/>
      <x v="4"/>
      <x v="43"/>
    </i>
    <i>
      <x v="299"/>
      <x v="43"/>
      <x v="106"/>
      <x v="101"/>
      <x v="298"/>
      <x v="270"/>
      <x v="84"/>
      <x v="19"/>
      <x v="4"/>
      <x v="43"/>
    </i>
    <i>
      <x v="300"/>
      <x v="43"/>
      <x v="106"/>
      <x v="102"/>
      <x v="299"/>
      <x v="271"/>
      <x v="84"/>
      <x v="19"/>
      <x v="4"/>
      <x v="43"/>
    </i>
    <i>
      <x v="301"/>
      <x v="43"/>
      <x v="106"/>
      <x v="103"/>
      <x v="300"/>
      <x v="272"/>
      <x v="84"/>
      <x v="19"/>
      <x v="4"/>
      <x v="43"/>
    </i>
    <i>
      <x v="302"/>
      <x v="43"/>
      <x v="106"/>
      <x v="132"/>
      <x v="301"/>
      <x v="273"/>
      <x v="84"/>
      <x v="19"/>
      <x v="4"/>
      <x v="43"/>
    </i>
    <i>
      <x v="303"/>
      <x v="43"/>
      <x v="106"/>
      <x v="133"/>
      <x v="302"/>
      <x v="274"/>
      <x v="84"/>
      <x v="19"/>
      <x v="4"/>
      <x v="43"/>
    </i>
    <i>
      <x v="304"/>
      <x v="42"/>
      <x v="107"/>
      <x v="104"/>
      <x v="303"/>
      <x v="275"/>
      <x v="84"/>
      <x v="19"/>
      <x v="42"/>
      <x v="42"/>
    </i>
    <i>
      <x v="305"/>
      <x v="43"/>
      <x v="107"/>
      <x v="105"/>
      <x v="304"/>
      <x v="276"/>
      <x v="84"/>
      <x v="19"/>
      <x v="4"/>
      <x v="43"/>
    </i>
    <i>
      <x v="306"/>
      <x v="43"/>
      <x v="107"/>
      <x v="106"/>
      <x v="305"/>
      <x v="277"/>
      <x v="84"/>
      <x v="19"/>
      <x v="4"/>
      <x v="43"/>
    </i>
    <i>
      <x v="307"/>
      <x v="43"/>
      <x v="107"/>
      <x v="134"/>
      <x v="306"/>
      <x v="278"/>
      <x v="84"/>
      <x v="19"/>
      <x v="4"/>
      <x v="43"/>
    </i>
    <i>
      <x v="308"/>
      <x v="43"/>
      <x v="107"/>
      <x v="135"/>
      <x v="307"/>
      <x v="279"/>
      <x v="84"/>
      <x v="19"/>
      <x v="4"/>
      <x v="43"/>
    </i>
    <i>
      <x v="309"/>
      <x v="48"/>
      <x v="108"/>
      <x v="72"/>
      <x v="308"/>
      <x v="182"/>
      <x v="84"/>
      <x v="19"/>
      <x v="47"/>
      <x v="48"/>
    </i>
    <i>
      <x v="310"/>
      <x v="48"/>
      <x v="109"/>
      <x v="72"/>
      <x v="309"/>
      <x v="183"/>
      <x v="84"/>
      <x v="19"/>
      <x v="47"/>
      <x v="48"/>
    </i>
    <i>
      <x v="311"/>
      <x v="48"/>
      <x v="110"/>
      <x v="72"/>
      <x v="310"/>
      <x v="184"/>
      <x v="84"/>
      <x v="19"/>
      <x v="47"/>
      <x v="48"/>
    </i>
    <i>
      <x v="312"/>
      <x v="48"/>
      <x v="151"/>
      <x v="128"/>
      <x v="311"/>
      <x v="280"/>
      <x v="84"/>
      <x v="19"/>
      <x v="47"/>
      <x v="48"/>
    </i>
    <i>
      <x v="313"/>
      <x v="48"/>
      <x v="152"/>
      <x v="128"/>
      <x v="312"/>
      <x v="281"/>
      <x v="84"/>
      <x v="19"/>
      <x v="47"/>
      <x v="48"/>
    </i>
    <i>
      <x v="314"/>
      <x v="49"/>
      <x v="27"/>
      <x v="136"/>
      <x v="313"/>
      <x v="282"/>
      <x v="23"/>
      <x v="6"/>
      <x v="14"/>
      <x v="49"/>
    </i>
    <i>
      <x v="315"/>
      <x v="49"/>
      <x v="29"/>
      <x v="137"/>
      <x v="314"/>
      <x v="283"/>
      <x v="25"/>
      <x v="8"/>
      <x v="14"/>
      <x v="49"/>
    </i>
    <i>
      <x v="316"/>
      <x v="49"/>
      <x v="30"/>
      <x v="137"/>
      <x v="315"/>
      <x v="284"/>
      <x v="26"/>
      <x v="9"/>
      <x v="14"/>
      <x v="49"/>
    </i>
    <i>
      <x v="317"/>
      <x v="49"/>
      <x v="31"/>
      <x v="137"/>
      <x v="316"/>
      <x v="285"/>
      <x v="27"/>
      <x v="10"/>
      <x v="14"/>
      <x v="49"/>
    </i>
    <i>
      <x v="318"/>
      <x v="49"/>
      <x v="153"/>
      <x v="138"/>
      <x v="317"/>
      <x v="62"/>
      <x v="114"/>
      <x v="1"/>
      <x v="14"/>
      <x v="49"/>
    </i>
    <i>
      <x v="319"/>
      <x v="49"/>
      <x v="154"/>
      <x v="49"/>
      <x v="318"/>
      <x v="286"/>
      <x v="115"/>
      <x v="20"/>
      <x v="14"/>
      <x v="49"/>
    </i>
    <i>
      <x v="320"/>
      <x v="49"/>
      <x v="155"/>
      <x v="49"/>
      <x v="319"/>
      <x v="287"/>
      <x v="116"/>
      <x v="2"/>
      <x v="14"/>
      <x v="49"/>
    </i>
    <i>
      <x v="321"/>
      <x v="49"/>
      <x v="156"/>
      <x v="49"/>
      <x v="320"/>
      <x v="288"/>
      <x v="117"/>
      <x v="13"/>
      <x v="14"/>
      <x v="49"/>
    </i>
    <i>
      <x v="322"/>
      <x v="49"/>
      <x v="157"/>
      <x v="49"/>
      <x v="321"/>
      <x v="289"/>
      <x v="118"/>
      <x v="21"/>
      <x v="14"/>
      <x v="49"/>
    </i>
    <i>
      <x v="323"/>
      <x v="49"/>
      <x v="119"/>
      <x v="49"/>
      <x v="322"/>
      <x v="290"/>
      <x v="89"/>
      <x v="13"/>
      <x v="14"/>
      <x v="49"/>
    </i>
    <i>
      <x v="324"/>
      <x v="49"/>
      <x v="158"/>
      <x v="49"/>
      <x v="323"/>
      <x v="291"/>
      <x v="119"/>
      <x v="2"/>
      <x v="14"/>
      <x v="49"/>
    </i>
    <i>
      <x v="325"/>
      <x v="49"/>
      <x v="159"/>
      <x v="49"/>
      <x v="324"/>
      <x v="292"/>
      <x v="30"/>
      <x v="13"/>
      <x v="14"/>
      <x v="49"/>
    </i>
    <i>
      <x v="326"/>
      <x v="49"/>
      <x v="26"/>
      <x v="136"/>
      <x v="325"/>
      <x v="293"/>
      <x v="22"/>
      <x v="6"/>
      <x v="14"/>
      <x v="49"/>
    </i>
    <i>
      <x v="327"/>
      <x v="50"/>
      <x v="160"/>
      <x v="41"/>
      <x v="326"/>
      <x v="294"/>
      <x v="120"/>
      <x v="22"/>
      <x v="48"/>
      <x v="50"/>
    </i>
    <i>
      <x v="328"/>
      <x v="50"/>
      <x v="160"/>
      <x v="139"/>
      <x v="327"/>
      <x v="295"/>
      <x v="120"/>
      <x v="22"/>
      <x v="48"/>
      <x v="50"/>
    </i>
    <i>
      <x v="329"/>
      <x v="50"/>
      <x v="160"/>
      <x v="140"/>
      <x v="328"/>
      <x v="296"/>
      <x v="120"/>
      <x v="22"/>
      <x v="48"/>
      <x v="50"/>
    </i>
    <i>
      <x v="330"/>
      <x v="50"/>
      <x v="82"/>
      <x v="41"/>
      <x v="329"/>
      <x v="297"/>
      <x v="69"/>
      <x v="6"/>
      <x v="48"/>
      <x v="50"/>
    </i>
    <i>
      <x v="331"/>
      <x v="50"/>
      <x v="82"/>
      <x v="141"/>
      <x v="330"/>
      <x v="298"/>
      <x v="69"/>
      <x v="6"/>
      <x v="48"/>
      <x v="50"/>
    </i>
    <i>
      <x v="332"/>
      <x v="50"/>
      <x v="82"/>
      <x v="142"/>
      <x v="331"/>
      <x v="299"/>
      <x v="69"/>
      <x v="6"/>
      <x v="48"/>
      <x v="50"/>
    </i>
    <i>
      <x v="333"/>
      <x v="50"/>
      <x v="82"/>
      <x v="143"/>
      <x v="332"/>
      <x v="300"/>
      <x v="69"/>
      <x v="6"/>
      <x v="48"/>
      <x v="50"/>
    </i>
    <i>
      <x v="334"/>
      <x v="50"/>
      <x v="161"/>
      <x v="41"/>
      <x v="333"/>
      <x v="301"/>
      <x v="26"/>
      <x v="23"/>
      <x v="48"/>
      <x v="50"/>
    </i>
    <i>
      <x v="335"/>
      <x v="50"/>
      <x v="161"/>
      <x v="139"/>
      <x v="334"/>
      <x v="302"/>
      <x v="26"/>
      <x v="23"/>
      <x v="48"/>
      <x v="50"/>
    </i>
    <i>
      <x v="336"/>
      <x v="50"/>
      <x v="161"/>
      <x v="64"/>
      <x v="335"/>
      <x v="303"/>
      <x v="26"/>
      <x v="23"/>
      <x v="48"/>
      <x v="50"/>
    </i>
    <i>
      <x v="337"/>
      <x v="50"/>
      <x v="161"/>
      <x v="144"/>
      <x v="336"/>
      <x v="304"/>
      <x v="26"/>
      <x v="23"/>
      <x v="48"/>
      <x v="50"/>
    </i>
    <i>
      <x v="338"/>
      <x v="50"/>
      <x v="162"/>
      <x v="41"/>
      <x v="337"/>
      <x v="305"/>
      <x v="26"/>
      <x v="23"/>
      <x v="48"/>
      <x v="50"/>
    </i>
    <i>
      <x v="339"/>
      <x v="50"/>
      <x v="162"/>
      <x v="139"/>
      <x v="338"/>
      <x v="306"/>
      <x v="26"/>
      <x v="23"/>
      <x v="48"/>
      <x v="50"/>
    </i>
    <i>
      <x v="340"/>
      <x v="50"/>
      <x v="162"/>
      <x v="64"/>
      <x v="339"/>
      <x v="307"/>
      <x v="26"/>
      <x v="23"/>
      <x v="48"/>
      <x v="50"/>
    </i>
    <i>
      <x v="341"/>
      <x v="50"/>
      <x v="162"/>
      <x v="144"/>
      <x v="340"/>
      <x v="308"/>
      <x v="26"/>
      <x v="23"/>
      <x v="48"/>
      <x v="50"/>
    </i>
    <i>
      <x v="342"/>
      <x v="50"/>
      <x v="163"/>
      <x v="41"/>
      <x v="341"/>
      <x v="309"/>
      <x v="121"/>
      <x v="13"/>
      <x v="48"/>
      <x v="50"/>
    </i>
    <i>
      <x v="343"/>
      <x v="50"/>
      <x v="163"/>
      <x v="145"/>
      <x v="342"/>
      <x v="310"/>
      <x v="121"/>
      <x v="13"/>
      <x v="48"/>
      <x v="50"/>
    </i>
    <i>
      <x v="344"/>
      <x v="50"/>
      <x v="163"/>
      <x v="119"/>
      <x v="343"/>
      <x v="311"/>
      <x v="121"/>
      <x v="13"/>
      <x v="48"/>
      <x v="50"/>
    </i>
    <i>
      <x v="345"/>
      <x v="50"/>
      <x v="163"/>
      <x v="120"/>
      <x v="344"/>
      <x v="312"/>
      <x v="121"/>
      <x v="13"/>
      <x v="48"/>
      <x v="50"/>
    </i>
    <i>
      <x v="346"/>
      <x v="50"/>
      <x v="163"/>
      <x v="121"/>
      <x v="345"/>
      <x v="313"/>
      <x v="121"/>
      <x v="13"/>
      <x v="48"/>
      <x v="50"/>
    </i>
    <i>
      <x v="347"/>
      <x v="50"/>
      <x v="163"/>
      <x v="122"/>
      <x v="346"/>
      <x v="314"/>
      <x v="121"/>
      <x v="13"/>
      <x v="48"/>
      <x v="50"/>
    </i>
    <i>
      <x v="348"/>
      <x v="50"/>
      <x v="163"/>
      <x v="123"/>
      <x v="347"/>
      <x v="315"/>
      <x v="121"/>
      <x v="13"/>
      <x v="48"/>
      <x v="50"/>
    </i>
    <i>
      <x v="349"/>
      <x v="50"/>
      <x v="164"/>
      <x v="41"/>
      <x v="348"/>
      <x v="316"/>
      <x v="122"/>
      <x v="14"/>
      <x v="48"/>
      <x v="50"/>
    </i>
    <i>
      <x v="350"/>
      <x v="50"/>
      <x v="164"/>
      <x v="145"/>
      <x v="349"/>
      <x v="317"/>
      <x v="122"/>
      <x v="14"/>
      <x v="48"/>
      <x v="50"/>
    </i>
    <i>
      <x v="351"/>
      <x v="50"/>
      <x v="164"/>
      <x v="146"/>
      <x v="350"/>
      <x v="318"/>
      <x v="122"/>
      <x v="14"/>
      <x v="48"/>
      <x v="50"/>
    </i>
    <i>
      <x v="352"/>
      <x v="50"/>
      <x v="165"/>
      <x v="41"/>
      <x v="351"/>
      <x v="319"/>
      <x v="123"/>
      <x v="14"/>
      <x v="48"/>
      <x v="50"/>
    </i>
    <i>
      <x v="353"/>
      <x v="50"/>
      <x v="165"/>
      <x v="145"/>
      <x v="352"/>
      <x v="320"/>
      <x v="123"/>
      <x v="14"/>
      <x v="48"/>
      <x v="50"/>
    </i>
    <i>
      <x v="354"/>
      <x v="50"/>
      <x v="165"/>
      <x v="146"/>
      <x v="353"/>
      <x v="321"/>
      <x v="123"/>
      <x v="14"/>
      <x v="48"/>
      <x v="50"/>
    </i>
    <i>
      <x v="355"/>
      <x v="50"/>
      <x v="166"/>
      <x v="41"/>
      <x v="354"/>
      <x v="322"/>
      <x v="124"/>
      <x v="8"/>
      <x v="48"/>
      <x v="50"/>
    </i>
    <i>
      <x v="356"/>
      <x v="50"/>
      <x v="166"/>
      <x v="147"/>
      <x v="355"/>
      <x v="323"/>
      <x v="124"/>
      <x v="8"/>
      <x v="48"/>
      <x v="50"/>
    </i>
    <i>
      <x v="357"/>
      <x v="50"/>
      <x v="167"/>
      <x v="41"/>
      <x v="356"/>
      <x v="324"/>
      <x v="125"/>
      <x v="23"/>
      <x v="48"/>
      <x v="50"/>
    </i>
    <i>
      <x v="358"/>
      <x v="50"/>
      <x v="167"/>
      <x v="139"/>
      <x v="357"/>
      <x v="325"/>
      <x v="125"/>
      <x v="23"/>
      <x v="48"/>
      <x v="50"/>
    </i>
    <i>
      <x v="359"/>
      <x v="50"/>
      <x v="167"/>
      <x v="148"/>
      <x v="358"/>
      <x v="326"/>
      <x v="125"/>
      <x v="23"/>
      <x v="48"/>
      <x v="50"/>
    </i>
    <i>
      <x v="360"/>
      <x v="50"/>
      <x v="168"/>
      <x v="41"/>
      <x v="359"/>
      <x v="327"/>
      <x v="126"/>
      <x v="14"/>
      <x v="48"/>
      <x v="50"/>
    </i>
    <i>
      <x v="361"/>
      <x v="50"/>
      <x v="168"/>
      <x v="145"/>
      <x v="360"/>
      <x v="328"/>
      <x v="126"/>
      <x v="14"/>
      <x v="48"/>
      <x v="50"/>
    </i>
    <i>
      <x v="362"/>
      <x v="50"/>
      <x v="168"/>
      <x v="146"/>
      <x v="361"/>
      <x v="329"/>
      <x v="126"/>
      <x v="14"/>
      <x v="48"/>
      <x v="50"/>
    </i>
    <i>
      <x v="363"/>
      <x v="50"/>
      <x v="153"/>
      <x v="138"/>
      <x v="336"/>
      <x v="330"/>
      <x v="114"/>
      <x v="17"/>
      <x v="48"/>
      <x v="50"/>
    </i>
    <i>
      <x v="364"/>
      <x v="50"/>
      <x v="169"/>
      <x v="41"/>
      <x v="362"/>
      <x v="331"/>
      <x v="127"/>
      <x v="6"/>
      <x v="48"/>
      <x v="50"/>
    </i>
    <i>
      <x v="365"/>
      <x v="50"/>
      <x v="170"/>
      <x v="149"/>
      <x v="363"/>
      <x v="332"/>
      <x v="128"/>
      <x v="17"/>
      <x v="48"/>
      <x v="50"/>
    </i>
    <i>
      <x v="366"/>
      <x v="50"/>
      <x v="171"/>
      <x v="41"/>
      <x v="364"/>
      <x v="333"/>
      <x v="129"/>
      <x v="12"/>
      <x v="48"/>
      <x v="50"/>
    </i>
    <i>
      <x v="367"/>
      <x v="50"/>
      <x v="171"/>
      <x v="145"/>
      <x v="365"/>
      <x v="334"/>
      <x v="129"/>
      <x v="12"/>
      <x v="48"/>
      <x v="50"/>
    </i>
    <i>
      <x v="368"/>
      <x v="50"/>
      <x v="171"/>
      <x v="150"/>
      <x v="366"/>
      <x v="335"/>
      <x v="129"/>
      <x v="12"/>
      <x v="48"/>
      <x v="50"/>
    </i>
    <i>
      <x v="369"/>
      <x v="50"/>
      <x v="171"/>
      <x v="151"/>
      <x v="367"/>
      <x v="336"/>
      <x v="129"/>
      <x v="12"/>
      <x v="48"/>
      <x v="50"/>
    </i>
    <i>
      <x v="370"/>
      <x v="50"/>
      <x v="172"/>
      <x v="41"/>
      <x v="368"/>
      <x v="337"/>
      <x v="130"/>
      <x v="12"/>
      <x v="48"/>
      <x v="50"/>
    </i>
    <i>
      <x v="371"/>
      <x v="50"/>
      <x v="172"/>
      <x v="147"/>
      <x v="369"/>
      <x v="338"/>
      <x v="130"/>
      <x v="12"/>
      <x v="48"/>
      <x v="50"/>
    </i>
    <i>
      <x v="372"/>
      <x v="50"/>
      <x v="172"/>
      <x v="64"/>
      <x v="370"/>
      <x v="339"/>
      <x v="130"/>
      <x v="12"/>
      <x v="48"/>
      <x v="50"/>
    </i>
    <i>
      <x v="373"/>
      <x v="50"/>
      <x v="173"/>
      <x v="41"/>
      <x v="371"/>
      <x v="340"/>
      <x v="131"/>
      <x v="17"/>
      <x v="48"/>
      <x v="50"/>
    </i>
    <i>
      <x v="374"/>
      <x v="50"/>
      <x v="173"/>
      <x v="152"/>
      <x v="372"/>
      <x v="341"/>
      <x v="131"/>
      <x v="17"/>
      <x v="48"/>
      <x v="50"/>
    </i>
    <i>
      <x v="375"/>
      <x v="50"/>
      <x v="173"/>
      <x v="153"/>
      <x v="373"/>
      <x v="342"/>
      <x v="131"/>
      <x v="17"/>
      <x v="48"/>
      <x v="50"/>
    </i>
    <i>
      <x v="376"/>
      <x v="50"/>
      <x v="173"/>
      <x v="154"/>
      <x v="374"/>
      <x v="343"/>
      <x v="131"/>
      <x v="17"/>
      <x v="48"/>
      <x v="50"/>
    </i>
    <i>
      <x v="377"/>
      <x v="50"/>
      <x v="173"/>
      <x v="155"/>
      <x v="375"/>
      <x v="344"/>
      <x v="131"/>
      <x v="17"/>
      <x v="48"/>
      <x v="50"/>
    </i>
    <i>
      <x v="378"/>
      <x v="50"/>
      <x v="174"/>
      <x v="41"/>
      <x v="376"/>
      <x v="345"/>
      <x v="132"/>
      <x v="24"/>
      <x v="48"/>
      <x v="50"/>
    </i>
    <i>
      <x v="379"/>
      <x v="50"/>
      <x v="174"/>
      <x v="139"/>
      <x v="377"/>
      <x v="346"/>
      <x v="132"/>
      <x v="24"/>
      <x v="48"/>
      <x v="50"/>
    </i>
    <i>
      <x v="380"/>
      <x v="50"/>
      <x v="174"/>
      <x v="140"/>
      <x v="378"/>
      <x v="347"/>
      <x v="132"/>
      <x v="24"/>
      <x v="48"/>
      <x v="50"/>
    </i>
    <i>
      <x v="381"/>
      <x v="50"/>
      <x v="174"/>
      <x v="138"/>
      <x v="379"/>
      <x v="348"/>
      <x v="132"/>
      <x v="24"/>
      <x v="48"/>
      <x v="50"/>
    </i>
    <i>
      <x v="382"/>
      <x v="50"/>
      <x v="175"/>
      <x v="41"/>
      <x v="380"/>
      <x v="349"/>
      <x v="26"/>
      <x v="23"/>
      <x v="48"/>
      <x v="50"/>
    </i>
    <i>
      <x v="383"/>
      <x v="50"/>
      <x v="175"/>
      <x v="156"/>
      <x v="381"/>
      <x v="350"/>
      <x v="26"/>
      <x v="23"/>
      <x v="48"/>
      <x v="50"/>
    </i>
    <i>
      <x v="384"/>
      <x v="50"/>
      <x v="175"/>
      <x v="138"/>
      <x v="382"/>
      <x v="1"/>
      <x v="26"/>
      <x v="23"/>
      <x v="48"/>
      <x v="50"/>
    </i>
    <i>
      <x v="385"/>
      <x v="50"/>
      <x v="175"/>
      <x v="144"/>
      <x v="336"/>
      <x v="351"/>
      <x v="26"/>
      <x v="23"/>
      <x v="48"/>
      <x v="50"/>
    </i>
    <i>
      <x v="386"/>
      <x v="50"/>
      <x v="176"/>
      <x v="149"/>
      <x v="383"/>
      <x v="352"/>
      <x v="128"/>
      <x v="17"/>
      <x v="48"/>
      <x v="50"/>
    </i>
    <i>
      <x v="387"/>
      <x v="50"/>
      <x v="177"/>
      <x v="157"/>
      <x v="384"/>
      <x v="353"/>
      <x v="133"/>
      <x v="17"/>
      <x v="48"/>
      <x v="50"/>
    </i>
    <i>
      <x v="388"/>
      <x v="50"/>
      <x v="177"/>
      <x v="64"/>
      <x v="385"/>
      <x v="354"/>
      <x v="133"/>
      <x v="17"/>
      <x v="48"/>
      <x v="50"/>
    </i>
    <i>
      <x v="389"/>
      <x v="50"/>
      <x v="177"/>
      <x v="158"/>
      <x v="386"/>
      <x v="355"/>
      <x v="133"/>
      <x v="17"/>
      <x v="48"/>
      <x v="50"/>
    </i>
    <i>
      <x v="390"/>
      <x v="50"/>
      <x v="177"/>
      <x v="138"/>
      <x v="387"/>
      <x v="356"/>
      <x v="133"/>
      <x v="17"/>
      <x v="48"/>
      <x v="50"/>
    </i>
    <i>
      <x v="391"/>
      <x v="50"/>
      <x v="84"/>
      <x v="41"/>
      <x v="388"/>
      <x v="357"/>
      <x v="71"/>
      <x v="6"/>
      <x v="48"/>
      <x v="50"/>
    </i>
    <i>
      <x v="392"/>
      <x v="50"/>
      <x v="84"/>
      <x v="142"/>
      <x v="389"/>
      <x v="358"/>
      <x v="71"/>
      <x v="6"/>
      <x v="48"/>
      <x v="50"/>
    </i>
    <i>
      <x v="393"/>
      <x v="50"/>
      <x v="84"/>
      <x v="159"/>
      <x v="390"/>
      <x v="359"/>
      <x v="71"/>
      <x v="6"/>
      <x v="48"/>
      <x v="50"/>
    </i>
    <i>
      <x v="394"/>
      <x v="50"/>
      <x v="84"/>
      <x v="160"/>
      <x v="391"/>
      <x v="360"/>
      <x v="71"/>
      <x v="6"/>
      <x v="48"/>
      <x v="50"/>
    </i>
    <i>
      <x v="395"/>
      <x v="50"/>
      <x v="84"/>
      <x v="71"/>
      <x v="392"/>
      <x v="361"/>
      <x v="71"/>
      <x v="6"/>
      <x v="48"/>
      <x v="50"/>
    </i>
    <i>
      <x v="396"/>
      <x v="50"/>
      <x v="178"/>
      <x v="41"/>
      <x v="393"/>
      <x v="362"/>
      <x v="134"/>
      <x v="24"/>
      <x v="48"/>
      <x v="50"/>
    </i>
    <i>
      <x v="397"/>
      <x v="50"/>
      <x v="178"/>
      <x v="139"/>
      <x v="394"/>
      <x v="363"/>
      <x v="134"/>
      <x v="24"/>
      <x v="48"/>
      <x v="50"/>
    </i>
    <i>
      <x v="398"/>
      <x v="50"/>
      <x v="178"/>
      <x v="140"/>
      <x v="395"/>
      <x v="364"/>
      <x v="134"/>
      <x v="24"/>
      <x v="48"/>
      <x v="50"/>
    </i>
    <i>
      <x v="399"/>
      <x v="51"/>
      <x v="179"/>
      <x v="161"/>
      <x v="396"/>
      <x v="365"/>
      <x v="135"/>
      <x v="25"/>
      <x v="49"/>
      <x v="51"/>
    </i>
    <i>
      <x v="400"/>
      <x v="51"/>
      <x v="179"/>
      <x v="162"/>
      <x v="397"/>
      <x v="366"/>
      <x v="135"/>
      <x v="25"/>
      <x v="49"/>
      <x v="51"/>
    </i>
    <i>
      <x v="401"/>
      <x v="51"/>
      <x v="179"/>
      <x v="163"/>
      <x v="398"/>
      <x v="367"/>
      <x v="135"/>
      <x v="25"/>
      <x v="49"/>
      <x v="51"/>
    </i>
    <i>
      <x v="402"/>
      <x v="51"/>
      <x v="179"/>
      <x v="164"/>
      <x v="399"/>
      <x v="368"/>
      <x v="135"/>
      <x v="25"/>
      <x v="49"/>
      <x v="51"/>
    </i>
    <i>
      <x v="403"/>
      <x v="52"/>
      <x v="180"/>
      <x v="41"/>
      <x v="400"/>
      <x v="369"/>
      <x v="136"/>
      <x v="26"/>
      <x v="50"/>
      <x v="52"/>
    </i>
    <i>
      <x v="404"/>
      <x v="52"/>
      <x v="180"/>
      <x v="47"/>
      <x v="401"/>
      <x v="370"/>
      <x v="136"/>
      <x v="26"/>
      <x v="50"/>
      <x v="52"/>
    </i>
    <i>
      <x v="405"/>
      <x v="52"/>
      <x v="180"/>
      <x v="124"/>
      <x v="402"/>
      <x v="371"/>
      <x v="136"/>
      <x v="26"/>
      <x v="50"/>
      <x v="52"/>
    </i>
    <i>
      <x v="406"/>
      <x v="52"/>
      <x v="181"/>
      <x v="41"/>
      <x v="403"/>
      <x v="372"/>
      <x v="137"/>
      <x v="26"/>
      <x v="50"/>
      <x v="52"/>
    </i>
    <i>
      <x v="407"/>
      <x v="52"/>
      <x v="181"/>
      <x v="47"/>
      <x v="404"/>
      <x v="373"/>
      <x v="137"/>
      <x v="26"/>
      <x v="50"/>
      <x v="52"/>
    </i>
    <i>
      <x v="408"/>
      <x v="52"/>
      <x v="181"/>
      <x v="124"/>
      <x v="405"/>
      <x v="374"/>
      <x v="137"/>
      <x v="26"/>
      <x v="50"/>
      <x v="52"/>
    </i>
    <i>
      <x v="409"/>
      <x v="52"/>
      <x v="182"/>
      <x v="41"/>
      <x v="406"/>
      <x v="375"/>
      <x v="138"/>
      <x v="26"/>
      <x v="50"/>
      <x v="52"/>
    </i>
    <i>
      <x v="410"/>
      <x v="52"/>
      <x v="182"/>
      <x v="47"/>
      <x v="407"/>
      <x v="376"/>
      <x v="138"/>
      <x v="26"/>
      <x v="50"/>
      <x v="52"/>
    </i>
    <i>
      <x v="411"/>
      <x v="52"/>
      <x v="182"/>
      <x v="124"/>
      <x v="408"/>
      <x v="377"/>
      <x v="138"/>
      <x v="26"/>
      <x v="50"/>
      <x v="52"/>
    </i>
    <i>
      <x v="412"/>
      <x v="52"/>
      <x v="182"/>
      <x v="125"/>
      <x v="409"/>
      <x v="378"/>
      <x v="138"/>
      <x v="26"/>
      <x v="50"/>
      <x v="52"/>
    </i>
    <i>
      <x v="413"/>
      <x v="52"/>
      <x v="183"/>
      <x v="41"/>
      <x v="410"/>
      <x v="379"/>
      <x v="139"/>
      <x v="26"/>
      <x v="50"/>
      <x v="52"/>
    </i>
    <i>
      <x v="414"/>
      <x v="52"/>
      <x v="183"/>
      <x v="47"/>
      <x v="411"/>
      <x v="380"/>
      <x v="139"/>
      <x v="26"/>
      <x v="50"/>
      <x v="52"/>
    </i>
    <i>
      <x v="415"/>
      <x v="52"/>
      <x v="183"/>
      <x v="124"/>
      <x v="412"/>
      <x v="381"/>
      <x v="139"/>
      <x v="26"/>
      <x v="50"/>
      <x v="52"/>
    </i>
    <i>
      <x v="416"/>
      <x v="52"/>
      <x v="183"/>
      <x v="125"/>
      <x v="413"/>
      <x v="382"/>
      <x v="139"/>
      <x v="26"/>
      <x v="50"/>
      <x v="52"/>
    </i>
    <i>
      <x v="417"/>
      <x v="52"/>
      <x v="184"/>
      <x v="41"/>
      <x v="414"/>
      <x v="383"/>
      <x v="140"/>
      <x v="20"/>
      <x v="50"/>
      <x v="52"/>
    </i>
    <i>
      <x v="418"/>
      <x v="52"/>
      <x v="184"/>
      <x v="2"/>
      <x v="415"/>
      <x v="384"/>
      <x v="140"/>
      <x v="20"/>
      <x v="50"/>
      <x v="52"/>
    </i>
    <i>
      <x v="419"/>
      <x v="52"/>
      <x v="185"/>
      <x v="41"/>
      <x v="416"/>
      <x v="385"/>
      <x v="141"/>
      <x v="20"/>
      <x v="50"/>
      <x v="52"/>
    </i>
    <i>
      <x v="420"/>
      <x v="52"/>
      <x v="185"/>
      <x v="47"/>
      <x v="417"/>
      <x v="386"/>
      <x v="141"/>
      <x v="20"/>
      <x v="50"/>
      <x v="52"/>
    </i>
    <i>
      <x v="421"/>
      <x v="52"/>
      <x v="185"/>
      <x v="124"/>
      <x v="418"/>
      <x v="387"/>
      <x v="141"/>
      <x v="20"/>
      <x v="50"/>
      <x v="52"/>
    </i>
  </rowItem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0">
    <rowHierarchyUsage hierarchyUsage="59"/>
    <rowHierarchyUsage hierarchyUsage="62"/>
    <rowHierarchyUsage hierarchyUsage="65"/>
    <rowHierarchyUsage hierarchyUsage="67"/>
    <rowHierarchyUsage hierarchyUsage="57"/>
    <rowHierarchyUsage hierarchyUsage="60"/>
    <rowHierarchyUsage hierarchyUsage="66"/>
    <rowHierarchyUsage hierarchyUsage="58"/>
    <rowHierarchyUsage hierarchyUsage="64"/>
    <rowHierarchyUsage hierarchyUsage="63"/>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Measur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D958C8A-7A3A-4321-8753-C8FE1042AC5E}" name="PivotTable2" cacheId="739" applyNumberFormats="0" applyBorderFormats="0" applyFontFormats="0" applyPatternFormats="0" applyAlignmentFormats="0" applyWidthHeightFormats="1" dataCaption="Values" tag="148045eb-fe0c-42cf-8b0e-e03a88e114f3" updatedVersion="8" minRefreshableVersion="3" useAutoFormatting="1" rowGrandTotals="0" colGrandTotals="0" itemPrintTitles="1" createdVersion="8" indent="0" compact="0" compactData="0" multipleFieldFilters="0">
  <location ref="A3:F630" firstHeaderRow="1" firstDataRow="2" firstDataCol="5" rowPageCount="1" colPageCount="1"/>
  <pivotFields count="8">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Col" compact="0"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5">
    <field x="1"/>
    <field x="2"/>
    <field x="3"/>
    <field x="4"/>
    <field x="5"/>
  </rowFields>
  <rowItems count="626">
    <i>
      <x/>
      <x/>
      <x/>
      <x/>
      <x/>
    </i>
    <i r="4">
      <x v="1"/>
    </i>
    <i r="4">
      <x v="2"/>
    </i>
    <i r="4">
      <x v="3"/>
    </i>
    <i r="2">
      <x v="1"/>
      <x v="1"/>
      <x/>
    </i>
    <i r="4">
      <x v="1"/>
    </i>
    <i r="4">
      <x v="2"/>
    </i>
    <i r="4">
      <x v="3"/>
    </i>
    <i r="1">
      <x v="1"/>
      <x v="2"/>
      <x v="2"/>
      <x/>
    </i>
    <i r="4">
      <x v="1"/>
    </i>
    <i r="4">
      <x v="2"/>
    </i>
    <i r="4">
      <x v="3"/>
    </i>
    <i r="2">
      <x v="3"/>
      <x v="3"/>
      <x/>
    </i>
    <i r="4">
      <x v="1"/>
    </i>
    <i r="4">
      <x v="2"/>
    </i>
    <i r="4">
      <x v="3"/>
    </i>
    <i r="1">
      <x v="2"/>
      <x v="4"/>
      <x v="4"/>
      <x/>
    </i>
    <i r="4">
      <x v="1"/>
    </i>
    <i r="4">
      <x v="2"/>
    </i>
    <i r="4">
      <x v="3"/>
    </i>
    <i r="2">
      <x v="5"/>
      <x v="5"/>
      <x/>
    </i>
    <i r="4">
      <x v="1"/>
    </i>
    <i r="4">
      <x v="2"/>
    </i>
    <i r="4">
      <x v="3"/>
    </i>
    <i r="2">
      <x v="6"/>
      <x v="6"/>
      <x/>
    </i>
    <i r="4">
      <x v="1"/>
    </i>
    <i r="4">
      <x v="2"/>
    </i>
    <i r="4">
      <x v="3"/>
    </i>
    <i r="1">
      <x v="3"/>
      <x v="7"/>
      <x v="7"/>
      <x/>
    </i>
    <i r="4">
      <x v="1"/>
    </i>
    <i r="4">
      <x v="2"/>
    </i>
    <i r="4">
      <x v="3"/>
    </i>
    <i r="2">
      <x v="8"/>
      <x v="8"/>
      <x/>
    </i>
    <i r="4">
      <x v="1"/>
    </i>
    <i r="4">
      <x v="2"/>
    </i>
    <i r="4">
      <x v="3"/>
    </i>
    <i>
      <x v="1"/>
      <x v="4"/>
      <x v="9"/>
      <x v="9"/>
      <x v="1"/>
    </i>
    <i r="4">
      <x v="2"/>
    </i>
    <i r="4">
      <x v="3"/>
    </i>
    <i r="1">
      <x v="5"/>
      <x v="9"/>
      <x v="10"/>
      <x/>
    </i>
    <i r="4">
      <x v="1"/>
    </i>
    <i r="4">
      <x v="2"/>
    </i>
    <i r="4">
      <x v="3"/>
    </i>
    <i>
      <x v="2"/>
      <x v="6"/>
      <x v="10"/>
      <x v="11"/>
      <x/>
    </i>
    <i r="4">
      <x v="1"/>
    </i>
    <i r="4">
      <x v="2"/>
    </i>
    <i r="4">
      <x v="3"/>
    </i>
    <i r="1">
      <x v="7"/>
      <x v="10"/>
      <x v="12"/>
      <x/>
    </i>
    <i r="4">
      <x v="1"/>
    </i>
    <i r="4">
      <x v="2"/>
    </i>
    <i r="4">
      <x v="3"/>
    </i>
    <i r="1">
      <x v="8"/>
      <x v="10"/>
      <x v="13"/>
      <x/>
    </i>
    <i r="4">
      <x v="1"/>
    </i>
    <i r="4">
      <x v="2"/>
    </i>
    <i r="4">
      <x v="3"/>
    </i>
    <i>
      <x v="3"/>
      <x v="9"/>
      <x v="11"/>
      <x v="14"/>
      <x/>
    </i>
    <i r="4">
      <x v="1"/>
    </i>
    <i r="4">
      <x v="2"/>
    </i>
    <i r="4">
      <x v="3"/>
    </i>
    <i r="2">
      <x v="12"/>
      <x v="15"/>
      <x/>
    </i>
    <i r="4">
      <x v="1"/>
    </i>
    <i r="4">
      <x v="2"/>
    </i>
    <i r="4">
      <x v="3"/>
    </i>
    <i r="2">
      <x v="13"/>
      <x v="16"/>
      <x/>
    </i>
    <i r="4">
      <x v="1"/>
    </i>
    <i r="4">
      <x v="2"/>
    </i>
    <i r="4">
      <x v="3"/>
    </i>
    <i r="2">
      <x v="14"/>
      <x v="17"/>
      <x/>
    </i>
    <i r="4">
      <x v="1"/>
    </i>
    <i r="4">
      <x v="2"/>
    </i>
    <i r="4">
      <x v="3"/>
    </i>
    <i r="1">
      <x v="10"/>
      <x v="15"/>
      <x v="18"/>
      <x/>
    </i>
    <i r="4">
      <x v="1"/>
    </i>
    <i r="4">
      <x v="2"/>
    </i>
    <i r="4">
      <x v="3"/>
    </i>
    <i r="2">
      <x v="16"/>
      <x v="19"/>
      <x/>
    </i>
    <i r="4">
      <x v="1"/>
    </i>
    <i r="4">
      <x v="2"/>
    </i>
    <i r="4">
      <x v="3"/>
    </i>
    <i r="2">
      <x v="17"/>
      <x v="20"/>
      <x/>
    </i>
    <i r="4">
      <x v="1"/>
    </i>
    <i r="4">
      <x v="2"/>
    </i>
    <i r="4">
      <x v="3"/>
    </i>
    <i r="1">
      <x v="11"/>
      <x v="18"/>
      <x v="21"/>
      <x/>
    </i>
    <i r="4">
      <x v="1"/>
    </i>
    <i r="4">
      <x v="2"/>
    </i>
    <i r="4">
      <x v="3"/>
    </i>
    <i r="2">
      <x v="19"/>
      <x v="22"/>
      <x/>
    </i>
    <i r="4">
      <x v="1"/>
    </i>
    <i r="4">
      <x v="2"/>
    </i>
    <i r="4">
      <x v="3"/>
    </i>
    <i r="1">
      <x v="12"/>
      <x v="20"/>
      <x v="23"/>
      <x/>
    </i>
    <i r="4">
      <x v="1"/>
    </i>
    <i r="4">
      <x v="2"/>
    </i>
    <i r="4">
      <x v="3"/>
    </i>
    <i r="2">
      <x v="21"/>
      <x v="24"/>
      <x/>
    </i>
    <i r="4">
      <x v="1"/>
    </i>
    <i r="4">
      <x v="2"/>
    </i>
    <i r="4">
      <x v="3"/>
    </i>
    <i r="2">
      <x v="22"/>
      <x v="25"/>
      <x/>
    </i>
    <i r="4">
      <x v="1"/>
    </i>
    <i r="4">
      <x v="2"/>
    </i>
    <i r="4">
      <x v="3"/>
    </i>
    <i r="2">
      <x v="23"/>
      <x v="26"/>
      <x/>
    </i>
    <i r="4">
      <x v="1"/>
    </i>
    <i r="4">
      <x v="2"/>
    </i>
    <i r="4">
      <x v="3"/>
    </i>
    <i>
      <x v="4"/>
      <x v="13"/>
      <x v="10"/>
      <x v="27"/>
      <x/>
    </i>
    <i r="4">
      <x v="1"/>
    </i>
    <i r="4">
      <x v="2"/>
    </i>
    <i r="4">
      <x v="3"/>
    </i>
    <i r="2">
      <x v="24"/>
      <x v="28"/>
      <x/>
    </i>
    <i r="4">
      <x v="1"/>
    </i>
    <i r="4">
      <x v="2"/>
    </i>
    <i r="4">
      <x v="3"/>
    </i>
    <i r="2">
      <x v="25"/>
      <x v="29"/>
      <x/>
    </i>
    <i r="4">
      <x v="1"/>
    </i>
    <i r="4">
      <x v="2"/>
    </i>
    <i r="4">
      <x v="3"/>
    </i>
    <i r="2">
      <x v="26"/>
      <x v="30"/>
      <x/>
    </i>
    <i r="4">
      <x v="1"/>
    </i>
    <i r="4">
      <x v="2"/>
    </i>
    <i r="4">
      <x v="3"/>
    </i>
    <i r="1">
      <x v="14"/>
      <x v="10"/>
      <x v="31"/>
      <x/>
    </i>
    <i r="4">
      <x v="1"/>
    </i>
    <i r="4">
      <x v="2"/>
    </i>
    <i r="4">
      <x v="3"/>
    </i>
    <i r="2">
      <x v="24"/>
      <x v="32"/>
      <x/>
    </i>
    <i r="4">
      <x v="1"/>
    </i>
    <i r="4">
      <x v="2"/>
    </i>
    <i r="4">
      <x v="3"/>
    </i>
    <i r="2">
      <x v="25"/>
      <x v="33"/>
      <x/>
    </i>
    <i r="4">
      <x v="1"/>
    </i>
    <i r="4">
      <x v="2"/>
    </i>
    <i r="4">
      <x v="3"/>
    </i>
    <i r="2">
      <x v="26"/>
      <x v="34"/>
      <x/>
    </i>
    <i r="4">
      <x v="1"/>
    </i>
    <i r="4">
      <x v="2"/>
    </i>
    <i r="4">
      <x v="3"/>
    </i>
    <i r="1">
      <x v="15"/>
      <x v="10"/>
      <x v="35"/>
      <x/>
    </i>
    <i r="4">
      <x v="1"/>
    </i>
    <i r="4">
      <x v="2"/>
    </i>
    <i r="4">
      <x v="3"/>
    </i>
    <i r="2">
      <x v="24"/>
      <x v="36"/>
      <x/>
    </i>
    <i r="4">
      <x v="1"/>
    </i>
    <i r="4">
      <x v="2"/>
    </i>
    <i r="4">
      <x v="3"/>
    </i>
    <i r="2">
      <x v="25"/>
      <x v="37"/>
      <x/>
    </i>
    <i r="4">
      <x v="1"/>
    </i>
    <i r="4">
      <x v="2"/>
    </i>
    <i r="4">
      <x v="3"/>
    </i>
    <i r="2">
      <x v="26"/>
      <x v="38"/>
      <x/>
    </i>
    <i r="4">
      <x v="1"/>
    </i>
    <i r="4">
      <x v="2"/>
    </i>
    <i r="4">
      <x v="3"/>
    </i>
    <i r="1">
      <x v="16"/>
      <x v="10"/>
      <x v="39"/>
      <x/>
    </i>
    <i r="4">
      <x v="1"/>
    </i>
    <i r="4">
      <x v="2"/>
    </i>
    <i r="4">
      <x v="3"/>
    </i>
    <i r="2">
      <x v="24"/>
      <x v="40"/>
      <x/>
    </i>
    <i r="4">
      <x v="1"/>
    </i>
    <i r="4">
      <x v="2"/>
    </i>
    <i r="4">
      <x v="3"/>
    </i>
    <i r="2">
      <x v="25"/>
      <x v="41"/>
      <x/>
    </i>
    <i r="4">
      <x v="1"/>
    </i>
    <i r="4">
      <x v="2"/>
    </i>
    <i r="4">
      <x v="3"/>
    </i>
    <i r="2">
      <x v="26"/>
      <x v="42"/>
      <x/>
    </i>
    <i r="4">
      <x v="1"/>
    </i>
    <i r="4">
      <x v="2"/>
    </i>
    <i r="4">
      <x v="3"/>
    </i>
    <i>
      <x v="5"/>
      <x v="17"/>
      <x v="27"/>
      <x v="43"/>
      <x/>
    </i>
    <i r="4">
      <x v="1"/>
    </i>
    <i r="4">
      <x v="2"/>
    </i>
    <i r="4">
      <x v="3"/>
    </i>
    <i r="1">
      <x v="18"/>
      <x v="28"/>
      <x v="44"/>
      <x/>
    </i>
    <i r="4">
      <x v="1"/>
    </i>
    <i r="4">
      <x v="2"/>
    </i>
    <i r="4">
      <x v="3"/>
    </i>
    <i r="2">
      <x v="29"/>
      <x v="45"/>
      <x/>
    </i>
    <i r="4">
      <x v="1"/>
    </i>
    <i r="4">
      <x v="2"/>
    </i>
    <i r="4">
      <x v="3"/>
    </i>
    <i r="1">
      <x v="19"/>
      <x v="28"/>
      <x v="46"/>
      <x/>
    </i>
    <i r="4">
      <x v="1"/>
    </i>
    <i r="4">
      <x v="2"/>
    </i>
    <i r="4">
      <x v="3"/>
    </i>
    <i r="1">
      <x v="20"/>
      <x v="28"/>
      <x v="47"/>
      <x/>
    </i>
    <i r="4">
      <x v="1"/>
    </i>
    <i r="4">
      <x v="2"/>
    </i>
    <i r="4">
      <x v="3"/>
    </i>
    <i r="2">
      <x v="29"/>
      <x v="48"/>
      <x/>
    </i>
    <i r="4">
      <x v="1"/>
    </i>
    <i r="4">
      <x v="2"/>
    </i>
    <i r="4">
      <x v="3"/>
    </i>
    <i r="1">
      <x v="21"/>
      <x v="28"/>
      <x v="49"/>
      <x/>
    </i>
    <i r="4">
      <x v="1"/>
    </i>
    <i r="4">
      <x v="2"/>
    </i>
    <i r="4">
      <x v="3"/>
    </i>
    <i>
      <x v="6"/>
      <x v="22"/>
      <x v="30"/>
      <x v="50"/>
      <x/>
    </i>
    <i r="4">
      <x v="1"/>
    </i>
    <i r="4">
      <x v="2"/>
    </i>
    <i r="4">
      <x v="3"/>
    </i>
    <i>
      <x v="7"/>
      <x v="23"/>
      <x v="31"/>
      <x v="51"/>
      <x/>
    </i>
    <i r="4">
      <x v="1"/>
    </i>
    <i r="4">
      <x v="2"/>
    </i>
    <i r="4">
      <x v="3"/>
    </i>
    <i r="2">
      <x v="32"/>
      <x v="52"/>
      <x/>
    </i>
    <i r="4">
      <x v="1"/>
    </i>
    <i r="4">
      <x v="2"/>
    </i>
    <i r="4">
      <x v="3"/>
    </i>
    <i r="2">
      <x v="33"/>
      <x v="53"/>
      <x/>
    </i>
    <i r="4">
      <x v="1"/>
    </i>
    <i r="4">
      <x v="2"/>
    </i>
    <i r="4">
      <x v="3"/>
    </i>
    <i r="2">
      <x v="34"/>
      <x v="54"/>
      <x/>
    </i>
    <i r="4">
      <x v="1"/>
    </i>
    <i r="4">
      <x v="2"/>
    </i>
    <i r="4">
      <x v="3"/>
    </i>
    <i>
      <x v="8"/>
      <x v="24"/>
      <x v="35"/>
      <x v="55"/>
      <x/>
    </i>
    <i r="4">
      <x v="1"/>
    </i>
    <i r="4">
      <x v="2"/>
    </i>
    <i r="4">
      <x v="3"/>
    </i>
    <i r="1">
      <x v="25"/>
      <x v="35"/>
      <x v="56"/>
      <x/>
    </i>
    <i r="4">
      <x v="1"/>
    </i>
    <i r="4">
      <x v="2"/>
    </i>
    <i r="4">
      <x v="3"/>
    </i>
    <i r="1">
      <x v="26"/>
      <x v="35"/>
      <x v="57"/>
      <x/>
    </i>
    <i r="4">
      <x v="1"/>
    </i>
    <i r="4">
      <x v="2"/>
    </i>
    <i r="4">
      <x v="3"/>
    </i>
    <i r="1">
      <x v="27"/>
      <x v="35"/>
      <x v="58"/>
      <x/>
    </i>
    <i r="4">
      <x v="1"/>
    </i>
    <i r="4">
      <x v="2"/>
    </i>
    <i r="4">
      <x v="3"/>
    </i>
    <i r="1">
      <x v="4"/>
      <x v="36"/>
      <x v="59"/>
      <x v="1"/>
    </i>
    <i r="4">
      <x v="2"/>
    </i>
    <i r="4">
      <x v="3"/>
    </i>
    <i r="1">
      <x v="5"/>
      <x v="36"/>
      <x v="60"/>
      <x/>
    </i>
    <i r="4">
      <x v="1"/>
    </i>
    <i r="4">
      <x v="2"/>
    </i>
    <i r="4">
      <x v="3"/>
    </i>
    <i>
      <x v="9"/>
      <x v="28"/>
      <x v="30"/>
      <x v="61"/>
      <x/>
    </i>
    <i r="4">
      <x v="1"/>
    </i>
    <i r="4">
      <x v="2"/>
    </i>
    <i r="4">
      <x v="3"/>
    </i>
    <i r="1">
      <x v="29"/>
      <x v="30"/>
      <x v="62"/>
      <x/>
    </i>
    <i r="4">
      <x v="1"/>
    </i>
    <i r="4">
      <x v="2"/>
    </i>
    <i r="4">
      <x v="3"/>
    </i>
    <i>
      <x v="10"/>
      <x v="9"/>
      <x v="37"/>
      <x v="63"/>
      <x/>
    </i>
    <i r="4">
      <x v="1"/>
    </i>
    <i r="4">
      <x v="2"/>
    </i>
    <i r="4">
      <x v="3"/>
    </i>
    <i r="2">
      <x v="38"/>
      <x v="64"/>
      <x/>
    </i>
    <i r="4">
      <x v="1"/>
    </i>
    <i r="4">
      <x v="2"/>
    </i>
    <i r="4">
      <x v="3"/>
    </i>
    <i r="2">
      <x v="39"/>
      <x v="65"/>
      <x/>
    </i>
    <i r="4">
      <x v="1"/>
    </i>
    <i r="4">
      <x v="2"/>
    </i>
    <i r="4">
      <x v="3"/>
    </i>
    <i r="2">
      <x v="40"/>
      <x v="66"/>
      <x/>
    </i>
    <i r="4">
      <x v="1"/>
    </i>
    <i r="4">
      <x v="2"/>
    </i>
    <i r="4">
      <x v="3"/>
    </i>
    <i r="1">
      <x v="30"/>
      <x v="11"/>
      <x v="67"/>
      <x/>
    </i>
    <i r="4">
      <x v="1"/>
    </i>
    <i r="4">
      <x v="2"/>
    </i>
    <i r="4">
      <x v="3"/>
    </i>
    <i r="2">
      <x v="12"/>
      <x v="68"/>
      <x/>
    </i>
    <i r="4">
      <x v="1"/>
    </i>
    <i r="4">
      <x v="2"/>
    </i>
    <i r="4">
      <x v="3"/>
    </i>
    <i r="2">
      <x v="13"/>
      <x v="69"/>
      <x/>
    </i>
    <i r="4">
      <x v="1"/>
    </i>
    <i r="4">
      <x v="2"/>
    </i>
    <i r="4">
      <x v="3"/>
    </i>
    <i r="2">
      <x v="14"/>
      <x v="70"/>
      <x/>
    </i>
    <i r="4">
      <x v="1"/>
    </i>
    <i r="4">
      <x v="2"/>
    </i>
    <i r="4">
      <x v="3"/>
    </i>
    <i r="2">
      <x v="37"/>
      <x v="71"/>
      <x/>
    </i>
    <i r="4">
      <x v="1"/>
    </i>
    <i r="4">
      <x v="2"/>
    </i>
    <i r="4">
      <x v="3"/>
    </i>
    <i r="2">
      <x v="38"/>
      <x v="72"/>
      <x/>
    </i>
    <i r="4">
      <x v="1"/>
    </i>
    <i r="4">
      <x v="2"/>
    </i>
    <i r="4">
      <x v="3"/>
    </i>
    <i r="1">
      <x v="10"/>
      <x v="37"/>
      <x v="73"/>
      <x/>
    </i>
    <i r="4">
      <x v="1"/>
    </i>
    <i r="4">
      <x v="2"/>
    </i>
    <i r="4">
      <x v="3"/>
    </i>
    <i r="2">
      <x v="38"/>
      <x v="74"/>
      <x/>
    </i>
    <i r="4">
      <x v="1"/>
    </i>
    <i r="4">
      <x v="2"/>
    </i>
    <i r="4">
      <x v="3"/>
    </i>
    <i r="2">
      <x v="39"/>
      <x v="75"/>
      <x/>
    </i>
    <i r="4">
      <x v="1"/>
    </i>
    <i r="4">
      <x v="2"/>
    </i>
    <i r="4">
      <x v="3"/>
    </i>
    <i r="2">
      <x v="40"/>
      <x v="76"/>
      <x/>
    </i>
    <i r="4">
      <x v="1"/>
    </i>
    <i r="4">
      <x v="2"/>
    </i>
    <i r="4">
      <x v="3"/>
    </i>
    <i r="1">
      <x v="31"/>
      <x v="15"/>
      <x v="77"/>
      <x/>
    </i>
    <i r="4">
      <x v="1"/>
    </i>
    <i r="4">
      <x v="2"/>
    </i>
    <i r="4">
      <x v="3"/>
    </i>
    <i r="2">
      <x v="16"/>
      <x v="78"/>
      <x/>
    </i>
    <i r="4">
      <x v="1"/>
    </i>
    <i r="4">
      <x v="2"/>
    </i>
    <i r="4">
      <x v="3"/>
    </i>
    <i r="2">
      <x v="17"/>
      <x v="79"/>
      <x/>
    </i>
    <i r="4">
      <x v="1"/>
    </i>
    <i r="4">
      <x v="2"/>
    </i>
    <i r="4">
      <x v="3"/>
    </i>
    <i r="2">
      <x v="37"/>
      <x v="80"/>
      <x/>
    </i>
    <i r="4">
      <x v="1"/>
    </i>
    <i r="4">
      <x v="2"/>
    </i>
    <i r="4">
      <x v="3"/>
    </i>
    <i r="2">
      <x v="38"/>
      <x v="81"/>
      <x/>
    </i>
    <i r="4">
      <x v="1"/>
    </i>
    <i r="4">
      <x v="2"/>
    </i>
    <i r="4">
      <x v="3"/>
    </i>
    <i r="1">
      <x v="11"/>
      <x v="41"/>
      <x v="82"/>
      <x/>
    </i>
    <i r="4">
      <x v="1"/>
    </i>
    <i r="4">
      <x v="2"/>
    </i>
    <i r="4">
      <x v="3"/>
    </i>
    <i r="2">
      <x v="42"/>
      <x v="83"/>
      <x/>
    </i>
    <i r="4">
      <x v="1"/>
    </i>
    <i r="4">
      <x v="2"/>
    </i>
    <i r="4">
      <x v="3"/>
    </i>
    <i r="2">
      <x v="43"/>
      <x v="84"/>
      <x/>
    </i>
    <i r="4">
      <x v="1"/>
    </i>
    <i r="4">
      <x v="2"/>
    </i>
    <i r="4">
      <x v="3"/>
    </i>
    <i r="2">
      <x v="44"/>
      <x v="85"/>
      <x/>
    </i>
    <i r="4">
      <x v="1"/>
    </i>
    <i r="4">
      <x v="2"/>
    </i>
    <i r="4">
      <x v="3"/>
    </i>
    <i r="2">
      <x v="45"/>
      <x v="86"/>
      <x/>
    </i>
    <i r="4">
      <x v="1"/>
    </i>
    <i r="4">
      <x v="2"/>
    </i>
    <i r="4">
      <x v="3"/>
    </i>
    <i r="1">
      <x v="32"/>
      <x v="18"/>
      <x v="87"/>
      <x/>
    </i>
    <i r="4">
      <x v="1"/>
    </i>
    <i r="4">
      <x v="2"/>
    </i>
    <i r="4">
      <x v="3"/>
    </i>
    <i r="2">
      <x v="19"/>
      <x v="88"/>
      <x/>
    </i>
    <i r="4">
      <x v="1"/>
    </i>
    <i r="4">
      <x v="2"/>
    </i>
    <i r="4">
      <x v="3"/>
    </i>
    <i r="2">
      <x v="41"/>
      <x v="89"/>
      <x/>
    </i>
    <i r="4">
      <x v="1"/>
    </i>
    <i r="4">
      <x v="2"/>
    </i>
    <i r="4">
      <x v="3"/>
    </i>
    <i r="2">
      <x v="42"/>
      <x v="90"/>
      <x/>
    </i>
    <i r="4">
      <x v="1"/>
    </i>
    <i r="4">
      <x v="2"/>
    </i>
    <i r="4">
      <x v="3"/>
    </i>
    <i r="2">
      <x v="43"/>
      <x v="91"/>
      <x/>
    </i>
    <i r="4">
      <x v="1"/>
    </i>
    <i r="4">
      <x v="2"/>
    </i>
    <i r="4">
      <x v="3"/>
    </i>
    <i r="1">
      <x v="12"/>
      <x v="46"/>
      <x v="92"/>
      <x/>
    </i>
    <i r="4">
      <x v="1"/>
    </i>
    <i r="4">
      <x v="2"/>
    </i>
    <i r="4">
      <x v="3"/>
    </i>
    <i r="2">
      <x v="47"/>
      <x v="93"/>
      <x/>
    </i>
    <i r="4">
      <x v="1"/>
    </i>
    <i r="4">
      <x v="2"/>
    </i>
    <i r="4">
      <x v="3"/>
    </i>
    <i r="2">
      <x v="48"/>
      <x v="94"/>
      <x/>
    </i>
    <i r="4">
      <x v="1"/>
    </i>
    <i r="4">
      <x v="2"/>
    </i>
    <i r="4">
      <x v="3"/>
    </i>
    <i r="2">
      <x v="49"/>
      <x v="95"/>
      <x/>
    </i>
    <i r="4">
      <x v="1"/>
    </i>
    <i r="4">
      <x v="2"/>
    </i>
    <i r="4">
      <x v="3"/>
    </i>
    <i r="1">
      <x v="33"/>
      <x v="20"/>
      <x v="96"/>
      <x/>
    </i>
    <i r="4">
      <x v="1"/>
    </i>
    <i r="4">
      <x v="2"/>
    </i>
    <i r="4">
      <x v="3"/>
    </i>
    <i r="2">
      <x v="21"/>
      <x v="97"/>
      <x/>
    </i>
    <i r="4">
      <x v="1"/>
    </i>
    <i r="4">
      <x v="2"/>
    </i>
    <i r="4">
      <x v="3"/>
    </i>
    <i r="2">
      <x v="22"/>
      <x v="98"/>
      <x/>
    </i>
    <i r="4">
      <x v="1"/>
    </i>
    <i r="4">
      <x v="2"/>
    </i>
    <i r="4">
      <x v="3"/>
    </i>
    <i r="2">
      <x v="23"/>
      <x v="99"/>
      <x/>
    </i>
    <i r="4">
      <x v="1"/>
    </i>
    <i r="4">
      <x v="2"/>
    </i>
    <i r="4">
      <x v="3"/>
    </i>
    <i r="2">
      <x v="46"/>
      <x v="100"/>
      <x/>
    </i>
    <i r="4">
      <x v="1"/>
    </i>
    <i r="4">
      <x v="2"/>
    </i>
    <i r="4">
      <x v="3"/>
    </i>
    <i r="2">
      <x v="47"/>
      <x v="101"/>
      <x/>
    </i>
    <i r="4">
      <x v="1"/>
    </i>
    <i r="4">
      <x v="2"/>
    </i>
    <i r="4">
      <x v="3"/>
    </i>
    <i>
      <x v="11"/>
      <x v="34"/>
      <x v="50"/>
      <x v="102"/>
      <x/>
    </i>
    <i r="4">
      <x v="1"/>
    </i>
    <i r="4">
      <x v="2"/>
    </i>
    <i r="4">
      <x v="3"/>
    </i>
    <i r="2">
      <x v="51"/>
      <x v="103"/>
      <x/>
    </i>
    <i r="4">
      <x v="1"/>
    </i>
    <i r="4">
      <x v="2"/>
    </i>
    <i r="4">
      <x v="3"/>
    </i>
    <i r="1">
      <x v="35"/>
      <x v="52"/>
      <x v="104"/>
      <x/>
    </i>
    <i r="4">
      <x v="1"/>
    </i>
    <i r="4">
      <x v="2"/>
    </i>
    <i r="4">
      <x v="3"/>
    </i>
    <i r="2">
      <x v="51"/>
      <x v="105"/>
      <x/>
    </i>
    <i r="4">
      <x v="1"/>
    </i>
    <i r="4">
      <x v="2"/>
    </i>
    <i r="4">
      <x v="3"/>
    </i>
    <i r="2">
      <x v="53"/>
      <x v="106"/>
      <x/>
    </i>
    <i r="4">
      <x v="1"/>
    </i>
    <i r="4">
      <x v="2"/>
    </i>
    <i r="4">
      <x v="3"/>
    </i>
    <i r="2">
      <x v="54"/>
      <x v="107"/>
      <x/>
    </i>
    <i r="4">
      <x v="1"/>
    </i>
    <i r="4">
      <x v="2"/>
    </i>
    <i r="4">
      <x v="3"/>
    </i>
    <i r="2">
      <x v="55"/>
      <x v="108"/>
      <x/>
    </i>
    <i r="4">
      <x v="1"/>
    </i>
    <i r="4">
      <x v="2"/>
    </i>
    <i r="4">
      <x v="3"/>
    </i>
    <i r="2">
      <x v="56"/>
      <x v="109"/>
      <x/>
    </i>
    <i r="4">
      <x v="1"/>
    </i>
    <i r="4">
      <x v="2"/>
    </i>
    <i r="4">
      <x v="3"/>
    </i>
    <i r="2">
      <x v="57"/>
      <x v="110"/>
      <x/>
    </i>
    <i r="4">
      <x v="1"/>
    </i>
    <i r="4">
      <x v="2"/>
    </i>
    <i r="4">
      <x v="3"/>
    </i>
    <i r="1">
      <x v="36"/>
      <x v="58"/>
      <x v="111"/>
      <x/>
    </i>
    <i r="4">
      <x v="1"/>
    </i>
    <i r="4">
      <x v="2"/>
    </i>
    <i r="4">
      <x v="3"/>
    </i>
    <i r="2">
      <x v="59"/>
      <x v="112"/>
      <x/>
    </i>
    <i r="4">
      <x v="1"/>
    </i>
    <i r="4">
      <x v="2"/>
    </i>
    <i r="4">
      <x v="3"/>
    </i>
    <i r="2">
      <x v="60"/>
      <x v="113"/>
      <x/>
    </i>
    <i r="4">
      <x v="1"/>
    </i>
    <i r="4">
      <x v="2"/>
    </i>
    <i r="4">
      <x v="3"/>
    </i>
    <i r="2">
      <x v="51"/>
      <x v="114"/>
      <x/>
    </i>
    <i r="4">
      <x v="1"/>
    </i>
    <i r="4">
      <x v="2"/>
    </i>
    <i r="4">
      <x v="3"/>
    </i>
    <i r="1">
      <x v="37"/>
      <x v="58"/>
      <x v="115"/>
      <x/>
    </i>
    <i r="4">
      <x v="1"/>
    </i>
    <i r="4">
      <x v="2"/>
    </i>
    <i r="4">
      <x v="3"/>
    </i>
    <i r="2">
      <x v="61"/>
      <x v="116"/>
      <x/>
    </i>
    <i r="4">
      <x v="1"/>
    </i>
    <i r="4">
      <x v="2"/>
    </i>
    <i r="4">
      <x v="3"/>
    </i>
    <i r="2">
      <x v="62"/>
      <x v="117"/>
      <x/>
    </i>
    <i r="4">
      <x v="1"/>
    </i>
    <i r="4">
      <x v="2"/>
    </i>
    <i r="4">
      <x v="3"/>
    </i>
    <i r="2">
      <x v="51"/>
      <x v="118"/>
      <x/>
    </i>
    <i r="4">
      <x v="1"/>
    </i>
    <i r="4">
      <x v="2"/>
    </i>
    <i r="4">
      <x v="3"/>
    </i>
    <i r="1">
      <x v="38"/>
      <x v="63"/>
      <x v="119"/>
      <x/>
    </i>
    <i r="4">
      <x v="1"/>
    </i>
    <i r="4">
      <x v="2"/>
    </i>
    <i r="4">
      <x v="3"/>
    </i>
    <i r="2">
      <x v="64"/>
      <x v="120"/>
      <x/>
    </i>
    <i r="4">
      <x v="1"/>
    </i>
    <i r="4">
      <x v="2"/>
    </i>
    <i r="4">
      <x v="3"/>
    </i>
    <i r="2">
      <x v="51"/>
      <x v="121"/>
      <x/>
    </i>
    <i r="4">
      <x v="1"/>
    </i>
    <i r="4">
      <x v="2"/>
    </i>
    <i r="4">
      <x v="3"/>
    </i>
    <i r="1">
      <x v="39"/>
      <x v="63"/>
      <x v="122"/>
      <x/>
    </i>
    <i r="4">
      <x v="1"/>
    </i>
    <i r="4">
      <x v="2"/>
    </i>
    <i r="4">
      <x v="3"/>
    </i>
    <i r="2">
      <x v="64"/>
      <x v="123"/>
      <x/>
    </i>
    <i r="4">
      <x v="1"/>
    </i>
    <i r="4">
      <x v="2"/>
    </i>
    <i r="4">
      <x v="3"/>
    </i>
    <i r="2">
      <x v="51"/>
      <x v="124"/>
      <x/>
    </i>
    <i r="4">
      <x v="1"/>
    </i>
    <i r="4">
      <x v="2"/>
    </i>
    <i r="4">
      <x v="3"/>
    </i>
    <i r="1">
      <x v="40"/>
      <x v="63"/>
      <x v="125"/>
      <x/>
    </i>
    <i r="4">
      <x v="1"/>
    </i>
    <i r="4">
      <x v="2"/>
    </i>
    <i r="4">
      <x v="3"/>
    </i>
    <i r="2">
      <x v="64"/>
      <x v="126"/>
      <x/>
    </i>
    <i r="4">
      <x v="1"/>
    </i>
    <i r="4">
      <x v="2"/>
    </i>
    <i r="4">
      <x v="3"/>
    </i>
    <i r="2">
      <x v="51"/>
      <x v="127"/>
      <x/>
    </i>
    <i r="4">
      <x v="1"/>
    </i>
    <i r="4">
      <x v="2"/>
    </i>
    <i r="4">
      <x v="3"/>
    </i>
    <i r="2">
      <x v="65"/>
      <x v="128"/>
      <x/>
    </i>
    <i r="4">
      <x v="1"/>
    </i>
    <i r="4">
      <x v="2"/>
    </i>
    <i r="4">
      <x v="3"/>
    </i>
    <i r="1">
      <x v="41"/>
      <x v="66"/>
      <x v="129"/>
      <x/>
    </i>
    <i r="4">
      <x v="1"/>
    </i>
    <i r="4">
      <x v="2"/>
    </i>
    <i r="4">
      <x v="3"/>
    </i>
    <i r="2">
      <x v="63"/>
      <x v="130"/>
      <x/>
    </i>
    <i r="4">
      <x v="1"/>
    </i>
    <i r="4">
      <x v="2"/>
    </i>
    <i r="4">
      <x v="3"/>
    </i>
    <i r="2">
      <x v="51"/>
      <x v="131"/>
      <x/>
    </i>
    <i r="4">
      <x v="1"/>
    </i>
    <i r="4">
      <x v="2"/>
    </i>
    <i r="4">
      <x v="3"/>
    </i>
    <i r="1">
      <x v="42"/>
      <x v="67"/>
      <x v="132"/>
      <x/>
    </i>
    <i r="4">
      <x v="1"/>
    </i>
    <i r="4">
      <x v="2"/>
    </i>
    <i r="4">
      <x v="3"/>
    </i>
    <i r="2">
      <x v="51"/>
      <x v="133"/>
      <x/>
    </i>
    <i r="4">
      <x v="1"/>
    </i>
    <i r="4">
      <x v="2"/>
    </i>
    <i r="4">
      <x v="3"/>
    </i>
    <i r="2">
      <x v="65"/>
      <x v="134"/>
      <x/>
    </i>
    <i r="4">
      <x v="1"/>
    </i>
    <i r="4">
      <x v="2"/>
    </i>
    <i r="4">
      <x v="3"/>
    </i>
    <i r="1">
      <x v="43"/>
      <x v="66"/>
      <x v="135"/>
      <x/>
    </i>
    <i r="4">
      <x v="1"/>
    </i>
    <i r="4">
      <x v="2"/>
    </i>
    <i r="4">
      <x v="3"/>
    </i>
    <i r="2">
      <x v="63"/>
      <x v="136"/>
      <x/>
    </i>
    <i r="4">
      <x v="1"/>
    </i>
    <i r="4">
      <x v="2"/>
    </i>
    <i r="4">
      <x v="3"/>
    </i>
    <i r="2">
      <x v="51"/>
      <x v="137"/>
      <x/>
    </i>
    <i r="4">
      <x v="1"/>
    </i>
    <i r="4">
      <x v="2"/>
    </i>
    <i r="4">
      <x v="3"/>
    </i>
    <i r="1">
      <x v="44"/>
      <x v="66"/>
      <x v="138"/>
      <x/>
    </i>
    <i r="4">
      <x v="1"/>
    </i>
    <i r="4">
      <x v="2"/>
    </i>
    <i r="4">
      <x v="3"/>
    </i>
    <i r="2">
      <x v="68"/>
      <x v="139"/>
      <x/>
    </i>
    <i r="4">
      <x v="1"/>
    </i>
    <i r="4">
      <x v="2"/>
    </i>
    <i r="4">
      <x v="3"/>
    </i>
    <i r="2">
      <x v="51"/>
      <x v="140"/>
      <x/>
    </i>
    <i r="4">
      <x v="1"/>
    </i>
    <i r="4">
      <x v="2"/>
    </i>
    <i r="4">
      <x v="3"/>
    </i>
    <i r="1">
      <x v="45"/>
      <x v="69"/>
      <x v="141"/>
      <x/>
    </i>
    <i r="4">
      <x v="1"/>
    </i>
    <i r="4">
      <x v="2"/>
    </i>
    <i r="4">
      <x v="3"/>
    </i>
    <i r="1">
      <x v="46"/>
      <x v="69"/>
      <x v="142"/>
      <x/>
    </i>
    <i r="4">
      <x v="1"/>
    </i>
    <i r="4">
      <x v="2"/>
    </i>
    <i r="4">
      <x v="3"/>
    </i>
    <i>
      <x v="12"/>
      <x v="47"/>
      <x v="10"/>
      <x v="143"/>
      <x/>
    </i>
    <i r="4">
      <x v="1"/>
    </i>
    <i r="4">
      <x v="2"/>
    </i>
    <i r="4">
      <x v="3"/>
    </i>
    <i>
      <x v="13"/>
      <x v="48"/>
      <x v="30"/>
      <x v="144"/>
      <x/>
    </i>
    <i r="4">
      <x v="1"/>
    </i>
    <i r="4">
      <x v="2"/>
    </i>
    <i r="4">
      <x v="3"/>
    </i>
    <i r="1">
      <x v="49"/>
      <x v="10"/>
      <x v="145"/>
      <x/>
    </i>
    <i r="4">
      <x v="1"/>
    </i>
    <i r="4">
      <x v="2"/>
    </i>
    <i r="4">
      <x v="3"/>
    </i>
    <i r="2">
      <x v="24"/>
      <x v="146"/>
      <x/>
    </i>
    <i r="4">
      <x v="1"/>
    </i>
    <i r="4">
      <x v="2"/>
    </i>
    <i r="4">
      <x v="3"/>
    </i>
    <i r="2">
      <x v="25"/>
      <x v="147"/>
      <x/>
    </i>
    <i r="4">
      <x v="1"/>
    </i>
    <i r="4">
      <x v="2"/>
    </i>
    <i r="4">
      <x v="3"/>
    </i>
    <i r="1">
      <x v="50"/>
      <x v="10"/>
      <x v="148"/>
      <x/>
    </i>
    <i r="4">
      <x v="1"/>
    </i>
    <i r="4">
      <x v="2"/>
    </i>
    <i r="4">
      <x v="3"/>
    </i>
    <i r="2">
      <x v="24"/>
      <x v="149"/>
      <x/>
    </i>
    <i r="4">
      <x v="1"/>
    </i>
    <i r="4">
      <x v="2"/>
    </i>
    <i r="4">
      <x v="3"/>
    </i>
    <i r="1">
      <x v="51"/>
      <x v="10"/>
      <x v="150"/>
      <x/>
    </i>
    <i r="4">
      <x v="1"/>
    </i>
    <i r="4">
      <x v="2"/>
    </i>
    <i r="4">
      <x v="3"/>
    </i>
    <i r="2">
      <x v="24"/>
      <x v="151"/>
      <x/>
    </i>
    <i r="4">
      <x v="1"/>
    </i>
    <i r="4">
      <x v="2"/>
    </i>
    <i r="4">
      <x v="3"/>
    </i>
    <i r="1">
      <x v="52"/>
      <x v="10"/>
      <x v="152"/>
      <x/>
    </i>
    <i r="4">
      <x v="1"/>
    </i>
    <i r="4">
      <x v="2"/>
    </i>
    <i r="4">
      <x v="3"/>
    </i>
    <i r="2">
      <x v="24"/>
      <x v="153"/>
      <x/>
    </i>
    <i r="4">
      <x v="1"/>
    </i>
    <i r="4">
      <x v="2"/>
    </i>
    <i r="4">
      <x v="3"/>
    </i>
    <i r="2">
      <x v="25"/>
      <x v="154"/>
      <x/>
    </i>
    <i r="4">
      <x v="1"/>
    </i>
    <i r="4">
      <x v="2"/>
    </i>
    <i r="4">
      <x v="3"/>
    </i>
    <i r="1">
      <x v="53"/>
      <x v="10"/>
      <x v="155"/>
      <x/>
    </i>
    <i r="4">
      <x v="1"/>
    </i>
    <i r="4">
      <x v="2"/>
    </i>
    <i r="4">
      <x v="3"/>
    </i>
    <i r="2">
      <x v="24"/>
      <x v="156"/>
      <x/>
    </i>
    <i r="4">
      <x v="1"/>
    </i>
    <i r="4">
      <x v="2"/>
    </i>
    <i r="4">
      <x v="3"/>
    </i>
  </rowItems>
  <colFields count="1">
    <field x="6"/>
  </colFields>
  <colItems count="1">
    <i>
      <x/>
    </i>
  </colItems>
  <pageFields count="1">
    <pageField fld="0" hier="97" name="[vwWAIOU].[Snapshot].&amp;[Current Data]" cap="Current Data"/>
  </pageFields>
  <dataFields count="1">
    <dataField name="Max of Savings Rate" fld="7" subtotal="max" baseField="5" baseItem="0" numFmtId="2"/>
  </dataFields>
  <formats count="3">
    <format dxfId="14">
      <pivotArea outline="0" collapsedLevelsAreSubtotals="1" fieldPosition="0"/>
    </format>
    <format dxfId="13">
      <pivotArea field="6" type="button" dataOnly="0" labelOnly="1" outline="0" axis="axisCol" fieldPosition="0"/>
    </format>
    <format dxfId="12">
      <pivotArea dataOnly="0" labelOnly="1" outline="0" fieldPosition="0">
        <references count="1">
          <reference field="6" count="0"/>
        </references>
      </pivotArea>
    </format>
  </format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Max of Savings Rat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5">
    <rowHierarchyUsage hierarchyUsage="99"/>
    <rowHierarchyUsage hierarchyUsage="102"/>
    <rowHierarchyUsage hierarchyUsage="103"/>
    <rowHierarchyUsage hierarchyUsage="101"/>
    <rowHierarchyUsage hierarchyUsage="98"/>
  </rowHierarchiesUsage>
  <colHierarchiesUsage count="1">
    <colHierarchyUsage hierarchyUsage="107"/>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WAIOU]"/>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EE83093-C7F6-4703-93CE-BFBB607C3785}" name="PivotTable2" cacheId="740" applyNumberFormats="0" applyBorderFormats="0" applyFontFormats="0" applyPatternFormats="0" applyAlignmentFormats="0" applyWidthHeightFormats="1" dataCaption="Values" tag="07c0f3a5-968b-4bef-a5a2-a669b535e3d8" updatedVersion="8" minRefreshableVersion="3" useAutoFormatting="1" subtotalHiddenItems="1" rowGrandTotals="0" colGrandTotals="0" itemPrintTitles="1" createdVersion="5" indent="0" compact="0" compactData="0" multipleFieldFilters="0">
  <location ref="A1:H101" firstHeaderRow="1" firstDataRow="2" firstDataCol="4"/>
  <pivotFields count="6">
    <pivotField axis="axisRow" compact="0"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8">
        <item x="0"/>
        <item x="1"/>
        <item x="2"/>
        <item x="3"/>
        <item x="4"/>
        <item x="5"/>
        <item x="6"/>
        <item x="7"/>
        <item x="8"/>
        <item x="9"/>
        <item x="10"/>
        <item x="11"/>
        <item x="12"/>
        <item x="13"/>
        <item x="14"/>
        <item x="15"/>
        <item x="16"/>
        <item x="17"/>
      </items>
      <extLst>
        <ext xmlns:x14="http://schemas.microsoft.com/office/spreadsheetml/2009/9/main" uri="{2946ED86-A175-432a-8AC1-64E0C546D7DE}">
          <x14:pivotField fillDownLabels="1"/>
        </ext>
      </extLst>
    </pivotField>
    <pivotField axis="axisCol"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4">
    <field x="0"/>
    <field x="1"/>
    <field x="2"/>
    <field x="3"/>
  </rowFields>
  <rowItems count="99">
    <i>
      <x/>
      <x/>
      <x/>
      <x/>
    </i>
    <i r="2">
      <x v="1"/>
      <x/>
    </i>
    <i r="2">
      <x v="2"/>
      <x/>
    </i>
    <i r="2">
      <x v="3"/>
      <x/>
    </i>
    <i r="2">
      <x v="4"/>
      <x/>
    </i>
    <i r="2">
      <x v="5"/>
      <x/>
    </i>
    <i r="2">
      <x v="6"/>
      <x/>
    </i>
    <i r="2">
      <x v="7"/>
      <x/>
    </i>
    <i r="2">
      <x v="8"/>
      <x/>
    </i>
    <i r="2">
      <x v="9"/>
      <x/>
    </i>
    <i r="2">
      <x v="10"/>
      <x/>
    </i>
    <i r="2">
      <x v="11"/>
      <x/>
    </i>
    <i r="2">
      <x v="12"/>
      <x/>
    </i>
    <i r="2">
      <x v="13"/>
      <x v="1"/>
    </i>
    <i r="2">
      <x v="14"/>
      <x v="1"/>
    </i>
    <i r="2">
      <x v="15"/>
      <x v="2"/>
    </i>
    <i r="2">
      <x v="16"/>
      <x v="2"/>
    </i>
    <i r="2">
      <x v="17"/>
      <x v="2"/>
    </i>
    <i r="2">
      <x v="18"/>
      <x v="3"/>
    </i>
    <i r="2">
      <x v="19"/>
      <x v="3"/>
    </i>
    <i r="2">
      <x v="20"/>
      <x v="4"/>
    </i>
    <i r="2">
      <x v="21"/>
      <x v="4"/>
    </i>
    <i r="2">
      <x v="22"/>
      <x v="4"/>
    </i>
    <i r="2">
      <x v="23"/>
      <x v="5"/>
    </i>
    <i r="2">
      <x v="24"/>
      <x v="5"/>
    </i>
    <i r="2">
      <x v="25"/>
      <x v="5"/>
    </i>
    <i r="2">
      <x v="26"/>
      <x v="5"/>
    </i>
    <i r="2">
      <x v="27"/>
      <x v="5"/>
    </i>
    <i r="2">
      <x v="28"/>
      <x v="5"/>
    </i>
    <i r="2">
      <x v="29"/>
      <x v="5"/>
    </i>
    <i r="2">
      <x v="30"/>
      <x v="5"/>
    </i>
    <i r="2">
      <x v="31"/>
      <x v="5"/>
    </i>
    <i r="2">
      <x v="32"/>
      <x v="5"/>
    </i>
    <i>
      <x v="1"/>
      <x/>
      <x/>
      <x v="6"/>
    </i>
    <i r="2">
      <x v="1"/>
      <x v="6"/>
    </i>
    <i r="2">
      <x v="2"/>
      <x v="6"/>
    </i>
    <i r="2">
      <x v="3"/>
      <x v="6"/>
    </i>
    <i r="2">
      <x v="4"/>
      <x v="6"/>
    </i>
    <i r="2">
      <x v="5"/>
      <x v="6"/>
    </i>
    <i r="2">
      <x v="6"/>
      <x v="6"/>
    </i>
    <i r="2">
      <x v="7"/>
      <x v="6"/>
    </i>
    <i r="2">
      <x v="8"/>
      <x v="6"/>
    </i>
    <i r="2">
      <x v="9"/>
      <x v="6"/>
    </i>
    <i r="2">
      <x v="10"/>
      <x v="6"/>
    </i>
    <i r="2">
      <x v="11"/>
      <x v="6"/>
    </i>
    <i r="2">
      <x v="12"/>
      <x v="6"/>
    </i>
    <i r="2">
      <x v="13"/>
      <x v="7"/>
    </i>
    <i r="2">
      <x v="14"/>
      <x v="7"/>
    </i>
    <i r="2">
      <x v="15"/>
      <x v="8"/>
    </i>
    <i r="2">
      <x v="16"/>
      <x v="8"/>
    </i>
    <i r="2">
      <x v="17"/>
      <x v="8"/>
    </i>
    <i r="2">
      <x v="18"/>
      <x v="9"/>
    </i>
    <i r="2">
      <x v="19"/>
      <x v="9"/>
    </i>
    <i r="2">
      <x v="20"/>
      <x v="10"/>
    </i>
    <i r="2">
      <x v="21"/>
      <x v="10"/>
    </i>
    <i r="2">
      <x v="22"/>
      <x v="10"/>
    </i>
    <i r="2">
      <x v="23"/>
      <x v="11"/>
    </i>
    <i r="2">
      <x v="24"/>
      <x v="11"/>
    </i>
    <i r="2">
      <x v="25"/>
      <x v="11"/>
    </i>
    <i r="2">
      <x v="26"/>
      <x v="11"/>
    </i>
    <i r="2">
      <x v="27"/>
      <x v="11"/>
    </i>
    <i r="2">
      <x v="28"/>
      <x v="11"/>
    </i>
    <i r="2">
      <x v="29"/>
      <x v="11"/>
    </i>
    <i r="2">
      <x v="30"/>
      <x v="11"/>
    </i>
    <i r="2">
      <x v="31"/>
      <x v="11"/>
    </i>
    <i r="2">
      <x v="32"/>
      <x v="11"/>
    </i>
    <i>
      <x v="2"/>
      <x/>
      <x/>
      <x v="12"/>
    </i>
    <i r="2">
      <x v="1"/>
      <x v="12"/>
    </i>
    <i r="2">
      <x v="2"/>
      <x v="12"/>
    </i>
    <i r="2">
      <x v="3"/>
      <x v="12"/>
    </i>
    <i r="2">
      <x v="4"/>
      <x v="12"/>
    </i>
    <i r="2">
      <x v="5"/>
      <x v="12"/>
    </i>
    <i r="2">
      <x v="6"/>
      <x v="12"/>
    </i>
    <i r="2">
      <x v="7"/>
      <x v="12"/>
    </i>
    <i r="2">
      <x v="8"/>
      <x v="12"/>
    </i>
    <i r="2">
      <x v="9"/>
      <x v="12"/>
    </i>
    <i r="2">
      <x v="10"/>
      <x v="12"/>
    </i>
    <i r="2">
      <x v="11"/>
      <x v="12"/>
    </i>
    <i r="2">
      <x v="12"/>
      <x v="12"/>
    </i>
    <i r="2">
      <x v="13"/>
      <x v="13"/>
    </i>
    <i r="2">
      <x v="14"/>
      <x v="13"/>
    </i>
    <i r="2">
      <x v="15"/>
      <x v="14"/>
    </i>
    <i r="2">
      <x v="16"/>
      <x v="14"/>
    </i>
    <i r="2">
      <x v="17"/>
      <x v="14"/>
    </i>
    <i r="2">
      <x v="18"/>
      <x v="15"/>
    </i>
    <i r="2">
      <x v="19"/>
      <x v="15"/>
    </i>
    <i r="2">
      <x v="20"/>
      <x v="16"/>
    </i>
    <i r="2">
      <x v="21"/>
      <x v="16"/>
    </i>
    <i r="2">
      <x v="22"/>
      <x v="16"/>
    </i>
    <i r="2">
      <x v="23"/>
      <x v="17"/>
    </i>
    <i r="2">
      <x v="24"/>
      <x v="17"/>
    </i>
    <i r="2">
      <x v="25"/>
      <x v="17"/>
    </i>
    <i r="2">
      <x v="26"/>
      <x v="17"/>
    </i>
    <i r="2">
      <x v="27"/>
      <x v="17"/>
    </i>
    <i r="2">
      <x v="28"/>
      <x v="17"/>
    </i>
    <i r="2">
      <x v="29"/>
      <x v="17"/>
    </i>
    <i r="2">
      <x v="30"/>
      <x v="17"/>
    </i>
    <i r="2">
      <x v="31"/>
      <x v="17"/>
    </i>
    <i r="2">
      <x v="32"/>
      <x v="17"/>
    </i>
  </rowItems>
  <colFields count="1">
    <field x="4"/>
  </colFields>
  <colItems count="4">
    <i>
      <x/>
    </i>
    <i>
      <x v="1"/>
    </i>
    <i>
      <x v="2"/>
    </i>
    <i>
      <x v="3"/>
    </i>
  </colItems>
  <dataFields count="1">
    <dataField name="Sum of State Funder Share" fld="5" baseField="0" baseItem="0" numFmtId="10"/>
  </dataFields>
  <formats count="4">
    <format dxfId="11">
      <pivotArea outline="0" collapsedLevelsAreSubtotals="1" fieldPosition="0"/>
    </format>
    <format dxfId="10">
      <pivotArea field="4" type="button" dataOnly="0" labelOnly="1" outline="0" axis="axisCol" fieldPosition="0"/>
    </format>
    <format dxfId="9">
      <pivotArea type="topRight" dataOnly="0" labelOnly="1" outline="0" fieldPosition="0"/>
    </format>
    <format dxfId="8">
      <pivotArea dataOnly="0" labelOnly="1" outline="0" fieldPosition="0">
        <references count="1">
          <reference field="4" count="0"/>
        </references>
      </pivotArea>
    </format>
  </format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caption="Average of State Allocation"/>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4">
    <rowHierarchyUsage hierarchyUsage="49"/>
    <rowHierarchyUsage hierarchyUsage="50"/>
    <rowHierarchyUsage hierarchyUsage="52"/>
    <rowHierarchyUsage hierarchyUsage="53"/>
  </rowHierarchiesUsage>
  <colHierarchiesUsage count="1">
    <colHierarchyUsage hierarchyUsage="54"/>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FunderShar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D0CA87F-7E91-4580-B4BC-E8D8F3604E78}" name="PivotTable3" cacheId="74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L1:N5" firstHeaderRow="0" firstDataRow="1" firstDataCol="1"/>
  <pivotFields count="3">
    <pivotField axis="axisRow" allDrilled="1" subtotalTop="0" showAll="0" dataSourceSort="1" defaultSubtotal="0" defaultAttributeDrillState="1">
      <items count="3">
        <item x="0"/>
        <item x="1"/>
        <item x="2"/>
      </items>
    </pivotField>
    <pivotField dataField="1" subtotalTop="0" showAll="0" defaultSubtotal="0"/>
    <pivotField dataField="1" subtotalTop="0" showAll="0" defaultSubtotal="0"/>
  </pivotFields>
  <rowFields count="1">
    <field x="0"/>
  </rowFields>
  <rowItems count="4">
    <i>
      <x/>
    </i>
    <i>
      <x v="1"/>
    </i>
    <i>
      <x v="2"/>
    </i>
    <i t="grand">
      <x/>
    </i>
  </rowItems>
  <colFields count="1">
    <field x="-2"/>
  </colFields>
  <colItems count="2">
    <i>
      <x/>
    </i>
    <i i="1">
      <x v="1"/>
    </i>
  </colItems>
  <dataFields count="2">
    <dataField name="Residential" fld="2" subtotal="average" baseField="0" baseItem="0" numFmtId="10"/>
    <dataField name="Commercial" fld="1" subtotal="average" baseField="0" baseItem="0" numFmtId="10"/>
  </dataField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sidential"/>
    <pivotHierarchy dragToData="1" caption="Commercial"/>
    <pivotHierarchy dragToData="1" caption="Residential"/>
    <pivotHierarchy dragToData="1"/>
  </pivotHierarchies>
  <pivotTableStyleInfo name="PivotStyleLight16" showRowHeaders="1" showColHeaders="1" showRowStripes="0" showColStripes="0" showLastColumn="1"/>
  <rowHierarchiesUsage count="1">
    <rowHierarchyUsage hierarchyUsage="2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tate Shares for Cod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6E7A0A4-2699-42D5-B7CA-7E174223E7B5}" name="PivotTable4" cacheId="738" applyNumberFormats="0" applyBorderFormats="0" applyFontFormats="0" applyPatternFormats="0" applyAlignmentFormats="0" applyWidthHeightFormats="1" dataCaption="Values" tag="881fd1e3-d0c8-4372-b1e7-214b27219aec" updatedVersion="8" minRefreshableVersion="3" useAutoFormatting="1" rowGrandTotals="0" colGrandTotals="0" itemPrintTitles="1" createdVersion="8" indent="0" compact="0" compactData="0" multipleFieldFilters="0">
  <location ref="A3:H646" firstHeaderRow="1" firstDataRow="2" firstDataCol="5" rowPageCount="1" colPageCount="1"/>
  <pivotFields count="8">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Col" compact="0" allDrilled="1" outline="0" subtotalTop="0" showAll="0" defaultSubtotal="0" defaultAttributeDrillState="1">
      <items count="3">
        <item s="1" x="2"/>
        <item s="1" x="1"/>
        <item s="1" x="0"/>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5">
    <field x="0"/>
    <field x="1"/>
    <field x="2"/>
    <field x="3"/>
    <field x="4"/>
  </rowFields>
  <rowItems count="642">
    <i>
      <x/>
      <x/>
      <x/>
      <x/>
      <x/>
    </i>
    <i r="3">
      <x v="1"/>
      <x v="1"/>
    </i>
    <i r="2">
      <x v="1"/>
      <x v="2"/>
      <x v="2"/>
    </i>
    <i r="3">
      <x v="3"/>
      <x v="3"/>
    </i>
    <i r="2">
      <x v="2"/>
      <x v="4"/>
      <x v="4"/>
    </i>
    <i r="3">
      <x v="5"/>
      <x v="5"/>
    </i>
    <i r="3">
      <x v="6"/>
      <x v="6"/>
    </i>
    <i r="2">
      <x v="3"/>
      <x v="7"/>
      <x v="7"/>
    </i>
    <i r="3">
      <x v="8"/>
      <x v="8"/>
    </i>
    <i r="1">
      <x v="1"/>
      <x v="4"/>
      <x v="9"/>
      <x v="9"/>
    </i>
    <i r="1">
      <x v="2"/>
      <x v="5"/>
      <x v="10"/>
      <x v="10"/>
    </i>
    <i r="2">
      <x v="6"/>
      <x v="10"/>
      <x v="11"/>
    </i>
    <i r="2">
      <x v="7"/>
      <x v="10"/>
      <x v="12"/>
    </i>
    <i r="1">
      <x v="3"/>
      <x v="8"/>
      <x v="11"/>
      <x v="13"/>
    </i>
    <i r="3">
      <x v="12"/>
      <x v="14"/>
    </i>
    <i r="3">
      <x v="13"/>
      <x v="15"/>
    </i>
    <i r="3">
      <x v="14"/>
      <x v="16"/>
    </i>
    <i r="2">
      <x v="9"/>
      <x v="15"/>
      <x v="17"/>
    </i>
    <i r="3">
      <x v="16"/>
      <x v="18"/>
    </i>
    <i r="3">
      <x v="17"/>
      <x v="19"/>
    </i>
    <i r="2">
      <x v="10"/>
      <x v="18"/>
      <x v="20"/>
    </i>
    <i r="3">
      <x v="19"/>
      <x v="21"/>
    </i>
    <i r="2">
      <x v="11"/>
      <x v="20"/>
      <x v="22"/>
    </i>
    <i r="3">
      <x v="21"/>
      <x v="23"/>
    </i>
    <i r="3">
      <x v="22"/>
      <x v="24"/>
    </i>
    <i r="3">
      <x v="23"/>
      <x v="25"/>
    </i>
    <i r="1">
      <x v="4"/>
      <x v="12"/>
      <x v="10"/>
      <x v="26"/>
    </i>
    <i r="3">
      <x v="24"/>
      <x v="27"/>
    </i>
    <i r="3">
      <x v="25"/>
      <x v="28"/>
    </i>
    <i r="3">
      <x v="26"/>
      <x v="29"/>
    </i>
    <i r="3">
      <x v="27"/>
      <x v="30"/>
    </i>
    <i r="2">
      <x v="13"/>
      <x v="10"/>
      <x v="31"/>
    </i>
    <i r="3">
      <x v="24"/>
      <x v="32"/>
    </i>
    <i r="3">
      <x v="25"/>
      <x v="33"/>
    </i>
    <i r="3">
      <x v="26"/>
      <x v="34"/>
    </i>
    <i r="3">
      <x v="27"/>
      <x v="35"/>
    </i>
    <i r="2">
      <x v="14"/>
      <x v="10"/>
      <x v="36"/>
    </i>
    <i r="3">
      <x v="24"/>
      <x v="37"/>
    </i>
    <i r="3">
      <x v="25"/>
      <x v="38"/>
    </i>
    <i r="3">
      <x v="26"/>
      <x v="39"/>
    </i>
    <i r="3">
      <x v="27"/>
      <x v="40"/>
    </i>
    <i r="2">
      <x v="15"/>
      <x v="10"/>
      <x v="41"/>
    </i>
    <i r="3">
      <x v="24"/>
      <x v="42"/>
    </i>
    <i r="3">
      <x v="25"/>
      <x v="43"/>
    </i>
    <i r="3">
      <x v="26"/>
      <x v="44"/>
    </i>
    <i r="3">
      <x v="27"/>
      <x v="45"/>
    </i>
    <i r="1">
      <x v="5"/>
      <x v="16"/>
      <x v="28"/>
      <x v="46"/>
    </i>
    <i r="2">
      <x v="17"/>
      <x v="29"/>
      <x v="47"/>
    </i>
    <i r="3">
      <x v="30"/>
      <x v="48"/>
    </i>
    <i r="2">
      <x v="18"/>
      <x v="29"/>
      <x v="49"/>
    </i>
    <i r="2">
      <x v="19"/>
      <x v="29"/>
      <x v="50"/>
    </i>
    <i r="3">
      <x v="30"/>
      <x v="51"/>
    </i>
    <i r="2">
      <x v="20"/>
      <x v="29"/>
      <x v="52"/>
    </i>
    <i r="1">
      <x v="6"/>
      <x v="21"/>
      <x v="31"/>
      <x v="53"/>
    </i>
    <i r="1">
      <x v="7"/>
      <x v="22"/>
      <x v="32"/>
      <x v="54"/>
    </i>
    <i r="3">
      <x v="33"/>
      <x v="55"/>
    </i>
    <i r="3">
      <x v="34"/>
      <x v="56"/>
    </i>
    <i r="3">
      <x v="35"/>
      <x v="57"/>
    </i>
    <i r="1">
      <x v="8"/>
      <x v="23"/>
      <x v="36"/>
      <x v="58"/>
    </i>
    <i r="2">
      <x v="24"/>
      <x v="36"/>
      <x v="59"/>
    </i>
    <i r="2">
      <x v="25"/>
      <x v="36"/>
      <x v="60"/>
    </i>
    <i r="2">
      <x v="26"/>
      <x v="36"/>
      <x v="61"/>
    </i>
    <i r="2">
      <x v="4"/>
      <x v="37"/>
      <x v="62"/>
    </i>
    <i r="1">
      <x v="9"/>
      <x v="27"/>
      <x v="31"/>
      <x v="63"/>
    </i>
    <i r="2">
      <x v="28"/>
      <x v="31"/>
      <x v="64"/>
    </i>
    <i r="1">
      <x v="10"/>
      <x v="8"/>
      <x v="38"/>
      <x v="65"/>
    </i>
    <i r="3">
      <x v="39"/>
      <x v="66"/>
    </i>
    <i r="3">
      <x v="40"/>
      <x v="67"/>
    </i>
    <i r="3">
      <x v="41"/>
      <x v="68"/>
    </i>
    <i r="2">
      <x v="29"/>
      <x v="11"/>
      <x v="69"/>
    </i>
    <i r="3">
      <x v="12"/>
      <x v="70"/>
    </i>
    <i r="3">
      <x v="13"/>
      <x v="71"/>
    </i>
    <i r="3">
      <x v="14"/>
      <x v="72"/>
    </i>
    <i r="3">
      <x v="38"/>
      <x v="73"/>
    </i>
    <i r="3">
      <x v="39"/>
      <x v="74"/>
    </i>
    <i r="2">
      <x v="9"/>
      <x v="38"/>
      <x v="75"/>
    </i>
    <i r="3">
      <x v="39"/>
      <x v="76"/>
    </i>
    <i r="3">
      <x v="40"/>
      <x v="77"/>
    </i>
    <i r="3">
      <x v="41"/>
      <x v="78"/>
    </i>
    <i r="2">
      <x v="30"/>
      <x v="15"/>
      <x v="79"/>
    </i>
    <i r="3">
      <x v="16"/>
      <x v="80"/>
    </i>
    <i r="3">
      <x v="17"/>
      <x v="81"/>
    </i>
    <i r="3">
      <x v="38"/>
      <x v="82"/>
    </i>
    <i r="3">
      <x v="39"/>
      <x v="83"/>
    </i>
    <i r="2">
      <x v="10"/>
      <x v="42"/>
      <x v="84"/>
    </i>
    <i r="3">
      <x v="43"/>
      <x v="85"/>
    </i>
    <i r="3">
      <x v="44"/>
      <x v="86"/>
    </i>
    <i r="3">
      <x v="45"/>
      <x v="87"/>
    </i>
    <i r="3">
      <x v="46"/>
      <x v="88"/>
    </i>
    <i r="2">
      <x v="31"/>
      <x v="18"/>
      <x v="89"/>
    </i>
    <i r="3">
      <x v="19"/>
      <x v="90"/>
    </i>
    <i r="3">
      <x v="42"/>
      <x v="91"/>
    </i>
    <i r="3">
      <x v="43"/>
      <x v="92"/>
    </i>
    <i r="3">
      <x v="44"/>
      <x v="93"/>
    </i>
    <i r="2">
      <x v="11"/>
      <x v="47"/>
      <x v="94"/>
    </i>
    <i r="3">
      <x v="48"/>
      <x v="95"/>
    </i>
    <i r="3">
      <x v="49"/>
      <x v="96"/>
    </i>
    <i r="3">
      <x v="50"/>
      <x v="97"/>
    </i>
    <i r="2">
      <x v="32"/>
      <x v="20"/>
      <x v="98"/>
    </i>
    <i r="3">
      <x v="21"/>
      <x v="99"/>
    </i>
    <i r="3">
      <x v="22"/>
      <x v="100"/>
    </i>
    <i r="3">
      <x v="23"/>
      <x v="101"/>
    </i>
    <i r="3">
      <x v="47"/>
      <x v="102"/>
    </i>
    <i r="3">
      <x v="48"/>
      <x v="103"/>
    </i>
    <i r="1">
      <x v="11"/>
      <x v="33"/>
      <x v="51"/>
      <x v="104"/>
    </i>
    <i r="3">
      <x v="52"/>
      <x v="105"/>
    </i>
    <i r="2">
      <x v="34"/>
      <x v="53"/>
      <x v="106"/>
    </i>
    <i r="3">
      <x v="52"/>
      <x v="107"/>
    </i>
    <i r="3">
      <x v="54"/>
      <x v="108"/>
    </i>
    <i r="3">
      <x v="55"/>
      <x v="109"/>
    </i>
    <i r="3">
      <x v="56"/>
      <x v="110"/>
    </i>
    <i r="3">
      <x v="57"/>
      <x v="111"/>
    </i>
    <i r="3">
      <x v="58"/>
      <x v="112"/>
    </i>
    <i r="2">
      <x v="35"/>
      <x v="59"/>
      <x v="113"/>
    </i>
    <i r="3">
      <x v="60"/>
      <x v="114"/>
    </i>
    <i r="3">
      <x v="61"/>
      <x v="115"/>
    </i>
    <i r="3">
      <x v="52"/>
      <x v="116"/>
    </i>
    <i r="2">
      <x v="36"/>
      <x v="59"/>
      <x v="117"/>
    </i>
    <i r="3">
      <x v="62"/>
      <x v="118"/>
    </i>
    <i r="3">
      <x v="63"/>
      <x v="119"/>
    </i>
    <i r="3">
      <x v="52"/>
      <x v="120"/>
    </i>
    <i r="2">
      <x v="37"/>
      <x v="64"/>
      <x v="121"/>
    </i>
    <i r="3">
      <x v="65"/>
      <x v="122"/>
    </i>
    <i r="3">
      <x v="52"/>
      <x v="123"/>
    </i>
    <i r="2">
      <x v="38"/>
      <x v="64"/>
      <x v="124"/>
    </i>
    <i r="3">
      <x v="65"/>
      <x v="125"/>
    </i>
    <i r="3">
      <x v="52"/>
      <x v="126"/>
    </i>
    <i r="2">
      <x v="39"/>
      <x v="64"/>
      <x v="127"/>
    </i>
    <i r="3">
      <x v="65"/>
      <x v="128"/>
    </i>
    <i r="3">
      <x v="52"/>
      <x v="129"/>
    </i>
    <i r="3">
      <x v="66"/>
      <x v="130"/>
    </i>
    <i r="2">
      <x v="40"/>
      <x v="67"/>
      <x v="131"/>
    </i>
    <i r="3">
      <x v="64"/>
      <x v="132"/>
    </i>
    <i r="3">
      <x v="52"/>
      <x v="133"/>
    </i>
    <i r="2">
      <x v="41"/>
      <x v="68"/>
      <x v="134"/>
    </i>
    <i r="3">
      <x v="52"/>
      <x v="135"/>
    </i>
    <i r="3">
      <x v="66"/>
      <x v="136"/>
    </i>
    <i r="2">
      <x v="42"/>
      <x v="67"/>
      <x v="137"/>
    </i>
    <i r="3">
      <x v="64"/>
      <x v="138"/>
    </i>
    <i r="3">
      <x v="52"/>
      <x v="139"/>
    </i>
    <i r="2">
      <x v="43"/>
      <x v="67"/>
      <x v="140"/>
    </i>
    <i r="3">
      <x v="69"/>
      <x v="141"/>
    </i>
    <i r="3">
      <x v="52"/>
      <x v="142"/>
    </i>
    <i r="2">
      <x v="44"/>
      <x v="70"/>
      <x v="143"/>
    </i>
    <i r="2">
      <x v="45"/>
      <x v="70"/>
      <x v="144"/>
    </i>
    <i r="1">
      <x v="12"/>
      <x v="46"/>
      <x v="10"/>
      <x v="145"/>
    </i>
    <i r="1">
      <x v="13"/>
      <x v="47"/>
      <x v="31"/>
      <x v="146"/>
    </i>
    <i r="2">
      <x v="48"/>
      <x v="10"/>
      <x v="147"/>
    </i>
    <i r="3">
      <x v="24"/>
      <x v="148"/>
    </i>
    <i r="3">
      <x v="25"/>
      <x v="149"/>
    </i>
    <i r="2">
      <x v="49"/>
      <x v="10"/>
      <x v="150"/>
    </i>
    <i r="3">
      <x v="24"/>
      <x v="151"/>
    </i>
    <i r="2">
      <x v="50"/>
      <x v="10"/>
      <x v="152"/>
    </i>
    <i r="3">
      <x v="24"/>
      <x v="153"/>
    </i>
    <i r="2">
      <x v="51"/>
      <x v="10"/>
      <x v="154"/>
    </i>
    <i r="3">
      <x v="24"/>
      <x v="155"/>
    </i>
    <i r="3">
      <x v="25"/>
      <x v="156"/>
    </i>
    <i r="2">
      <x v="52"/>
      <x v="10"/>
      <x v="157"/>
    </i>
    <i r="3">
      <x v="24"/>
      <x v="158"/>
    </i>
    <i>
      <x v="1"/>
      <x/>
      <x/>
      <x/>
      <x/>
    </i>
    <i r="3">
      <x v="1"/>
      <x v="1"/>
    </i>
    <i r="2">
      <x v="1"/>
      <x v="2"/>
      <x v="2"/>
    </i>
    <i r="3">
      <x v="3"/>
      <x v="3"/>
    </i>
    <i r="2">
      <x v="2"/>
      <x v="4"/>
      <x v="4"/>
    </i>
    <i r="3">
      <x v="5"/>
      <x v="5"/>
    </i>
    <i r="3">
      <x v="6"/>
      <x v="6"/>
    </i>
    <i r="2">
      <x v="3"/>
      <x v="7"/>
      <x v="7"/>
    </i>
    <i r="3">
      <x v="8"/>
      <x v="8"/>
    </i>
    <i r="1">
      <x v="1"/>
      <x v="53"/>
      <x v="9"/>
      <x v="159"/>
    </i>
    <i r="2">
      <x v="4"/>
      <x v="9"/>
      <x v="9"/>
    </i>
    <i r="1">
      <x v="2"/>
      <x v="5"/>
      <x v="10"/>
      <x v="10"/>
    </i>
    <i r="2">
      <x v="6"/>
      <x v="10"/>
      <x v="11"/>
    </i>
    <i r="2">
      <x v="7"/>
      <x v="10"/>
      <x v="12"/>
    </i>
    <i r="1">
      <x v="3"/>
      <x v="8"/>
      <x v="11"/>
      <x v="13"/>
    </i>
    <i r="3">
      <x v="12"/>
      <x v="14"/>
    </i>
    <i r="3">
      <x v="13"/>
      <x v="15"/>
    </i>
    <i r="3">
      <x v="14"/>
      <x v="16"/>
    </i>
    <i r="2">
      <x v="9"/>
      <x v="15"/>
      <x v="17"/>
    </i>
    <i r="3">
      <x v="16"/>
      <x v="18"/>
    </i>
    <i r="3">
      <x v="17"/>
      <x v="19"/>
    </i>
    <i r="2">
      <x v="10"/>
      <x v="18"/>
      <x v="20"/>
    </i>
    <i r="3">
      <x v="19"/>
      <x v="21"/>
    </i>
    <i r="2">
      <x v="11"/>
      <x v="20"/>
      <x v="22"/>
    </i>
    <i r="3">
      <x v="21"/>
      <x v="23"/>
    </i>
    <i r="3">
      <x v="22"/>
      <x v="24"/>
    </i>
    <i r="3">
      <x v="23"/>
      <x v="25"/>
    </i>
    <i r="1">
      <x v="4"/>
      <x v="12"/>
      <x v="10"/>
      <x v="26"/>
    </i>
    <i r="3">
      <x v="24"/>
      <x v="27"/>
    </i>
    <i r="3">
      <x v="25"/>
      <x v="28"/>
    </i>
    <i r="3">
      <x v="26"/>
      <x v="29"/>
    </i>
    <i r="3">
      <x v="27"/>
      <x v="30"/>
    </i>
    <i r="2">
      <x v="13"/>
      <x v="10"/>
      <x v="31"/>
    </i>
    <i r="3">
      <x v="24"/>
      <x v="32"/>
    </i>
    <i r="3">
      <x v="25"/>
      <x v="33"/>
    </i>
    <i r="3">
      <x v="26"/>
      <x v="34"/>
    </i>
    <i r="3">
      <x v="27"/>
      <x v="35"/>
    </i>
    <i r="2">
      <x v="14"/>
      <x v="10"/>
      <x v="36"/>
    </i>
    <i r="3">
      <x v="24"/>
      <x v="37"/>
    </i>
    <i r="3">
      <x v="25"/>
      <x v="38"/>
    </i>
    <i r="3">
      <x v="26"/>
      <x v="39"/>
    </i>
    <i r="3">
      <x v="27"/>
      <x v="40"/>
    </i>
    <i r="2">
      <x v="15"/>
      <x v="10"/>
      <x v="41"/>
    </i>
    <i r="3">
      <x v="24"/>
      <x v="42"/>
    </i>
    <i r="3">
      <x v="25"/>
      <x v="43"/>
    </i>
    <i r="3">
      <x v="26"/>
      <x v="44"/>
    </i>
    <i r="3">
      <x v="27"/>
      <x v="45"/>
    </i>
    <i r="1">
      <x v="5"/>
      <x v="16"/>
      <x v="28"/>
      <x v="46"/>
    </i>
    <i r="2">
      <x v="17"/>
      <x v="29"/>
      <x v="47"/>
    </i>
    <i r="3">
      <x v="30"/>
      <x v="48"/>
    </i>
    <i r="2">
      <x v="18"/>
      <x v="29"/>
      <x v="49"/>
    </i>
    <i r="2">
      <x v="19"/>
      <x v="29"/>
      <x v="50"/>
    </i>
    <i r="3">
      <x v="30"/>
      <x v="51"/>
    </i>
    <i r="2">
      <x v="20"/>
      <x v="29"/>
      <x v="52"/>
    </i>
    <i r="1">
      <x v="6"/>
      <x v="21"/>
      <x v="31"/>
      <x v="53"/>
    </i>
    <i r="1">
      <x v="7"/>
      <x v="22"/>
      <x v="32"/>
      <x v="54"/>
    </i>
    <i r="3">
      <x v="33"/>
      <x v="55"/>
    </i>
    <i r="3">
      <x v="34"/>
      <x v="56"/>
    </i>
    <i r="3">
      <x v="35"/>
      <x v="57"/>
    </i>
    <i r="1">
      <x v="8"/>
      <x v="23"/>
      <x v="36"/>
      <x v="58"/>
    </i>
    <i r="2">
      <x v="24"/>
      <x v="36"/>
      <x v="59"/>
    </i>
    <i r="2">
      <x v="25"/>
      <x v="36"/>
      <x v="60"/>
    </i>
    <i r="2">
      <x v="26"/>
      <x v="36"/>
      <x v="61"/>
    </i>
    <i r="2">
      <x v="53"/>
      <x v="37"/>
      <x v="160"/>
    </i>
    <i r="2">
      <x v="4"/>
      <x v="37"/>
      <x v="62"/>
    </i>
    <i r="1">
      <x v="9"/>
      <x v="27"/>
      <x v="31"/>
      <x v="63"/>
    </i>
    <i r="2">
      <x v="28"/>
      <x v="31"/>
      <x v="64"/>
    </i>
    <i r="1">
      <x v="10"/>
      <x v="8"/>
      <x v="38"/>
      <x v="65"/>
    </i>
    <i r="3">
      <x v="39"/>
      <x v="66"/>
    </i>
    <i r="3">
      <x v="40"/>
      <x v="67"/>
    </i>
    <i r="3">
      <x v="41"/>
      <x v="68"/>
    </i>
    <i r="2">
      <x v="29"/>
      <x v="11"/>
      <x v="69"/>
    </i>
    <i r="3">
      <x v="12"/>
      <x v="70"/>
    </i>
    <i r="3">
      <x v="13"/>
      <x v="71"/>
    </i>
    <i r="3">
      <x v="14"/>
      <x v="72"/>
    </i>
    <i r="3">
      <x v="38"/>
      <x v="73"/>
    </i>
    <i r="3">
      <x v="39"/>
      <x v="74"/>
    </i>
    <i r="2">
      <x v="9"/>
      <x v="38"/>
      <x v="75"/>
    </i>
    <i r="3">
      <x v="39"/>
      <x v="76"/>
    </i>
    <i r="3">
      <x v="40"/>
      <x v="77"/>
    </i>
    <i r="3">
      <x v="41"/>
      <x v="78"/>
    </i>
    <i r="2">
      <x v="30"/>
      <x v="15"/>
      <x v="79"/>
    </i>
    <i r="3">
      <x v="16"/>
      <x v="80"/>
    </i>
    <i r="3">
      <x v="17"/>
      <x v="81"/>
    </i>
    <i r="3">
      <x v="38"/>
      <x v="82"/>
    </i>
    <i r="3">
      <x v="39"/>
      <x v="83"/>
    </i>
    <i r="2">
      <x v="10"/>
      <x v="42"/>
      <x v="84"/>
    </i>
    <i r="3">
      <x v="43"/>
      <x v="85"/>
    </i>
    <i r="3">
      <x v="44"/>
      <x v="86"/>
    </i>
    <i r="3">
      <x v="45"/>
      <x v="87"/>
    </i>
    <i r="3">
      <x v="46"/>
      <x v="88"/>
    </i>
    <i r="2">
      <x v="31"/>
      <x v="18"/>
      <x v="89"/>
    </i>
    <i r="3">
      <x v="19"/>
      <x v="90"/>
    </i>
    <i r="3">
      <x v="42"/>
      <x v="91"/>
    </i>
    <i r="3">
      <x v="43"/>
      <x v="92"/>
    </i>
    <i r="3">
      <x v="44"/>
      <x v="93"/>
    </i>
    <i r="2">
      <x v="11"/>
      <x v="47"/>
      <x v="94"/>
    </i>
    <i r="3">
      <x v="48"/>
      <x v="95"/>
    </i>
    <i r="3">
      <x v="49"/>
      <x v="96"/>
    </i>
    <i r="3">
      <x v="50"/>
      <x v="97"/>
    </i>
    <i r="2">
      <x v="32"/>
      <x v="20"/>
      <x v="98"/>
    </i>
    <i r="3">
      <x v="21"/>
      <x v="99"/>
    </i>
    <i r="3">
      <x v="22"/>
      <x v="100"/>
    </i>
    <i r="3">
      <x v="23"/>
      <x v="101"/>
    </i>
    <i r="3">
      <x v="47"/>
      <x v="102"/>
    </i>
    <i r="3">
      <x v="48"/>
      <x v="103"/>
    </i>
    <i r="1">
      <x v="11"/>
      <x v="33"/>
      <x v="51"/>
      <x v="104"/>
    </i>
    <i r="3">
      <x v="52"/>
      <x v="105"/>
    </i>
    <i r="2">
      <x v="34"/>
      <x v="53"/>
      <x v="106"/>
    </i>
    <i r="3">
      <x v="52"/>
      <x v="107"/>
    </i>
    <i r="3">
      <x v="54"/>
      <x v="108"/>
    </i>
    <i r="3">
      <x v="55"/>
      <x v="109"/>
    </i>
    <i r="3">
      <x v="56"/>
      <x v="110"/>
    </i>
    <i r="3">
      <x v="57"/>
      <x v="111"/>
    </i>
    <i r="3">
      <x v="58"/>
      <x v="112"/>
    </i>
    <i r="2">
      <x v="35"/>
      <x v="59"/>
      <x v="113"/>
    </i>
    <i r="3">
      <x v="60"/>
      <x v="114"/>
    </i>
    <i r="3">
      <x v="61"/>
      <x v="115"/>
    </i>
    <i r="3">
      <x v="52"/>
      <x v="116"/>
    </i>
    <i r="2">
      <x v="36"/>
      <x v="59"/>
      <x v="117"/>
    </i>
    <i r="3">
      <x v="62"/>
      <x v="118"/>
    </i>
    <i r="3">
      <x v="63"/>
      <x v="119"/>
    </i>
    <i r="3">
      <x v="52"/>
      <x v="120"/>
    </i>
    <i r="2">
      <x v="37"/>
      <x v="64"/>
      <x v="121"/>
    </i>
    <i r="3">
      <x v="65"/>
      <x v="122"/>
    </i>
    <i r="3">
      <x v="52"/>
      <x v="123"/>
    </i>
    <i r="2">
      <x v="38"/>
      <x v="64"/>
      <x v="124"/>
    </i>
    <i r="3">
      <x v="65"/>
      <x v="125"/>
    </i>
    <i r="3">
      <x v="52"/>
      <x v="126"/>
    </i>
    <i r="2">
      <x v="39"/>
      <x v="64"/>
      <x v="127"/>
    </i>
    <i r="3">
      <x v="65"/>
      <x v="128"/>
    </i>
    <i r="3">
      <x v="52"/>
      <x v="129"/>
    </i>
    <i r="3">
      <x v="66"/>
      <x v="130"/>
    </i>
    <i r="2">
      <x v="40"/>
      <x v="67"/>
      <x v="131"/>
    </i>
    <i r="3">
      <x v="64"/>
      <x v="132"/>
    </i>
    <i r="3">
      <x v="52"/>
      <x v="133"/>
    </i>
    <i r="2">
      <x v="41"/>
      <x v="68"/>
      <x v="134"/>
    </i>
    <i r="3">
      <x v="52"/>
      <x v="135"/>
    </i>
    <i r="3">
      <x v="66"/>
      <x v="136"/>
    </i>
    <i r="2">
      <x v="42"/>
      <x v="67"/>
      <x v="137"/>
    </i>
    <i r="3">
      <x v="64"/>
      <x v="138"/>
    </i>
    <i r="3">
      <x v="52"/>
      <x v="139"/>
    </i>
    <i r="2">
      <x v="43"/>
      <x v="67"/>
      <x v="140"/>
    </i>
    <i r="3">
      <x v="69"/>
      <x v="141"/>
    </i>
    <i r="3">
      <x v="52"/>
      <x v="142"/>
    </i>
    <i r="2">
      <x v="44"/>
      <x v="70"/>
      <x v="143"/>
    </i>
    <i r="2">
      <x v="45"/>
      <x v="70"/>
      <x v="144"/>
    </i>
    <i r="1">
      <x v="12"/>
      <x v="46"/>
      <x v="10"/>
      <x v="145"/>
    </i>
    <i r="1">
      <x v="13"/>
      <x v="47"/>
      <x v="31"/>
      <x v="146"/>
    </i>
    <i r="2">
      <x v="48"/>
      <x v="10"/>
      <x v="147"/>
    </i>
    <i r="3">
      <x v="24"/>
      <x v="148"/>
    </i>
    <i r="3">
      <x v="25"/>
      <x v="149"/>
    </i>
    <i r="2">
      <x v="49"/>
      <x v="10"/>
      <x v="150"/>
    </i>
    <i r="3">
      <x v="24"/>
      <x v="151"/>
    </i>
    <i r="2">
      <x v="50"/>
      <x v="10"/>
      <x v="152"/>
    </i>
    <i r="3">
      <x v="24"/>
      <x v="153"/>
    </i>
    <i r="2">
      <x v="51"/>
      <x v="10"/>
      <x v="154"/>
    </i>
    <i r="3">
      <x v="24"/>
      <x v="155"/>
    </i>
    <i r="3">
      <x v="25"/>
      <x v="156"/>
    </i>
    <i r="2">
      <x v="52"/>
      <x v="10"/>
      <x v="157"/>
    </i>
    <i r="3">
      <x v="24"/>
      <x v="158"/>
    </i>
    <i>
      <x v="2"/>
      <x/>
      <x/>
      <x/>
      <x/>
    </i>
    <i r="3">
      <x v="1"/>
      <x v="1"/>
    </i>
    <i r="2">
      <x v="1"/>
      <x v="2"/>
      <x v="2"/>
    </i>
    <i r="3">
      <x v="3"/>
      <x v="3"/>
    </i>
    <i r="2">
      <x v="2"/>
      <x v="4"/>
      <x v="4"/>
    </i>
    <i r="3">
      <x v="5"/>
      <x v="5"/>
    </i>
    <i r="3">
      <x v="6"/>
      <x v="6"/>
    </i>
    <i r="2">
      <x v="3"/>
      <x v="7"/>
      <x v="7"/>
    </i>
    <i r="3">
      <x v="8"/>
      <x v="8"/>
    </i>
    <i r="1">
      <x v="1"/>
      <x v="53"/>
      <x v="9"/>
      <x v="159"/>
    </i>
    <i r="2">
      <x v="4"/>
      <x v="9"/>
      <x v="9"/>
    </i>
    <i r="1">
      <x v="2"/>
      <x v="5"/>
      <x v="10"/>
      <x v="10"/>
    </i>
    <i r="2">
      <x v="6"/>
      <x v="10"/>
      <x v="11"/>
    </i>
    <i r="2">
      <x v="7"/>
      <x v="10"/>
      <x v="12"/>
    </i>
    <i r="1">
      <x v="3"/>
      <x v="8"/>
      <x v="11"/>
      <x v="13"/>
    </i>
    <i r="3">
      <x v="12"/>
      <x v="14"/>
    </i>
    <i r="3">
      <x v="13"/>
      <x v="15"/>
    </i>
    <i r="3">
      <x v="14"/>
      <x v="16"/>
    </i>
    <i r="2">
      <x v="9"/>
      <x v="15"/>
      <x v="17"/>
    </i>
    <i r="3">
      <x v="16"/>
      <x v="18"/>
    </i>
    <i r="3">
      <x v="17"/>
      <x v="19"/>
    </i>
    <i r="2">
      <x v="10"/>
      <x v="18"/>
      <x v="20"/>
    </i>
    <i r="3">
      <x v="19"/>
      <x v="21"/>
    </i>
    <i r="2">
      <x v="11"/>
      <x v="20"/>
      <x v="22"/>
    </i>
    <i r="3">
      <x v="21"/>
      <x v="23"/>
    </i>
    <i r="3">
      <x v="22"/>
      <x v="24"/>
    </i>
    <i r="3">
      <x v="23"/>
      <x v="25"/>
    </i>
    <i r="1">
      <x v="4"/>
      <x v="12"/>
      <x v="10"/>
      <x v="26"/>
    </i>
    <i r="3">
      <x v="24"/>
      <x v="27"/>
    </i>
    <i r="3">
      <x v="25"/>
      <x v="28"/>
    </i>
    <i r="3">
      <x v="26"/>
      <x v="29"/>
    </i>
    <i r="3">
      <x v="27"/>
      <x v="30"/>
    </i>
    <i r="2">
      <x v="13"/>
      <x v="10"/>
      <x v="31"/>
    </i>
    <i r="3">
      <x v="24"/>
      <x v="32"/>
    </i>
    <i r="3">
      <x v="25"/>
      <x v="33"/>
    </i>
    <i r="3">
      <x v="26"/>
      <x v="34"/>
    </i>
    <i r="3">
      <x v="27"/>
      <x v="35"/>
    </i>
    <i r="2">
      <x v="14"/>
      <x v="10"/>
      <x v="36"/>
    </i>
    <i r="3">
      <x v="24"/>
      <x v="37"/>
    </i>
    <i r="3">
      <x v="25"/>
      <x v="38"/>
    </i>
    <i r="3">
      <x v="26"/>
      <x v="39"/>
    </i>
    <i r="3">
      <x v="27"/>
      <x v="40"/>
    </i>
    <i r="2">
      <x v="15"/>
      <x v="10"/>
      <x v="41"/>
    </i>
    <i r="3">
      <x v="24"/>
      <x v="42"/>
    </i>
    <i r="3">
      <x v="25"/>
      <x v="43"/>
    </i>
    <i r="3">
      <x v="26"/>
      <x v="44"/>
    </i>
    <i r="3">
      <x v="27"/>
      <x v="45"/>
    </i>
    <i r="1">
      <x v="5"/>
      <x v="16"/>
      <x v="28"/>
      <x v="46"/>
    </i>
    <i r="2">
      <x v="17"/>
      <x v="29"/>
      <x v="47"/>
    </i>
    <i r="3">
      <x v="30"/>
      <x v="48"/>
    </i>
    <i r="2">
      <x v="18"/>
      <x v="29"/>
      <x v="49"/>
    </i>
    <i r="2">
      <x v="19"/>
      <x v="29"/>
      <x v="50"/>
    </i>
    <i r="3">
      <x v="30"/>
      <x v="51"/>
    </i>
    <i r="2">
      <x v="20"/>
      <x v="29"/>
      <x v="52"/>
    </i>
    <i r="1">
      <x v="6"/>
      <x v="21"/>
      <x v="31"/>
      <x v="53"/>
    </i>
    <i r="1">
      <x v="7"/>
      <x v="22"/>
      <x v="32"/>
      <x v="54"/>
    </i>
    <i r="3">
      <x v="33"/>
      <x v="55"/>
    </i>
    <i r="3">
      <x v="34"/>
      <x v="56"/>
    </i>
    <i r="3">
      <x v="35"/>
      <x v="57"/>
    </i>
    <i r="1">
      <x v="8"/>
      <x v="23"/>
      <x v="36"/>
      <x v="58"/>
    </i>
    <i r="2">
      <x v="24"/>
      <x v="36"/>
      <x v="59"/>
    </i>
    <i r="2">
      <x v="25"/>
      <x v="36"/>
      <x v="60"/>
    </i>
    <i r="2">
      <x v="26"/>
      <x v="36"/>
      <x v="61"/>
    </i>
    <i r="2">
      <x v="53"/>
      <x v="37"/>
      <x v="160"/>
    </i>
    <i r="2">
      <x v="4"/>
      <x v="37"/>
      <x v="62"/>
    </i>
    <i r="1">
      <x v="9"/>
      <x v="27"/>
      <x v="31"/>
      <x v="63"/>
    </i>
    <i r="2">
      <x v="28"/>
      <x v="31"/>
      <x v="64"/>
    </i>
    <i r="1">
      <x v="10"/>
      <x v="8"/>
      <x v="38"/>
      <x v="65"/>
    </i>
    <i r="3">
      <x v="39"/>
      <x v="66"/>
    </i>
    <i r="3">
      <x v="40"/>
      <x v="67"/>
    </i>
    <i r="3">
      <x v="41"/>
      <x v="68"/>
    </i>
    <i r="2">
      <x v="29"/>
      <x v="11"/>
      <x v="69"/>
    </i>
    <i r="3">
      <x v="12"/>
      <x v="70"/>
    </i>
    <i r="3">
      <x v="13"/>
      <x v="71"/>
    </i>
    <i r="3">
      <x v="14"/>
      <x v="72"/>
    </i>
    <i r="3">
      <x v="38"/>
      <x v="73"/>
    </i>
    <i r="3">
      <x v="39"/>
      <x v="74"/>
    </i>
    <i r="2">
      <x v="9"/>
      <x v="38"/>
      <x v="75"/>
    </i>
    <i r="3">
      <x v="39"/>
      <x v="76"/>
    </i>
    <i r="3">
      <x v="40"/>
      <x v="77"/>
    </i>
    <i r="3">
      <x v="41"/>
      <x v="78"/>
    </i>
    <i r="2">
      <x v="30"/>
      <x v="15"/>
      <x v="79"/>
    </i>
    <i r="3">
      <x v="16"/>
      <x v="80"/>
    </i>
    <i r="3">
      <x v="17"/>
      <x v="81"/>
    </i>
    <i r="3">
      <x v="38"/>
      <x v="82"/>
    </i>
    <i r="3">
      <x v="39"/>
      <x v="83"/>
    </i>
    <i r="2">
      <x v="10"/>
      <x v="42"/>
      <x v="84"/>
    </i>
    <i r="3">
      <x v="43"/>
      <x v="85"/>
    </i>
    <i r="3">
      <x v="44"/>
      <x v="86"/>
    </i>
    <i r="3">
      <x v="45"/>
      <x v="87"/>
    </i>
    <i r="3">
      <x v="46"/>
      <x v="88"/>
    </i>
    <i r="2">
      <x v="31"/>
      <x v="18"/>
      <x v="89"/>
    </i>
    <i r="3">
      <x v="19"/>
      <x v="90"/>
    </i>
    <i r="3">
      <x v="42"/>
      <x v="91"/>
    </i>
    <i r="3">
      <x v="43"/>
      <x v="92"/>
    </i>
    <i r="3">
      <x v="44"/>
      <x v="93"/>
    </i>
    <i r="2">
      <x v="11"/>
      <x v="47"/>
      <x v="94"/>
    </i>
    <i r="3">
      <x v="48"/>
      <x v="95"/>
    </i>
    <i r="3">
      <x v="49"/>
      <x v="96"/>
    </i>
    <i r="3">
      <x v="50"/>
      <x v="97"/>
    </i>
    <i r="2">
      <x v="32"/>
      <x v="20"/>
      <x v="98"/>
    </i>
    <i r="3">
      <x v="21"/>
      <x v="99"/>
    </i>
    <i r="3">
      <x v="22"/>
      <x v="100"/>
    </i>
    <i r="3">
      <x v="23"/>
      <x v="101"/>
    </i>
    <i r="3">
      <x v="47"/>
      <x v="102"/>
    </i>
    <i r="3">
      <x v="48"/>
      <x v="103"/>
    </i>
    <i r="1">
      <x v="11"/>
      <x v="33"/>
      <x v="51"/>
      <x v="104"/>
    </i>
    <i r="3">
      <x v="52"/>
      <x v="105"/>
    </i>
    <i r="2">
      <x v="34"/>
      <x v="53"/>
      <x v="106"/>
    </i>
    <i r="3">
      <x v="52"/>
      <x v="107"/>
    </i>
    <i r="3">
      <x v="54"/>
      <x v="108"/>
    </i>
    <i r="3">
      <x v="55"/>
      <x v="109"/>
    </i>
    <i r="3">
      <x v="56"/>
      <x v="110"/>
    </i>
    <i r="3">
      <x v="57"/>
      <x v="111"/>
    </i>
    <i r="3">
      <x v="58"/>
      <x v="112"/>
    </i>
    <i r="2">
      <x v="35"/>
      <x v="59"/>
      <x v="113"/>
    </i>
    <i r="3">
      <x v="60"/>
      <x v="114"/>
    </i>
    <i r="3">
      <x v="61"/>
      <x v="115"/>
    </i>
    <i r="3">
      <x v="52"/>
      <x v="116"/>
    </i>
    <i r="2">
      <x v="36"/>
      <x v="59"/>
      <x v="117"/>
    </i>
    <i r="3">
      <x v="62"/>
      <x v="118"/>
    </i>
    <i r="3">
      <x v="63"/>
      <x v="119"/>
    </i>
    <i r="3">
      <x v="52"/>
      <x v="120"/>
    </i>
    <i r="2">
      <x v="37"/>
      <x v="64"/>
      <x v="121"/>
    </i>
    <i r="3">
      <x v="65"/>
      <x v="122"/>
    </i>
    <i r="3">
      <x v="52"/>
      <x v="123"/>
    </i>
    <i r="2">
      <x v="38"/>
      <x v="64"/>
      <x v="124"/>
    </i>
    <i r="3">
      <x v="65"/>
      <x v="125"/>
    </i>
    <i r="3">
      <x v="52"/>
      <x v="126"/>
    </i>
    <i r="2">
      <x v="39"/>
      <x v="64"/>
      <x v="127"/>
    </i>
    <i r="3">
      <x v="65"/>
      <x v="128"/>
    </i>
    <i r="3">
      <x v="52"/>
      <x v="129"/>
    </i>
    <i r="3">
      <x v="66"/>
      <x v="130"/>
    </i>
    <i r="2">
      <x v="40"/>
      <x v="67"/>
      <x v="131"/>
    </i>
    <i r="3">
      <x v="64"/>
      <x v="132"/>
    </i>
    <i r="3">
      <x v="52"/>
      <x v="133"/>
    </i>
    <i r="2">
      <x v="41"/>
      <x v="68"/>
      <x v="134"/>
    </i>
    <i r="3">
      <x v="52"/>
      <x v="135"/>
    </i>
    <i r="3">
      <x v="66"/>
      <x v="136"/>
    </i>
    <i r="2">
      <x v="42"/>
      <x v="67"/>
      <x v="137"/>
    </i>
    <i r="3">
      <x v="64"/>
      <x v="138"/>
    </i>
    <i r="3">
      <x v="52"/>
      <x v="139"/>
    </i>
    <i r="2">
      <x v="43"/>
      <x v="67"/>
      <x v="140"/>
    </i>
    <i r="3">
      <x v="69"/>
      <x v="141"/>
    </i>
    <i r="3">
      <x v="52"/>
      <x v="142"/>
    </i>
    <i r="2">
      <x v="44"/>
      <x v="70"/>
      <x v="143"/>
    </i>
    <i r="2">
      <x v="45"/>
      <x v="70"/>
      <x v="144"/>
    </i>
    <i r="1">
      <x v="12"/>
      <x v="46"/>
      <x v="10"/>
      <x v="145"/>
    </i>
    <i r="1">
      <x v="13"/>
      <x v="47"/>
      <x v="31"/>
      <x v="146"/>
    </i>
    <i r="2">
      <x v="48"/>
      <x v="10"/>
      <x v="147"/>
    </i>
    <i r="3">
      <x v="24"/>
      <x v="148"/>
    </i>
    <i r="3">
      <x v="25"/>
      <x v="149"/>
    </i>
    <i r="2">
      <x v="49"/>
      <x v="10"/>
      <x v="150"/>
    </i>
    <i r="3">
      <x v="24"/>
      <x v="151"/>
    </i>
    <i r="2">
      <x v="50"/>
      <x v="10"/>
      <x v="152"/>
    </i>
    <i r="3">
      <x v="24"/>
      <x v="153"/>
    </i>
    <i r="2">
      <x v="51"/>
      <x v="10"/>
      <x v="154"/>
    </i>
    <i r="3">
      <x v="24"/>
      <x v="155"/>
    </i>
    <i r="3">
      <x v="25"/>
      <x v="156"/>
    </i>
    <i r="2">
      <x v="52"/>
      <x v="10"/>
      <x v="157"/>
    </i>
    <i r="3">
      <x v="24"/>
      <x v="158"/>
    </i>
    <i>
      <x v="3"/>
      <x/>
      <x/>
      <x/>
      <x/>
    </i>
    <i r="3">
      <x v="1"/>
      <x v="1"/>
    </i>
    <i r="2">
      <x v="1"/>
      <x v="2"/>
      <x v="2"/>
    </i>
    <i r="3">
      <x v="3"/>
      <x v="3"/>
    </i>
    <i r="2">
      <x v="2"/>
      <x v="4"/>
      <x v="4"/>
    </i>
    <i r="3">
      <x v="5"/>
      <x v="5"/>
    </i>
    <i r="3">
      <x v="6"/>
      <x v="6"/>
    </i>
    <i r="2">
      <x v="3"/>
      <x v="7"/>
      <x v="7"/>
    </i>
    <i r="3">
      <x v="8"/>
      <x v="8"/>
    </i>
    <i r="1">
      <x v="1"/>
      <x v="53"/>
      <x v="9"/>
      <x v="159"/>
    </i>
    <i r="2">
      <x v="4"/>
      <x v="9"/>
      <x v="9"/>
    </i>
    <i r="1">
      <x v="2"/>
      <x v="5"/>
      <x v="10"/>
      <x v="10"/>
    </i>
    <i r="2">
      <x v="6"/>
      <x v="10"/>
      <x v="11"/>
    </i>
    <i r="2">
      <x v="7"/>
      <x v="10"/>
      <x v="12"/>
    </i>
    <i r="1">
      <x v="3"/>
      <x v="8"/>
      <x v="11"/>
      <x v="13"/>
    </i>
    <i r="3">
      <x v="12"/>
      <x v="14"/>
    </i>
    <i r="3">
      <x v="13"/>
      <x v="15"/>
    </i>
    <i r="3">
      <x v="14"/>
      <x v="16"/>
    </i>
    <i r="2">
      <x v="9"/>
      <x v="15"/>
      <x v="17"/>
    </i>
    <i r="3">
      <x v="16"/>
      <x v="18"/>
    </i>
    <i r="3">
      <x v="17"/>
      <x v="19"/>
    </i>
    <i r="2">
      <x v="10"/>
      <x v="18"/>
      <x v="20"/>
    </i>
    <i r="3">
      <x v="19"/>
      <x v="21"/>
    </i>
    <i r="2">
      <x v="11"/>
      <x v="20"/>
      <x v="22"/>
    </i>
    <i r="3">
      <x v="21"/>
      <x v="23"/>
    </i>
    <i r="3">
      <x v="22"/>
      <x v="24"/>
    </i>
    <i r="3">
      <x v="23"/>
      <x v="25"/>
    </i>
    <i r="1">
      <x v="4"/>
      <x v="12"/>
      <x v="10"/>
      <x v="26"/>
    </i>
    <i r="3">
      <x v="24"/>
      <x v="27"/>
    </i>
    <i r="3">
      <x v="25"/>
      <x v="28"/>
    </i>
    <i r="3">
      <x v="26"/>
      <x v="29"/>
    </i>
    <i r="3">
      <x v="27"/>
      <x v="30"/>
    </i>
    <i r="2">
      <x v="13"/>
      <x v="10"/>
      <x v="31"/>
    </i>
    <i r="3">
      <x v="24"/>
      <x v="32"/>
    </i>
    <i r="3">
      <x v="25"/>
      <x v="33"/>
    </i>
    <i r="3">
      <x v="26"/>
      <x v="34"/>
    </i>
    <i r="3">
      <x v="27"/>
      <x v="35"/>
    </i>
    <i r="2">
      <x v="14"/>
      <x v="10"/>
      <x v="36"/>
    </i>
    <i r="3">
      <x v="24"/>
      <x v="37"/>
    </i>
    <i r="3">
      <x v="25"/>
      <x v="38"/>
    </i>
    <i r="3">
      <x v="26"/>
      <x v="39"/>
    </i>
    <i r="3">
      <x v="27"/>
      <x v="40"/>
    </i>
    <i r="2">
      <x v="15"/>
      <x v="10"/>
      <x v="41"/>
    </i>
    <i r="3">
      <x v="24"/>
      <x v="42"/>
    </i>
    <i r="3">
      <x v="25"/>
      <x v="43"/>
    </i>
    <i r="3">
      <x v="26"/>
      <x v="44"/>
    </i>
    <i r="3">
      <x v="27"/>
      <x v="45"/>
    </i>
    <i r="1">
      <x v="5"/>
      <x v="16"/>
      <x v="28"/>
      <x v="46"/>
    </i>
    <i r="2">
      <x v="17"/>
      <x v="29"/>
      <x v="47"/>
    </i>
    <i r="3">
      <x v="30"/>
      <x v="48"/>
    </i>
    <i r="2">
      <x v="18"/>
      <x v="29"/>
      <x v="49"/>
    </i>
    <i r="2">
      <x v="19"/>
      <x v="29"/>
      <x v="50"/>
    </i>
    <i r="3">
      <x v="30"/>
      <x v="51"/>
    </i>
    <i r="2">
      <x v="20"/>
      <x v="29"/>
      <x v="52"/>
    </i>
    <i r="1">
      <x v="6"/>
      <x v="21"/>
      <x v="31"/>
      <x v="53"/>
    </i>
    <i r="1">
      <x v="7"/>
      <x v="22"/>
      <x v="32"/>
      <x v="54"/>
    </i>
    <i r="3">
      <x v="33"/>
      <x v="55"/>
    </i>
    <i r="3">
      <x v="34"/>
      <x v="56"/>
    </i>
    <i r="3">
      <x v="35"/>
      <x v="57"/>
    </i>
    <i r="1">
      <x v="8"/>
      <x v="23"/>
      <x v="36"/>
      <x v="58"/>
    </i>
    <i r="2">
      <x v="24"/>
      <x v="36"/>
      <x v="59"/>
    </i>
    <i r="2">
      <x v="25"/>
      <x v="36"/>
      <x v="60"/>
    </i>
    <i r="2">
      <x v="26"/>
      <x v="36"/>
      <x v="61"/>
    </i>
    <i r="2">
      <x v="53"/>
      <x v="37"/>
      <x v="160"/>
    </i>
    <i r="2">
      <x v="4"/>
      <x v="37"/>
      <x v="62"/>
    </i>
    <i r="1">
      <x v="9"/>
      <x v="27"/>
      <x v="31"/>
      <x v="63"/>
    </i>
    <i r="2">
      <x v="28"/>
      <x v="31"/>
      <x v="64"/>
    </i>
    <i r="1">
      <x v="10"/>
      <x v="8"/>
      <x v="38"/>
      <x v="65"/>
    </i>
    <i r="3">
      <x v="39"/>
      <x v="66"/>
    </i>
    <i r="3">
      <x v="40"/>
      <x v="67"/>
    </i>
    <i r="3">
      <x v="41"/>
      <x v="68"/>
    </i>
    <i r="2">
      <x v="29"/>
      <x v="11"/>
      <x v="69"/>
    </i>
    <i r="3">
      <x v="12"/>
      <x v="70"/>
    </i>
    <i r="3">
      <x v="13"/>
      <x v="71"/>
    </i>
    <i r="3">
      <x v="14"/>
      <x v="72"/>
    </i>
    <i r="3">
      <x v="38"/>
      <x v="73"/>
    </i>
    <i r="3">
      <x v="39"/>
      <x v="74"/>
    </i>
    <i r="2">
      <x v="9"/>
      <x v="38"/>
      <x v="75"/>
    </i>
    <i r="3">
      <x v="39"/>
      <x v="76"/>
    </i>
    <i r="3">
      <x v="40"/>
      <x v="77"/>
    </i>
    <i r="3">
      <x v="41"/>
      <x v="78"/>
    </i>
    <i r="2">
      <x v="30"/>
      <x v="15"/>
      <x v="79"/>
    </i>
    <i r="3">
      <x v="16"/>
      <x v="80"/>
    </i>
    <i r="3">
      <x v="17"/>
      <x v="81"/>
    </i>
    <i r="3">
      <x v="38"/>
      <x v="82"/>
    </i>
    <i r="3">
      <x v="39"/>
      <x v="83"/>
    </i>
    <i r="2">
      <x v="10"/>
      <x v="42"/>
      <x v="84"/>
    </i>
    <i r="3">
      <x v="43"/>
      <x v="85"/>
    </i>
    <i r="3">
      <x v="44"/>
      <x v="86"/>
    </i>
    <i r="3">
      <x v="45"/>
      <x v="87"/>
    </i>
    <i r="3">
      <x v="46"/>
      <x v="88"/>
    </i>
    <i r="2">
      <x v="31"/>
      <x v="18"/>
      <x v="89"/>
    </i>
    <i r="3">
      <x v="19"/>
      <x v="90"/>
    </i>
    <i r="3">
      <x v="42"/>
      <x v="91"/>
    </i>
    <i r="3">
      <x v="43"/>
      <x v="92"/>
    </i>
    <i r="3">
      <x v="44"/>
      <x v="93"/>
    </i>
    <i r="2">
      <x v="11"/>
      <x v="47"/>
      <x v="94"/>
    </i>
    <i r="3">
      <x v="48"/>
      <x v="95"/>
    </i>
    <i r="3">
      <x v="49"/>
      <x v="96"/>
    </i>
    <i r="3">
      <x v="50"/>
      <x v="97"/>
    </i>
    <i r="2">
      <x v="32"/>
      <x v="20"/>
      <x v="98"/>
    </i>
    <i r="3">
      <x v="21"/>
      <x v="99"/>
    </i>
    <i r="3">
      <x v="22"/>
      <x v="100"/>
    </i>
    <i r="3">
      <x v="23"/>
      <x v="101"/>
    </i>
    <i r="3">
      <x v="47"/>
      <x v="102"/>
    </i>
    <i r="3">
      <x v="48"/>
      <x v="103"/>
    </i>
    <i r="1">
      <x v="11"/>
      <x v="33"/>
      <x v="51"/>
      <x v="104"/>
    </i>
    <i r="3">
      <x v="52"/>
      <x v="105"/>
    </i>
    <i r="2">
      <x v="34"/>
      <x v="53"/>
      <x v="106"/>
    </i>
    <i r="3">
      <x v="52"/>
      <x v="107"/>
    </i>
    <i r="3">
      <x v="54"/>
      <x v="108"/>
    </i>
    <i r="3">
      <x v="55"/>
      <x v="109"/>
    </i>
    <i r="3">
      <x v="56"/>
      <x v="110"/>
    </i>
    <i r="3">
      <x v="57"/>
      <x v="111"/>
    </i>
    <i r="3">
      <x v="58"/>
      <x v="112"/>
    </i>
    <i r="2">
      <x v="35"/>
      <x v="59"/>
      <x v="113"/>
    </i>
    <i r="3">
      <x v="60"/>
      <x v="114"/>
    </i>
    <i r="3">
      <x v="61"/>
      <x v="115"/>
    </i>
    <i r="3">
      <x v="52"/>
      <x v="116"/>
    </i>
    <i r="2">
      <x v="36"/>
      <x v="59"/>
      <x v="117"/>
    </i>
    <i r="3">
      <x v="62"/>
      <x v="118"/>
    </i>
    <i r="3">
      <x v="63"/>
      <x v="119"/>
    </i>
    <i r="3">
      <x v="52"/>
      <x v="120"/>
    </i>
    <i r="2">
      <x v="37"/>
      <x v="64"/>
      <x v="121"/>
    </i>
    <i r="3">
      <x v="65"/>
      <x v="122"/>
    </i>
    <i r="3">
      <x v="52"/>
      <x v="123"/>
    </i>
    <i r="2">
      <x v="38"/>
      <x v="64"/>
      <x v="124"/>
    </i>
    <i r="3">
      <x v="65"/>
      <x v="125"/>
    </i>
    <i r="3">
      <x v="52"/>
      <x v="126"/>
    </i>
    <i r="2">
      <x v="39"/>
      <x v="64"/>
      <x v="127"/>
    </i>
    <i r="3">
      <x v="65"/>
      <x v="128"/>
    </i>
    <i r="3">
      <x v="52"/>
      <x v="129"/>
    </i>
    <i r="3">
      <x v="66"/>
      <x v="130"/>
    </i>
    <i r="2">
      <x v="40"/>
      <x v="67"/>
      <x v="131"/>
    </i>
    <i r="3">
      <x v="64"/>
      <x v="132"/>
    </i>
    <i r="3">
      <x v="52"/>
      <x v="133"/>
    </i>
    <i r="2">
      <x v="41"/>
      <x v="68"/>
      <x v="134"/>
    </i>
    <i r="3">
      <x v="52"/>
      <x v="135"/>
    </i>
    <i r="3">
      <x v="66"/>
      <x v="136"/>
    </i>
    <i r="2">
      <x v="42"/>
      <x v="67"/>
      <x v="137"/>
    </i>
    <i r="3">
      <x v="64"/>
      <x v="138"/>
    </i>
    <i r="3">
      <x v="52"/>
      <x v="139"/>
    </i>
    <i r="2">
      <x v="43"/>
      <x v="67"/>
      <x v="140"/>
    </i>
    <i r="3">
      <x v="69"/>
      <x v="141"/>
    </i>
    <i r="3">
      <x v="52"/>
      <x v="142"/>
    </i>
    <i r="2">
      <x v="44"/>
      <x v="70"/>
      <x v="143"/>
    </i>
    <i r="2">
      <x v="45"/>
      <x v="70"/>
      <x v="144"/>
    </i>
    <i r="1">
      <x v="12"/>
      <x v="46"/>
      <x v="10"/>
      <x v="145"/>
    </i>
    <i r="1">
      <x v="13"/>
      <x v="47"/>
      <x v="31"/>
      <x v="146"/>
    </i>
    <i r="2">
      <x v="48"/>
      <x v="10"/>
      <x v="147"/>
    </i>
    <i r="3">
      <x v="24"/>
      <x v="148"/>
    </i>
    <i r="3">
      <x v="25"/>
      <x v="149"/>
    </i>
    <i r="2">
      <x v="49"/>
      <x v="10"/>
      <x v="150"/>
    </i>
    <i r="3">
      <x v="24"/>
      <x v="151"/>
    </i>
    <i r="2">
      <x v="50"/>
      <x v="10"/>
      <x v="152"/>
    </i>
    <i r="3">
      <x v="24"/>
      <x v="153"/>
    </i>
    <i r="2">
      <x v="51"/>
      <x v="10"/>
      <x v="154"/>
    </i>
    <i r="3">
      <x v="24"/>
      <x v="155"/>
    </i>
    <i r="3">
      <x v="25"/>
      <x v="156"/>
    </i>
    <i r="2">
      <x v="52"/>
      <x v="10"/>
      <x v="157"/>
    </i>
    <i r="3">
      <x v="24"/>
      <x v="158"/>
    </i>
  </rowItems>
  <colFields count="1">
    <field x="6"/>
  </colFields>
  <colItems count="3">
    <i>
      <x/>
    </i>
    <i>
      <x v="1"/>
    </i>
    <i>
      <x v="2"/>
    </i>
  </colItems>
  <pageFields count="1">
    <pageField fld="5" hier="97" name="[vwWAIOU].[Snapshot].&amp;[Current Data]" cap="Current Data"/>
  </pageFields>
  <dataFields count="1">
    <dataField name="units" fld="7" baseField="4" baseItem="0" numFmtId="4"/>
  </dataField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unit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5">
    <rowHierarchyUsage hierarchyUsage="98"/>
    <rowHierarchyUsage hierarchyUsage="99"/>
    <rowHierarchyUsage hierarchyUsage="102"/>
    <rowHierarchyUsage hierarchyUsage="103"/>
    <rowHierarchyUsage hierarchyUsage="101"/>
  </rowHierarchiesUsage>
  <colHierarchiesUsage count="1">
    <colHierarchyUsage hierarchyUsage="104"/>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WAIOU]"/>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69D366B1-D4F0-48FD-982D-93AFEEE20BA3}" autoFormatId="16" applyNumberFormats="0" applyBorderFormats="0" applyFontFormats="0" applyPatternFormats="0" applyAlignmentFormats="0" applyWidthHeightFormats="0">
  <queryTableRefresh nextId="10">
    <queryTableFields count="9">
      <queryTableField id="1" name="Year" tableColumnId="1"/>
      <queryTableField id="2" name="Measure Index" tableColumnId="2"/>
      <queryTableField id="3" name="Is Code" tableColumnId="3"/>
      <queryTableField id="4" name="Is Standard" tableColumnId="4"/>
      <queryTableField id="5" name="'NEEA Influenced'" tableColumnId="5"/>
      <queryTableField id="6" name="Report Externally" tableColumnId="6"/>
      <queryTableField id="7" name="Report Negative NME" tableColumnId="7"/>
      <queryTableField id="8" name="Report Negative LP" tableColumnId="8"/>
      <queryTableField id="9" name="Measure" tableColumnId="9"/>
    </queryTableFields>
  </queryTableRefresh>
  <extLst>
    <ext xmlns:x15="http://schemas.microsoft.com/office/spreadsheetml/2010/11/main" uri="{883FBD77-0823-4a55-B5E3-86C4891E6966}">
      <x15:queryTable sourceDataName="Query - vwFlags"/>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F50EF5D-D793-43E8-8EA2-28334187D954}" name="vwFlags" displayName="vwFlags" ref="A1:I1482" tableType="queryTable" totalsRowShown="0">
  <autoFilter ref="A1:I1482" xr:uid="{EF50EF5D-D793-43E8-8EA2-28334187D954}"/>
  <tableColumns count="9">
    <tableColumn id="1" xr3:uid="{47B23802-B1FF-4DEF-8CDC-298C1E86A6CF}" uniqueName="1" name="Year" queryTableFieldId="1"/>
    <tableColumn id="2" xr3:uid="{B7B3760C-0921-41EA-88DB-C5DFD932AD89}" uniqueName="2" name="Measure Index" queryTableFieldId="2" dataDxfId="7"/>
    <tableColumn id="3" xr3:uid="{A3F83B5C-28B8-4358-A38B-A53491B1E668}" uniqueName="3" name="Is Code" queryTableFieldId="3" dataDxfId="6"/>
    <tableColumn id="4" xr3:uid="{BA7694EF-720E-4858-923E-393635C1257B}" uniqueName="4" name="Is Standard" queryTableFieldId="4" dataDxfId="5"/>
    <tableColumn id="5" xr3:uid="{B26476A2-CAE4-40B1-B640-59D6E641001C}" uniqueName="5" name="'NEEA Influenced'" queryTableFieldId="5" dataDxfId="4"/>
    <tableColumn id="6" xr3:uid="{1FA3905B-F715-41F6-A261-CA7F62EFDDF8}" uniqueName="6" name="Report Externally" queryTableFieldId="6" dataDxfId="3"/>
    <tableColumn id="7" xr3:uid="{ABED6616-5D6A-4984-9630-5D71F823B610}" uniqueName="7" name="Report Negative NME" queryTableFieldId="7" dataDxfId="2"/>
    <tableColumn id="8" xr3:uid="{8DBAB4FF-8A05-4B52-9513-E6E23CB7C9B7}" uniqueName="8" name="Report Negative LP" queryTableFieldId="8" dataDxfId="1"/>
    <tableColumn id="9" xr3:uid="{543CF3AA-D1DB-4D55-88ED-0A24D89AE8FA}" uniqueName="9" name="Measure" queryTableFieldId="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bin"/><Relationship Id="rId1" Type="http://schemas.openxmlformats.org/officeDocument/2006/relationships/hyperlink" Target="https://nwcouncil.app.box.com/v/ResHPWH-v6-2" TargetMode="External"/><Relationship Id="rId4" Type="http://schemas.openxmlformats.org/officeDocument/2006/relationships/comments" Target="../comments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hyperlink" Target="https://nwcouncil.app.box.com/v/20200519NewMHSEEM" TargetMode="External"/><Relationship Id="rId4" Type="http://schemas.openxmlformats.org/officeDocument/2006/relationships/comments" Target="../comments4.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3.xml.rels><?xml version="1.0" encoding="UTF-8" standalone="yes"?>
<Relationships xmlns="http://schemas.openxmlformats.org/package/2006/relationships"><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6.bin"/><Relationship Id="rId1" Type="http://schemas.openxmlformats.org/officeDocument/2006/relationships/hyperlink" Target="https://neea.org/portal/sign-in" TargetMode="External"/><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7.bin"/><Relationship Id="rId1" Type="http://schemas.openxmlformats.org/officeDocument/2006/relationships/hyperlink" Target="https://neea.org/resources/televisions-energy-star-version-9-specification-influence-assessment-and-baseline-assumptions-review" TargetMode="External"/><Relationship Id="rId4" Type="http://schemas.openxmlformats.org/officeDocument/2006/relationships/comments" Target="../comments9.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21.bin"/><Relationship Id="rId1" Type="http://schemas.openxmlformats.org/officeDocument/2006/relationships/hyperlink" Target="https://nwcouncil.app.box.com/v/NonResLightingCSFandHOUv2-1" TargetMode="External"/><Relationship Id="rId4"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xml"/><Relationship Id="rId1" Type="http://schemas.openxmlformats.org/officeDocument/2006/relationships/printerSettings" Target="../printerSettings/printerSettings22.bin"/><Relationship Id="rId4"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6.xml"/><Relationship Id="rId1" Type="http://schemas.openxmlformats.org/officeDocument/2006/relationships/printerSettings" Target="../printerSettings/printerSettings23.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neea.org/resources/uninterruptible-power-supplies-standard-evaluation"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5.bin"/><Relationship Id="rId1" Type="http://schemas.openxmlformats.org/officeDocument/2006/relationships/hyperlink" Target="https://nwcouncil.app.box.com/v/ComSecGlazingSys-v1-1"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I20"/>
  <sheetViews>
    <sheetView workbookViewId="0">
      <selection activeCell="G27" sqref="G27"/>
    </sheetView>
  </sheetViews>
  <sheetFormatPr defaultRowHeight="15"/>
  <cols>
    <col min="1" max="1" width="29.5703125" customWidth="1"/>
    <col min="3" max="3" width="26.42578125" customWidth="1"/>
    <col min="7" max="7" width="32.5703125" customWidth="1"/>
    <col min="8" max="8" width="21.5703125" customWidth="1"/>
  </cols>
  <sheetData>
    <row r="1" spans="1:9">
      <c r="A1" s="28" t="s">
        <v>568</v>
      </c>
      <c r="B1" s="28" t="s">
        <v>444</v>
      </c>
      <c r="C1" s="28" t="s">
        <v>569</v>
      </c>
      <c r="D1" s="28" t="s">
        <v>570</v>
      </c>
      <c r="E1" s="28" t="s">
        <v>571</v>
      </c>
      <c r="F1" s="28" t="s">
        <v>8</v>
      </c>
      <c r="G1" s="28" t="s">
        <v>572</v>
      </c>
      <c r="H1" s="28" t="s">
        <v>573</v>
      </c>
      <c r="I1" s="28" t="s">
        <v>610</v>
      </c>
    </row>
    <row r="2" spans="1:9">
      <c r="A2" s="29" t="s">
        <v>574</v>
      </c>
      <c r="B2" s="29" t="s">
        <v>574</v>
      </c>
      <c r="C2" s="29" t="s">
        <v>575</v>
      </c>
      <c r="D2" s="29">
        <v>2018</v>
      </c>
      <c r="E2" s="29" t="s">
        <v>14</v>
      </c>
      <c r="F2" s="29">
        <v>2024</v>
      </c>
      <c r="G2" s="29" t="s">
        <v>927</v>
      </c>
      <c r="H2" s="29" t="s">
        <v>608</v>
      </c>
      <c r="I2" s="29" t="s">
        <v>847</v>
      </c>
    </row>
    <row r="3" spans="1:9">
      <c r="A3" s="29" t="s">
        <v>576</v>
      </c>
      <c r="B3" s="29" t="s">
        <v>577</v>
      </c>
      <c r="C3" s="29" t="s">
        <v>185</v>
      </c>
      <c r="D3" s="29">
        <v>2019</v>
      </c>
      <c r="E3" s="29" t="s">
        <v>574</v>
      </c>
      <c r="F3" s="29">
        <v>2025</v>
      </c>
      <c r="G3" s="29" t="s">
        <v>929</v>
      </c>
      <c r="I3" t="s">
        <v>189</v>
      </c>
    </row>
    <row r="4" spans="1:9">
      <c r="A4" s="29" t="s">
        <v>578</v>
      </c>
      <c r="B4" s="29" t="s">
        <v>579</v>
      </c>
      <c r="C4" s="29" t="s">
        <v>580</v>
      </c>
      <c r="D4" s="29" t="s">
        <v>462</v>
      </c>
      <c r="F4" s="29">
        <v>2026</v>
      </c>
      <c r="G4" s="29" t="s">
        <v>924</v>
      </c>
      <c r="I4" t="s">
        <v>185</v>
      </c>
    </row>
    <row r="5" spans="1:9">
      <c r="A5" s="29" t="s">
        <v>458</v>
      </c>
      <c r="B5" s="29" t="s">
        <v>581</v>
      </c>
      <c r="C5" s="29" t="s">
        <v>582</v>
      </c>
      <c r="D5" s="29"/>
      <c r="F5" s="29">
        <v>2027</v>
      </c>
      <c r="G5" s="29" t="s">
        <v>583</v>
      </c>
    </row>
    <row r="6" spans="1:9">
      <c r="A6" s="29" t="s">
        <v>584</v>
      </c>
      <c r="B6" s="29" t="s">
        <v>585</v>
      </c>
      <c r="C6" s="29"/>
      <c r="D6" s="29"/>
      <c r="F6" s="29"/>
      <c r="G6" s="29" t="s">
        <v>586</v>
      </c>
    </row>
    <row r="7" spans="1:9">
      <c r="A7" s="29" t="s">
        <v>587</v>
      </c>
      <c r="C7" s="29"/>
      <c r="D7" s="29"/>
      <c r="F7" s="29"/>
      <c r="G7" s="29" t="s">
        <v>588</v>
      </c>
    </row>
    <row r="8" spans="1:9">
      <c r="A8" s="29" t="s">
        <v>589</v>
      </c>
      <c r="C8" s="29"/>
      <c r="D8" s="29"/>
      <c r="F8" s="29"/>
      <c r="G8" s="29" t="s">
        <v>590</v>
      </c>
    </row>
    <row r="9" spans="1:9">
      <c r="A9" s="29" t="s">
        <v>591</v>
      </c>
      <c r="F9" s="29"/>
      <c r="G9" s="29" t="s">
        <v>592</v>
      </c>
    </row>
    <row r="10" spans="1:9">
      <c r="A10" s="29" t="s">
        <v>593</v>
      </c>
      <c r="F10" s="29"/>
      <c r="G10" s="29" t="s">
        <v>594</v>
      </c>
    </row>
    <row r="11" spans="1:9">
      <c r="A11" s="29" t="s">
        <v>595</v>
      </c>
      <c r="F11" s="29"/>
      <c r="G11" s="29" t="s">
        <v>596</v>
      </c>
    </row>
    <row r="12" spans="1:9">
      <c r="A12" s="29" t="s">
        <v>597</v>
      </c>
      <c r="F12" s="29"/>
      <c r="G12" s="29" t="s">
        <v>635</v>
      </c>
    </row>
    <row r="13" spans="1:9">
      <c r="A13" s="29" t="s">
        <v>598</v>
      </c>
      <c r="F13" s="29"/>
      <c r="G13" s="29" t="s">
        <v>860</v>
      </c>
    </row>
    <row r="14" spans="1:9">
      <c r="A14" s="29" t="s">
        <v>599</v>
      </c>
    </row>
    <row r="15" spans="1:9">
      <c r="A15" s="29" t="s">
        <v>600</v>
      </c>
    </row>
    <row r="16" spans="1:9">
      <c r="A16" s="29" t="s">
        <v>601</v>
      </c>
    </row>
    <row r="17" spans="1:1">
      <c r="A17" s="29" t="s">
        <v>602</v>
      </c>
    </row>
    <row r="18" spans="1:1">
      <c r="A18" s="29" t="s">
        <v>603</v>
      </c>
    </row>
    <row r="19" spans="1:1">
      <c r="A19" s="29" t="s">
        <v>604</v>
      </c>
    </row>
    <row r="20" spans="1:1">
      <c r="A20" s="29" t="s">
        <v>605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12663-D1D0-48EE-8D81-64F82F175C5D}">
  <sheetPr>
    <tabColor theme="9" tint="0.79998168889431442"/>
  </sheetPr>
  <dimension ref="A2:E11"/>
  <sheetViews>
    <sheetView showGridLines="0" workbookViewId="0"/>
  </sheetViews>
  <sheetFormatPr defaultRowHeight="15"/>
  <cols>
    <col min="1" max="1" width="12.5703125" bestFit="1" customWidth="1"/>
    <col min="2" max="5" width="13.42578125" customWidth="1"/>
  </cols>
  <sheetData>
    <row r="2" spans="1:5">
      <c r="A2" s="1657" t="s">
        <v>2745</v>
      </c>
      <c r="B2" s="1657"/>
      <c r="C2" s="1657"/>
      <c r="D2" s="1658"/>
      <c r="E2" s="1384">
        <v>2024</v>
      </c>
    </row>
    <row r="3" spans="1:5">
      <c r="A3" s="1389" t="s">
        <v>2665</v>
      </c>
      <c r="B3" s="1390" t="s">
        <v>2666</v>
      </c>
      <c r="C3" s="1390" t="s">
        <v>2667</v>
      </c>
      <c r="D3" s="1390" t="s">
        <v>2668</v>
      </c>
      <c r="E3" s="1369" t="s">
        <v>834</v>
      </c>
    </row>
    <row r="4" spans="1:5">
      <c r="A4" s="1385" t="s">
        <v>207</v>
      </c>
      <c r="B4" s="1386">
        <f>IF($E$2=2024,SUM('2024-2025 Summary'!$E$6:$E$16,'2024-2025 Summary'!$E$23:$E$24 ),IF($E$2=2025,SUM('2024-2025 Summary'!$F$6:$F$16,'2024-2025 Summary'!$F$23:$F$24),IF($E$2=2026,SUM('2026-2027 Summary'!$E$7:$E$17,'2026-2027 Summary'!$E$24:$E$25),IF($E$2=2027,SUM('2026-2027 Summary'!$F$7:$F$17,'2026-2027 Summary'!$F$24:$F$25),0))))</f>
        <v>2.3446236432536249</v>
      </c>
      <c r="C4" s="1387">
        <f>D4/1000</f>
        <v>20538.903114901754</v>
      </c>
      <c r="D4" s="1387">
        <f>B4*8760000</f>
        <v>20538903.114901755</v>
      </c>
      <c r="E4" s="1388" cm="1">
        <f t="array" ref="E4">IF($E$2=2024,SUMPRODUCT('2024-2025 Summary'!$E:$E,'2024-2025 Summary'!$D:$D,--('2024-2025 Summary'!$A:$A=1))/SUMIFS('2024-2025 Summary'!$E:$E,'2024-2025 Summary'!$A:$A,1),
IF($E$2=2025,SUMPRODUCT('2024-2025 Summary'!$F:$F,'2024-2025 Summary'!$D:$D,--('2024-2025 Summary'!$A:$A=1))/SUMIFS('2024-2025 Summary'!$F:$F,'2024-2025 Summary'!$A:$A,1),
IF($E$2=2026,SUMPRODUCT('2026-2027 Summary'!$E:$E,'2026-2027 Summary'!$D:$D,--('2026-2027 Summary'!$A:$A=1))/SUMIFS('2026-2027 Summary'!$E:$E,'2026-2027 Summary'!$A:$A,1),
IF($E$2=2027,SUMPRODUCT('2026-2027 Summary'!$F:$F,'2026-2027 Summary'!$D:$D,--('2026-2027 Summary'!$A:$A=1))/SUMIFS('2026-2027 Summary'!$F:$F,'2026-2027 Summary'!$A:$A,1),0))))</f>
        <v>19.920692460788548</v>
      </c>
    </row>
    <row r="5" spans="1:5">
      <c r="A5" s="1222" t="s">
        <v>445</v>
      </c>
      <c r="B5" s="1303">
        <f>IF($E$2=2024,SUM('2024-2025 Summary'!$E$18:$E$20, '2024-2025 Summary'!$E$26:$E$27,),IF($E$2=2025,SUM( '2024-2025 Summary'!$F$18:$F$20, '2024-2025 Summary'!$F$26:$F$27),IF($E$2=2026,SUM('2026-2027 Summary'!$E$19:$E$21, '2026-2027 Summary'!$E$27:$E$28),IF($E$2=2027,SUM( '2026-2027 Summary'!$F$19:$F$21, '2026-2027 Summary'!$F$27:$F$28),0))))</f>
        <v>0.45726323677215908</v>
      </c>
      <c r="C5" s="1305">
        <f>D5/1000</f>
        <v>4005.6259541241134</v>
      </c>
      <c r="D5" s="1305">
        <f>B5*8760000</f>
        <v>4005625.9541241135</v>
      </c>
      <c r="E5" s="1304" cm="1">
        <f t="array" ref="E5">IF($E$2=2024,SUMPRODUCT('2024-2025 Summary'!$E:$E,'2024-2025 Summary'!$D:$D,--('2024-2025 Summary'!$A:$A=2))/SUMIFS('2024-2025 Summary'!$E:$E,'2024-2025 Summary'!$A:$A,2),
IF($E$2=2025,SUMPRODUCT('2024-2025 Summary'!$F:$F,'2024-2025 Summary'!$D:$D,--('2024-2025 Summary'!$A:$A=2))/SUMIFS('2024-2025 Summary'!$F:$F,'2024-2025 Summary'!$A:$A,2),
IF($E$2=2026,SUMPRODUCT('2026-2027 Summary'!$E:$E,'2026-2027 Summary'!$D:$D,--('2026-2027 Summary'!$A:$A=2))/SUMIFS('2026-2027 Summary'!$E:$E,'2026-2027 Summary'!$A:$A,2),
IF($E$2=2027,SUMPRODUCT('2026-2027 Summary'!$F:$F,'2026-2027 Summary'!$D:$D,--('2026-2027 Summary'!$A:$A=2))/SUMIFS('2026-2027 Summary'!$F:$F,'2026-2027 Summary'!$A:$A,2),0))))</f>
        <v>17.119406169212755</v>
      </c>
    </row>
    <row r="6" spans="1:5">
      <c r="A6" s="1222" t="s">
        <v>29</v>
      </c>
      <c r="B6" s="1303">
        <f>IF($E$2=2024,SUM('2024-2025 Summary'!$E$29:$E$29),IF($E$2=2025,SUM('2024-2025 Summary'!$F$29:$F$29),IF($E$2=2026,SUM('2026-2027 Summary'!E30:E30),IF($E$2=2027,SUM('2026-2027 Summary'!F30:F30),0))))</f>
        <v>0</v>
      </c>
      <c r="C6" s="1305">
        <f t="shared" ref="C6:C7" si="0">D6/1000</f>
        <v>0</v>
      </c>
      <c r="D6" s="1305">
        <f>B6*8760000</f>
        <v>0</v>
      </c>
      <c r="E6" s="1304" t="str" cm="1">
        <f t="array" ref="E6">IFERROR(IF($E$2=2024,SUMPRODUCT('2024-2025 Summary'!$E:$E,'2024-2025 Summary'!$D:$D,--('2024-2025 Summary'!$A:$A=3))/SUMIFS('2024-2025 Summary'!$E:$E,'2024-2025 Summary'!$A:$A,3),
IF($E$2=2025,SUMPRODUCT('2024-2025 Summary'!$F:$F,'2024-2025 Summary'!$D:$D,--('2024-2025 Summary'!$A:$A=3))/SUMIFS('2024-2025 Summary'!$F:$F,'2024-2025 Summary'!$A:$A,3),
IF($E$2=2026,SUMPRODUCT('2026-2027 Summary'!$E:$E,'2026-2027 Summary'!$D:$D,--('2026-2027 Summary'!$A:$A=3))/SUMIFS('2026-2027 Summary'!$E:$E,'2026-2027 Summary'!$A:$A,3),
IF($E$2=2027,SUMPRODUCT('2026-2027 Summary'!$F:$F,'2026-2027 Summary'!$D:$D,--('2026-2027 Summary'!$A:$A=3))/SUMIFS('2026-2027 Summary'!$F:$F,'2026-2027 Summary'!$A:$A,3),0)))),"NA")</f>
        <v>NA</v>
      </c>
    </row>
    <row r="7" spans="1:5">
      <c r="A7" s="1391" t="s">
        <v>785</v>
      </c>
      <c r="B7" s="1392">
        <f>IF($E$2=2024,SUM('2024-2025 Summary'!$E$6:$E$16,'2024-2025 Summary'!$E$23:$E$24, '2024-2025 Summary'!$E$18:$E$20, '2024-2025 Summary'!$E$26:$E$27,'2024-2025 Summary'!$E$29:$E$29 ),IF($E$2=2025,SUM('2024-2025 Summary'!$F$6:$F$16,'2024-2025 Summary'!$F$23:$F$24, '2024-2025 Summary'!$F$18:$F$20, '2024-2025 Summary'!$F$26:$F$27,'2024-2025 Summary'!$F$29:$F$29),IF($E$2=2026,SUM('2026-2027 Summary'!$E$7:$E$17,'2026-2027 Summary'!$E$24:$E$25, '2026-2027 Summary'!$E$19:$E$21, '2026-2027 Summary'!$E$27:$E$28,'2026-2027 Summary'!$E$30:$E$30),IF($E$2=2027,SUM('2026-2027 Summary'!$F$7:$F$17,'2026-2027 Summary'!$F$24:$F$25, '2026-2027 Summary'!$F$19:$F$21, '2026-2027 Summary'!$F$27:$F$28,'2026-2027 Summary'!$F$30:$F$30),0))))</f>
        <v>2.8018868800257843</v>
      </c>
      <c r="C7" s="1393">
        <f t="shared" si="0"/>
        <v>24544.52906902587</v>
      </c>
      <c r="D7" s="1393">
        <f>B7*8760000</f>
        <v>24544529.06902587</v>
      </c>
      <c r="E7" s="1394" cm="1">
        <f t="array" ref="E7">IF($E$2=2024,SUMPRODUCT('2024-2025 Summary'!$E:$E,'2024-2025 Summary'!$D:$D,--('2024-2025 Summary'!$A:$A&gt;=1))/SUMIFS('2024-2025 Summary'!$E:$E,'2024-2025 Summary'!$A:$A,"&gt;=1"),
IF($E$2=2025,SUMPRODUCT('2024-2025 Summary'!$F:$F,'2024-2025 Summary'!$D:$D,--('2024-2025 Summary'!$A:$A&gt;=1))/SUMIFS('2024-2025 Summary'!$F:$F,'2024-2025 Summary'!$A:$A,"&gt;=1"),
IF($E$2=2026,SUMPRODUCT('2026-2027 Summary'!$E:$E,'2026-2027 Summary'!$D:$D,--('2026-2027 Summary'!$A:$A&gt;=1))/SUMIFS('2026-2027 Summary'!$E:$E,'2026-2027 Summary'!$A:$A,"&gt;=1"),
IF($E$2=2027,SUMPRODUCT('2026-2027 Summary'!$F:$F,'2026-2027 Summary'!$D:$D,--('2026-2027 Summary'!$A:$A&gt;=1))/SUMIFS('2026-2027 Summary'!$F:$F,'2026-2027 Summary'!$A:$A,"&gt;=1"),0))))</f>
        <v>19.463527239043536</v>
      </c>
    </row>
    <row r="8" spans="1:5">
      <c r="A8" s="1655" t="s">
        <v>2821</v>
      </c>
      <c r="B8" s="1655"/>
      <c r="C8" s="1655"/>
      <c r="D8" s="1655"/>
      <c r="E8" s="1655"/>
    </row>
    <row r="9" spans="1:5">
      <c r="A9" s="1656"/>
      <c r="B9" s="1656"/>
      <c r="C9" s="1656"/>
      <c r="D9" s="1656"/>
      <c r="E9" s="1656"/>
    </row>
    <row r="10" spans="1:5">
      <c r="A10" s="1656"/>
      <c r="B10" s="1656"/>
      <c r="C10" s="1656"/>
      <c r="D10" s="1656"/>
      <c r="E10" s="1656"/>
    </row>
    <row r="11" spans="1:5" ht="90.6" customHeight="1">
      <c r="A11" s="1656"/>
      <c r="B11" s="1656"/>
      <c r="C11" s="1656"/>
      <c r="D11" s="1656"/>
      <c r="E11" s="1656"/>
    </row>
  </sheetData>
  <mergeCells count="2">
    <mergeCell ref="A8:E11"/>
    <mergeCell ref="A2:D2"/>
  </mergeCells>
  <dataValidations count="1">
    <dataValidation type="list" allowBlank="1" showInputMessage="1" showErrorMessage="1" sqref="E2" xr:uid="{09C881A6-487A-4574-A81B-83AFF884AB37}">
      <formula1>Year_list</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0" tint="-4.9989318521683403E-2"/>
  </sheetPr>
  <dimension ref="A1:P21"/>
  <sheetViews>
    <sheetView showGridLines="0" zoomScaleNormal="100" workbookViewId="0"/>
  </sheetViews>
  <sheetFormatPr defaultColWidth="9.42578125" defaultRowHeight="12.75"/>
  <cols>
    <col min="1" max="1" width="22.5703125" style="47" customWidth="1"/>
    <col min="2" max="16384" width="9.42578125" style="47"/>
  </cols>
  <sheetData>
    <row r="1" spans="1:16" ht="15">
      <c r="A1" s="19" t="s">
        <v>678</v>
      </c>
      <c r="B1" s="614"/>
      <c r="C1" s="614"/>
      <c r="D1" s="614"/>
      <c r="E1" s="614"/>
      <c r="F1" s="614"/>
      <c r="G1" s="614"/>
      <c r="H1" s="614"/>
      <c r="I1" s="614"/>
      <c r="J1" s="614"/>
      <c r="K1" s="614"/>
      <c r="L1" s="614"/>
      <c r="M1" s="614"/>
      <c r="N1" s="614"/>
      <c r="O1" s="614"/>
      <c r="P1" s="614"/>
    </row>
    <row r="2" spans="1:16">
      <c r="A2" s="235" t="s">
        <v>2754</v>
      </c>
    </row>
    <row r="3" spans="1:16" customFormat="1" ht="15">
      <c r="A3" s="1377" t="s">
        <v>990</v>
      </c>
    </row>
    <row r="4" spans="1:16">
      <c r="A4" s="275" t="s">
        <v>2801</v>
      </c>
      <c r="B4" s="274"/>
      <c r="C4" s="274"/>
      <c r="D4" s="274"/>
      <c r="E4" s="274"/>
      <c r="F4" s="274"/>
      <c r="G4" s="274"/>
      <c r="H4" s="274"/>
      <c r="I4" s="274"/>
      <c r="J4" s="274"/>
      <c r="K4" s="274"/>
      <c r="L4" s="274"/>
      <c r="M4" s="274"/>
      <c r="N4" s="274"/>
      <c r="O4" s="274"/>
      <c r="P4" s="274"/>
    </row>
    <row r="5" spans="1:16" ht="28.5" customHeight="1">
      <c r="A5" s="1659" t="s">
        <v>2755</v>
      </c>
      <c r="B5" s="1660"/>
      <c r="C5" s="1660"/>
      <c r="D5" s="1660"/>
      <c r="E5" s="1660"/>
      <c r="F5" s="1660"/>
      <c r="G5" s="1660"/>
      <c r="H5" s="1660"/>
      <c r="I5" s="1660"/>
      <c r="J5" s="1660"/>
      <c r="K5" s="1660"/>
      <c r="L5" s="1660"/>
      <c r="M5" s="1660"/>
      <c r="N5" s="1660"/>
      <c r="O5" s="1660"/>
      <c r="P5" s="1660"/>
    </row>
    <row r="6" spans="1:16">
      <c r="A6" s="277" t="s">
        <v>2804</v>
      </c>
      <c r="B6" s="274"/>
      <c r="C6" s="274"/>
      <c r="D6" s="274"/>
      <c r="E6" s="274"/>
      <c r="F6" s="274"/>
      <c r="G6" s="274"/>
      <c r="H6" s="274"/>
      <c r="I6" s="274"/>
      <c r="J6" s="274"/>
      <c r="K6" s="274"/>
      <c r="L6" s="274"/>
      <c r="M6" s="274"/>
      <c r="N6" s="274"/>
      <c r="O6" s="274"/>
      <c r="P6" s="274"/>
    </row>
    <row r="7" spans="1:16" ht="60" customHeight="1">
      <c r="A7" s="1661" t="s">
        <v>2795</v>
      </c>
      <c r="B7" s="1662"/>
      <c r="C7" s="1662"/>
      <c r="D7" s="1662"/>
      <c r="E7" s="1662"/>
      <c r="F7" s="1662"/>
      <c r="G7" s="1662"/>
      <c r="H7" s="1662"/>
      <c r="I7" s="1662"/>
      <c r="J7" s="1662"/>
      <c r="K7" s="1662"/>
      <c r="L7" s="1662"/>
      <c r="M7" s="1662"/>
      <c r="N7" s="1662"/>
      <c r="O7" s="1662"/>
      <c r="P7" s="1662"/>
    </row>
    <row r="8" spans="1:16">
      <c r="A8" s="277" t="s">
        <v>2805</v>
      </c>
      <c r="B8" s="276"/>
      <c r="C8" s="276"/>
      <c r="D8" s="276"/>
      <c r="E8" s="276"/>
      <c r="F8" s="276"/>
      <c r="G8" s="276"/>
      <c r="H8" s="276"/>
      <c r="I8" s="276"/>
      <c r="J8" s="276"/>
      <c r="K8" s="276"/>
      <c r="L8" s="276"/>
      <c r="M8" s="276"/>
      <c r="N8" s="276"/>
      <c r="O8" s="276"/>
      <c r="P8" s="276"/>
    </row>
    <row r="9" spans="1:16" ht="28.5" customHeight="1">
      <c r="A9" s="578" t="s">
        <v>2777</v>
      </c>
      <c r="B9" s="50"/>
      <c r="C9" s="50"/>
      <c r="D9" s="50"/>
      <c r="E9" s="50"/>
      <c r="F9" s="50"/>
      <c r="G9" s="50"/>
      <c r="H9" s="50"/>
      <c r="I9" s="50"/>
      <c r="J9" s="50"/>
      <c r="K9" s="50"/>
      <c r="L9" s="50"/>
      <c r="M9" s="50"/>
      <c r="N9" s="50"/>
      <c r="O9" s="50"/>
      <c r="P9" s="50"/>
    </row>
    <row r="10" spans="1:16" ht="15">
      <c r="A10" s="1377" t="s">
        <v>450</v>
      </c>
      <c r="B10" s="592"/>
      <c r="C10" s="592"/>
      <c r="D10" s="592"/>
      <c r="E10" s="592"/>
      <c r="F10" s="592"/>
      <c r="G10" s="592"/>
      <c r="H10" s="592"/>
      <c r="I10" s="592"/>
      <c r="J10" s="592"/>
      <c r="K10" s="592"/>
      <c r="L10" s="592"/>
      <c r="M10" s="592"/>
      <c r="N10" s="592"/>
      <c r="O10" s="592"/>
      <c r="P10" s="592"/>
    </row>
    <row r="11" spans="1:16" ht="54" customHeight="1">
      <c r="A11" s="1663" t="s">
        <v>558</v>
      </c>
      <c r="B11" s="1663"/>
      <c r="C11" s="1663"/>
      <c r="D11" s="1663"/>
      <c r="E11" s="1663"/>
      <c r="F11" s="1663"/>
      <c r="G11" s="1663"/>
      <c r="H11" s="1663"/>
      <c r="I11" s="1663"/>
      <c r="J11" s="1663"/>
      <c r="K11" s="1663"/>
      <c r="L11" s="1663"/>
      <c r="M11" s="1663"/>
      <c r="N11" s="1663"/>
      <c r="O11" s="1663"/>
      <c r="P11" s="1663"/>
    </row>
    <row r="21" spans="6:6">
      <c r="F21" s="50"/>
    </row>
  </sheetData>
  <mergeCells count="3">
    <mergeCell ref="A5:P5"/>
    <mergeCell ref="A7:P7"/>
    <mergeCell ref="A11:P1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0"/>
  </sheetPr>
  <dimension ref="A1:N36"/>
  <sheetViews>
    <sheetView zoomScale="90" zoomScaleNormal="90" workbookViewId="0"/>
  </sheetViews>
  <sheetFormatPr defaultColWidth="18.5703125" defaultRowHeight="12.75" customHeight="1"/>
  <cols>
    <col min="1" max="5" width="25.140625" style="4" customWidth="1"/>
    <col min="6" max="13" width="18.5703125" style="4"/>
    <col min="14" max="14" width="0" style="4" hidden="1" customWidth="1"/>
    <col min="15" max="16384" width="18.5703125" style="4"/>
  </cols>
  <sheetData>
    <row r="1" spans="1:14" ht="15">
      <c r="A1" s="19" t="s">
        <v>457</v>
      </c>
      <c r="N1" s="20" t="s">
        <v>458</v>
      </c>
    </row>
    <row r="2" spans="1:14" ht="15">
      <c r="A2" s="1377" t="str">
        <f>"Savings Allocation Approach: "&amp;Selection!A2</f>
        <v>Savings Allocation Approach: Puget Sound Energy</v>
      </c>
    </row>
    <row r="3" spans="1:14" s="1382" customFormat="1" ht="12">
      <c r="A3" s="1380" t="str" cm="1">
        <f t="array" ref="A3">_xlfn.SWITCH(Selection!A3,"Idaho","id_allocation","Montana","mt_allocation","Oregon","or_allocation","Washington","wa_allocation")</f>
        <v>wa_allocation</v>
      </c>
      <c r="B3" s="1381" t="str">
        <f>Selection!A2</f>
        <v>Puget Sound Energy</v>
      </c>
    </row>
    <row r="4" spans="1:14" ht="68.25" customHeight="1">
      <c r="A4" s="1664" t="s">
        <v>2807</v>
      </c>
      <c r="B4" s="1664"/>
      <c r="C4" s="1664"/>
      <c r="D4" s="1664"/>
      <c r="E4" s="1664"/>
    </row>
    <row r="5" spans="1:14" ht="15">
      <c r="A5" s="1379" t="s">
        <v>457</v>
      </c>
      <c r="B5" s="1378"/>
      <c r="C5" s="1378"/>
      <c r="D5" s="1378"/>
      <c r="E5" s="1378"/>
    </row>
    <row r="6" spans="1:14" s="50" customFormat="1">
      <c r="A6" s="1370" t="s">
        <v>456</v>
      </c>
      <c r="B6" s="1371" t="s">
        <v>454</v>
      </c>
      <c r="C6" s="1371" t="s">
        <v>455</v>
      </c>
      <c r="D6" s="1371" t="s">
        <v>1089</v>
      </c>
      <c r="E6" s="1371" t="s">
        <v>2087</v>
      </c>
    </row>
    <row r="7" spans="1:14" s="50" customFormat="1">
      <c r="A7" s="1372" t="s">
        <v>8</v>
      </c>
      <c r="B7" s="1372" t="s">
        <v>459</v>
      </c>
      <c r="C7" s="1372" t="s">
        <v>460</v>
      </c>
      <c r="D7" s="1372" t="s">
        <v>461</v>
      </c>
      <c r="E7" s="1372" t="s">
        <v>2086</v>
      </c>
    </row>
    <row r="8" spans="1:14" s="50" customFormat="1">
      <c r="A8" s="1373">
        <v>2022</v>
      </c>
      <c r="B8" s="1374">
        <f>IF($A8&gt;=_xlfn.NUMBERVALUE(LEFT(B$6,4)),INDEX('AMMO Funder Share'!$E:$H,MATCH($B$3&amp;RIGHT(B$6,4),'AMMO Funder Share'!$J:$J,0),MATCH($A$3,'AMMO Funder Share'!$E$2:$H$2,0)),0)</f>
        <v>0.13800000000000001</v>
      </c>
      <c r="C8" s="1374">
        <f>IF($A8&gt;=_xlfn.NUMBERVALUE(LEFT(C$6,4)),INDEX('AMMO Funder Share'!$E:$H,MATCH($B$3&amp;RIGHT(C$6,4),'AMMO Funder Share'!$J:$J,0),MATCH($A$3,'AMMO Funder Share'!$E$2:$H$2,0)),0)</f>
        <v>0.14199999999999999</v>
      </c>
      <c r="D8" s="1374">
        <f>IF($A8&gt;=_xlfn.NUMBERVALUE(LEFT(D$6,4)),INDEX('AMMO Funder Share'!$E:$H,MATCH($B$3&amp;RIGHT(D$6,4),'AMMO Funder Share'!$J:$J,0),MATCH($A$3,'AMMO Funder Share'!$E$2:$H$2,0)),0)</f>
        <v>0.13985600000000001</v>
      </c>
      <c r="E8" s="1374">
        <f>IF($A8&gt;=_xlfn.NUMBERVALUE(LEFT(E$6,4)),INDEX('AMMO Funder Share'!$E:$H,MATCH($B$3&amp;LEFT(E$6,4),'AMMO Funder Share'!$J:$J,0),MATCH($A$3,'AMMO Funder Share'!$E$2:$H$2,0)),0)</f>
        <v>0</v>
      </c>
    </row>
    <row r="9" spans="1:14" s="50" customFormat="1">
      <c r="A9" s="1373">
        <f>A8+1</f>
        <v>2023</v>
      </c>
      <c r="B9" s="1374">
        <f>IF($A9&gt;=_xlfn.NUMBERVALUE(LEFT(B$6,4)),INDEX('AMMO Funder Share'!$E:$H,MATCH($B$3&amp;RIGHT(B$6,4),'AMMO Funder Share'!$J:$J,0),MATCH($A$3,'AMMO Funder Share'!$E$2:$H$2,0)),0)</f>
        <v>0.13800000000000001</v>
      </c>
      <c r="C9" s="1374">
        <f>IF($A9&gt;=_xlfn.NUMBERVALUE(LEFT(C$6,4)),INDEX('AMMO Funder Share'!$E:$H,MATCH($B$3&amp;RIGHT(C$6,4),'AMMO Funder Share'!$J:$J,0),MATCH($A$3,'AMMO Funder Share'!$E$2:$H$2,0)),0)</f>
        <v>0.14199999999999999</v>
      </c>
      <c r="D9" s="1374">
        <f>IF($A9&gt;=_xlfn.NUMBERVALUE(LEFT(D$6,4)),INDEX('AMMO Funder Share'!$E:$H,MATCH($B$3&amp;RIGHT(D$6,4),'AMMO Funder Share'!$J:$J,0),MATCH($A$3,'AMMO Funder Share'!$E$2:$H$2,0)),0)</f>
        <v>0.13985600000000001</v>
      </c>
      <c r="E9" s="1374">
        <f>IF($A9&gt;=_xlfn.NUMBERVALUE(LEFT(E$6,4)),INDEX('AMMO Funder Share'!$E:$H,MATCH($B$3&amp;LEFT(E$6,4),'AMMO Funder Share'!$J:$J,0),MATCH($A$3,'AMMO Funder Share'!$E$2:$H$2,0)),0)</f>
        <v>0</v>
      </c>
    </row>
    <row r="10" spans="1:14" s="50" customFormat="1">
      <c r="A10" s="1373">
        <f t="shared" ref="A10:A11" si="0">A9+1</f>
        <v>2024</v>
      </c>
      <c r="B10" s="1374">
        <f>IF($A10&gt;=_xlfn.NUMBERVALUE(LEFT(B$6,4)),INDEX('AMMO Funder Share'!$E:$H,MATCH($B$3&amp;RIGHT(B$6,4),'AMMO Funder Share'!$J:$J,0),MATCH($A$3,'AMMO Funder Share'!$E$2:$H$2,0)),0)</f>
        <v>0.13800000000000001</v>
      </c>
      <c r="C10" s="1374">
        <f>IF($A10&gt;=_xlfn.NUMBERVALUE(LEFT(C$6,4)),INDEX('AMMO Funder Share'!$E:$H,MATCH($B$3&amp;RIGHT(C$6,4),'AMMO Funder Share'!$J:$J,0),MATCH($A$3,'AMMO Funder Share'!$E$2:$H$2,0)),0)</f>
        <v>0.14199999999999999</v>
      </c>
      <c r="D10" s="1374">
        <f>IF($A10&gt;=_xlfn.NUMBERVALUE(LEFT(D$6,4)),INDEX('AMMO Funder Share'!$E:$H,MATCH($B$3&amp;RIGHT(D$6,4),'AMMO Funder Share'!$J:$J,0),MATCH($A$3,'AMMO Funder Share'!$E$2:$H$2,0)),0)</f>
        <v>0.13985600000000001</v>
      </c>
      <c r="E10" s="1374">
        <f>IF($A10&gt;=_xlfn.NUMBERVALUE(LEFT(E$6,4)),INDEX('AMMO Funder Share'!$E:$H,MATCH($B$3&amp;LEFT(E$6,4),'AMMO Funder Share'!$J:$J,0),MATCH($A$3,'AMMO Funder Share'!$E$2:$H$2,0)),0)</f>
        <v>0</v>
      </c>
    </row>
    <row r="11" spans="1:14" s="50" customFormat="1">
      <c r="A11" s="1373">
        <f t="shared" si="0"/>
        <v>2025</v>
      </c>
      <c r="B11" s="1374">
        <f>IF($A11&gt;=_xlfn.NUMBERVALUE(LEFT(B$6,4)),INDEX('AMMO Funder Share'!$E:$H,MATCH($B$3&amp;RIGHT(B$6,4),'AMMO Funder Share'!$J:$J,0),MATCH($A$3,'AMMO Funder Share'!$E$2:$H$2,0)),0)</f>
        <v>0.13800000000000001</v>
      </c>
      <c r="C11" s="1374">
        <f>IF($A11&gt;=_xlfn.NUMBERVALUE(LEFT(C$6,4)),INDEX('AMMO Funder Share'!$E:$H,MATCH($B$3&amp;RIGHT(C$6,4),'AMMO Funder Share'!$J:$J,0),MATCH($A$3,'AMMO Funder Share'!$E$2:$H$2,0)),0)</f>
        <v>0.14199999999999999</v>
      </c>
      <c r="D11" s="1374">
        <f>IF($A11&gt;=_xlfn.NUMBERVALUE(LEFT(D$6,4)),INDEX('AMMO Funder Share'!$E:$H,MATCH($B$3&amp;RIGHT(D$6,4),'AMMO Funder Share'!$J:$J,0),MATCH($A$3,'AMMO Funder Share'!$E$2:$H$2,0)),0)</f>
        <v>0.13985600000000001</v>
      </c>
      <c r="E11" s="1374">
        <f>IF($A11&gt;=_xlfn.NUMBERVALUE(LEFT(E$6,4)),INDEX('AMMO Funder Share'!$E:$H,MATCH($B$3&amp;LEFT(E$6,4),'AMMO Funder Share'!$J:$J,0),MATCH($A$3,'AMMO Funder Share'!$E$2:$H$2,0)),0)</f>
        <v>0.13985600000000001</v>
      </c>
    </row>
    <row r="12" spans="1:14" s="50" customFormat="1" ht="12.75" customHeight="1">
      <c r="A12" s="1375">
        <v>2026</v>
      </c>
      <c r="B12" s="1376">
        <f t="shared" ref="B12:E13" si="1">B11</f>
        <v>0.13800000000000001</v>
      </c>
      <c r="C12" s="1376">
        <f t="shared" si="1"/>
        <v>0.14199999999999999</v>
      </c>
      <c r="D12" s="1376">
        <f t="shared" si="1"/>
        <v>0.13985600000000001</v>
      </c>
      <c r="E12" s="1376">
        <f t="shared" si="1"/>
        <v>0.13985600000000001</v>
      </c>
    </row>
    <row r="13" spans="1:14" s="50" customFormat="1" ht="12.75" customHeight="1">
      <c r="A13" s="1375">
        <v>2027</v>
      </c>
      <c r="B13" s="1376">
        <f t="shared" si="1"/>
        <v>0.13800000000000001</v>
      </c>
      <c r="C13" s="1376">
        <f t="shared" si="1"/>
        <v>0.14199999999999999</v>
      </c>
      <c r="D13" s="1376">
        <f t="shared" si="1"/>
        <v>0.13985600000000001</v>
      </c>
      <c r="E13" s="1376">
        <f t="shared" si="1"/>
        <v>0.13985600000000001</v>
      </c>
    </row>
    <row r="14" spans="1:14" s="50" customFormat="1" ht="12.75" customHeight="1">
      <c r="A14" s="45" t="s">
        <v>2584</v>
      </c>
    </row>
    <row r="15" spans="1:14" s="50" customFormat="1" ht="12.75" hidden="1" customHeight="1">
      <c r="A15" s="1379" t="s">
        <v>2806</v>
      </c>
    </row>
    <row r="16" spans="1:14" ht="12.75" hidden="1" customHeight="1">
      <c r="A16" s="1372" t="s">
        <v>3</v>
      </c>
      <c r="B16" s="1372"/>
    </row>
    <row r="17" spans="1:2" ht="12.75" hidden="1" customHeight="1">
      <c r="A17" s="1373" t="s">
        <v>207</v>
      </c>
      <c r="B17" s="1374">
        <f>INDEX('AMMO Funder Share'!$M$2:$M$4,MATCH(Selection!A2&amp;"-"&amp;Selection!A3,'AMMO Funder Share'!$L$2:$L$4,0))</f>
        <v>0.323180071748433</v>
      </c>
    </row>
    <row r="18" spans="1:2" ht="12.75" hidden="1" customHeight="1">
      <c r="A18" s="1373" t="s">
        <v>445</v>
      </c>
      <c r="B18" s="1374">
        <f>INDEX('AMMO Funder Share'!$N$2:$N$4,MATCH(Selection!A2&amp;"-"&amp;Selection!A3,'AMMO Funder Share'!$L$2:$L$4,0))</f>
        <v>0.29584330172057355</v>
      </c>
    </row>
    <row r="19" spans="1:2" ht="12.75" hidden="1" customHeight="1">
      <c r="A19" s="1373"/>
      <c r="B19" s="1374"/>
    </row>
    <row r="20" spans="1:2" ht="12.75" hidden="1" customHeight="1"/>
    <row r="36" spans="3:3" ht="12.75" customHeight="1">
      <c r="C36"/>
    </row>
  </sheetData>
  <mergeCells count="1">
    <mergeCell ref="A4:E4"/>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C8E4A-236B-4EEA-B7A2-0E02419A5133}">
  <sheetPr>
    <tabColor theme="1"/>
  </sheetPr>
  <dimension ref="A1:J424"/>
  <sheetViews>
    <sheetView topLeftCell="B1" workbookViewId="0">
      <selection activeCell="B4" sqref="B4"/>
    </sheetView>
  </sheetViews>
  <sheetFormatPr defaultRowHeight="15"/>
  <cols>
    <col min="1" max="1" width="255.7109375" bestFit="1" customWidth="1"/>
    <col min="2" max="2" width="18.85546875" bestFit="1" customWidth="1"/>
    <col min="7" max="7" width="255.7109375" bestFit="1" customWidth="1"/>
    <col min="8" max="8" width="61.85546875" bestFit="1" customWidth="1"/>
    <col min="9" max="9" width="83" bestFit="1" customWidth="1"/>
    <col min="10" max="10" width="16.85546875" bestFit="1" customWidth="1"/>
  </cols>
  <sheetData>
    <row r="1" spans="1:10">
      <c r="A1" s="13" t="s">
        <v>0</v>
      </c>
      <c r="B1" s="13" t="s">
        <v>4</v>
      </c>
      <c r="C1" s="13" t="s">
        <v>5</v>
      </c>
      <c r="D1" s="13" t="s">
        <v>6</v>
      </c>
      <c r="E1" s="13" t="s">
        <v>7</v>
      </c>
      <c r="F1" s="13" t="s">
        <v>1889</v>
      </c>
      <c r="G1" s="13" t="s">
        <v>1890</v>
      </c>
      <c r="H1" s="13" t="s">
        <v>834</v>
      </c>
      <c r="I1" s="13" t="s">
        <v>152</v>
      </c>
      <c r="J1" s="13" t="s">
        <v>10</v>
      </c>
    </row>
    <row r="2" spans="1:10">
      <c r="A2" t="s">
        <v>2119</v>
      </c>
      <c r="B2" t="s">
        <v>2120</v>
      </c>
      <c r="C2" t="s">
        <v>2121</v>
      </c>
      <c r="D2" t="s">
        <v>2122</v>
      </c>
      <c r="E2" t="s">
        <v>2123</v>
      </c>
      <c r="F2" t="s">
        <v>2123</v>
      </c>
      <c r="G2" t="s">
        <v>2124</v>
      </c>
      <c r="H2">
        <v>10</v>
      </c>
      <c r="I2" t="s">
        <v>2125</v>
      </c>
      <c r="J2" t="s">
        <v>2589</v>
      </c>
    </row>
    <row r="3" spans="1:10">
      <c r="A3" t="s">
        <v>2126</v>
      </c>
      <c r="B3" t="s">
        <v>2127</v>
      </c>
      <c r="C3" t="s">
        <v>2128</v>
      </c>
      <c r="D3" t="s">
        <v>2129</v>
      </c>
      <c r="E3" t="s">
        <v>2127</v>
      </c>
      <c r="F3" t="s">
        <v>286</v>
      </c>
      <c r="G3" t="s">
        <v>2124</v>
      </c>
      <c r="H3" t="s">
        <v>1977</v>
      </c>
      <c r="I3" t="s">
        <v>2130</v>
      </c>
      <c r="J3" t="s">
        <v>2590</v>
      </c>
    </row>
    <row r="4" spans="1:10">
      <c r="A4" t="s">
        <v>336</v>
      </c>
      <c r="B4" t="s">
        <v>409</v>
      </c>
      <c r="C4" t="s">
        <v>143</v>
      </c>
      <c r="D4" t="s">
        <v>288</v>
      </c>
      <c r="E4" t="s">
        <v>2131</v>
      </c>
      <c r="F4" t="s">
        <v>2131</v>
      </c>
      <c r="G4" t="s">
        <v>409</v>
      </c>
      <c r="H4">
        <v>5</v>
      </c>
      <c r="I4" t="s">
        <v>2132</v>
      </c>
      <c r="J4" t="s">
        <v>2591</v>
      </c>
    </row>
    <row r="5" spans="1:10">
      <c r="A5" t="s">
        <v>16</v>
      </c>
      <c r="B5" t="s">
        <v>128</v>
      </c>
      <c r="C5" t="s">
        <v>242</v>
      </c>
      <c r="D5" t="s">
        <v>288</v>
      </c>
      <c r="E5" t="s">
        <v>1118</v>
      </c>
      <c r="F5" t="s">
        <v>1119</v>
      </c>
      <c r="G5" t="s">
        <v>1290</v>
      </c>
      <c r="H5">
        <v>5</v>
      </c>
      <c r="I5" t="s">
        <v>159</v>
      </c>
      <c r="J5" t="s">
        <v>210</v>
      </c>
    </row>
    <row r="6" spans="1:10">
      <c r="A6" t="s">
        <v>17</v>
      </c>
      <c r="B6" t="s">
        <v>128</v>
      </c>
      <c r="C6" t="s">
        <v>268</v>
      </c>
      <c r="D6" t="s">
        <v>288</v>
      </c>
      <c r="E6" t="s">
        <v>1120</v>
      </c>
      <c r="F6" t="s">
        <v>1121</v>
      </c>
      <c r="G6" t="s">
        <v>1292</v>
      </c>
      <c r="H6">
        <v>5</v>
      </c>
      <c r="I6" t="s">
        <v>159</v>
      </c>
      <c r="J6" t="s">
        <v>210</v>
      </c>
    </row>
    <row r="7" spans="1:10">
      <c r="A7" t="s">
        <v>688</v>
      </c>
      <c r="B7" t="s">
        <v>128</v>
      </c>
      <c r="C7" t="s">
        <v>689</v>
      </c>
      <c r="D7" t="s">
        <v>288</v>
      </c>
      <c r="E7" t="s">
        <v>1661</v>
      </c>
      <c r="F7" t="s">
        <v>1366</v>
      </c>
      <c r="G7" t="s">
        <v>1291</v>
      </c>
      <c r="H7">
        <v>5</v>
      </c>
      <c r="I7" t="s">
        <v>159</v>
      </c>
      <c r="J7" t="s">
        <v>210</v>
      </c>
    </row>
    <row r="8" spans="1:10">
      <c r="A8" t="s">
        <v>690</v>
      </c>
      <c r="B8" t="s">
        <v>128</v>
      </c>
      <c r="C8" t="s">
        <v>691</v>
      </c>
      <c r="D8" t="s">
        <v>288</v>
      </c>
      <c r="E8" t="s">
        <v>1662</v>
      </c>
      <c r="F8" t="s">
        <v>1367</v>
      </c>
      <c r="G8" t="s">
        <v>1293</v>
      </c>
      <c r="H8">
        <v>5</v>
      </c>
      <c r="I8" t="s">
        <v>159</v>
      </c>
      <c r="J8" t="s">
        <v>210</v>
      </c>
    </row>
    <row r="9" spans="1:10">
      <c r="A9" t="s">
        <v>354</v>
      </c>
      <c r="B9" t="s">
        <v>2679</v>
      </c>
      <c r="C9" t="s">
        <v>251</v>
      </c>
      <c r="D9" t="s">
        <v>303</v>
      </c>
      <c r="E9" t="s">
        <v>1663</v>
      </c>
      <c r="F9" t="s">
        <v>1437</v>
      </c>
      <c r="G9" t="s">
        <v>1324</v>
      </c>
      <c r="H9">
        <v>20</v>
      </c>
      <c r="I9" t="s">
        <v>2728</v>
      </c>
      <c r="J9" t="s">
        <v>214</v>
      </c>
    </row>
    <row r="10" spans="1:10">
      <c r="A10" t="s">
        <v>692</v>
      </c>
      <c r="B10" t="s">
        <v>2679</v>
      </c>
      <c r="C10" t="s">
        <v>251</v>
      </c>
      <c r="D10" t="s">
        <v>877</v>
      </c>
      <c r="E10" t="s">
        <v>1664</v>
      </c>
      <c r="F10" t="s">
        <v>1444</v>
      </c>
      <c r="G10" t="s">
        <v>1324</v>
      </c>
      <c r="H10">
        <v>20</v>
      </c>
      <c r="I10" t="s">
        <v>2728</v>
      </c>
      <c r="J10" t="s">
        <v>214</v>
      </c>
    </row>
    <row r="11" spans="1:10">
      <c r="A11" t="s">
        <v>355</v>
      </c>
      <c r="B11" t="s">
        <v>2679</v>
      </c>
      <c r="C11" t="s">
        <v>251</v>
      </c>
      <c r="D11" t="s">
        <v>304</v>
      </c>
      <c r="E11" t="s">
        <v>1665</v>
      </c>
      <c r="F11" t="s">
        <v>1438</v>
      </c>
      <c r="G11" t="s">
        <v>1324</v>
      </c>
      <c r="H11">
        <v>20</v>
      </c>
      <c r="I11" t="s">
        <v>2728</v>
      </c>
      <c r="J11" t="s">
        <v>214</v>
      </c>
    </row>
    <row r="12" spans="1:10">
      <c r="A12" t="s">
        <v>356</v>
      </c>
      <c r="B12" t="s">
        <v>2679</v>
      </c>
      <c r="C12" t="s">
        <v>251</v>
      </c>
      <c r="D12" t="s">
        <v>305</v>
      </c>
      <c r="E12" t="s">
        <v>1666</v>
      </c>
      <c r="F12" t="s">
        <v>1439</v>
      </c>
      <c r="G12" t="s">
        <v>1324</v>
      </c>
      <c r="H12">
        <v>20</v>
      </c>
      <c r="I12" t="s">
        <v>2728</v>
      </c>
      <c r="J12" t="s">
        <v>214</v>
      </c>
    </row>
    <row r="13" spans="1:10">
      <c r="A13" t="s">
        <v>357</v>
      </c>
      <c r="B13" t="s">
        <v>2679</v>
      </c>
      <c r="C13" t="s">
        <v>251</v>
      </c>
      <c r="D13" t="s">
        <v>306</v>
      </c>
      <c r="E13" t="s">
        <v>1667</v>
      </c>
      <c r="F13" t="s">
        <v>1440</v>
      </c>
      <c r="G13" t="s">
        <v>1324</v>
      </c>
      <c r="H13">
        <v>20</v>
      </c>
      <c r="I13" t="s">
        <v>2728</v>
      </c>
      <c r="J13" t="s">
        <v>214</v>
      </c>
    </row>
    <row r="14" spans="1:10">
      <c r="A14" t="s">
        <v>18</v>
      </c>
      <c r="B14" t="s">
        <v>2679</v>
      </c>
      <c r="C14" t="s">
        <v>251</v>
      </c>
      <c r="D14" t="s">
        <v>878</v>
      </c>
      <c r="E14" t="s">
        <v>1152</v>
      </c>
      <c r="F14" t="s">
        <v>1153</v>
      </c>
      <c r="G14" t="s">
        <v>1324</v>
      </c>
      <c r="H14">
        <v>20</v>
      </c>
      <c r="I14" t="s">
        <v>2728</v>
      </c>
      <c r="J14" t="s">
        <v>214</v>
      </c>
    </row>
    <row r="15" spans="1:10">
      <c r="A15" t="s">
        <v>879</v>
      </c>
      <c r="B15" t="s">
        <v>2679</v>
      </c>
      <c r="C15" t="s">
        <v>251</v>
      </c>
      <c r="D15" t="s">
        <v>880</v>
      </c>
      <c r="E15" t="s">
        <v>1154</v>
      </c>
      <c r="F15" t="s">
        <v>1155</v>
      </c>
      <c r="G15" t="s">
        <v>1324</v>
      </c>
      <c r="H15">
        <v>20</v>
      </c>
      <c r="I15" t="s">
        <v>2728</v>
      </c>
      <c r="J15" t="s">
        <v>214</v>
      </c>
    </row>
    <row r="16" spans="1:10">
      <c r="A16" t="s">
        <v>693</v>
      </c>
      <c r="B16" t="s">
        <v>2679</v>
      </c>
      <c r="C16" t="s">
        <v>251</v>
      </c>
      <c r="D16" t="s">
        <v>881</v>
      </c>
      <c r="E16" t="s">
        <v>1668</v>
      </c>
      <c r="F16" t="s">
        <v>1441</v>
      </c>
      <c r="G16" t="s">
        <v>1324</v>
      </c>
      <c r="H16">
        <v>20</v>
      </c>
      <c r="I16" t="s">
        <v>2728</v>
      </c>
      <c r="J16" t="s">
        <v>214</v>
      </c>
    </row>
    <row r="17" spans="1:10">
      <c r="A17" t="s">
        <v>694</v>
      </c>
      <c r="B17" t="s">
        <v>2679</v>
      </c>
      <c r="C17" t="s">
        <v>251</v>
      </c>
      <c r="D17" t="s">
        <v>882</v>
      </c>
      <c r="E17" t="s">
        <v>1669</v>
      </c>
      <c r="F17" t="s">
        <v>1442</v>
      </c>
      <c r="G17" t="s">
        <v>1324</v>
      </c>
      <c r="H17">
        <v>20</v>
      </c>
      <c r="I17" t="s">
        <v>2728</v>
      </c>
      <c r="J17" t="s">
        <v>214</v>
      </c>
    </row>
    <row r="18" spans="1:10">
      <c r="A18" t="s">
        <v>696</v>
      </c>
      <c r="B18" t="s">
        <v>2679</v>
      </c>
      <c r="C18" t="s">
        <v>251</v>
      </c>
      <c r="D18" t="s">
        <v>883</v>
      </c>
      <c r="E18" t="s">
        <v>1670</v>
      </c>
      <c r="F18" t="s">
        <v>1443</v>
      </c>
      <c r="G18" t="s">
        <v>1324</v>
      </c>
      <c r="H18">
        <v>20</v>
      </c>
      <c r="I18" t="s">
        <v>2728</v>
      </c>
      <c r="J18" t="s">
        <v>214</v>
      </c>
    </row>
    <row r="19" spans="1:10">
      <c r="A19" t="s">
        <v>367</v>
      </c>
      <c r="B19" t="s">
        <v>2679</v>
      </c>
      <c r="C19" t="s">
        <v>259</v>
      </c>
      <c r="D19" t="s">
        <v>312</v>
      </c>
      <c r="E19" t="s">
        <v>1671</v>
      </c>
      <c r="F19" t="s">
        <v>1445</v>
      </c>
      <c r="G19" t="s">
        <v>1324</v>
      </c>
      <c r="H19">
        <v>20</v>
      </c>
      <c r="I19" t="s">
        <v>2728</v>
      </c>
      <c r="J19" t="s">
        <v>214</v>
      </c>
    </row>
    <row r="20" spans="1:10">
      <c r="A20" t="s">
        <v>368</v>
      </c>
      <c r="B20" t="s">
        <v>2679</v>
      </c>
      <c r="C20" t="s">
        <v>259</v>
      </c>
      <c r="D20" t="s">
        <v>313</v>
      </c>
      <c r="E20" t="s">
        <v>1672</v>
      </c>
      <c r="F20" t="s">
        <v>1446</v>
      </c>
      <c r="G20" t="s">
        <v>1324</v>
      </c>
      <c r="H20">
        <v>20</v>
      </c>
      <c r="I20" t="s">
        <v>2728</v>
      </c>
      <c r="J20" t="s">
        <v>214</v>
      </c>
    </row>
    <row r="21" spans="1:10">
      <c r="A21" t="s">
        <v>369</v>
      </c>
      <c r="B21" t="s">
        <v>2679</v>
      </c>
      <c r="C21" t="s">
        <v>259</v>
      </c>
      <c r="D21" t="s">
        <v>314</v>
      </c>
      <c r="E21" t="s">
        <v>1673</v>
      </c>
      <c r="F21" t="s">
        <v>1447</v>
      </c>
      <c r="G21" t="s">
        <v>1324</v>
      </c>
      <c r="H21">
        <v>20</v>
      </c>
      <c r="I21" t="s">
        <v>2728</v>
      </c>
      <c r="J21" t="s">
        <v>214</v>
      </c>
    </row>
    <row r="22" spans="1:10">
      <c r="A22" t="s">
        <v>19</v>
      </c>
      <c r="B22" t="s">
        <v>2679</v>
      </c>
      <c r="C22" t="s">
        <v>259</v>
      </c>
      <c r="D22" t="s">
        <v>884</v>
      </c>
      <c r="E22" t="s">
        <v>1156</v>
      </c>
      <c r="F22" t="s">
        <v>1157</v>
      </c>
      <c r="G22" t="s">
        <v>1324</v>
      </c>
      <c r="H22">
        <v>20</v>
      </c>
      <c r="I22" t="s">
        <v>2728</v>
      </c>
      <c r="J22" t="s">
        <v>214</v>
      </c>
    </row>
    <row r="23" spans="1:10">
      <c r="A23" t="s">
        <v>885</v>
      </c>
      <c r="B23" t="s">
        <v>2679</v>
      </c>
      <c r="C23" t="s">
        <v>259</v>
      </c>
      <c r="D23" t="s">
        <v>886</v>
      </c>
      <c r="E23" t="s">
        <v>1674</v>
      </c>
      <c r="F23" t="s">
        <v>1448</v>
      </c>
      <c r="G23" t="s">
        <v>1324</v>
      </c>
      <c r="H23">
        <v>20</v>
      </c>
      <c r="I23" t="s">
        <v>2728</v>
      </c>
      <c r="J23" t="s">
        <v>214</v>
      </c>
    </row>
    <row r="24" spans="1:10">
      <c r="A24" t="s">
        <v>698</v>
      </c>
      <c r="B24" t="s">
        <v>2679</v>
      </c>
      <c r="C24" t="s">
        <v>259</v>
      </c>
      <c r="D24" t="s">
        <v>887</v>
      </c>
      <c r="E24" t="s">
        <v>1675</v>
      </c>
      <c r="F24" t="s">
        <v>1449</v>
      </c>
      <c r="G24" t="s">
        <v>1324</v>
      </c>
      <c r="H24">
        <v>20</v>
      </c>
      <c r="I24" t="s">
        <v>2728</v>
      </c>
      <c r="J24" t="s">
        <v>214</v>
      </c>
    </row>
    <row r="25" spans="1:10">
      <c r="A25" t="s">
        <v>699</v>
      </c>
      <c r="B25" t="s">
        <v>2679</v>
      </c>
      <c r="C25" t="s">
        <v>259</v>
      </c>
      <c r="D25" t="s">
        <v>888</v>
      </c>
      <c r="E25" t="s">
        <v>1676</v>
      </c>
      <c r="F25" t="s">
        <v>1450</v>
      </c>
      <c r="G25" t="s">
        <v>1324</v>
      </c>
      <c r="H25">
        <v>20</v>
      </c>
      <c r="I25" t="s">
        <v>2728</v>
      </c>
      <c r="J25" t="s">
        <v>214</v>
      </c>
    </row>
    <row r="26" spans="1:10">
      <c r="A26" t="s">
        <v>700</v>
      </c>
      <c r="B26" t="s">
        <v>2679</v>
      </c>
      <c r="C26" t="s">
        <v>259</v>
      </c>
      <c r="D26" t="s">
        <v>889</v>
      </c>
      <c r="E26" t="s">
        <v>1677</v>
      </c>
      <c r="F26" t="s">
        <v>1451</v>
      </c>
      <c r="G26" t="s">
        <v>1324</v>
      </c>
      <c r="H26">
        <v>20</v>
      </c>
      <c r="I26" t="s">
        <v>2728</v>
      </c>
      <c r="J26" t="s">
        <v>214</v>
      </c>
    </row>
    <row r="27" spans="1:10">
      <c r="A27" t="s">
        <v>377</v>
      </c>
      <c r="B27" t="s">
        <v>2679</v>
      </c>
      <c r="C27" t="s">
        <v>265</v>
      </c>
      <c r="D27" t="s">
        <v>316</v>
      </c>
      <c r="E27" t="s">
        <v>1678</v>
      </c>
      <c r="F27" t="s">
        <v>1452</v>
      </c>
      <c r="G27" t="s">
        <v>1324</v>
      </c>
      <c r="H27">
        <v>20</v>
      </c>
      <c r="I27" t="s">
        <v>2728</v>
      </c>
      <c r="J27" t="s">
        <v>214</v>
      </c>
    </row>
    <row r="28" spans="1:10">
      <c r="A28" t="s">
        <v>378</v>
      </c>
      <c r="B28" t="s">
        <v>2679</v>
      </c>
      <c r="C28" t="s">
        <v>265</v>
      </c>
      <c r="D28" t="s">
        <v>317</v>
      </c>
      <c r="E28" t="s">
        <v>1679</v>
      </c>
      <c r="F28" t="s">
        <v>1453</v>
      </c>
      <c r="G28" t="s">
        <v>1324</v>
      </c>
      <c r="H28">
        <v>20</v>
      </c>
      <c r="I28" t="s">
        <v>2728</v>
      </c>
      <c r="J28" t="s">
        <v>214</v>
      </c>
    </row>
    <row r="29" spans="1:10">
      <c r="A29" t="s">
        <v>379</v>
      </c>
      <c r="B29" t="s">
        <v>2679</v>
      </c>
      <c r="C29" t="s">
        <v>265</v>
      </c>
      <c r="D29" t="s">
        <v>961</v>
      </c>
      <c r="E29" t="s">
        <v>1680</v>
      </c>
      <c r="F29" t="s">
        <v>1454</v>
      </c>
      <c r="G29" t="s">
        <v>1324</v>
      </c>
      <c r="H29">
        <v>20</v>
      </c>
      <c r="I29" t="s">
        <v>2728</v>
      </c>
      <c r="J29" t="s">
        <v>214</v>
      </c>
    </row>
    <row r="30" spans="1:10">
      <c r="A30" t="s">
        <v>380</v>
      </c>
      <c r="B30" t="s">
        <v>2679</v>
      </c>
      <c r="C30" t="s">
        <v>265</v>
      </c>
      <c r="D30" t="s">
        <v>318</v>
      </c>
      <c r="E30" t="s">
        <v>1681</v>
      </c>
      <c r="F30" t="s">
        <v>1455</v>
      </c>
      <c r="G30" t="s">
        <v>1324</v>
      </c>
      <c r="H30">
        <v>20</v>
      </c>
      <c r="I30" t="s">
        <v>2728</v>
      </c>
      <c r="J30" t="s">
        <v>214</v>
      </c>
    </row>
    <row r="31" spans="1:10">
      <c r="A31" t="s">
        <v>20</v>
      </c>
      <c r="B31" t="s">
        <v>2679</v>
      </c>
      <c r="C31" t="s">
        <v>265</v>
      </c>
      <c r="D31" t="s">
        <v>962</v>
      </c>
      <c r="E31" t="s">
        <v>1158</v>
      </c>
      <c r="F31" t="s">
        <v>1159</v>
      </c>
      <c r="G31" t="s">
        <v>1324</v>
      </c>
      <c r="H31">
        <v>20</v>
      </c>
      <c r="I31" t="s">
        <v>2728</v>
      </c>
      <c r="J31" t="s">
        <v>214</v>
      </c>
    </row>
    <row r="32" spans="1:10">
      <c r="A32" t="s">
        <v>890</v>
      </c>
      <c r="B32" t="s">
        <v>2679</v>
      </c>
      <c r="C32" t="s">
        <v>265</v>
      </c>
      <c r="D32" t="s">
        <v>2284</v>
      </c>
      <c r="E32" t="s">
        <v>2285</v>
      </c>
      <c r="F32" t="s">
        <v>2286</v>
      </c>
      <c r="G32" t="s">
        <v>1324</v>
      </c>
      <c r="H32">
        <v>20</v>
      </c>
      <c r="I32" t="s">
        <v>2728</v>
      </c>
      <c r="J32" t="s">
        <v>214</v>
      </c>
    </row>
    <row r="33" spans="1:10">
      <c r="A33" t="s">
        <v>891</v>
      </c>
      <c r="B33" t="s">
        <v>2679</v>
      </c>
      <c r="C33" t="s">
        <v>265</v>
      </c>
      <c r="D33" t="s">
        <v>2287</v>
      </c>
      <c r="E33" t="s">
        <v>2288</v>
      </c>
      <c r="F33" t="s">
        <v>2289</v>
      </c>
      <c r="G33" t="s">
        <v>1324</v>
      </c>
      <c r="H33">
        <v>20</v>
      </c>
      <c r="I33" t="s">
        <v>2728</v>
      </c>
      <c r="J33" t="s">
        <v>214</v>
      </c>
    </row>
    <row r="34" spans="1:10">
      <c r="A34" t="s">
        <v>701</v>
      </c>
      <c r="B34" t="s">
        <v>2679</v>
      </c>
      <c r="C34" t="s">
        <v>265</v>
      </c>
      <c r="D34" t="s">
        <v>2290</v>
      </c>
      <c r="E34" t="s">
        <v>2291</v>
      </c>
      <c r="F34" t="s">
        <v>2292</v>
      </c>
      <c r="G34" t="s">
        <v>1324</v>
      </c>
      <c r="H34">
        <v>20</v>
      </c>
      <c r="I34" t="s">
        <v>2728</v>
      </c>
      <c r="J34" t="s">
        <v>214</v>
      </c>
    </row>
    <row r="35" spans="1:10">
      <c r="A35" t="s">
        <v>892</v>
      </c>
      <c r="B35" t="s">
        <v>2679</v>
      </c>
      <c r="C35" t="s">
        <v>265</v>
      </c>
      <c r="D35" t="s">
        <v>2293</v>
      </c>
      <c r="E35" t="s">
        <v>2294</v>
      </c>
      <c r="F35" t="s">
        <v>2295</v>
      </c>
      <c r="G35" t="s">
        <v>1324</v>
      </c>
      <c r="H35">
        <v>20</v>
      </c>
      <c r="I35" t="s">
        <v>2728</v>
      </c>
      <c r="J35" t="s">
        <v>214</v>
      </c>
    </row>
    <row r="36" spans="1:10">
      <c r="A36" t="s">
        <v>400</v>
      </c>
      <c r="B36" t="s">
        <v>2679</v>
      </c>
      <c r="C36" t="s">
        <v>282</v>
      </c>
      <c r="D36" t="s">
        <v>329</v>
      </c>
      <c r="E36" t="s">
        <v>1682</v>
      </c>
      <c r="F36" t="s">
        <v>1456</v>
      </c>
      <c r="G36" t="s">
        <v>1324</v>
      </c>
      <c r="H36">
        <v>20</v>
      </c>
      <c r="I36" t="s">
        <v>2728</v>
      </c>
      <c r="J36" t="s">
        <v>214</v>
      </c>
    </row>
    <row r="37" spans="1:10">
      <c r="A37" t="s">
        <v>1578</v>
      </c>
      <c r="B37" t="s">
        <v>2679</v>
      </c>
      <c r="C37" t="s">
        <v>282</v>
      </c>
      <c r="D37" t="s">
        <v>899</v>
      </c>
      <c r="E37" t="s">
        <v>1683</v>
      </c>
      <c r="F37" t="s">
        <v>1463</v>
      </c>
      <c r="G37" t="s">
        <v>1324</v>
      </c>
      <c r="H37">
        <v>20</v>
      </c>
      <c r="I37" t="s">
        <v>2728</v>
      </c>
      <c r="J37" t="s">
        <v>214</v>
      </c>
    </row>
    <row r="38" spans="1:10">
      <c r="A38" t="s">
        <v>1579</v>
      </c>
      <c r="B38" t="s">
        <v>2679</v>
      </c>
      <c r="C38" t="s">
        <v>282</v>
      </c>
      <c r="D38" t="s">
        <v>900</v>
      </c>
      <c r="E38" t="s">
        <v>1684</v>
      </c>
      <c r="F38" t="s">
        <v>1464</v>
      </c>
      <c r="G38" t="s">
        <v>1324</v>
      </c>
      <c r="H38">
        <v>20</v>
      </c>
      <c r="I38" t="s">
        <v>2728</v>
      </c>
      <c r="J38" t="s">
        <v>214</v>
      </c>
    </row>
    <row r="39" spans="1:10">
      <c r="A39" t="s">
        <v>401</v>
      </c>
      <c r="B39" t="s">
        <v>2679</v>
      </c>
      <c r="C39" t="s">
        <v>282</v>
      </c>
      <c r="D39" t="s">
        <v>330</v>
      </c>
      <c r="E39" t="s">
        <v>1685</v>
      </c>
      <c r="F39" t="s">
        <v>1457</v>
      </c>
      <c r="G39" t="s">
        <v>1324</v>
      </c>
      <c r="H39">
        <v>20</v>
      </c>
      <c r="I39" t="s">
        <v>2728</v>
      </c>
      <c r="J39" t="s">
        <v>214</v>
      </c>
    </row>
    <row r="40" spans="1:10">
      <c r="A40" t="s">
        <v>412</v>
      </c>
      <c r="B40" t="s">
        <v>2679</v>
      </c>
      <c r="C40" t="s">
        <v>282</v>
      </c>
      <c r="D40" t="s">
        <v>413</v>
      </c>
      <c r="E40" t="s">
        <v>1686</v>
      </c>
      <c r="F40" t="s">
        <v>1458</v>
      </c>
      <c r="G40" t="s">
        <v>1324</v>
      </c>
      <c r="H40">
        <v>20</v>
      </c>
      <c r="I40" t="s">
        <v>2728</v>
      </c>
      <c r="J40" t="s">
        <v>214</v>
      </c>
    </row>
    <row r="41" spans="1:10">
      <c r="A41" t="s">
        <v>402</v>
      </c>
      <c r="B41" t="s">
        <v>2679</v>
      </c>
      <c r="C41" t="s">
        <v>282</v>
      </c>
      <c r="D41" t="s">
        <v>331</v>
      </c>
      <c r="E41" t="s">
        <v>1687</v>
      </c>
      <c r="F41" t="s">
        <v>1459</v>
      </c>
      <c r="G41" t="s">
        <v>1324</v>
      </c>
      <c r="H41">
        <v>20</v>
      </c>
      <c r="I41" t="s">
        <v>2728</v>
      </c>
      <c r="J41" t="s">
        <v>214</v>
      </c>
    </row>
    <row r="42" spans="1:10">
      <c r="A42" t="s">
        <v>403</v>
      </c>
      <c r="B42" t="s">
        <v>2679</v>
      </c>
      <c r="C42" t="s">
        <v>282</v>
      </c>
      <c r="D42" t="s">
        <v>332</v>
      </c>
      <c r="E42" t="s">
        <v>1688</v>
      </c>
      <c r="F42" t="s">
        <v>1460</v>
      </c>
      <c r="G42" t="s">
        <v>1324</v>
      </c>
      <c r="H42">
        <v>20</v>
      </c>
      <c r="I42" t="s">
        <v>2728</v>
      </c>
      <c r="J42" t="s">
        <v>214</v>
      </c>
    </row>
    <row r="43" spans="1:10">
      <c r="A43" t="s">
        <v>21</v>
      </c>
      <c r="B43" t="s">
        <v>2679</v>
      </c>
      <c r="C43" t="s">
        <v>282</v>
      </c>
      <c r="D43" t="s">
        <v>702</v>
      </c>
      <c r="E43" t="s">
        <v>1160</v>
      </c>
      <c r="F43" t="s">
        <v>1161</v>
      </c>
      <c r="G43" t="s">
        <v>1324</v>
      </c>
      <c r="H43">
        <v>20</v>
      </c>
      <c r="I43" t="s">
        <v>2728</v>
      </c>
      <c r="J43" t="s">
        <v>214</v>
      </c>
    </row>
    <row r="44" spans="1:10">
      <c r="A44" t="s">
        <v>893</v>
      </c>
      <c r="B44" t="s">
        <v>2679</v>
      </c>
      <c r="C44" t="s">
        <v>282</v>
      </c>
      <c r="D44" t="s">
        <v>894</v>
      </c>
      <c r="E44" t="s">
        <v>1162</v>
      </c>
      <c r="F44" t="s">
        <v>1163</v>
      </c>
      <c r="G44" t="s">
        <v>1324</v>
      </c>
      <c r="H44">
        <v>20</v>
      </c>
      <c r="I44" t="s">
        <v>2728</v>
      </c>
      <c r="J44" t="s">
        <v>214</v>
      </c>
    </row>
    <row r="45" spans="1:10">
      <c r="A45" t="s">
        <v>703</v>
      </c>
      <c r="B45" t="s">
        <v>2679</v>
      </c>
      <c r="C45" t="s">
        <v>282</v>
      </c>
      <c r="D45" t="s">
        <v>895</v>
      </c>
      <c r="E45" t="s">
        <v>1689</v>
      </c>
      <c r="F45" t="s">
        <v>1461</v>
      </c>
      <c r="G45" t="s">
        <v>1324</v>
      </c>
      <c r="H45">
        <v>20</v>
      </c>
      <c r="I45" t="s">
        <v>2728</v>
      </c>
      <c r="J45" t="s">
        <v>214</v>
      </c>
    </row>
    <row r="46" spans="1:10">
      <c r="A46" t="s">
        <v>704</v>
      </c>
      <c r="B46" t="s">
        <v>2679</v>
      </c>
      <c r="C46" t="s">
        <v>282</v>
      </c>
      <c r="D46" t="s">
        <v>896</v>
      </c>
      <c r="E46" t="s">
        <v>1690</v>
      </c>
      <c r="F46" t="s">
        <v>1462</v>
      </c>
      <c r="G46" t="s">
        <v>1324</v>
      </c>
      <c r="H46">
        <v>20</v>
      </c>
      <c r="I46" t="s">
        <v>2728</v>
      </c>
      <c r="J46" t="s">
        <v>214</v>
      </c>
    </row>
    <row r="47" spans="1:10">
      <c r="A47" t="s">
        <v>1580</v>
      </c>
      <c r="B47" t="s">
        <v>1242</v>
      </c>
      <c r="C47" t="s">
        <v>1267</v>
      </c>
      <c r="D47" t="s">
        <v>288</v>
      </c>
      <c r="E47" t="s">
        <v>1575</v>
      </c>
      <c r="F47" t="s">
        <v>1575</v>
      </c>
      <c r="G47" t="s">
        <v>1365</v>
      </c>
      <c r="H47">
        <v>5</v>
      </c>
      <c r="I47" t="s">
        <v>2054</v>
      </c>
      <c r="J47" t="s">
        <v>2592</v>
      </c>
    </row>
    <row r="48" spans="1:10">
      <c r="A48" t="s">
        <v>928</v>
      </c>
      <c r="B48" t="s">
        <v>129</v>
      </c>
      <c r="C48" t="s">
        <v>415</v>
      </c>
      <c r="D48" t="s">
        <v>780</v>
      </c>
      <c r="E48" t="s">
        <v>1691</v>
      </c>
      <c r="F48" t="s">
        <v>1370</v>
      </c>
      <c r="G48" t="s">
        <v>1294</v>
      </c>
      <c r="H48">
        <v>5</v>
      </c>
      <c r="I48" t="s">
        <v>158</v>
      </c>
      <c r="J48" t="s">
        <v>211</v>
      </c>
    </row>
    <row r="49" spans="1:10">
      <c r="A49" t="s">
        <v>414</v>
      </c>
      <c r="B49" t="s">
        <v>129</v>
      </c>
      <c r="C49" t="s">
        <v>415</v>
      </c>
      <c r="D49" t="s">
        <v>416</v>
      </c>
      <c r="E49" t="s">
        <v>1692</v>
      </c>
      <c r="F49" t="s">
        <v>416</v>
      </c>
      <c r="G49" t="s">
        <v>1294</v>
      </c>
      <c r="H49">
        <v>5</v>
      </c>
      <c r="I49" t="s">
        <v>158</v>
      </c>
      <c r="J49" t="s">
        <v>211</v>
      </c>
    </row>
    <row r="50" spans="1:10">
      <c r="A50" t="s">
        <v>925</v>
      </c>
      <c r="B50" t="s">
        <v>129</v>
      </c>
      <c r="C50" t="s">
        <v>415</v>
      </c>
      <c r="D50" t="s">
        <v>926</v>
      </c>
      <c r="E50" t="s">
        <v>1693</v>
      </c>
      <c r="F50" t="s">
        <v>1368</v>
      </c>
      <c r="G50" t="s">
        <v>1294</v>
      </c>
      <c r="H50">
        <v>5</v>
      </c>
      <c r="I50" t="s">
        <v>158</v>
      </c>
      <c r="J50" t="s">
        <v>211</v>
      </c>
    </row>
    <row r="51" spans="1:10">
      <c r="A51" t="s">
        <v>67</v>
      </c>
      <c r="B51" t="s">
        <v>129</v>
      </c>
      <c r="C51" t="s">
        <v>415</v>
      </c>
      <c r="D51" t="s">
        <v>611</v>
      </c>
      <c r="E51" t="s">
        <v>1122</v>
      </c>
      <c r="F51" t="s">
        <v>1123</v>
      </c>
      <c r="G51" t="s">
        <v>1294</v>
      </c>
      <c r="H51">
        <v>5</v>
      </c>
      <c r="I51" t="s">
        <v>158</v>
      </c>
      <c r="J51" t="s">
        <v>211</v>
      </c>
    </row>
    <row r="52" spans="1:10">
      <c r="A52" t="s">
        <v>842</v>
      </c>
      <c r="B52" t="s">
        <v>129</v>
      </c>
      <c r="C52" t="s">
        <v>415</v>
      </c>
      <c r="D52" t="s">
        <v>845</v>
      </c>
      <c r="E52" t="s">
        <v>1124</v>
      </c>
      <c r="F52" t="s">
        <v>1125</v>
      </c>
      <c r="G52" t="s">
        <v>1294</v>
      </c>
      <c r="H52">
        <v>5</v>
      </c>
      <c r="I52" t="s">
        <v>158</v>
      </c>
      <c r="J52" t="s">
        <v>211</v>
      </c>
    </row>
    <row r="53" spans="1:10">
      <c r="A53" t="s">
        <v>963</v>
      </c>
      <c r="B53" t="s">
        <v>129</v>
      </c>
      <c r="C53" t="s">
        <v>415</v>
      </c>
      <c r="D53" t="s">
        <v>964</v>
      </c>
      <c r="E53" t="s">
        <v>1694</v>
      </c>
      <c r="F53" t="s">
        <v>1369</v>
      </c>
      <c r="G53" t="s">
        <v>1294</v>
      </c>
      <c r="H53">
        <v>5</v>
      </c>
      <c r="I53" t="s">
        <v>158</v>
      </c>
      <c r="J53" t="s">
        <v>211</v>
      </c>
    </row>
    <row r="54" spans="1:10">
      <c r="A54" t="s">
        <v>2133</v>
      </c>
      <c r="B54" t="s">
        <v>417</v>
      </c>
      <c r="C54" t="s">
        <v>2134</v>
      </c>
      <c r="D54" t="s">
        <v>145</v>
      </c>
      <c r="E54" t="s">
        <v>2296</v>
      </c>
      <c r="F54" t="s">
        <v>1399</v>
      </c>
      <c r="G54" t="s">
        <v>2134</v>
      </c>
      <c r="H54" t="s">
        <v>1977</v>
      </c>
      <c r="I54" t="s">
        <v>2135</v>
      </c>
      <c r="J54" t="s">
        <v>2593</v>
      </c>
    </row>
    <row r="55" spans="1:10">
      <c r="A55" t="s">
        <v>2136</v>
      </c>
      <c r="B55" t="s">
        <v>2137</v>
      </c>
      <c r="C55" t="s">
        <v>2138</v>
      </c>
      <c r="D55" t="s">
        <v>145</v>
      </c>
      <c r="E55" t="s">
        <v>2297</v>
      </c>
      <c r="F55" t="s">
        <v>2139</v>
      </c>
      <c r="G55" t="s">
        <v>2140</v>
      </c>
      <c r="H55">
        <v>5</v>
      </c>
      <c r="I55" t="s">
        <v>2141</v>
      </c>
      <c r="J55" t="s">
        <v>2594</v>
      </c>
    </row>
    <row r="56" spans="1:10">
      <c r="A56" t="s">
        <v>22</v>
      </c>
      <c r="B56" t="s">
        <v>418</v>
      </c>
      <c r="C56" t="s">
        <v>419</v>
      </c>
      <c r="D56" t="s">
        <v>288</v>
      </c>
      <c r="E56" t="s">
        <v>2298</v>
      </c>
      <c r="F56" t="s">
        <v>1509</v>
      </c>
      <c r="G56" t="s">
        <v>2142</v>
      </c>
      <c r="H56">
        <v>15</v>
      </c>
      <c r="I56" t="s">
        <v>2143</v>
      </c>
      <c r="J56" t="s">
        <v>2595</v>
      </c>
    </row>
    <row r="57" spans="1:10">
      <c r="A57" t="s">
        <v>23</v>
      </c>
      <c r="B57" t="s">
        <v>130</v>
      </c>
      <c r="C57" t="s">
        <v>420</v>
      </c>
      <c r="D57" t="s">
        <v>288</v>
      </c>
      <c r="E57" t="s">
        <v>2144</v>
      </c>
      <c r="F57" t="s">
        <v>2145</v>
      </c>
      <c r="G57" t="s">
        <v>2146</v>
      </c>
      <c r="H57">
        <v>5</v>
      </c>
      <c r="I57" t="s">
        <v>679</v>
      </c>
      <c r="J57" t="s">
        <v>209</v>
      </c>
    </row>
    <row r="58" spans="1:10">
      <c r="A58" t="s">
        <v>105</v>
      </c>
      <c r="B58" t="s">
        <v>130</v>
      </c>
      <c r="C58" t="s">
        <v>421</v>
      </c>
      <c r="D58" t="s">
        <v>288</v>
      </c>
      <c r="E58" t="s">
        <v>2147</v>
      </c>
      <c r="F58" t="s">
        <v>2148</v>
      </c>
      <c r="G58" t="s">
        <v>421</v>
      </c>
      <c r="H58">
        <v>5</v>
      </c>
      <c r="I58" t="s">
        <v>679</v>
      </c>
      <c r="J58" t="s">
        <v>209</v>
      </c>
    </row>
    <row r="59" spans="1:10">
      <c r="A59" t="s">
        <v>106</v>
      </c>
      <c r="B59" t="s">
        <v>130</v>
      </c>
      <c r="C59" t="s">
        <v>422</v>
      </c>
      <c r="D59" t="s">
        <v>288</v>
      </c>
      <c r="E59" t="s">
        <v>2149</v>
      </c>
      <c r="F59" t="s">
        <v>2150</v>
      </c>
      <c r="G59" t="s">
        <v>422</v>
      </c>
      <c r="H59">
        <v>5</v>
      </c>
      <c r="I59" t="s">
        <v>679</v>
      </c>
      <c r="J59" t="s">
        <v>209</v>
      </c>
    </row>
    <row r="60" spans="1:10">
      <c r="A60" t="s">
        <v>107</v>
      </c>
      <c r="B60" t="s">
        <v>130</v>
      </c>
      <c r="C60" t="s">
        <v>423</v>
      </c>
      <c r="D60" t="s">
        <v>288</v>
      </c>
      <c r="E60" t="s">
        <v>2151</v>
      </c>
      <c r="F60" t="s">
        <v>2152</v>
      </c>
      <c r="G60" t="s">
        <v>423</v>
      </c>
      <c r="H60">
        <v>5</v>
      </c>
      <c r="I60" t="s">
        <v>679</v>
      </c>
      <c r="J60" t="s">
        <v>209</v>
      </c>
    </row>
    <row r="61" spans="1:10">
      <c r="A61" t="s">
        <v>2153</v>
      </c>
      <c r="B61" t="s">
        <v>2154</v>
      </c>
      <c r="C61" t="s">
        <v>2155</v>
      </c>
      <c r="D61" t="s">
        <v>145</v>
      </c>
      <c r="E61" t="s">
        <v>2299</v>
      </c>
      <c r="F61" t="s">
        <v>2139</v>
      </c>
      <c r="G61" t="s">
        <v>2156</v>
      </c>
      <c r="H61" t="s">
        <v>1977</v>
      </c>
      <c r="I61" t="s">
        <v>2157</v>
      </c>
      <c r="J61" t="s">
        <v>2596</v>
      </c>
    </row>
    <row r="62" spans="1:10">
      <c r="A62" t="s">
        <v>2158</v>
      </c>
      <c r="B62" t="s">
        <v>2159</v>
      </c>
      <c r="C62" t="s">
        <v>2160</v>
      </c>
      <c r="D62" t="s">
        <v>2161</v>
      </c>
      <c r="E62" t="s">
        <v>2161</v>
      </c>
      <c r="F62" t="s">
        <v>2161</v>
      </c>
      <c r="G62" t="s">
        <v>2162</v>
      </c>
      <c r="H62">
        <v>10</v>
      </c>
      <c r="I62" t="s">
        <v>2163</v>
      </c>
      <c r="J62" t="s">
        <v>2597</v>
      </c>
    </row>
    <row r="63" spans="1:10">
      <c r="A63" t="s">
        <v>24</v>
      </c>
      <c r="B63" t="s">
        <v>131</v>
      </c>
      <c r="C63" t="s">
        <v>238</v>
      </c>
      <c r="D63" t="s">
        <v>288</v>
      </c>
      <c r="E63" t="s">
        <v>2164</v>
      </c>
      <c r="F63" t="s">
        <v>409</v>
      </c>
      <c r="G63" t="s">
        <v>131</v>
      </c>
      <c r="H63">
        <v>5</v>
      </c>
      <c r="I63" t="s">
        <v>154</v>
      </c>
      <c r="J63" t="s">
        <v>208</v>
      </c>
    </row>
    <row r="64" spans="1:10">
      <c r="A64" t="s">
        <v>1581</v>
      </c>
      <c r="B64" t="s">
        <v>2729</v>
      </c>
      <c r="C64" t="s">
        <v>1252</v>
      </c>
      <c r="D64" t="s">
        <v>287</v>
      </c>
      <c r="E64" t="s">
        <v>1695</v>
      </c>
      <c r="F64" t="s">
        <v>1485</v>
      </c>
      <c r="G64" t="s">
        <v>1330</v>
      </c>
      <c r="H64" t="s">
        <v>1977</v>
      </c>
      <c r="I64" t="s">
        <v>2730</v>
      </c>
      <c r="J64" t="s">
        <v>226</v>
      </c>
    </row>
    <row r="65" spans="1:10">
      <c r="A65" t="s">
        <v>1582</v>
      </c>
      <c r="B65" t="s">
        <v>2729</v>
      </c>
      <c r="C65" t="s">
        <v>864</v>
      </c>
      <c r="D65" t="s">
        <v>287</v>
      </c>
      <c r="E65" t="s">
        <v>2300</v>
      </c>
      <c r="F65" t="s">
        <v>1490</v>
      </c>
      <c r="G65" t="s">
        <v>1334</v>
      </c>
      <c r="H65" t="s">
        <v>1977</v>
      </c>
      <c r="I65" t="s">
        <v>2730</v>
      </c>
      <c r="J65" t="s">
        <v>226</v>
      </c>
    </row>
    <row r="66" spans="1:10">
      <c r="A66" t="s">
        <v>706</v>
      </c>
      <c r="B66" t="s">
        <v>2729</v>
      </c>
      <c r="C66" t="s">
        <v>707</v>
      </c>
      <c r="D66" t="s">
        <v>287</v>
      </c>
      <c r="E66" t="s">
        <v>1191</v>
      </c>
      <c r="F66" t="s">
        <v>862</v>
      </c>
      <c r="G66" t="s">
        <v>1335</v>
      </c>
      <c r="H66">
        <v>4</v>
      </c>
      <c r="I66" t="s">
        <v>2730</v>
      </c>
      <c r="J66" t="s">
        <v>226</v>
      </c>
    </row>
    <row r="67" spans="1:10">
      <c r="A67" t="s">
        <v>874</v>
      </c>
      <c r="B67" t="s">
        <v>2729</v>
      </c>
      <c r="C67" t="s">
        <v>875</v>
      </c>
      <c r="D67" t="s">
        <v>2350</v>
      </c>
      <c r="E67" t="s">
        <v>1696</v>
      </c>
      <c r="F67" t="s">
        <v>1110</v>
      </c>
      <c r="G67" t="s">
        <v>875</v>
      </c>
      <c r="H67">
        <v>14</v>
      </c>
      <c r="I67" t="s">
        <v>2730</v>
      </c>
      <c r="J67" t="s">
        <v>226</v>
      </c>
    </row>
    <row r="68" spans="1:10">
      <c r="A68" t="s">
        <v>1583</v>
      </c>
      <c r="B68" t="s">
        <v>2729</v>
      </c>
      <c r="C68" t="s">
        <v>1251</v>
      </c>
      <c r="D68" t="s">
        <v>2350</v>
      </c>
      <c r="E68" t="s">
        <v>1697</v>
      </c>
      <c r="F68" t="s">
        <v>1484</v>
      </c>
      <c r="G68" t="s">
        <v>1251</v>
      </c>
      <c r="H68">
        <v>14</v>
      </c>
      <c r="I68" t="s">
        <v>2730</v>
      </c>
      <c r="J68" t="s">
        <v>226</v>
      </c>
    </row>
    <row r="69" spans="1:10">
      <c r="A69" t="s">
        <v>1584</v>
      </c>
      <c r="B69" t="s">
        <v>2729</v>
      </c>
      <c r="C69" t="s">
        <v>1250</v>
      </c>
      <c r="D69" t="s">
        <v>1273</v>
      </c>
      <c r="E69" t="s">
        <v>1698</v>
      </c>
      <c r="F69" t="s">
        <v>1482</v>
      </c>
      <c r="G69" t="s">
        <v>1328</v>
      </c>
      <c r="H69">
        <v>13</v>
      </c>
      <c r="I69" t="s">
        <v>2730</v>
      </c>
      <c r="J69" t="s">
        <v>226</v>
      </c>
    </row>
    <row r="70" spans="1:10">
      <c r="A70" t="s">
        <v>1585</v>
      </c>
      <c r="B70" t="s">
        <v>2729</v>
      </c>
      <c r="C70" t="s">
        <v>1250</v>
      </c>
      <c r="D70" t="s">
        <v>1274</v>
      </c>
      <c r="E70" t="s">
        <v>1699</v>
      </c>
      <c r="F70" t="s">
        <v>1483</v>
      </c>
      <c r="G70" t="s">
        <v>1328</v>
      </c>
      <c r="H70">
        <v>13</v>
      </c>
      <c r="I70" t="s">
        <v>2730</v>
      </c>
      <c r="J70" t="s">
        <v>226</v>
      </c>
    </row>
    <row r="71" spans="1:10">
      <c r="A71" t="s">
        <v>1586</v>
      </c>
      <c r="B71" t="s">
        <v>2729</v>
      </c>
      <c r="C71" t="s">
        <v>1254</v>
      </c>
      <c r="D71" t="s">
        <v>1275</v>
      </c>
      <c r="E71" t="s">
        <v>1700</v>
      </c>
      <c r="F71" t="s">
        <v>1491</v>
      </c>
      <c r="G71" t="s">
        <v>1254</v>
      </c>
      <c r="H71">
        <v>11</v>
      </c>
      <c r="I71" t="s">
        <v>2730</v>
      </c>
      <c r="J71" t="s">
        <v>226</v>
      </c>
    </row>
    <row r="72" spans="1:10">
      <c r="A72" t="s">
        <v>1587</v>
      </c>
      <c r="B72" t="s">
        <v>2729</v>
      </c>
      <c r="C72" t="s">
        <v>1255</v>
      </c>
      <c r="D72" t="s">
        <v>1275</v>
      </c>
      <c r="E72" t="s">
        <v>1701</v>
      </c>
      <c r="F72" t="s">
        <v>1493</v>
      </c>
      <c r="G72" t="s">
        <v>783</v>
      </c>
      <c r="H72">
        <v>6</v>
      </c>
      <c r="I72" t="s">
        <v>2730</v>
      </c>
      <c r="J72" t="s">
        <v>226</v>
      </c>
    </row>
    <row r="73" spans="1:10">
      <c r="A73" t="s">
        <v>1588</v>
      </c>
      <c r="B73" t="s">
        <v>2729</v>
      </c>
      <c r="C73" t="s">
        <v>1253</v>
      </c>
      <c r="D73" t="s">
        <v>1273</v>
      </c>
      <c r="E73" t="s">
        <v>1702</v>
      </c>
      <c r="F73" t="s">
        <v>1486</v>
      </c>
      <c r="G73" t="s">
        <v>1253</v>
      </c>
      <c r="H73">
        <v>25</v>
      </c>
      <c r="I73" t="s">
        <v>2730</v>
      </c>
      <c r="J73" t="s">
        <v>226</v>
      </c>
    </row>
    <row r="74" spans="1:10">
      <c r="A74" t="s">
        <v>2103</v>
      </c>
      <c r="B74" t="s">
        <v>2729</v>
      </c>
      <c r="C74" t="s">
        <v>2301</v>
      </c>
      <c r="D74" t="s">
        <v>2105</v>
      </c>
      <c r="E74" t="s">
        <v>2302</v>
      </c>
      <c r="F74" t="s">
        <v>2303</v>
      </c>
      <c r="G74" t="s">
        <v>2104</v>
      </c>
      <c r="H74">
        <v>8</v>
      </c>
      <c r="I74" t="s">
        <v>2730</v>
      </c>
      <c r="J74" t="s">
        <v>226</v>
      </c>
    </row>
    <row r="75" spans="1:10">
      <c r="A75" t="s">
        <v>2106</v>
      </c>
      <c r="B75" t="s">
        <v>2729</v>
      </c>
      <c r="C75" t="s">
        <v>2301</v>
      </c>
      <c r="D75" t="s">
        <v>2107</v>
      </c>
      <c r="E75" t="s">
        <v>2304</v>
      </c>
      <c r="F75" t="s">
        <v>2305</v>
      </c>
      <c r="G75" t="s">
        <v>2104</v>
      </c>
      <c r="H75">
        <v>8</v>
      </c>
      <c r="I75" t="s">
        <v>2730</v>
      </c>
      <c r="J75" t="s">
        <v>226</v>
      </c>
    </row>
    <row r="76" spans="1:10">
      <c r="A76" t="s">
        <v>2108</v>
      </c>
      <c r="B76" t="s">
        <v>2729</v>
      </c>
      <c r="C76" t="s">
        <v>2306</v>
      </c>
      <c r="D76" t="s">
        <v>2105</v>
      </c>
      <c r="E76" t="s">
        <v>2307</v>
      </c>
      <c r="F76" t="s">
        <v>2308</v>
      </c>
      <c r="G76" t="s">
        <v>2109</v>
      </c>
      <c r="H76">
        <v>8</v>
      </c>
      <c r="I76" t="s">
        <v>2730</v>
      </c>
      <c r="J76" t="s">
        <v>226</v>
      </c>
    </row>
    <row r="77" spans="1:10">
      <c r="A77" t="s">
        <v>2110</v>
      </c>
      <c r="B77" t="s">
        <v>2729</v>
      </c>
      <c r="C77" t="s">
        <v>2306</v>
      </c>
      <c r="D77" t="s">
        <v>2107</v>
      </c>
      <c r="E77" t="s">
        <v>2309</v>
      </c>
      <c r="F77" t="s">
        <v>2310</v>
      </c>
      <c r="G77" t="s">
        <v>2109</v>
      </c>
      <c r="H77">
        <v>8</v>
      </c>
      <c r="I77" t="s">
        <v>2730</v>
      </c>
      <c r="J77" t="s">
        <v>226</v>
      </c>
    </row>
    <row r="78" spans="1:10">
      <c r="A78" t="s">
        <v>2311</v>
      </c>
      <c r="B78" t="s">
        <v>2729</v>
      </c>
      <c r="C78" t="s">
        <v>2312</v>
      </c>
      <c r="D78" t="s">
        <v>2105</v>
      </c>
      <c r="E78" t="s">
        <v>2313</v>
      </c>
      <c r="F78" t="s">
        <v>2314</v>
      </c>
      <c r="G78" t="s">
        <v>783</v>
      </c>
      <c r="H78">
        <v>9</v>
      </c>
      <c r="I78" t="s">
        <v>2730</v>
      </c>
      <c r="J78" t="s">
        <v>226</v>
      </c>
    </row>
    <row r="79" spans="1:10">
      <c r="A79" t="s">
        <v>2315</v>
      </c>
      <c r="B79" t="s">
        <v>2729</v>
      </c>
      <c r="C79" t="s">
        <v>2312</v>
      </c>
      <c r="D79" t="s">
        <v>2107</v>
      </c>
      <c r="E79" t="s">
        <v>2316</v>
      </c>
      <c r="F79" t="s">
        <v>2317</v>
      </c>
      <c r="G79" t="s">
        <v>783</v>
      </c>
      <c r="H79">
        <v>9</v>
      </c>
      <c r="I79" t="s">
        <v>2730</v>
      </c>
      <c r="J79" t="s">
        <v>226</v>
      </c>
    </row>
    <row r="80" spans="1:10">
      <c r="A80" t="s">
        <v>2318</v>
      </c>
      <c r="B80" t="s">
        <v>2729</v>
      </c>
      <c r="C80" t="s">
        <v>2319</v>
      </c>
      <c r="D80" t="s">
        <v>2105</v>
      </c>
      <c r="E80" t="s">
        <v>2320</v>
      </c>
      <c r="F80" t="s">
        <v>2321</v>
      </c>
      <c r="G80" t="s">
        <v>783</v>
      </c>
      <c r="H80">
        <v>9</v>
      </c>
      <c r="I80" t="s">
        <v>2730</v>
      </c>
      <c r="J80" t="s">
        <v>226</v>
      </c>
    </row>
    <row r="81" spans="1:10">
      <c r="A81" t="s">
        <v>2322</v>
      </c>
      <c r="B81" t="s">
        <v>2729</v>
      </c>
      <c r="C81" t="s">
        <v>2319</v>
      </c>
      <c r="D81" t="s">
        <v>2107</v>
      </c>
      <c r="E81" t="s">
        <v>2323</v>
      </c>
      <c r="F81" t="s">
        <v>2324</v>
      </c>
      <c r="G81" t="s">
        <v>783</v>
      </c>
      <c r="H81">
        <v>9</v>
      </c>
      <c r="I81" t="s">
        <v>2730</v>
      </c>
      <c r="J81" t="s">
        <v>226</v>
      </c>
    </row>
    <row r="82" spans="1:10">
      <c r="A82" t="s">
        <v>2325</v>
      </c>
      <c r="B82" t="s">
        <v>2729</v>
      </c>
      <c r="C82" t="s">
        <v>2326</v>
      </c>
      <c r="D82" t="s">
        <v>2105</v>
      </c>
      <c r="E82" t="s">
        <v>2327</v>
      </c>
      <c r="F82" t="s">
        <v>2328</v>
      </c>
      <c r="G82" t="s">
        <v>783</v>
      </c>
      <c r="H82">
        <v>8</v>
      </c>
      <c r="I82" t="s">
        <v>2730</v>
      </c>
      <c r="J82" t="s">
        <v>226</v>
      </c>
    </row>
    <row r="83" spans="1:10">
      <c r="A83" t="s">
        <v>2329</v>
      </c>
      <c r="B83" t="s">
        <v>2729</v>
      </c>
      <c r="C83" t="s">
        <v>2326</v>
      </c>
      <c r="D83" t="s">
        <v>2107</v>
      </c>
      <c r="E83" t="s">
        <v>2330</v>
      </c>
      <c r="F83" t="s">
        <v>2331</v>
      </c>
      <c r="G83" t="s">
        <v>783</v>
      </c>
      <c r="H83">
        <v>8</v>
      </c>
      <c r="I83" t="s">
        <v>2730</v>
      </c>
      <c r="J83" t="s">
        <v>226</v>
      </c>
    </row>
    <row r="84" spans="1:10">
      <c r="A84" t="s">
        <v>2332</v>
      </c>
      <c r="B84" t="s">
        <v>2729</v>
      </c>
      <c r="C84" t="s">
        <v>2333</v>
      </c>
      <c r="D84" t="s">
        <v>2105</v>
      </c>
      <c r="E84" t="s">
        <v>2334</v>
      </c>
      <c r="F84" t="s">
        <v>2335</v>
      </c>
      <c r="G84" t="s">
        <v>783</v>
      </c>
      <c r="H84">
        <v>8</v>
      </c>
      <c r="I84" t="s">
        <v>2730</v>
      </c>
      <c r="J84" t="s">
        <v>226</v>
      </c>
    </row>
    <row r="85" spans="1:10">
      <c r="A85" t="s">
        <v>348</v>
      </c>
      <c r="B85" t="s">
        <v>2729</v>
      </c>
      <c r="C85" t="s">
        <v>897</v>
      </c>
      <c r="D85" t="s">
        <v>287</v>
      </c>
      <c r="E85" t="s">
        <v>1703</v>
      </c>
      <c r="F85" t="s">
        <v>1489</v>
      </c>
      <c r="G85" t="s">
        <v>1333</v>
      </c>
      <c r="H85">
        <v>16</v>
      </c>
      <c r="I85" t="s">
        <v>2730</v>
      </c>
      <c r="J85" t="s">
        <v>226</v>
      </c>
    </row>
    <row r="86" spans="1:10">
      <c r="A86" t="s">
        <v>2336</v>
      </c>
      <c r="B86" t="s">
        <v>2729</v>
      </c>
      <c r="C86" t="s">
        <v>2333</v>
      </c>
      <c r="D86" t="s">
        <v>2107</v>
      </c>
      <c r="E86" t="s">
        <v>2337</v>
      </c>
      <c r="F86" t="s">
        <v>2338</v>
      </c>
      <c r="G86" t="s">
        <v>783</v>
      </c>
      <c r="H86">
        <v>8</v>
      </c>
      <c r="I86" t="s">
        <v>2730</v>
      </c>
      <c r="J86" t="s">
        <v>226</v>
      </c>
    </row>
    <row r="87" spans="1:10">
      <c r="A87" t="s">
        <v>632</v>
      </c>
      <c r="B87" t="s">
        <v>2729</v>
      </c>
      <c r="C87" t="s">
        <v>923</v>
      </c>
      <c r="D87" t="s">
        <v>287</v>
      </c>
      <c r="E87" t="s">
        <v>1186</v>
      </c>
      <c r="F87" t="s">
        <v>1112</v>
      </c>
      <c r="G87" t="s">
        <v>1329</v>
      </c>
      <c r="H87">
        <v>14</v>
      </c>
      <c r="I87" t="s">
        <v>2730</v>
      </c>
      <c r="J87" t="s">
        <v>226</v>
      </c>
    </row>
    <row r="88" spans="1:10">
      <c r="A88" t="s">
        <v>394</v>
      </c>
      <c r="B88" t="s">
        <v>2729</v>
      </c>
      <c r="C88" t="s">
        <v>275</v>
      </c>
      <c r="D88" t="s">
        <v>287</v>
      </c>
      <c r="E88" t="s">
        <v>1704</v>
      </c>
      <c r="F88" t="s">
        <v>1492</v>
      </c>
      <c r="G88" t="s">
        <v>1337</v>
      </c>
      <c r="H88">
        <v>8</v>
      </c>
      <c r="I88" t="s">
        <v>2730</v>
      </c>
      <c r="J88" t="s">
        <v>226</v>
      </c>
    </row>
    <row r="89" spans="1:10">
      <c r="A89" t="s">
        <v>932</v>
      </c>
      <c r="B89" t="s">
        <v>2729</v>
      </c>
      <c r="C89" t="s">
        <v>933</v>
      </c>
      <c r="D89" t="s">
        <v>287</v>
      </c>
      <c r="E89" t="s">
        <v>1705</v>
      </c>
      <c r="F89" t="s">
        <v>1487</v>
      </c>
      <c r="G89" t="s">
        <v>1331</v>
      </c>
      <c r="H89">
        <v>12</v>
      </c>
      <c r="I89" t="s">
        <v>2730</v>
      </c>
      <c r="J89" t="s">
        <v>226</v>
      </c>
    </row>
    <row r="90" spans="1:10">
      <c r="A90" t="s">
        <v>934</v>
      </c>
      <c r="B90" t="s">
        <v>2729</v>
      </c>
      <c r="C90" t="s">
        <v>870</v>
      </c>
      <c r="D90" t="s">
        <v>935</v>
      </c>
      <c r="E90" t="s">
        <v>1706</v>
      </c>
      <c r="F90" t="s">
        <v>1494</v>
      </c>
      <c r="G90" t="s">
        <v>1338</v>
      </c>
      <c r="H90">
        <v>11</v>
      </c>
      <c r="I90" t="s">
        <v>2730</v>
      </c>
      <c r="J90" t="s">
        <v>226</v>
      </c>
    </row>
    <row r="91" spans="1:10">
      <c r="A91" t="s">
        <v>851</v>
      </c>
      <c r="B91" t="s">
        <v>2729</v>
      </c>
      <c r="C91" t="s">
        <v>870</v>
      </c>
      <c r="D91" t="s">
        <v>936</v>
      </c>
      <c r="E91" t="s">
        <v>1187</v>
      </c>
      <c r="F91" t="s">
        <v>1116</v>
      </c>
      <c r="G91" t="s">
        <v>1338</v>
      </c>
      <c r="H91">
        <v>11</v>
      </c>
      <c r="I91" t="s">
        <v>2730</v>
      </c>
      <c r="J91" t="s">
        <v>226</v>
      </c>
    </row>
    <row r="92" spans="1:10">
      <c r="A92" t="s">
        <v>118</v>
      </c>
      <c r="B92" t="s">
        <v>2729</v>
      </c>
      <c r="C92" t="s">
        <v>633</v>
      </c>
      <c r="D92" t="s">
        <v>287</v>
      </c>
      <c r="E92" t="s">
        <v>1185</v>
      </c>
      <c r="F92" t="s">
        <v>1115</v>
      </c>
      <c r="G92" t="s">
        <v>633</v>
      </c>
      <c r="H92">
        <v>23</v>
      </c>
      <c r="I92" t="s">
        <v>2730</v>
      </c>
      <c r="J92" t="s">
        <v>226</v>
      </c>
    </row>
    <row r="93" spans="1:10">
      <c r="A93" t="s">
        <v>937</v>
      </c>
      <c r="B93" t="s">
        <v>2729</v>
      </c>
      <c r="C93" t="s">
        <v>938</v>
      </c>
      <c r="D93" t="s">
        <v>287</v>
      </c>
      <c r="E93" t="s">
        <v>1707</v>
      </c>
      <c r="F93" t="s">
        <v>1488</v>
      </c>
      <c r="G93" t="s">
        <v>1332</v>
      </c>
      <c r="H93">
        <v>20</v>
      </c>
      <c r="I93" t="s">
        <v>2730</v>
      </c>
      <c r="J93" t="s">
        <v>226</v>
      </c>
    </row>
    <row r="94" spans="1:10">
      <c r="A94" t="s">
        <v>849</v>
      </c>
      <c r="B94" t="s">
        <v>2729</v>
      </c>
      <c r="C94" t="s">
        <v>871</v>
      </c>
      <c r="D94" t="s">
        <v>1273</v>
      </c>
      <c r="E94" t="s">
        <v>1188</v>
      </c>
      <c r="F94" t="s">
        <v>1111</v>
      </c>
      <c r="G94" t="s">
        <v>1336</v>
      </c>
      <c r="H94">
        <v>14</v>
      </c>
      <c r="I94" t="s">
        <v>2730</v>
      </c>
      <c r="J94" t="s">
        <v>226</v>
      </c>
    </row>
    <row r="95" spans="1:10">
      <c r="A95" t="s">
        <v>850</v>
      </c>
      <c r="B95" t="s">
        <v>2729</v>
      </c>
      <c r="C95" t="s">
        <v>871</v>
      </c>
      <c r="D95" t="s">
        <v>1274</v>
      </c>
      <c r="E95" t="s">
        <v>1189</v>
      </c>
      <c r="F95" t="s">
        <v>1114</v>
      </c>
      <c r="G95" t="s">
        <v>1336</v>
      </c>
      <c r="H95">
        <v>14</v>
      </c>
      <c r="I95" t="s">
        <v>2730</v>
      </c>
      <c r="J95" t="s">
        <v>226</v>
      </c>
    </row>
    <row r="96" spans="1:10">
      <c r="A96" t="s">
        <v>848</v>
      </c>
      <c r="B96" t="s">
        <v>2729</v>
      </c>
      <c r="C96" t="s">
        <v>871</v>
      </c>
      <c r="D96" t="s">
        <v>1268</v>
      </c>
      <c r="E96" t="s">
        <v>1190</v>
      </c>
      <c r="F96" t="s">
        <v>1113</v>
      </c>
      <c r="G96" t="s">
        <v>1336</v>
      </c>
      <c r="H96">
        <v>14</v>
      </c>
      <c r="I96" t="s">
        <v>2730</v>
      </c>
      <c r="J96" t="s">
        <v>226</v>
      </c>
    </row>
    <row r="97" spans="1:10">
      <c r="A97" t="s">
        <v>25</v>
      </c>
      <c r="B97" t="s">
        <v>147</v>
      </c>
      <c r="C97" t="s">
        <v>424</v>
      </c>
      <c r="D97" t="s">
        <v>288</v>
      </c>
      <c r="E97" t="s">
        <v>2165</v>
      </c>
      <c r="F97" t="s">
        <v>424</v>
      </c>
      <c r="G97" t="s">
        <v>2166</v>
      </c>
      <c r="H97">
        <v>5</v>
      </c>
      <c r="I97" t="s">
        <v>164</v>
      </c>
      <c r="J97" t="s">
        <v>212</v>
      </c>
    </row>
    <row r="98" spans="1:10">
      <c r="A98" t="s">
        <v>26</v>
      </c>
      <c r="B98" t="s">
        <v>132</v>
      </c>
      <c r="C98" t="s">
        <v>132</v>
      </c>
      <c r="D98" t="s">
        <v>288</v>
      </c>
      <c r="E98" t="s">
        <v>132</v>
      </c>
      <c r="F98" t="s">
        <v>2413</v>
      </c>
      <c r="G98" t="s">
        <v>2414</v>
      </c>
      <c r="H98">
        <v>15</v>
      </c>
      <c r="I98" t="s">
        <v>2415</v>
      </c>
      <c r="J98" t="s">
        <v>213</v>
      </c>
    </row>
    <row r="99" spans="1:10">
      <c r="A99" t="s">
        <v>1589</v>
      </c>
      <c r="B99" t="s">
        <v>1240</v>
      </c>
      <c r="C99" t="s">
        <v>1265</v>
      </c>
      <c r="D99" t="s">
        <v>288</v>
      </c>
      <c r="E99" t="s">
        <v>1240</v>
      </c>
      <c r="F99" t="s">
        <v>1240</v>
      </c>
      <c r="G99" t="s">
        <v>1362</v>
      </c>
      <c r="H99" t="s">
        <v>1977</v>
      </c>
      <c r="I99" t="s">
        <v>2055</v>
      </c>
      <c r="J99" t="s">
        <v>2598</v>
      </c>
    </row>
    <row r="100" spans="1:10">
      <c r="A100" t="s">
        <v>108</v>
      </c>
      <c r="B100" t="s">
        <v>133</v>
      </c>
      <c r="C100" t="s">
        <v>278</v>
      </c>
      <c r="D100" t="s">
        <v>784</v>
      </c>
      <c r="E100" t="s">
        <v>1708</v>
      </c>
      <c r="F100" t="s">
        <v>1196</v>
      </c>
      <c r="G100" t="s">
        <v>1347</v>
      </c>
      <c r="H100">
        <v>8</v>
      </c>
      <c r="I100" t="s">
        <v>2416</v>
      </c>
      <c r="J100" t="s">
        <v>215</v>
      </c>
    </row>
    <row r="101" spans="1:10">
      <c r="A101" t="s">
        <v>27</v>
      </c>
      <c r="B101" t="s">
        <v>133</v>
      </c>
      <c r="C101" t="s">
        <v>278</v>
      </c>
      <c r="D101" t="s">
        <v>145</v>
      </c>
      <c r="E101" t="s">
        <v>1195</v>
      </c>
      <c r="F101" t="s">
        <v>1196</v>
      </c>
      <c r="G101" t="s">
        <v>1347</v>
      </c>
      <c r="H101">
        <v>8</v>
      </c>
      <c r="I101" t="s">
        <v>2416</v>
      </c>
      <c r="J101" t="s">
        <v>215</v>
      </c>
    </row>
    <row r="102" spans="1:10">
      <c r="A102" t="s">
        <v>109</v>
      </c>
      <c r="B102" t="s">
        <v>133</v>
      </c>
      <c r="C102" t="s">
        <v>276</v>
      </c>
      <c r="D102" t="s">
        <v>784</v>
      </c>
      <c r="E102" t="s">
        <v>1709</v>
      </c>
      <c r="F102" t="s">
        <v>1194</v>
      </c>
      <c r="G102" t="s">
        <v>1347</v>
      </c>
      <c r="H102">
        <v>8</v>
      </c>
      <c r="I102" t="s">
        <v>2416</v>
      </c>
      <c r="J102" t="s">
        <v>215</v>
      </c>
    </row>
    <row r="103" spans="1:10">
      <c r="A103" t="s">
        <v>28</v>
      </c>
      <c r="B103" t="s">
        <v>133</v>
      </c>
      <c r="C103" t="s">
        <v>276</v>
      </c>
      <c r="D103" t="s">
        <v>145</v>
      </c>
      <c r="E103" t="s">
        <v>1193</v>
      </c>
      <c r="F103" t="s">
        <v>1194</v>
      </c>
      <c r="G103" t="s">
        <v>1347</v>
      </c>
      <c r="H103">
        <v>8</v>
      </c>
      <c r="I103" t="s">
        <v>2416</v>
      </c>
      <c r="J103" t="s">
        <v>215</v>
      </c>
    </row>
    <row r="104" spans="1:10">
      <c r="A104" t="s">
        <v>100</v>
      </c>
      <c r="B104" t="s">
        <v>133</v>
      </c>
      <c r="C104" t="s">
        <v>279</v>
      </c>
      <c r="D104" t="s">
        <v>784</v>
      </c>
      <c r="E104" t="s">
        <v>1710</v>
      </c>
      <c r="F104" t="s">
        <v>1198</v>
      </c>
      <c r="G104" t="s">
        <v>1348</v>
      </c>
      <c r="H104">
        <v>8</v>
      </c>
      <c r="I104" t="s">
        <v>2416</v>
      </c>
      <c r="J104" t="s">
        <v>215</v>
      </c>
    </row>
    <row r="105" spans="1:10">
      <c r="A105" t="s">
        <v>89</v>
      </c>
      <c r="B105" t="s">
        <v>133</v>
      </c>
      <c r="C105" t="s">
        <v>279</v>
      </c>
      <c r="D105" t="s">
        <v>145</v>
      </c>
      <c r="E105" t="s">
        <v>1197</v>
      </c>
      <c r="F105" t="s">
        <v>1198</v>
      </c>
      <c r="G105" t="s">
        <v>1348</v>
      </c>
      <c r="H105">
        <v>8</v>
      </c>
      <c r="I105" t="s">
        <v>2416</v>
      </c>
      <c r="J105" t="s">
        <v>215</v>
      </c>
    </row>
    <row r="106" spans="1:10">
      <c r="A106" t="s">
        <v>101</v>
      </c>
      <c r="B106" t="s">
        <v>133</v>
      </c>
      <c r="C106" t="s">
        <v>277</v>
      </c>
      <c r="D106" t="s">
        <v>784</v>
      </c>
      <c r="E106" t="s">
        <v>1711</v>
      </c>
      <c r="F106" t="s">
        <v>1200</v>
      </c>
      <c r="G106" t="s">
        <v>1348</v>
      </c>
      <c r="H106">
        <v>8</v>
      </c>
      <c r="I106" t="s">
        <v>2416</v>
      </c>
      <c r="J106" t="s">
        <v>215</v>
      </c>
    </row>
    <row r="107" spans="1:10">
      <c r="A107" t="s">
        <v>90</v>
      </c>
      <c r="B107" t="s">
        <v>133</v>
      </c>
      <c r="C107" t="s">
        <v>277</v>
      </c>
      <c r="D107" t="s">
        <v>145</v>
      </c>
      <c r="E107" t="s">
        <v>1199</v>
      </c>
      <c r="F107" t="s">
        <v>1200</v>
      </c>
      <c r="G107" t="s">
        <v>1348</v>
      </c>
      <c r="H107">
        <v>8</v>
      </c>
      <c r="I107" t="s">
        <v>2416</v>
      </c>
      <c r="J107" t="s">
        <v>215</v>
      </c>
    </row>
    <row r="108" spans="1:10">
      <c r="A108" t="s">
        <v>2167</v>
      </c>
      <c r="B108" t="s">
        <v>2168</v>
      </c>
      <c r="C108" t="s">
        <v>2169</v>
      </c>
      <c r="D108" t="s">
        <v>288</v>
      </c>
      <c r="E108" t="s">
        <v>2170</v>
      </c>
      <c r="F108" t="s">
        <v>2170</v>
      </c>
      <c r="G108" t="s">
        <v>2171</v>
      </c>
      <c r="H108" t="s">
        <v>1977</v>
      </c>
      <c r="I108" t="s">
        <v>2172</v>
      </c>
      <c r="J108" t="s">
        <v>2599</v>
      </c>
    </row>
    <row r="109" spans="1:10">
      <c r="A109" t="s">
        <v>362</v>
      </c>
      <c r="B109" t="s">
        <v>134</v>
      </c>
      <c r="C109" t="s">
        <v>254</v>
      </c>
      <c r="D109" t="s">
        <v>288</v>
      </c>
      <c r="E109" t="s">
        <v>1712</v>
      </c>
      <c r="F109" t="s">
        <v>1507</v>
      </c>
      <c r="G109" t="s">
        <v>254</v>
      </c>
      <c r="H109">
        <v>5</v>
      </c>
      <c r="I109" t="s">
        <v>156</v>
      </c>
      <c r="J109" t="s">
        <v>227</v>
      </c>
    </row>
    <row r="110" spans="1:10">
      <c r="A110" t="s">
        <v>341</v>
      </c>
      <c r="B110" t="s">
        <v>134</v>
      </c>
      <c r="C110" t="s">
        <v>241</v>
      </c>
      <c r="D110" t="s">
        <v>288</v>
      </c>
      <c r="E110" t="s">
        <v>1713</v>
      </c>
      <c r="F110" t="s">
        <v>1506</v>
      </c>
      <c r="G110" t="s">
        <v>241</v>
      </c>
      <c r="H110">
        <v>5</v>
      </c>
      <c r="I110" t="s">
        <v>156</v>
      </c>
      <c r="J110" t="s">
        <v>227</v>
      </c>
    </row>
    <row r="111" spans="1:10">
      <c r="A111" t="s">
        <v>2339</v>
      </c>
      <c r="B111" t="s">
        <v>844</v>
      </c>
      <c r="C111" t="s">
        <v>1950</v>
      </c>
      <c r="D111" t="s">
        <v>145</v>
      </c>
      <c r="E111" t="s">
        <v>1950</v>
      </c>
      <c r="F111" t="s">
        <v>2111</v>
      </c>
      <c r="G111" t="s">
        <v>1950</v>
      </c>
      <c r="H111">
        <v>30</v>
      </c>
      <c r="I111" t="s">
        <v>2340</v>
      </c>
      <c r="J111" t="s">
        <v>2600</v>
      </c>
    </row>
    <row r="112" spans="1:10">
      <c r="A112" t="s">
        <v>2351</v>
      </c>
      <c r="B112" t="s">
        <v>2422</v>
      </c>
      <c r="C112" t="s">
        <v>2423</v>
      </c>
      <c r="D112" t="s">
        <v>2424</v>
      </c>
      <c r="E112" t="s">
        <v>2425</v>
      </c>
      <c r="F112" t="s">
        <v>2426</v>
      </c>
      <c r="G112" t="s">
        <v>2427</v>
      </c>
      <c r="H112">
        <v>20</v>
      </c>
      <c r="I112" t="s">
        <v>2352</v>
      </c>
      <c r="J112" t="s">
        <v>2601</v>
      </c>
    </row>
    <row r="113" spans="1:10">
      <c r="A113" t="s">
        <v>2353</v>
      </c>
      <c r="B113" t="s">
        <v>2422</v>
      </c>
      <c r="C113" t="s">
        <v>2428</v>
      </c>
      <c r="D113" t="s">
        <v>2429</v>
      </c>
      <c r="E113" t="s">
        <v>2430</v>
      </c>
      <c r="F113" t="s">
        <v>2431</v>
      </c>
      <c r="G113" t="s">
        <v>2432</v>
      </c>
      <c r="H113">
        <v>20</v>
      </c>
      <c r="I113" t="s">
        <v>2352</v>
      </c>
      <c r="J113" t="s">
        <v>2601</v>
      </c>
    </row>
    <row r="114" spans="1:10">
      <c r="A114" t="s">
        <v>2433</v>
      </c>
      <c r="B114" t="s">
        <v>2422</v>
      </c>
      <c r="C114" t="s">
        <v>2434</v>
      </c>
      <c r="D114" t="s">
        <v>2429</v>
      </c>
      <c r="E114" t="s">
        <v>2435</v>
      </c>
      <c r="F114" t="s">
        <v>2436</v>
      </c>
      <c r="G114" t="s">
        <v>2437</v>
      </c>
      <c r="H114">
        <v>20</v>
      </c>
      <c r="I114" t="s">
        <v>2352</v>
      </c>
      <c r="J114" t="s">
        <v>2601</v>
      </c>
    </row>
    <row r="115" spans="1:10">
      <c r="A115" t="s">
        <v>2438</v>
      </c>
      <c r="B115" t="s">
        <v>2422</v>
      </c>
      <c r="C115" t="s">
        <v>2439</v>
      </c>
      <c r="D115" t="s">
        <v>2440</v>
      </c>
      <c r="E115" t="s">
        <v>2441</v>
      </c>
      <c r="F115" t="s">
        <v>2442</v>
      </c>
      <c r="G115" t="s">
        <v>2443</v>
      </c>
      <c r="H115">
        <v>20</v>
      </c>
      <c r="I115" t="s">
        <v>2352</v>
      </c>
      <c r="J115" t="s">
        <v>2601</v>
      </c>
    </row>
    <row r="116" spans="1:10">
      <c r="A116" t="s">
        <v>2444</v>
      </c>
      <c r="B116" t="s">
        <v>2422</v>
      </c>
      <c r="C116" t="s">
        <v>2439</v>
      </c>
      <c r="D116" t="s">
        <v>2429</v>
      </c>
      <c r="E116" t="s">
        <v>2445</v>
      </c>
      <c r="F116" t="s">
        <v>2446</v>
      </c>
      <c r="G116" t="s">
        <v>2443</v>
      </c>
      <c r="H116">
        <v>20</v>
      </c>
      <c r="I116" t="s">
        <v>2352</v>
      </c>
      <c r="J116" t="s">
        <v>2601</v>
      </c>
    </row>
    <row r="117" spans="1:10">
      <c r="A117" t="s">
        <v>2447</v>
      </c>
      <c r="B117" t="s">
        <v>2422</v>
      </c>
      <c r="C117" t="s">
        <v>2448</v>
      </c>
      <c r="D117" t="s">
        <v>2440</v>
      </c>
      <c r="E117" t="s">
        <v>2449</v>
      </c>
      <c r="F117" t="s">
        <v>2450</v>
      </c>
      <c r="G117" t="s">
        <v>2451</v>
      </c>
      <c r="H117">
        <v>20</v>
      </c>
      <c r="I117" t="s">
        <v>2352</v>
      </c>
      <c r="J117" t="s">
        <v>2601</v>
      </c>
    </row>
    <row r="118" spans="1:10">
      <c r="A118" t="s">
        <v>2452</v>
      </c>
      <c r="B118" t="s">
        <v>2422</v>
      </c>
      <c r="C118" t="s">
        <v>2448</v>
      </c>
      <c r="D118" t="s">
        <v>2429</v>
      </c>
      <c r="E118" t="s">
        <v>2453</v>
      </c>
      <c r="F118" t="s">
        <v>2454</v>
      </c>
      <c r="G118" t="s">
        <v>2451</v>
      </c>
      <c r="H118">
        <v>20</v>
      </c>
      <c r="I118" t="s">
        <v>2352</v>
      </c>
      <c r="J118" t="s">
        <v>2601</v>
      </c>
    </row>
    <row r="119" spans="1:10">
      <c r="A119" t="s">
        <v>1590</v>
      </c>
      <c r="B119" t="s">
        <v>1241</v>
      </c>
      <c r="C119" t="s">
        <v>1266</v>
      </c>
      <c r="D119" t="s">
        <v>288</v>
      </c>
      <c r="E119" t="s">
        <v>1574</v>
      </c>
      <c r="F119" t="s">
        <v>1574</v>
      </c>
      <c r="G119" t="s">
        <v>1364</v>
      </c>
      <c r="H119">
        <v>10</v>
      </c>
      <c r="I119" t="s">
        <v>2056</v>
      </c>
      <c r="J119" t="s">
        <v>2602</v>
      </c>
    </row>
    <row r="120" spans="1:10">
      <c r="A120" t="s">
        <v>2173</v>
      </c>
      <c r="B120" t="s">
        <v>2174</v>
      </c>
      <c r="C120" t="s">
        <v>2175</v>
      </c>
      <c r="D120" t="s">
        <v>145</v>
      </c>
      <c r="E120" t="s">
        <v>2176</v>
      </c>
      <c r="F120" t="s">
        <v>2176</v>
      </c>
      <c r="G120" t="s">
        <v>2177</v>
      </c>
      <c r="H120" t="s">
        <v>1977</v>
      </c>
      <c r="I120" t="s">
        <v>2178</v>
      </c>
      <c r="J120" t="s">
        <v>2603</v>
      </c>
    </row>
    <row r="121" spans="1:10">
      <c r="A121" t="s">
        <v>2179</v>
      </c>
      <c r="B121" t="s">
        <v>2174</v>
      </c>
      <c r="C121" t="s">
        <v>2180</v>
      </c>
      <c r="D121" t="s">
        <v>145</v>
      </c>
      <c r="E121" t="s">
        <v>2181</v>
      </c>
      <c r="F121" t="s">
        <v>2181</v>
      </c>
      <c r="G121" t="s">
        <v>2177</v>
      </c>
      <c r="H121" t="s">
        <v>1977</v>
      </c>
      <c r="I121" t="s">
        <v>2178</v>
      </c>
      <c r="J121" t="s">
        <v>2603</v>
      </c>
    </row>
    <row r="122" spans="1:10">
      <c r="A122" t="s">
        <v>2182</v>
      </c>
      <c r="B122" t="s">
        <v>2174</v>
      </c>
      <c r="C122" t="s">
        <v>2183</v>
      </c>
      <c r="D122" t="s">
        <v>145</v>
      </c>
      <c r="E122" t="s">
        <v>2184</v>
      </c>
      <c r="F122" t="s">
        <v>2184</v>
      </c>
      <c r="G122" t="s">
        <v>2185</v>
      </c>
      <c r="H122" t="s">
        <v>1977</v>
      </c>
      <c r="I122" t="s">
        <v>2178</v>
      </c>
      <c r="J122" t="s">
        <v>2603</v>
      </c>
    </row>
    <row r="123" spans="1:10">
      <c r="A123" t="s">
        <v>2186</v>
      </c>
      <c r="B123" t="s">
        <v>2187</v>
      </c>
      <c r="C123" t="s">
        <v>2188</v>
      </c>
      <c r="D123" t="s">
        <v>145</v>
      </c>
      <c r="E123" t="s">
        <v>2189</v>
      </c>
      <c r="F123" t="s">
        <v>2189</v>
      </c>
      <c r="G123" t="s">
        <v>2188</v>
      </c>
      <c r="H123">
        <v>20</v>
      </c>
      <c r="I123" t="s">
        <v>2190</v>
      </c>
      <c r="J123" t="s">
        <v>2604</v>
      </c>
    </row>
    <row r="124" spans="1:10">
      <c r="A124" t="s">
        <v>30</v>
      </c>
      <c r="B124" t="s">
        <v>425</v>
      </c>
      <c r="C124" t="s">
        <v>426</v>
      </c>
      <c r="D124" t="s">
        <v>288</v>
      </c>
      <c r="E124" t="s">
        <v>2191</v>
      </c>
      <c r="F124" t="s">
        <v>2191</v>
      </c>
      <c r="G124" t="s">
        <v>2192</v>
      </c>
      <c r="H124">
        <v>10</v>
      </c>
      <c r="I124" t="s">
        <v>2193</v>
      </c>
      <c r="J124" t="s">
        <v>2605</v>
      </c>
    </row>
    <row r="125" spans="1:10">
      <c r="A125" t="s">
        <v>31</v>
      </c>
      <c r="B125" t="s">
        <v>425</v>
      </c>
      <c r="C125" t="s">
        <v>427</v>
      </c>
      <c r="D125" t="s">
        <v>288</v>
      </c>
      <c r="E125" t="s">
        <v>2194</v>
      </c>
      <c r="F125" t="s">
        <v>2194</v>
      </c>
      <c r="G125" t="s">
        <v>2194</v>
      </c>
      <c r="H125">
        <v>10</v>
      </c>
      <c r="I125" t="s">
        <v>2193</v>
      </c>
      <c r="J125" t="s">
        <v>2605</v>
      </c>
    </row>
    <row r="126" spans="1:10">
      <c r="A126" t="s">
        <v>1591</v>
      </c>
      <c r="B126" t="s">
        <v>1238</v>
      </c>
      <c r="C126" t="s">
        <v>1257</v>
      </c>
      <c r="D126" t="s">
        <v>288</v>
      </c>
      <c r="E126" t="s">
        <v>1508</v>
      </c>
      <c r="F126" t="s">
        <v>1508</v>
      </c>
      <c r="G126" t="s">
        <v>783</v>
      </c>
      <c r="H126">
        <v>10</v>
      </c>
      <c r="I126" t="s">
        <v>2057</v>
      </c>
      <c r="J126" t="s">
        <v>2606</v>
      </c>
    </row>
    <row r="127" spans="1:10">
      <c r="A127" t="s">
        <v>32</v>
      </c>
      <c r="B127" t="s">
        <v>135</v>
      </c>
      <c r="C127" t="s">
        <v>262</v>
      </c>
      <c r="D127" t="s">
        <v>288</v>
      </c>
      <c r="E127" t="s">
        <v>1714</v>
      </c>
      <c r="F127" t="s">
        <v>1373</v>
      </c>
      <c r="G127" t="s">
        <v>1298</v>
      </c>
      <c r="H127">
        <v>9</v>
      </c>
      <c r="I127" t="s">
        <v>161</v>
      </c>
      <c r="J127" t="s">
        <v>216</v>
      </c>
    </row>
    <row r="128" spans="1:10">
      <c r="A128" t="s">
        <v>33</v>
      </c>
      <c r="B128" t="s">
        <v>135</v>
      </c>
      <c r="C128" t="s">
        <v>247</v>
      </c>
      <c r="D128" t="s">
        <v>288</v>
      </c>
      <c r="E128" t="s">
        <v>1126</v>
      </c>
      <c r="F128" t="s">
        <v>1127</v>
      </c>
      <c r="G128" t="s">
        <v>1295</v>
      </c>
      <c r="H128">
        <v>9</v>
      </c>
      <c r="I128" t="s">
        <v>161</v>
      </c>
      <c r="J128" t="s">
        <v>216</v>
      </c>
    </row>
    <row r="129" spans="1:10">
      <c r="A129" t="s">
        <v>1592</v>
      </c>
      <c r="B129" t="s">
        <v>135</v>
      </c>
      <c r="C129" t="s">
        <v>1243</v>
      </c>
      <c r="D129" t="s">
        <v>1268</v>
      </c>
      <c r="E129" t="s">
        <v>1715</v>
      </c>
      <c r="F129" t="s">
        <v>1371</v>
      </c>
      <c r="G129" t="s">
        <v>1296</v>
      </c>
      <c r="H129">
        <v>9</v>
      </c>
      <c r="I129" t="s">
        <v>161</v>
      </c>
      <c r="J129" t="s">
        <v>216</v>
      </c>
    </row>
    <row r="130" spans="1:10">
      <c r="A130" t="s">
        <v>363</v>
      </c>
      <c r="B130" t="s">
        <v>135</v>
      </c>
      <c r="C130" t="s">
        <v>257</v>
      </c>
      <c r="D130" t="s">
        <v>288</v>
      </c>
      <c r="E130" t="s">
        <v>1716</v>
      </c>
      <c r="F130" t="s">
        <v>1372</v>
      </c>
      <c r="G130" t="s">
        <v>1297</v>
      </c>
      <c r="H130">
        <v>9</v>
      </c>
      <c r="I130" t="s">
        <v>161</v>
      </c>
      <c r="J130" t="s">
        <v>216</v>
      </c>
    </row>
    <row r="131" spans="1:10">
      <c r="A131" t="s">
        <v>34</v>
      </c>
      <c r="B131" t="s">
        <v>428</v>
      </c>
      <c r="C131" t="s">
        <v>429</v>
      </c>
      <c r="D131" t="s">
        <v>288</v>
      </c>
      <c r="E131" t="s">
        <v>2195</v>
      </c>
      <c r="F131" t="s">
        <v>2196</v>
      </c>
      <c r="G131" t="s">
        <v>2142</v>
      </c>
      <c r="H131">
        <v>10</v>
      </c>
      <c r="I131" t="s">
        <v>2197</v>
      </c>
      <c r="J131" t="s">
        <v>2607</v>
      </c>
    </row>
    <row r="132" spans="1:10">
      <c r="A132" t="s">
        <v>1593</v>
      </c>
      <c r="B132" t="s">
        <v>1239</v>
      </c>
      <c r="C132" t="s">
        <v>1258</v>
      </c>
      <c r="D132" t="s">
        <v>145</v>
      </c>
      <c r="E132" t="s">
        <v>2341</v>
      </c>
      <c r="F132" t="s">
        <v>1509</v>
      </c>
      <c r="G132" t="s">
        <v>1346</v>
      </c>
      <c r="H132" t="s">
        <v>1977</v>
      </c>
      <c r="I132" t="s">
        <v>2058</v>
      </c>
      <c r="J132" t="s">
        <v>2608</v>
      </c>
    </row>
    <row r="133" spans="1:10">
      <c r="A133" t="s">
        <v>2198</v>
      </c>
      <c r="B133" t="s">
        <v>2199</v>
      </c>
      <c r="C133" t="s">
        <v>2200</v>
      </c>
      <c r="D133" t="s">
        <v>145</v>
      </c>
      <c r="E133" t="s">
        <v>2199</v>
      </c>
      <c r="F133" t="s">
        <v>2199</v>
      </c>
      <c r="G133" t="s">
        <v>2199</v>
      </c>
      <c r="H133" t="s">
        <v>1977</v>
      </c>
      <c r="I133" t="s">
        <v>2201</v>
      </c>
      <c r="J133" t="s">
        <v>2609</v>
      </c>
    </row>
    <row r="134" spans="1:10">
      <c r="A134" t="s">
        <v>35</v>
      </c>
      <c r="B134" t="s">
        <v>136</v>
      </c>
      <c r="C134" t="s">
        <v>430</v>
      </c>
      <c r="D134" t="s">
        <v>288</v>
      </c>
      <c r="E134" t="s">
        <v>1117</v>
      </c>
      <c r="F134" t="s">
        <v>1289</v>
      </c>
      <c r="G134" t="s">
        <v>1289</v>
      </c>
      <c r="H134">
        <v>5</v>
      </c>
      <c r="I134" t="s">
        <v>155</v>
      </c>
      <c r="J134" t="s">
        <v>217</v>
      </c>
    </row>
    <row r="135" spans="1:10">
      <c r="A135" t="s">
        <v>2202</v>
      </c>
      <c r="B135" t="s">
        <v>2203</v>
      </c>
      <c r="C135" t="s">
        <v>2204</v>
      </c>
      <c r="D135" t="s">
        <v>288</v>
      </c>
      <c r="E135" t="s">
        <v>2342</v>
      </c>
      <c r="F135" t="s">
        <v>1509</v>
      </c>
      <c r="G135" t="s">
        <v>2205</v>
      </c>
      <c r="H135">
        <v>5</v>
      </c>
      <c r="I135" t="s">
        <v>2206</v>
      </c>
      <c r="J135" t="s">
        <v>2610</v>
      </c>
    </row>
    <row r="136" spans="1:10">
      <c r="A136" t="s">
        <v>779</v>
      </c>
      <c r="B136" t="s">
        <v>682</v>
      </c>
      <c r="C136" t="s">
        <v>711</v>
      </c>
      <c r="D136" t="s">
        <v>780</v>
      </c>
      <c r="E136" t="s">
        <v>1717</v>
      </c>
      <c r="F136" t="s">
        <v>1479</v>
      </c>
      <c r="G136" t="s">
        <v>1325</v>
      </c>
      <c r="H136">
        <v>4</v>
      </c>
      <c r="I136" t="s">
        <v>683</v>
      </c>
      <c r="J136" t="s">
        <v>684</v>
      </c>
    </row>
    <row r="137" spans="1:10">
      <c r="A137" t="s">
        <v>710</v>
      </c>
      <c r="B137" t="s">
        <v>682</v>
      </c>
      <c r="C137" t="s">
        <v>711</v>
      </c>
      <c r="D137" t="s">
        <v>611</v>
      </c>
      <c r="E137" t="s">
        <v>1179</v>
      </c>
      <c r="F137" t="s">
        <v>1180</v>
      </c>
      <c r="G137" t="s">
        <v>1325</v>
      </c>
      <c r="H137">
        <v>4</v>
      </c>
      <c r="I137" t="s">
        <v>683</v>
      </c>
      <c r="J137" t="s">
        <v>684</v>
      </c>
    </row>
    <row r="138" spans="1:10">
      <c r="A138" t="s">
        <v>781</v>
      </c>
      <c r="B138" t="s">
        <v>682</v>
      </c>
      <c r="C138" t="s">
        <v>778</v>
      </c>
      <c r="D138" t="s">
        <v>780</v>
      </c>
      <c r="E138" t="s">
        <v>1718</v>
      </c>
      <c r="F138" t="s">
        <v>1480</v>
      </c>
      <c r="G138" t="s">
        <v>1326</v>
      </c>
      <c r="H138">
        <v>5</v>
      </c>
      <c r="I138" t="s">
        <v>683</v>
      </c>
      <c r="J138" t="s">
        <v>684</v>
      </c>
    </row>
    <row r="139" spans="1:10">
      <c r="A139" t="s">
        <v>753</v>
      </c>
      <c r="B139" t="s">
        <v>682</v>
      </c>
      <c r="C139" t="s">
        <v>778</v>
      </c>
      <c r="D139" t="s">
        <v>611</v>
      </c>
      <c r="E139" t="s">
        <v>1181</v>
      </c>
      <c r="F139" t="s">
        <v>1182</v>
      </c>
      <c r="G139" t="s">
        <v>1326</v>
      </c>
      <c r="H139">
        <v>5</v>
      </c>
      <c r="I139" t="s">
        <v>683</v>
      </c>
      <c r="J139" t="s">
        <v>684</v>
      </c>
    </row>
    <row r="140" spans="1:10">
      <c r="A140" t="s">
        <v>782</v>
      </c>
      <c r="B140" t="s">
        <v>682</v>
      </c>
      <c r="C140" t="s">
        <v>713</v>
      </c>
      <c r="D140" t="s">
        <v>780</v>
      </c>
      <c r="E140" t="s">
        <v>1719</v>
      </c>
      <c r="F140" t="s">
        <v>1481</v>
      </c>
      <c r="G140" t="s">
        <v>1327</v>
      </c>
      <c r="H140">
        <v>4</v>
      </c>
      <c r="I140" t="s">
        <v>683</v>
      </c>
      <c r="J140" t="s">
        <v>684</v>
      </c>
    </row>
    <row r="141" spans="1:10">
      <c r="A141" t="s">
        <v>712</v>
      </c>
      <c r="B141" t="s">
        <v>682</v>
      </c>
      <c r="C141" t="s">
        <v>713</v>
      </c>
      <c r="D141" t="s">
        <v>611</v>
      </c>
      <c r="E141" t="s">
        <v>1183</v>
      </c>
      <c r="F141" t="s">
        <v>1184</v>
      </c>
      <c r="G141" t="s">
        <v>1327</v>
      </c>
      <c r="H141">
        <v>4</v>
      </c>
      <c r="I141" t="s">
        <v>683</v>
      </c>
      <c r="J141" t="s">
        <v>684</v>
      </c>
    </row>
    <row r="142" spans="1:10">
      <c r="A142" t="s">
        <v>96</v>
      </c>
      <c r="B142" t="s">
        <v>137</v>
      </c>
      <c r="C142" t="s">
        <v>240</v>
      </c>
      <c r="D142" t="s">
        <v>780</v>
      </c>
      <c r="E142" t="s">
        <v>2354</v>
      </c>
      <c r="F142" t="s">
        <v>2207</v>
      </c>
      <c r="G142" t="s">
        <v>240</v>
      </c>
      <c r="H142">
        <v>14</v>
      </c>
      <c r="I142" t="s">
        <v>160</v>
      </c>
      <c r="J142" t="s">
        <v>218</v>
      </c>
    </row>
    <row r="143" spans="1:10">
      <c r="A143" t="s">
        <v>338</v>
      </c>
      <c r="B143" t="s">
        <v>137</v>
      </c>
      <c r="C143" t="s">
        <v>137</v>
      </c>
      <c r="D143" t="s">
        <v>289</v>
      </c>
      <c r="E143" t="s">
        <v>2208</v>
      </c>
      <c r="F143" t="s">
        <v>2209</v>
      </c>
      <c r="G143" t="s">
        <v>137</v>
      </c>
      <c r="H143">
        <v>14</v>
      </c>
      <c r="I143" t="s">
        <v>160</v>
      </c>
      <c r="J143" t="s">
        <v>218</v>
      </c>
    </row>
    <row r="144" spans="1:10">
      <c r="A144" t="s">
        <v>2210</v>
      </c>
      <c r="B144" t="s">
        <v>137</v>
      </c>
      <c r="C144" t="s">
        <v>144</v>
      </c>
      <c r="D144" t="s">
        <v>780</v>
      </c>
      <c r="E144" t="s">
        <v>2211</v>
      </c>
      <c r="F144" t="s">
        <v>2207</v>
      </c>
      <c r="G144" t="s">
        <v>144</v>
      </c>
      <c r="H144">
        <v>14</v>
      </c>
      <c r="I144" t="s">
        <v>160</v>
      </c>
      <c r="J144" t="s">
        <v>218</v>
      </c>
    </row>
    <row r="145" spans="1:10">
      <c r="A145" t="s">
        <v>2212</v>
      </c>
      <c r="B145" t="s">
        <v>137</v>
      </c>
      <c r="C145" t="s">
        <v>144</v>
      </c>
      <c r="D145" t="s">
        <v>151</v>
      </c>
      <c r="E145" t="s">
        <v>2355</v>
      </c>
      <c r="F145" t="s">
        <v>2213</v>
      </c>
      <c r="G145" t="s">
        <v>144</v>
      </c>
      <c r="H145">
        <v>14</v>
      </c>
      <c r="I145" t="s">
        <v>160</v>
      </c>
      <c r="J145" t="s">
        <v>218</v>
      </c>
    </row>
    <row r="146" spans="1:10">
      <c r="A146" t="s">
        <v>339</v>
      </c>
      <c r="B146" t="s">
        <v>137</v>
      </c>
      <c r="C146" t="s">
        <v>137</v>
      </c>
      <c r="D146" t="s">
        <v>290</v>
      </c>
      <c r="E146" t="s">
        <v>2214</v>
      </c>
      <c r="F146" t="s">
        <v>2215</v>
      </c>
      <c r="G146" t="s">
        <v>137</v>
      </c>
      <c r="H146">
        <v>14</v>
      </c>
      <c r="I146" t="s">
        <v>160</v>
      </c>
      <c r="J146" t="s">
        <v>218</v>
      </c>
    </row>
    <row r="147" spans="1:10">
      <c r="A147" t="s">
        <v>340</v>
      </c>
      <c r="B147" t="s">
        <v>137</v>
      </c>
      <c r="C147" t="s">
        <v>137</v>
      </c>
      <c r="D147" t="s">
        <v>292</v>
      </c>
      <c r="E147" t="s">
        <v>2216</v>
      </c>
      <c r="F147" t="s">
        <v>2217</v>
      </c>
      <c r="G147" t="s">
        <v>137</v>
      </c>
      <c r="H147">
        <v>14</v>
      </c>
      <c r="I147" t="s">
        <v>160</v>
      </c>
      <c r="J147" t="s">
        <v>218</v>
      </c>
    </row>
    <row r="148" spans="1:10">
      <c r="A148" t="s">
        <v>36</v>
      </c>
      <c r="B148" t="s">
        <v>137</v>
      </c>
      <c r="C148" t="s">
        <v>137</v>
      </c>
      <c r="D148" t="s">
        <v>293</v>
      </c>
      <c r="E148" t="s">
        <v>2218</v>
      </c>
      <c r="F148" t="s">
        <v>2219</v>
      </c>
      <c r="G148" t="s">
        <v>137</v>
      </c>
      <c r="H148">
        <v>14</v>
      </c>
      <c r="I148" t="s">
        <v>160</v>
      </c>
      <c r="J148" t="s">
        <v>218</v>
      </c>
    </row>
    <row r="149" spans="1:10">
      <c r="A149" t="s">
        <v>37</v>
      </c>
      <c r="B149" t="s">
        <v>137</v>
      </c>
      <c r="C149" t="s">
        <v>137</v>
      </c>
      <c r="D149" t="s">
        <v>291</v>
      </c>
      <c r="E149" t="s">
        <v>2220</v>
      </c>
      <c r="F149" t="s">
        <v>2221</v>
      </c>
      <c r="G149" t="s">
        <v>137</v>
      </c>
      <c r="H149">
        <v>14</v>
      </c>
      <c r="I149" t="s">
        <v>160</v>
      </c>
      <c r="J149" t="s">
        <v>218</v>
      </c>
    </row>
    <row r="150" spans="1:10">
      <c r="A150" t="s">
        <v>38</v>
      </c>
      <c r="B150" t="s">
        <v>137</v>
      </c>
      <c r="C150" t="s">
        <v>137</v>
      </c>
      <c r="D150" t="s">
        <v>148</v>
      </c>
      <c r="E150" t="s">
        <v>2222</v>
      </c>
      <c r="F150" t="s">
        <v>2223</v>
      </c>
      <c r="G150" t="s">
        <v>137</v>
      </c>
      <c r="H150">
        <v>14</v>
      </c>
      <c r="I150" t="s">
        <v>160</v>
      </c>
      <c r="J150" t="s">
        <v>218</v>
      </c>
    </row>
    <row r="151" spans="1:10">
      <c r="A151" t="s">
        <v>39</v>
      </c>
      <c r="B151" t="s">
        <v>137</v>
      </c>
      <c r="C151" t="s">
        <v>137</v>
      </c>
      <c r="D151" t="s">
        <v>149</v>
      </c>
      <c r="E151" t="s">
        <v>2224</v>
      </c>
      <c r="F151" t="s">
        <v>2225</v>
      </c>
      <c r="G151" t="s">
        <v>137</v>
      </c>
      <c r="H151">
        <v>14</v>
      </c>
      <c r="I151" t="s">
        <v>160</v>
      </c>
      <c r="J151" t="s">
        <v>218</v>
      </c>
    </row>
    <row r="152" spans="1:10">
      <c r="A152" t="s">
        <v>40</v>
      </c>
      <c r="B152" t="s">
        <v>137</v>
      </c>
      <c r="C152" t="s">
        <v>137</v>
      </c>
      <c r="D152" t="s">
        <v>150</v>
      </c>
      <c r="E152" t="s">
        <v>2226</v>
      </c>
      <c r="F152" t="s">
        <v>2227</v>
      </c>
      <c r="G152" t="s">
        <v>137</v>
      </c>
      <c r="H152">
        <v>14</v>
      </c>
      <c r="I152" t="s">
        <v>160</v>
      </c>
      <c r="J152" t="s">
        <v>218</v>
      </c>
    </row>
    <row r="153" spans="1:10">
      <c r="A153" t="s">
        <v>97</v>
      </c>
      <c r="B153" t="s">
        <v>137</v>
      </c>
      <c r="C153" t="s">
        <v>240</v>
      </c>
      <c r="D153" t="s">
        <v>717</v>
      </c>
      <c r="E153" t="s">
        <v>2356</v>
      </c>
      <c r="F153" t="s">
        <v>2228</v>
      </c>
      <c r="G153" t="s">
        <v>240</v>
      </c>
      <c r="H153">
        <v>14</v>
      </c>
      <c r="I153" t="s">
        <v>160</v>
      </c>
      <c r="J153" t="s">
        <v>218</v>
      </c>
    </row>
    <row r="154" spans="1:10">
      <c r="A154" t="s">
        <v>41</v>
      </c>
      <c r="B154" t="s">
        <v>138</v>
      </c>
      <c r="C154" t="s">
        <v>559</v>
      </c>
      <c r="D154" t="s">
        <v>145</v>
      </c>
      <c r="E154" t="s">
        <v>1201</v>
      </c>
      <c r="F154" t="s">
        <v>1202</v>
      </c>
      <c r="G154" t="s">
        <v>1349</v>
      </c>
      <c r="H154">
        <v>6</v>
      </c>
      <c r="I154" t="s">
        <v>157</v>
      </c>
      <c r="J154" t="s">
        <v>223</v>
      </c>
    </row>
    <row r="155" spans="1:10">
      <c r="A155" t="s">
        <v>42</v>
      </c>
      <c r="B155" t="s">
        <v>138</v>
      </c>
      <c r="C155" t="s">
        <v>560</v>
      </c>
      <c r="D155" t="s">
        <v>145</v>
      </c>
      <c r="E155" t="s">
        <v>1203</v>
      </c>
      <c r="F155" t="s">
        <v>1204</v>
      </c>
      <c r="G155" t="s">
        <v>1350</v>
      </c>
      <c r="H155">
        <v>7</v>
      </c>
      <c r="I155" t="s">
        <v>157</v>
      </c>
      <c r="J155" t="s">
        <v>223</v>
      </c>
    </row>
    <row r="156" spans="1:10">
      <c r="A156" t="s">
        <v>98</v>
      </c>
      <c r="B156" t="s">
        <v>138</v>
      </c>
      <c r="C156" t="s">
        <v>255</v>
      </c>
      <c r="D156" t="s">
        <v>145</v>
      </c>
      <c r="E156" t="s">
        <v>1205</v>
      </c>
      <c r="F156" t="s">
        <v>1206</v>
      </c>
      <c r="G156" t="s">
        <v>255</v>
      </c>
      <c r="H156">
        <v>12</v>
      </c>
      <c r="I156" t="s">
        <v>157</v>
      </c>
      <c r="J156" t="s">
        <v>223</v>
      </c>
    </row>
    <row r="157" spans="1:10">
      <c r="A157" t="s">
        <v>99</v>
      </c>
      <c r="B157" t="s">
        <v>138</v>
      </c>
      <c r="C157" t="s">
        <v>256</v>
      </c>
      <c r="D157" t="s">
        <v>145</v>
      </c>
      <c r="E157" t="s">
        <v>1207</v>
      </c>
      <c r="F157" t="s">
        <v>1208</v>
      </c>
      <c r="G157" t="s">
        <v>256</v>
      </c>
      <c r="H157">
        <v>12</v>
      </c>
      <c r="I157" t="s">
        <v>157</v>
      </c>
      <c r="J157" t="s">
        <v>223</v>
      </c>
    </row>
    <row r="158" spans="1:10">
      <c r="A158" t="s">
        <v>714</v>
      </c>
      <c r="B158" t="s">
        <v>138</v>
      </c>
      <c r="C158" t="s">
        <v>561</v>
      </c>
      <c r="D158" t="s">
        <v>145</v>
      </c>
      <c r="E158" t="s">
        <v>1720</v>
      </c>
      <c r="F158" t="s">
        <v>1510</v>
      </c>
      <c r="G158" t="s">
        <v>1351</v>
      </c>
      <c r="H158">
        <v>2</v>
      </c>
      <c r="I158" t="s">
        <v>157</v>
      </c>
      <c r="J158" t="s">
        <v>223</v>
      </c>
    </row>
    <row r="159" spans="1:10">
      <c r="A159" t="s">
        <v>715</v>
      </c>
      <c r="B159" t="s">
        <v>138</v>
      </c>
      <c r="C159" t="s">
        <v>562</v>
      </c>
      <c r="D159" t="s">
        <v>145</v>
      </c>
      <c r="E159" t="s">
        <v>1721</v>
      </c>
      <c r="F159" t="s">
        <v>1511</v>
      </c>
      <c r="G159" t="s">
        <v>1352</v>
      </c>
      <c r="H159">
        <v>2</v>
      </c>
      <c r="I159" t="s">
        <v>157</v>
      </c>
      <c r="J159" t="s">
        <v>223</v>
      </c>
    </row>
    <row r="160" spans="1:10">
      <c r="A160" t="s">
        <v>431</v>
      </c>
      <c r="B160" t="s">
        <v>432</v>
      </c>
      <c r="C160" t="s">
        <v>433</v>
      </c>
      <c r="D160" t="s">
        <v>434</v>
      </c>
      <c r="E160" t="s">
        <v>2229</v>
      </c>
      <c r="F160" t="s">
        <v>2229</v>
      </c>
      <c r="G160" t="s">
        <v>2230</v>
      </c>
      <c r="H160">
        <v>20</v>
      </c>
      <c r="I160" t="s">
        <v>2231</v>
      </c>
      <c r="J160" t="s">
        <v>2611</v>
      </c>
    </row>
    <row r="161" spans="1:10">
      <c r="A161" t="s">
        <v>2232</v>
      </c>
      <c r="B161" t="s">
        <v>432</v>
      </c>
      <c r="C161" t="s">
        <v>2233</v>
      </c>
      <c r="D161" t="s">
        <v>434</v>
      </c>
      <c r="E161" t="s">
        <v>2234</v>
      </c>
      <c r="F161" t="s">
        <v>2235</v>
      </c>
      <c r="G161" t="s">
        <v>432</v>
      </c>
      <c r="H161" t="s">
        <v>1977</v>
      </c>
      <c r="I161" t="s">
        <v>2231</v>
      </c>
      <c r="J161" t="s">
        <v>2611</v>
      </c>
    </row>
    <row r="162" spans="1:10">
      <c r="A162" t="s">
        <v>2236</v>
      </c>
      <c r="B162" t="s">
        <v>432</v>
      </c>
      <c r="C162" t="s">
        <v>2237</v>
      </c>
      <c r="D162" t="s">
        <v>434</v>
      </c>
      <c r="E162" t="s">
        <v>2234</v>
      </c>
      <c r="F162" t="s">
        <v>2235</v>
      </c>
      <c r="G162" t="s">
        <v>432</v>
      </c>
      <c r="H162" t="s">
        <v>1977</v>
      </c>
      <c r="I162" t="s">
        <v>2231</v>
      </c>
      <c r="J162" t="s">
        <v>2611</v>
      </c>
    </row>
    <row r="163" spans="1:10">
      <c r="A163" t="s">
        <v>2238</v>
      </c>
      <c r="B163" t="s">
        <v>2239</v>
      </c>
      <c r="C163" t="s">
        <v>2239</v>
      </c>
      <c r="D163" t="s">
        <v>145</v>
      </c>
      <c r="E163" t="s">
        <v>2240</v>
      </c>
      <c r="F163" t="s">
        <v>2240</v>
      </c>
      <c r="G163" t="s">
        <v>2241</v>
      </c>
      <c r="H163" t="s">
        <v>1977</v>
      </c>
      <c r="I163" t="s">
        <v>2242</v>
      </c>
      <c r="J163" t="s">
        <v>2612</v>
      </c>
    </row>
    <row r="164" spans="1:10">
      <c r="A164" t="s">
        <v>1594</v>
      </c>
      <c r="B164" t="s">
        <v>1237</v>
      </c>
      <c r="C164" t="s">
        <v>1246</v>
      </c>
      <c r="D164" t="s">
        <v>145</v>
      </c>
      <c r="E164" t="s">
        <v>2343</v>
      </c>
      <c r="F164" t="s">
        <v>1399</v>
      </c>
      <c r="G164" t="s">
        <v>1306</v>
      </c>
      <c r="H164" t="s">
        <v>1977</v>
      </c>
      <c r="I164" t="s">
        <v>2059</v>
      </c>
      <c r="J164" t="s">
        <v>2613</v>
      </c>
    </row>
    <row r="165" spans="1:10">
      <c r="A165" t="s">
        <v>343</v>
      </c>
      <c r="B165" t="s">
        <v>246</v>
      </c>
      <c r="C165" t="s">
        <v>246</v>
      </c>
      <c r="D165" t="s">
        <v>294</v>
      </c>
      <c r="E165" t="s">
        <v>2243</v>
      </c>
      <c r="F165" t="s">
        <v>2244</v>
      </c>
      <c r="G165" t="s">
        <v>246</v>
      </c>
      <c r="H165">
        <v>14</v>
      </c>
      <c r="I165" t="s">
        <v>2245</v>
      </c>
      <c r="J165" t="s">
        <v>2614</v>
      </c>
    </row>
    <row r="166" spans="1:10">
      <c r="A166" t="s">
        <v>344</v>
      </c>
      <c r="B166" t="s">
        <v>246</v>
      </c>
      <c r="C166" t="s">
        <v>246</v>
      </c>
      <c r="D166" t="s">
        <v>295</v>
      </c>
      <c r="E166" t="s">
        <v>2246</v>
      </c>
      <c r="F166" t="s">
        <v>2247</v>
      </c>
      <c r="G166" t="s">
        <v>246</v>
      </c>
      <c r="H166">
        <v>14</v>
      </c>
      <c r="I166" t="s">
        <v>2245</v>
      </c>
      <c r="J166" t="s">
        <v>2614</v>
      </c>
    </row>
    <row r="167" spans="1:10">
      <c r="A167" t="s">
        <v>345</v>
      </c>
      <c r="B167" t="s">
        <v>246</v>
      </c>
      <c r="C167" t="s">
        <v>246</v>
      </c>
      <c r="D167" t="s">
        <v>296</v>
      </c>
      <c r="E167" t="s">
        <v>2248</v>
      </c>
      <c r="F167" t="s">
        <v>2249</v>
      </c>
      <c r="G167" t="s">
        <v>246</v>
      </c>
      <c r="H167">
        <v>14</v>
      </c>
      <c r="I167" t="s">
        <v>2245</v>
      </c>
      <c r="J167" t="s">
        <v>2614</v>
      </c>
    </row>
    <row r="168" spans="1:10">
      <c r="A168" t="s">
        <v>346</v>
      </c>
      <c r="B168" t="s">
        <v>246</v>
      </c>
      <c r="C168" t="s">
        <v>246</v>
      </c>
      <c r="D168" t="s">
        <v>297</v>
      </c>
      <c r="E168" t="s">
        <v>2250</v>
      </c>
      <c r="F168" t="s">
        <v>2251</v>
      </c>
      <c r="G168" t="s">
        <v>246</v>
      </c>
      <c r="H168">
        <v>14</v>
      </c>
      <c r="I168" t="s">
        <v>2245</v>
      </c>
      <c r="J168" t="s">
        <v>2614</v>
      </c>
    </row>
    <row r="169" spans="1:10">
      <c r="A169" t="s">
        <v>2252</v>
      </c>
      <c r="B169" t="s">
        <v>269</v>
      </c>
      <c r="C169" t="s">
        <v>269</v>
      </c>
      <c r="D169" t="s">
        <v>2253</v>
      </c>
      <c r="E169" t="s">
        <v>2254</v>
      </c>
      <c r="F169" t="s">
        <v>2255</v>
      </c>
      <c r="G169" t="s">
        <v>269</v>
      </c>
      <c r="H169">
        <v>20</v>
      </c>
      <c r="I169" t="s">
        <v>685</v>
      </c>
      <c r="J169" t="s">
        <v>686</v>
      </c>
    </row>
    <row r="170" spans="1:10">
      <c r="A170" t="s">
        <v>386</v>
      </c>
      <c r="B170" t="s">
        <v>269</v>
      </c>
      <c r="C170" t="s">
        <v>269</v>
      </c>
      <c r="D170" t="s">
        <v>322</v>
      </c>
      <c r="E170" t="s">
        <v>2256</v>
      </c>
      <c r="F170" t="s">
        <v>2257</v>
      </c>
      <c r="G170" t="s">
        <v>269</v>
      </c>
      <c r="H170">
        <v>20</v>
      </c>
      <c r="I170" t="s">
        <v>685</v>
      </c>
      <c r="J170" t="s">
        <v>686</v>
      </c>
    </row>
    <row r="171" spans="1:10">
      <c r="A171" t="s">
        <v>387</v>
      </c>
      <c r="B171" t="s">
        <v>269</v>
      </c>
      <c r="C171" t="s">
        <v>269</v>
      </c>
      <c r="D171" t="s">
        <v>323</v>
      </c>
      <c r="E171" t="s">
        <v>2258</v>
      </c>
      <c r="F171" t="s">
        <v>2259</v>
      </c>
      <c r="G171" t="s">
        <v>269</v>
      </c>
      <c r="H171">
        <v>20</v>
      </c>
      <c r="I171" t="s">
        <v>685</v>
      </c>
      <c r="J171" t="s">
        <v>686</v>
      </c>
    </row>
    <row r="172" spans="1:10">
      <c r="A172" t="s">
        <v>383</v>
      </c>
      <c r="B172" t="s">
        <v>269</v>
      </c>
      <c r="C172" t="s">
        <v>269</v>
      </c>
      <c r="D172" t="s">
        <v>319</v>
      </c>
      <c r="E172" t="s">
        <v>2260</v>
      </c>
      <c r="F172" t="s">
        <v>2261</v>
      </c>
      <c r="G172" t="s">
        <v>269</v>
      </c>
      <c r="H172">
        <v>20</v>
      </c>
      <c r="I172" t="s">
        <v>685</v>
      </c>
      <c r="J172" t="s">
        <v>686</v>
      </c>
    </row>
    <row r="173" spans="1:10">
      <c r="A173" t="s">
        <v>384</v>
      </c>
      <c r="B173" t="s">
        <v>269</v>
      </c>
      <c r="C173" t="s">
        <v>269</v>
      </c>
      <c r="D173" t="s">
        <v>320</v>
      </c>
      <c r="E173" t="s">
        <v>2262</v>
      </c>
      <c r="F173" t="s">
        <v>2263</v>
      </c>
      <c r="G173" t="s">
        <v>269</v>
      </c>
      <c r="H173">
        <v>20</v>
      </c>
      <c r="I173" t="s">
        <v>685</v>
      </c>
      <c r="J173" t="s">
        <v>686</v>
      </c>
    </row>
    <row r="174" spans="1:10">
      <c r="A174" t="s">
        <v>385</v>
      </c>
      <c r="B174" t="s">
        <v>269</v>
      </c>
      <c r="C174" t="s">
        <v>269</v>
      </c>
      <c r="D174" t="s">
        <v>321</v>
      </c>
      <c r="E174" t="s">
        <v>2264</v>
      </c>
      <c r="F174" t="s">
        <v>2265</v>
      </c>
      <c r="G174" t="s">
        <v>269</v>
      </c>
      <c r="H174">
        <v>20</v>
      </c>
      <c r="I174" t="s">
        <v>685</v>
      </c>
      <c r="J174" t="s">
        <v>686</v>
      </c>
    </row>
    <row r="175" spans="1:10">
      <c r="A175" t="s">
        <v>2266</v>
      </c>
      <c r="B175" t="s">
        <v>269</v>
      </c>
      <c r="C175" t="s">
        <v>269</v>
      </c>
      <c r="D175" t="s">
        <v>2267</v>
      </c>
      <c r="E175" t="s">
        <v>2268</v>
      </c>
      <c r="F175" t="s">
        <v>2269</v>
      </c>
      <c r="G175" t="s">
        <v>269</v>
      </c>
      <c r="H175">
        <v>20</v>
      </c>
      <c r="I175" t="s">
        <v>685</v>
      </c>
      <c r="J175" t="s">
        <v>686</v>
      </c>
    </row>
    <row r="176" spans="1:10">
      <c r="A176" t="s">
        <v>43</v>
      </c>
      <c r="B176" t="s">
        <v>410</v>
      </c>
      <c r="C176" t="s">
        <v>716</v>
      </c>
      <c r="D176" t="s">
        <v>717</v>
      </c>
      <c r="E176" t="s">
        <v>1722</v>
      </c>
      <c r="F176" t="s">
        <v>1393</v>
      </c>
      <c r="G176" t="s">
        <v>1300</v>
      </c>
      <c r="H176">
        <v>45</v>
      </c>
      <c r="I176" t="s">
        <v>2060</v>
      </c>
      <c r="J176" t="s">
        <v>2615</v>
      </c>
    </row>
    <row r="177" spans="1:10">
      <c r="A177" t="s">
        <v>1595</v>
      </c>
      <c r="B177" t="s">
        <v>410</v>
      </c>
      <c r="C177" t="s">
        <v>435</v>
      </c>
      <c r="D177" t="s">
        <v>717</v>
      </c>
      <c r="E177" t="s">
        <v>1723</v>
      </c>
      <c r="F177" t="s">
        <v>1378</v>
      </c>
      <c r="G177" t="s">
        <v>1301</v>
      </c>
      <c r="H177">
        <v>45</v>
      </c>
      <c r="I177" t="s">
        <v>2060</v>
      </c>
      <c r="J177" t="s">
        <v>2615</v>
      </c>
    </row>
    <row r="178" spans="1:10">
      <c r="A178" t="s">
        <v>374</v>
      </c>
      <c r="B178" t="s">
        <v>410</v>
      </c>
      <c r="C178" t="s">
        <v>263</v>
      </c>
      <c r="D178" t="s">
        <v>717</v>
      </c>
      <c r="E178" t="s">
        <v>1724</v>
      </c>
      <c r="F178" t="s">
        <v>1384</v>
      </c>
      <c r="G178" t="s">
        <v>1300</v>
      </c>
      <c r="H178">
        <v>45</v>
      </c>
      <c r="I178" t="s">
        <v>2060</v>
      </c>
      <c r="J178" t="s">
        <v>2615</v>
      </c>
    </row>
    <row r="179" spans="1:10">
      <c r="A179" t="s">
        <v>1596</v>
      </c>
      <c r="B179" t="s">
        <v>410</v>
      </c>
      <c r="C179" t="s">
        <v>1245</v>
      </c>
      <c r="D179" t="s">
        <v>717</v>
      </c>
      <c r="E179" t="s">
        <v>1725</v>
      </c>
      <c r="F179" t="s">
        <v>1389</v>
      </c>
      <c r="G179" t="s">
        <v>1301</v>
      </c>
      <c r="H179">
        <v>45</v>
      </c>
      <c r="I179" t="s">
        <v>2060</v>
      </c>
      <c r="J179" t="s">
        <v>2615</v>
      </c>
    </row>
    <row r="180" spans="1:10">
      <c r="A180" t="s">
        <v>1597</v>
      </c>
      <c r="B180" t="s">
        <v>410</v>
      </c>
      <c r="C180" t="s">
        <v>436</v>
      </c>
      <c r="D180" t="s">
        <v>717</v>
      </c>
      <c r="E180" t="s">
        <v>1726</v>
      </c>
      <c r="F180" t="s">
        <v>1394</v>
      </c>
      <c r="G180" t="s">
        <v>1301</v>
      </c>
      <c r="H180">
        <v>45</v>
      </c>
      <c r="I180" t="s">
        <v>2060</v>
      </c>
      <c r="J180" t="s">
        <v>2615</v>
      </c>
    </row>
    <row r="181" spans="1:10">
      <c r="A181" t="s">
        <v>1598</v>
      </c>
      <c r="B181" t="s">
        <v>410</v>
      </c>
      <c r="C181" t="s">
        <v>1244</v>
      </c>
      <c r="D181" t="s">
        <v>717</v>
      </c>
      <c r="E181" t="s">
        <v>1727</v>
      </c>
      <c r="F181" t="s">
        <v>1383</v>
      </c>
      <c r="G181" t="s">
        <v>1301</v>
      </c>
      <c r="H181">
        <v>45</v>
      </c>
      <c r="I181" t="s">
        <v>2060</v>
      </c>
      <c r="J181" t="s">
        <v>2615</v>
      </c>
    </row>
    <row r="182" spans="1:10">
      <c r="A182" t="s">
        <v>351</v>
      </c>
      <c r="B182" t="s">
        <v>410</v>
      </c>
      <c r="C182" t="s">
        <v>250</v>
      </c>
      <c r="D182" t="s">
        <v>298</v>
      </c>
      <c r="E182" t="s">
        <v>1728</v>
      </c>
      <c r="F182" t="s">
        <v>1374</v>
      </c>
      <c r="G182" t="s">
        <v>1300</v>
      </c>
      <c r="H182">
        <v>45</v>
      </c>
      <c r="I182" t="s">
        <v>2060</v>
      </c>
      <c r="J182" t="s">
        <v>2615</v>
      </c>
    </row>
    <row r="183" spans="1:10">
      <c r="A183" t="s">
        <v>352</v>
      </c>
      <c r="B183" t="s">
        <v>410</v>
      </c>
      <c r="C183" t="s">
        <v>250</v>
      </c>
      <c r="D183" t="s">
        <v>299</v>
      </c>
      <c r="E183" t="s">
        <v>1729</v>
      </c>
      <c r="F183" t="s">
        <v>1375</v>
      </c>
      <c r="G183" t="s">
        <v>1300</v>
      </c>
      <c r="H183">
        <v>45</v>
      </c>
      <c r="I183" t="s">
        <v>2060</v>
      </c>
      <c r="J183" t="s">
        <v>2615</v>
      </c>
    </row>
    <row r="184" spans="1:10">
      <c r="A184" t="s">
        <v>353</v>
      </c>
      <c r="B184" t="s">
        <v>410</v>
      </c>
      <c r="C184" t="s">
        <v>250</v>
      </c>
      <c r="D184" t="s">
        <v>300</v>
      </c>
      <c r="E184" t="s">
        <v>1730</v>
      </c>
      <c r="F184" t="s">
        <v>1376</v>
      </c>
      <c r="G184" t="s">
        <v>1300</v>
      </c>
      <c r="H184">
        <v>45</v>
      </c>
      <c r="I184" t="s">
        <v>2060</v>
      </c>
      <c r="J184" t="s">
        <v>2615</v>
      </c>
    </row>
    <row r="185" spans="1:10">
      <c r="A185" t="s">
        <v>364</v>
      </c>
      <c r="B185" t="s">
        <v>410</v>
      </c>
      <c r="C185" t="s">
        <v>258</v>
      </c>
      <c r="D185" t="s">
        <v>308</v>
      </c>
      <c r="E185" t="s">
        <v>1731</v>
      </c>
      <c r="F185" t="s">
        <v>1379</v>
      </c>
      <c r="G185" t="s">
        <v>1300</v>
      </c>
      <c r="H185">
        <v>45</v>
      </c>
      <c r="I185" t="s">
        <v>2060</v>
      </c>
      <c r="J185" t="s">
        <v>2615</v>
      </c>
    </row>
    <row r="186" spans="1:10">
      <c r="A186" t="s">
        <v>365</v>
      </c>
      <c r="B186" t="s">
        <v>410</v>
      </c>
      <c r="C186" t="s">
        <v>258</v>
      </c>
      <c r="D186" t="s">
        <v>309</v>
      </c>
      <c r="E186" t="s">
        <v>1732</v>
      </c>
      <c r="F186" t="s">
        <v>1380</v>
      </c>
      <c r="G186" t="s">
        <v>1300</v>
      </c>
      <c r="H186">
        <v>45</v>
      </c>
      <c r="I186" t="s">
        <v>2060</v>
      </c>
      <c r="J186" t="s">
        <v>2615</v>
      </c>
    </row>
    <row r="187" spans="1:10">
      <c r="A187" t="s">
        <v>366</v>
      </c>
      <c r="B187" t="s">
        <v>410</v>
      </c>
      <c r="C187" t="s">
        <v>258</v>
      </c>
      <c r="D187" t="s">
        <v>310</v>
      </c>
      <c r="E187" t="s">
        <v>1733</v>
      </c>
      <c r="F187" t="s">
        <v>1381</v>
      </c>
      <c r="G187" t="s">
        <v>1300</v>
      </c>
      <c r="H187">
        <v>45</v>
      </c>
      <c r="I187" t="s">
        <v>2060</v>
      </c>
      <c r="J187" t="s">
        <v>2615</v>
      </c>
    </row>
    <row r="188" spans="1:10">
      <c r="A188" t="s">
        <v>375</v>
      </c>
      <c r="B188" t="s">
        <v>410</v>
      </c>
      <c r="C188" t="s">
        <v>264</v>
      </c>
      <c r="D188" t="s">
        <v>315</v>
      </c>
      <c r="E188" t="s">
        <v>1734</v>
      </c>
      <c r="F188" t="s">
        <v>1386</v>
      </c>
      <c r="G188" t="s">
        <v>1300</v>
      </c>
      <c r="H188">
        <v>45</v>
      </c>
      <c r="I188" t="s">
        <v>2060</v>
      </c>
      <c r="J188" t="s">
        <v>2615</v>
      </c>
    </row>
    <row r="189" spans="1:10">
      <c r="A189" t="s">
        <v>376</v>
      </c>
      <c r="B189" t="s">
        <v>410</v>
      </c>
      <c r="C189" t="s">
        <v>264</v>
      </c>
      <c r="D189" t="s">
        <v>965</v>
      </c>
      <c r="E189" t="s">
        <v>1735</v>
      </c>
      <c r="F189" t="s">
        <v>1387</v>
      </c>
      <c r="G189" t="s">
        <v>1300</v>
      </c>
      <c r="H189">
        <v>45</v>
      </c>
      <c r="I189" t="s">
        <v>2060</v>
      </c>
      <c r="J189" t="s">
        <v>2615</v>
      </c>
    </row>
    <row r="190" spans="1:10">
      <c r="A190" t="s">
        <v>1599</v>
      </c>
      <c r="B190" t="s">
        <v>410</v>
      </c>
      <c r="C190" t="s">
        <v>264</v>
      </c>
      <c r="D190" t="s">
        <v>1269</v>
      </c>
      <c r="E190" t="s">
        <v>1736</v>
      </c>
      <c r="F190" t="s">
        <v>1385</v>
      </c>
      <c r="G190" t="s">
        <v>1300</v>
      </c>
      <c r="H190">
        <v>45</v>
      </c>
      <c r="I190" t="s">
        <v>2060</v>
      </c>
      <c r="J190" t="s">
        <v>2615</v>
      </c>
    </row>
    <row r="191" spans="1:10">
      <c r="A191" t="s">
        <v>396</v>
      </c>
      <c r="B191" t="s">
        <v>410</v>
      </c>
      <c r="C191" t="s">
        <v>281</v>
      </c>
      <c r="D191" t="s">
        <v>324</v>
      </c>
      <c r="E191" t="s">
        <v>1737</v>
      </c>
      <c r="F191" t="s">
        <v>1390</v>
      </c>
      <c r="G191" t="s">
        <v>1300</v>
      </c>
      <c r="H191">
        <v>45</v>
      </c>
      <c r="I191" t="s">
        <v>2060</v>
      </c>
      <c r="J191" t="s">
        <v>2615</v>
      </c>
    </row>
    <row r="192" spans="1:10">
      <c r="A192" t="s">
        <v>397</v>
      </c>
      <c r="B192" t="s">
        <v>410</v>
      </c>
      <c r="C192" t="s">
        <v>281</v>
      </c>
      <c r="D192" t="s">
        <v>325</v>
      </c>
      <c r="E192" t="s">
        <v>1738</v>
      </c>
      <c r="F192" t="s">
        <v>1391</v>
      </c>
      <c r="G192" t="s">
        <v>1300</v>
      </c>
      <c r="H192">
        <v>45</v>
      </c>
      <c r="I192" t="s">
        <v>2060</v>
      </c>
      <c r="J192" t="s">
        <v>2615</v>
      </c>
    </row>
    <row r="193" spans="1:10">
      <c r="A193" t="s">
        <v>398</v>
      </c>
      <c r="B193" t="s">
        <v>410</v>
      </c>
      <c r="C193" t="s">
        <v>281</v>
      </c>
      <c r="D193" t="s">
        <v>326</v>
      </c>
      <c r="E193" t="s">
        <v>1739</v>
      </c>
      <c r="F193" t="s">
        <v>1392</v>
      </c>
      <c r="G193" t="s">
        <v>1300</v>
      </c>
      <c r="H193">
        <v>45</v>
      </c>
      <c r="I193" t="s">
        <v>2060</v>
      </c>
      <c r="J193" t="s">
        <v>2615</v>
      </c>
    </row>
    <row r="194" spans="1:10">
      <c r="A194" t="s">
        <v>44</v>
      </c>
      <c r="B194" t="s">
        <v>410</v>
      </c>
      <c r="C194" t="s">
        <v>718</v>
      </c>
      <c r="D194" t="s">
        <v>717</v>
      </c>
      <c r="E194" t="s">
        <v>1740</v>
      </c>
      <c r="F194" t="s">
        <v>1377</v>
      </c>
      <c r="G194" t="s">
        <v>1300</v>
      </c>
      <c r="H194">
        <v>45</v>
      </c>
      <c r="I194" t="s">
        <v>2060</v>
      </c>
      <c r="J194" t="s">
        <v>2615</v>
      </c>
    </row>
    <row r="195" spans="1:10">
      <c r="A195" t="s">
        <v>45</v>
      </c>
      <c r="B195" t="s">
        <v>410</v>
      </c>
      <c r="C195" t="s">
        <v>719</v>
      </c>
      <c r="D195" t="s">
        <v>717</v>
      </c>
      <c r="E195" t="s">
        <v>1741</v>
      </c>
      <c r="F195" t="s">
        <v>1382</v>
      </c>
      <c r="G195" t="s">
        <v>1300</v>
      </c>
      <c r="H195">
        <v>45</v>
      </c>
      <c r="I195" t="s">
        <v>2060</v>
      </c>
      <c r="J195" t="s">
        <v>2615</v>
      </c>
    </row>
    <row r="196" spans="1:10">
      <c r="A196" t="s">
        <v>46</v>
      </c>
      <c r="B196" t="s">
        <v>410</v>
      </c>
      <c r="C196" t="s">
        <v>720</v>
      </c>
      <c r="D196" t="s">
        <v>717</v>
      </c>
      <c r="E196" t="s">
        <v>1742</v>
      </c>
      <c r="F196" t="s">
        <v>1388</v>
      </c>
      <c r="G196" t="s">
        <v>1300</v>
      </c>
      <c r="H196">
        <v>45</v>
      </c>
      <c r="I196" t="s">
        <v>2060</v>
      </c>
      <c r="J196" t="s">
        <v>2615</v>
      </c>
    </row>
    <row r="197" spans="1:10">
      <c r="A197" t="s">
        <v>359</v>
      </c>
      <c r="B197" t="s">
        <v>1969</v>
      </c>
      <c r="C197" t="s">
        <v>253</v>
      </c>
      <c r="D197" t="s">
        <v>298</v>
      </c>
      <c r="E197" t="s">
        <v>1743</v>
      </c>
      <c r="F197" t="s">
        <v>1465</v>
      </c>
      <c r="G197" t="s">
        <v>1301</v>
      </c>
      <c r="H197">
        <v>45</v>
      </c>
      <c r="I197" t="s">
        <v>2728</v>
      </c>
      <c r="J197" t="s">
        <v>221</v>
      </c>
    </row>
    <row r="198" spans="1:10">
      <c r="A198" t="s">
        <v>360</v>
      </c>
      <c r="B198" t="s">
        <v>1969</v>
      </c>
      <c r="C198" t="s">
        <v>253</v>
      </c>
      <c r="D198" t="s">
        <v>299</v>
      </c>
      <c r="E198" t="s">
        <v>1744</v>
      </c>
      <c r="F198" t="s">
        <v>1466</v>
      </c>
      <c r="G198" t="s">
        <v>1301</v>
      </c>
      <c r="H198">
        <v>45</v>
      </c>
      <c r="I198" t="s">
        <v>2728</v>
      </c>
      <c r="J198" t="s">
        <v>221</v>
      </c>
    </row>
    <row r="199" spans="1:10">
      <c r="A199" t="s">
        <v>361</v>
      </c>
      <c r="B199" t="s">
        <v>1969</v>
      </c>
      <c r="C199" t="s">
        <v>253</v>
      </c>
      <c r="D199" t="s">
        <v>300</v>
      </c>
      <c r="E199" t="s">
        <v>1745</v>
      </c>
      <c r="F199" t="s">
        <v>1467</v>
      </c>
      <c r="G199" t="s">
        <v>1301</v>
      </c>
      <c r="H199">
        <v>45</v>
      </c>
      <c r="I199" t="s">
        <v>2728</v>
      </c>
      <c r="J199" t="s">
        <v>221</v>
      </c>
    </row>
    <row r="200" spans="1:10">
      <c r="A200" t="s">
        <v>867</v>
      </c>
      <c r="B200" t="s">
        <v>1969</v>
      </c>
      <c r="C200" t="s">
        <v>253</v>
      </c>
      <c r="D200" t="s">
        <v>301</v>
      </c>
      <c r="E200" t="s">
        <v>1172</v>
      </c>
      <c r="F200" t="s">
        <v>1173</v>
      </c>
      <c r="G200" t="s">
        <v>1301</v>
      </c>
      <c r="H200">
        <v>45</v>
      </c>
      <c r="I200" t="s">
        <v>2728</v>
      </c>
      <c r="J200" t="s">
        <v>221</v>
      </c>
    </row>
    <row r="201" spans="1:10">
      <c r="A201" t="s">
        <v>70</v>
      </c>
      <c r="B201" t="s">
        <v>1969</v>
      </c>
      <c r="C201" t="s">
        <v>253</v>
      </c>
      <c r="D201" t="s">
        <v>302</v>
      </c>
      <c r="E201" t="s">
        <v>1174</v>
      </c>
      <c r="F201" t="s">
        <v>1175</v>
      </c>
      <c r="G201" t="s">
        <v>1301</v>
      </c>
      <c r="H201">
        <v>45</v>
      </c>
      <c r="I201" t="s">
        <v>2728</v>
      </c>
      <c r="J201" t="s">
        <v>221</v>
      </c>
    </row>
    <row r="202" spans="1:10">
      <c r="A202" t="s">
        <v>966</v>
      </c>
      <c r="B202" t="s">
        <v>1969</v>
      </c>
      <c r="C202" t="s">
        <v>253</v>
      </c>
      <c r="D202" t="s">
        <v>311</v>
      </c>
      <c r="E202" t="s">
        <v>1746</v>
      </c>
      <c r="F202" t="s">
        <v>1468</v>
      </c>
      <c r="G202" t="s">
        <v>1301</v>
      </c>
      <c r="H202">
        <v>45</v>
      </c>
      <c r="I202" t="s">
        <v>2728</v>
      </c>
      <c r="J202" t="s">
        <v>221</v>
      </c>
    </row>
    <row r="203" spans="1:10">
      <c r="A203" t="s">
        <v>371</v>
      </c>
      <c r="B203" t="s">
        <v>1969</v>
      </c>
      <c r="C203" t="s">
        <v>261</v>
      </c>
      <c r="D203" t="s">
        <v>308</v>
      </c>
      <c r="E203" t="s">
        <v>1747</v>
      </c>
      <c r="F203" t="s">
        <v>1469</v>
      </c>
      <c r="G203" t="s">
        <v>1301</v>
      </c>
      <c r="H203">
        <v>45</v>
      </c>
      <c r="I203" t="s">
        <v>2728</v>
      </c>
      <c r="J203" t="s">
        <v>221</v>
      </c>
    </row>
    <row r="204" spans="1:10">
      <c r="A204" t="s">
        <v>372</v>
      </c>
      <c r="B204" t="s">
        <v>1969</v>
      </c>
      <c r="C204" t="s">
        <v>261</v>
      </c>
      <c r="D204" t="s">
        <v>309</v>
      </c>
      <c r="E204" t="s">
        <v>1748</v>
      </c>
      <c r="F204" t="s">
        <v>1470</v>
      </c>
      <c r="G204" t="s">
        <v>1301</v>
      </c>
      <c r="H204">
        <v>45</v>
      </c>
      <c r="I204" t="s">
        <v>2728</v>
      </c>
      <c r="J204" t="s">
        <v>221</v>
      </c>
    </row>
    <row r="205" spans="1:10">
      <c r="A205" t="s">
        <v>373</v>
      </c>
      <c r="B205" t="s">
        <v>1969</v>
      </c>
      <c r="C205" t="s">
        <v>261</v>
      </c>
      <c r="D205" t="s">
        <v>310</v>
      </c>
      <c r="E205" t="s">
        <v>1749</v>
      </c>
      <c r="F205" t="s">
        <v>1471</v>
      </c>
      <c r="G205" t="s">
        <v>1301</v>
      </c>
      <c r="H205">
        <v>45</v>
      </c>
      <c r="I205" t="s">
        <v>2728</v>
      </c>
      <c r="J205" t="s">
        <v>221</v>
      </c>
    </row>
    <row r="206" spans="1:10">
      <c r="A206" t="s">
        <v>868</v>
      </c>
      <c r="B206" t="s">
        <v>1969</v>
      </c>
      <c r="C206" t="s">
        <v>261</v>
      </c>
      <c r="D206" t="s">
        <v>301</v>
      </c>
      <c r="E206" t="s">
        <v>1176</v>
      </c>
      <c r="F206" t="s">
        <v>1177</v>
      </c>
      <c r="G206" t="s">
        <v>1301</v>
      </c>
      <c r="H206">
        <v>45</v>
      </c>
      <c r="I206" t="s">
        <v>2728</v>
      </c>
      <c r="J206" t="s">
        <v>221</v>
      </c>
    </row>
    <row r="207" spans="1:10">
      <c r="A207" t="s">
        <v>71</v>
      </c>
      <c r="B207" t="s">
        <v>1969</v>
      </c>
      <c r="C207" t="s">
        <v>261</v>
      </c>
      <c r="D207" t="s">
        <v>302</v>
      </c>
      <c r="E207" t="s">
        <v>2417</v>
      </c>
      <c r="F207" t="s">
        <v>1178</v>
      </c>
      <c r="G207" t="s">
        <v>1301</v>
      </c>
      <c r="H207">
        <v>45</v>
      </c>
      <c r="I207" t="s">
        <v>2728</v>
      </c>
      <c r="J207" t="s">
        <v>221</v>
      </c>
    </row>
    <row r="208" spans="1:10">
      <c r="A208" t="s">
        <v>967</v>
      </c>
      <c r="B208" t="s">
        <v>1969</v>
      </c>
      <c r="C208" t="s">
        <v>261</v>
      </c>
      <c r="D208" t="s">
        <v>311</v>
      </c>
      <c r="E208" t="s">
        <v>2097</v>
      </c>
      <c r="F208" t="s">
        <v>2418</v>
      </c>
      <c r="G208" t="s">
        <v>1301</v>
      </c>
      <c r="H208">
        <v>45</v>
      </c>
      <c r="I208" t="s">
        <v>2728</v>
      </c>
      <c r="J208" t="s">
        <v>221</v>
      </c>
    </row>
    <row r="209" spans="1:10">
      <c r="A209" t="s">
        <v>382</v>
      </c>
      <c r="B209" t="s">
        <v>1969</v>
      </c>
      <c r="C209" t="s">
        <v>267</v>
      </c>
      <c r="D209" t="s">
        <v>315</v>
      </c>
      <c r="E209" t="s">
        <v>1750</v>
      </c>
      <c r="F209" t="s">
        <v>1472</v>
      </c>
      <c r="G209" t="s">
        <v>1301</v>
      </c>
      <c r="H209">
        <v>45</v>
      </c>
      <c r="I209" t="s">
        <v>2728</v>
      </c>
      <c r="J209" t="s">
        <v>221</v>
      </c>
    </row>
    <row r="210" spans="1:10">
      <c r="A210" t="s">
        <v>968</v>
      </c>
      <c r="B210" t="s">
        <v>1969</v>
      </c>
      <c r="C210" t="s">
        <v>267</v>
      </c>
      <c r="D210" t="s">
        <v>965</v>
      </c>
      <c r="E210" t="s">
        <v>1751</v>
      </c>
      <c r="F210" t="s">
        <v>1473</v>
      </c>
      <c r="G210" t="s">
        <v>1301</v>
      </c>
      <c r="H210">
        <v>45</v>
      </c>
      <c r="I210" t="s">
        <v>2728</v>
      </c>
      <c r="J210" t="s">
        <v>221</v>
      </c>
    </row>
    <row r="211" spans="1:10">
      <c r="A211" t="s">
        <v>969</v>
      </c>
      <c r="B211" t="s">
        <v>1969</v>
      </c>
      <c r="C211" t="s">
        <v>267</v>
      </c>
      <c r="D211" t="s">
        <v>970</v>
      </c>
      <c r="E211" t="s">
        <v>1752</v>
      </c>
      <c r="F211" t="s">
        <v>1474</v>
      </c>
      <c r="G211" t="s">
        <v>1301</v>
      </c>
      <c r="H211">
        <v>45</v>
      </c>
      <c r="I211" t="s">
        <v>2728</v>
      </c>
      <c r="J211" t="s">
        <v>221</v>
      </c>
    </row>
    <row r="212" spans="1:10">
      <c r="A212" t="s">
        <v>615</v>
      </c>
      <c r="B212" t="s">
        <v>1969</v>
      </c>
      <c r="C212" t="s">
        <v>267</v>
      </c>
      <c r="D212" t="s">
        <v>653</v>
      </c>
      <c r="E212" t="s">
        <v>1164</v>
      </c>
      <c r="F212" t="s">
        <v>1165</v>
      </c>
      <c r="G212" t="s">
        <v>1301</v>
      </c>
      <c r="H212">
        <v>45</v>
      </c>
      <c r="I212" t="s">
        <v>2728</v>
      </c>
      <c r="J212" t="s">
        <v>221</v>
      </c>
    </row>
    <row r="213" spans="1:10">
      <c r="A213" t="s">
        <v>866</v>
      </c>
      <c r="B213" t="s">
        <v>1969</v>
      </c>
      <c r="C213" t="s">
        <v>267</v>
      </c>
      <c r="D213" t="s">
        <v>1005</v>
      </c>
      <c r="E213" t="s">
        <v>1168</v>
      </c>
      <c r="F213" t="s">
        <v>1169</v>
      </c>
      <c r="G213" t="s">
        <v>1301</v>
      </c>
      <c r="H213">
        <v>45</v>
      </c>
      <c r="I213" t="s">
        <v>2728</v>
      </c>
      <c r="J213" t="s">
        <v>221</v>
      </c>
    </row>
    <row r="214" spans="1:10">
      <c r="A214" t="s">
        <v>971</v>
      </c>
      <c r="B214" t="s">
        <v>1969</v>
      </c>
      <c r="C214" t="s">
        <v>267</v>
      </c>
      <c r="D214" t="s">
        <v>740</v>
      </c>
      <c r="E214" t="s">
        <v>2098</v>
      </c>
      <c r="F214" t="s">
        <v>1169</v>
      </c>
      <c r="G214" t="s">
        <v>1301</v>
      </c>
      <c r="H214">
        <v>45</v>
      </c>
      <c r="I214" t="s">
        <v>2728</v>
      </c>
      <c r="J214" t="s">
        <v>221</v>
      </c>
    </row>
    <row r="215" spans="1:10">
      <c r="A215" t="s">
        <v>405</v>
      </c>
      <c r="B215" t="s">
        <v>1969</v>
      </c>
      <c r="C215" t="s">
        <v>284</v>
      </c>
      <c r="D215" t="s">
        <v>324</v>
      </c>
      <c r="E215" t="s">
        <v>1753</v>
      </c>
      <c r="F215" t="s">
        <v>1475</v>
      </c>
      <c r="G215" t="s">
        <v>1301</v>
      </c>
      <c r="H215">
        <v>45</v>
      </c>
      <c r="I215" t="s">
        <v>2728</v>
      </c>
      <c r="J215" t="s">
        <v>221</v>
      </c>
    </row>
    <row r="216" spans="1:10">
      <c r="A216" t="s">
        <v>406</v>
      </c>
      <c r="B216" t="s">
        <v>1969</v>
      </c>
      <c r="C216" t="s">
        <v>284</v>
      </c>
      <c r="D216" t="s">
        <v>325</v>
      </c>
      <c r="E216" t="s">
        <v>1754</v>
      </c>
      <c r="F216" t="s">
        <v>1476</v>
      </c>
      <c r="G216" t="s">
        <v>1301</v>
      </c>
      <c r="H216">
        <v>45</v>
      </c>
      <c r="I216" t="s">
        <v>2728</v>
      </c>
      <c r="J216" t="s">
        <v>221</v>
      </c>
    </row>
    <row r="217" spans="1:10">
      <c r="A217" t="s">
        <v>407</v>
      </c>
      <c r="B217" t="s">
        <v>1969</v>
      </c>
      <c r="C217" t="s">
        <v>284</v>
      </c>
      <c r="D217" t="s">
        <v>326</v>
      </c>
      <c r="E217" t="s">
        <v>1755</v>
      </c>
      <c r="F217" t="s">
        <v>1477</v>
      </c>
      <c r="G217" t="s">
        <v>1301</v>
      </c>
      <c r="H217">
        <v>45</v>
      </c>
      <c r="I217" t="s">
        <v>2728</v>
      </c>
      <c r="J217" t="s">
        <v>221</v>
      </c>
    </row>
    <row r="218" spans="1:10">
      <c r="A218" t="s">
        <v>68</v>
      </c>
      <c r="B218" t="s">
        <v>1969</v>
      </c>
      <c r="C218" t="s">
        <v>284</v>
      </c>
      <c r="D218" t="s">
        <v>327</v>
      </c>
      <c r="E218" t="s">
        <v>1166</v>
      </c>
      <c r="F218" t="s">
        <v>1167</v>
      </c>
      <c r="G218" t="s">
        <v>1301</v>
      </c>
      <c r="H218">
        <v>45</v>
      </c>
      <c r="I218" t="s">
        <v>2728</v>
      </c>
      <c r="J218" t="s">
        <v>221</v>
      </c>
    </row>
    <row r="219" spans="1:10">
      <c r="A219" t="s">
        <v>69</v>
      </c>
      <c r="B219" t="s">
        <v>1969</v>
      </c>
      <c r="C219" t="s">
        <v>284</v>
      </c>
      <c r="D219" t="s">
        <v>328</v>
      </c>
      <c r="E219" t="s">
        <v>1170</v>
      </c>
      <c r="F219" t="s">
        <v>1171</v>
      </c>
      <c r="G219" t="s">
        <v>1301</v>
      </c>
      <c r="H219">
        <v>45</v>
      </c>
      <c r="I219" t="s">
        <v>2728</v>
      </c>
      <c r="J219" t="s">
        <v>221</v>
      </c>
    </row>
    <row r="220" spans="1:10">
      <c r="A220" t="s">
        <v>972</v>
      </c>
      <c r="B220" t="s">
        <v>1969</v>
      </c>
      <c r="C220" t="s">
        <v>284</v>
      </c>
      <c r="D220" t="s">
        <v>705</v>
      </c>
      <c r="E220" t="s">
        <v>2099</v>
      </c>
      <c r="F220" t="s">
        <v>1478</v>
      </c>
      <c r="G220" t="s">
        <v>1301</v>
      </c>
      <c r="H220">
        <v>45</v>
      </c>
      <c r="I220" t="s">
        <v>2728</v>
      </c>
      <c r="J220" t="s">
        <v>221</v>
      </c>
    </row>
    <row r="221" spans="1:10">
      <c r="A221" t="s">
        <v>47</v>
      </c>
      <c r="B221" t="s">
        <v>139</v>
      </c>
      <c r="C221" t="s">
        <v>245</v>
      </c>
      <c r="D221" t="s">
        <v>145</v>
      </c>
      <c r="E221" t="s">
        <v>1132</v>
      </c>
      <c r="F221" t="s">
        <v>1133</v>
      </c>
      <c r="G221" t="s">
        <v>1299</v>
      </c>
      <c r="H221">
        <v>15</v>
      </c>
      <c r="I221" t="s">
        <v>153</v>
      </c>
      <c r="J221" t="s">
        <v>219</v>
      </c>
    </row>
    <row r="222" spans="1:10">
      <c r="A222" t="s">
        <v>48</v>
      </c>
      <c r="B222" t="s">
        <v>139</v>
      </c>
      <c r="C222" t="s">
        <v>243</v>
      </c>
      <c r="D222" t="s">
        <v>145</v>
      </c>
      <c r="E222" t="s">
        <v>1128</v>
      </c>
      <c r="F222" t="s">
        <v>1129</v>
      </c>
      <c r="G222" t="s">
        <v>2344</v>
      </c>
      <c r="H222">
        <v>15</v>
      </c>
      <c r="I222" t="s">
        <v>153</v>
      </c>
      <c r="J222" t="s">
        <v>219</v>
      </c>
    </row>
    <row r="223" spans="1:10">
      <c r="A223" t="s">
        <v>49</v>
      </c>
      <c r="B223" t="s">
        <v>139</v>
      </c>
      <c r="C223" t="s">
        <v>244</v>
      </c>
      <c r="D223" t="s">
        <v>145</v>
      </c>
      <c r="E223" t="s">
        <v>1130</v>
      </c>
      <c r="F223" t="s">
        <v>1131</v>
      </c>
      <c r="G223" t="s">
        <v>2344</v>
      </c>
      <c r="H223">
        <v>15</v>
      </c>
      <c r="I223" t="s">
        <v>153</v>
      </c>
      <c r="J223" t="s">
        <v>219</v>
      </c>
    </row>
    <row r="224" spans="1:10">
      <c r="A224" t="s">
        <v>973</v>
      </c>
      <c r="B224" t="s">
        <v>873</v>
      </c>
      <c r="C224" t="s">
        <v>873</v>
      </c>
      <c r="D224" t="s">
        <v>974</v>
      </c>
      <c r="E224" t="s">
        <v>1756</v>
      </c>
      <c r="F224" t="s">
        <v>1563</v>
      </c>
      <c r="G224" t="s">
        <v>1363</v>
      </c>
      <c r="H224">
        <v>7</v>
      </c>
      <c r="I224" t="s">
        <v>2061</v>
      </c>
      <c r="J224" t="s">
        <v>2616</v>
      </c>
    </row>
    <row r="225" spans="1:10">
      <c r="A225" t="s">
        <v>1600</v>
      </c>
      <c r="B225" t="s">
        <v>873</v>
      </c>
      <c r="C225" t="s">
        <v>873</v>
      </c>
      <c r="D225" t="s">
        <v>1280</v>
      </c>
      <c r="E225" t="s">
        <v>1757</v>
      </c>
      <c r="F225" t="s">
        <v>1564</v>
      </c>
      <c r="G225" t="s">
        <v>1363</v>
      </c>
      <c r="H225">
        <v>7</v>
      </c>
      <c r="I225" t="s">
        <v>2061</v>
      </c>
      <c r="J225" t="s">
        <v>2616</v>
      </c>
    </row>
    <row r="226" spans="1:10">
      <c r="A226" t="s">
        <v>1601</v>
      </c>
      <c r="B226" t="s">
        <v>873</v>
      </c>
      <c r="C226" t="s">
        <v>873</v>
      </c>
      <c r="D226" t="s">
        <v>1288</v>
      </c>
      <c r="E226" t="s">
        <v>1758</v>
      </c>
      <c r="F226" t="s">
        <v>1573</v>
      </c>
      <c r="G226" t="s">
        <v>1363</v>
      </c>
      <c r="H226">
        <v>7</v>
      </c>
      <c r="I226" t="s">
        <v>2061</v>
      </c>
      <c r="J226" t="s">
        <v>2616</v>
      </c>
    </row>
    <row r="227" spans="1:10">
      <c r="A227" t="s">
        <v>1602</v>
      </c>
      <c r="B227" t="s">
        <v>873</v>
      </c>
      <c r="C227" t="s">
        <v>873</v>
      </c>
      <c r="D227" t="s">
        <v>1281</v>
      </c>
      <c r="E227" t="s">
        <v>1759</v>
      </c>
      <c r="F227" t="s">
        <v>1565</v>
      </c>
      <c r="G227" t="s">
        <v>1363</v>
      </c>
      <c r="H227">
        <v>7</v>
      </c>
      <c r="I227" t="s">
        <v>2061</v>
      </c>
      <c r="J227" t="s">
        <v>2616</v>
      </c>
    </row>
    <row r="228" spans="1:10">
      <c r="A228" t="s">
        <v>1603</v>
      </c>
      <c r="B228" t="s">
        <v>873</v>
      </c>
      <c r="C228" t="s">
        <v>873</v>
      </c>
      <c r="D228" t="s">
        <v>1282</v>
      </c>
      <c r="E228" t="s">
        <v>1760</v>
      </c>
      <c r="F228" t="s">
        <v>1566</v>
      </c>
      <c r="G228" t="s">
        <v>1363</v>
      </c>
      <c r="H228">
        <v>7</v>
      </c>
      <c r="I228" t="s">
        <v>2061</v>
      </c>
      <c r="J228" t="s">
        <v>2616</v>
      </c>
    </row>
    <row r="229" spans="1:10">
      <c r="A229" t="s">
        <v>1604</v>
      </c>
      <c r="B229" t="s">
        <v>873</v>
      </c>
      <c r="C229" t="s">
        <v>873</v>
      </c>
      <c r="D229" t="s">
        <v>1283</v>
      </c>
      <c r="E229" t="s">
        <v>1761</v>
      </c>
      <c r="F229" t="s">
        <v>1567</v>
      </c>
      <c r="G229" t="s">
        <v>1363</v>
      </c>
      <c r="H229">
        <v>7</v>
      </c>
      <c r="I229" t="s">
        <v>2061</v>
      </c>
      <c r="J229" t="s">
        <v>2616</v>
      </c>
    </row>
    <row r="230" spans="1:10">
      <c r="A230" t="s">
        <v>1605</v>
      </c>
      <c r="B230" t="s">
        <v>873</v>
      </c>
      <c r="C230" t="s">
        <v>873</v>
      </c>
      <c r="D230" t="s">
        <v>1284</v>
      </c>
      <c r="E230" t="s">
        <v>1762</v>
      </c>
      <c r="F230" t="s">
        <v>1568</v>
      </c>
      <c r="G230" t="s">
        <v>1363</v>
      </c>
      <c r="H230">
        <v>7</v>
      </c>
      <c r="I230" t="s">
        <v>2061</v>
      </c>
      <c r="J230" t="s">
        <v>2616</v>
      </c>
    </row>
    <row r="231" spans="1:10">
      <c r="A231" t="s">
        <v>1606</v>
      </c>
      <c r="B231" t="s">
        <v>873</v>
      </c>
      <c r="C231" t="s">
        <v>873</v>
      </c>
      <c r="D231" t="s">
        <v>1285</v>
      </c>
      <c r="E231" t="s">
        <v>1763</v>
      </c>
      <c r="F231" t="s">
        <v>1569</v>
      </c>
      <c r="G231" t="s">
        <v>1363</v>
      </c>
      <c r="H231">
        <v>7</v>
      </c>
      <c r="I231" t="s">
        <v>2061</v>
      </c>
      <c r="J231" t="s">
        <v>2616</v>
      </c>
    </row>
    <row r="232" spans="1:10">
      <c r="A232" t="s">
        <v>1607</v>
      </c>
      <c r="B232" t="s">
        <v>873</v>
      </c>
      <c r="C232" t="s">
        <v>873</v>
      </c>
      <c r="D232" t="s">
        <v>1287</v>
      </c>
      <c r="E232" t="s">
        <v>1764</v>
      </c>
      <c r="F232" t="s">
        <v>1572</v>
      </c>
      <c r="G232" t="s">
        <v>1363</v>
      </c>
      <c r="H232">
        <v>7</v>
      </c>
      <c r="I232" t="s">
        <v>2061</v>
      </c>
      <c r="J232" t="s">
        <v>2616</v>
      </c>
    </row>
    <row r="233" spans="1:10">
      <c r="A233" t="s">
        <v>1608</v>
      </c>
      <c r="B233" t="s">
        <v>873</v>
      </c>
      <c r="C233" t="s">
        <v>873</v>
      </c>
      <c r="D233" t="s">
        <v>742</v>
      </c>
      <c r="E233" t="s">
        <v>1765</v>
      </c>
      <c r="F233" t="s">
        <v>1570</v>
      </c>
      <c r="G233" t="s">
        <v>1363</v>
      </c>
      <c r="H233">
        <v>7</v>
      </c>
      <c r="I233" t="s">
        <v>2061</v>
      </c>
      <c r="J233" t="s">
        <v>2616</v>
      </c>
    </row>
    <row r="234" spans="1:10">
      <c r="A234" t="s">
        <v>1609</v>
      </c>
      <c r="B234" t="s">
        <v>873</v>
      </c>
      <c r="C234" t="s">
        <v>873</v>
      </c>
      <c r="D234" t="s">
        <v>1286</v>
      </c>
      <c r="E234" t="s">
        <v>1766</v>
      </c>
      <c r="F234" t="s">
        <v>1571</v>
      </c>
      <c r="G234" t="s">
        <v>1363</v>
      </c>
      <c r="H234">
        <v>7</v>
      </c>
      <c r="I234" t="s">
        <v>2061</v>
      </c>
      <c r="J234" t="s">
        <v>2616</v>
      </c>
    </row>
    <row r="235" spans="1:10">
      <c r="A235" t="s">
        <v>1610</v>
      </c>
      <c r="B235" t="s">
        <v>140</v>
      </c>
      <c r="C235" t="s">
        <v>239</v>
      </c>
      <c r="D235" t="s">
        <v>780</v>
      </c>
      <c r="E235" t="s">
        <v>1767</v>
      </c>
      <c r="F235" t="s">
        <v>1557</v>
      </c>
      <c r="G235" t="s">
        <v>1340</v>
      </c>
      <c r="H235">
        <v>12</v>
      </c>
      <c r="I235" t="s">
        <v>163</v>
      </c>
      <c r="J235" t="s">
        <v>225</v>
      </c>
    </row>
    <row r="236" spans="1:10">
      <c r="A236" t="s">
        <v>50</v>
      </c>
      <c r="B236" t="s">
        <v>140</v>
      </c>
      <c r="C236" t="s">
        <v>239</v>
      </c>
      <c r="D236" t="s">
        <v>901</v>
      </c>
      <c r="E236" t="s">
        <v>1768</v>
      </c>
      <c r="F236" t="s">
        <v>1556</v>
      </c>
      <c r="G236" t="s">
        <v>1340</v>
      </c>
      <c r="H236">
        <v>12</v>
      </c>
      <c r="I236" t="s">
        <v>163</v>
      </c>
      <c r="J236" t="s">
        <v>225</v>
      </c>
    </row>
    <row r="237" spans="1:10">
      <c r="A237" t="s">
        <v>84</v>
      </c>
      <c r="B237" t="s">
        <v>140</v>
      </c>
      <c r="C237" t="s">
        <v>239</v>
      </c>
      <c r="D237" t="s">
        <v>902</v>
      </c>
      <c r="E237" t="s">
        <v>1769</v>
      </c>
      <c r="F237" t="s">
        <v>1558</v>
      </c>
      <c r="G237" t="s">
        <v>1340</v>
      </c>
      <c r="H237">
        <v>12</v>
      </c>
      <c r="I237" t="s">
        <v>163</v>
      </c>
      <c r="J237" t="s">
        <v>225</v>
      </c>
    </row>
    <row r="238" spans="1:10">
      <c r="A238" t="s">
        <v>85</v>
      </c>
      <c r="B238" t="s">
        <v>140</v>
      </c>
      <c r="C238" t="s">
        <v>239</v>
      </c>
      <c r="D238" t="s">
        <v>903</v>
      </c>
      <c r="E238" t="s">
        <v>1770</v>
      </c>
      <c r="F238" t="s">
        <v>1559</v>
      </c>
      <c r="G238" t="s">
        <v>1340</v>
      </c>
      <c r="H238">
        <v>12</v>
      </c>
      <c r="I238" t="s">
        <v>163</v>
      </c>
      <c r="J238" t="s">
        <v>225</v>
      </c>
    </row>
    <row r="239" spans="1:10">
      <c r="A239" t="s">
        <v>86</v>
      </c>
      <c r="B239" t="s">
        <v>140</v>
      </c>
      <c r="C239" t="s">
        <v>239</v>
      </c>
      <c r="D239" t="s">
        <v>904</v>
      </c>
      <c r="E239" t="s">
        <v>1771</v>
      </c>
      <c r="F239" t="s">
        <v>1560</v>
      </c>
      <c r="G239" t="s">
        <v>1340</v>
      </c>
      <c r="H239">
        <v>12</v>
      </c>
      <c r="I239" t="s">
        <v>163</v>
      </c>
      <c r="J239" t="s">
        <v>225</v>
      </c>
    </row>
    <row r="240" spans="1:10">
      <c r="A240" t="s">
        <v>87</v>
      </c>
      <c r="B240" t="s">
        <v>140</v>
      </c>
      <c r="C240" t="s">
        <v>239</v>
      </c>
      <c r="D240" t="s">
        <v>905</v>
      </c>
      <c r="E240" t="s">
        <v>1772</v>
      </c>
      <c r="F240" t="s">
        <v>1561</v>
      </c>
      <c r="G240" t="s">
        <v>1340</v>
      </c>
      <c r="H240">
        <v>12</v>
      </c>
      <c r="I240" t="s">
        <v>163</v>
      </c>
      <c r="J240" t="s">
        <v>225</v>
      </c>
    </row>
    <row r="241" spans="1:10">
      <c r="A241" t="s">
        <v>113</v>
      </c>
      <c r="B241" t="s">
        <v>140</v>
      </c>
      <c r="C241" t="s">
        <v>239</v>
      </c>
      <c r="D241" t="s">
        <v>906</v>
      </c>
      <c r="E241" t="s">
        <v>1773</v>
      </c>
      <c r="F241" t="s">
        <v>1562</v>
      </c>
      <c r="G241" t="s">
        <v>1340</v>
      </c>
      <c r="H241">
        <v>12</v>
      </c>
      <c r="I241" t="s">
        <v>163</v>
      </c>
      <c r="J241" t="s">
        <v>225</v>
      </c>
    </row>
    <row r="242" spans="1:10">
      <c r="A242" t="s">
        <v>51</v>
      </c>
      <c r="B242" t="s">
        <v>141</v>
      </c>
      <c r="C242" t="s">
        <v>647</v>
      </c>
      <c r="D242" t="s">
        <v>145</v>
      </c>
      <c r="E242" t="s">
        <v>1774</v>
      </c>
      <c r="F242" t="s">
        <v>1395</v>
      </c>
      <c r="G242" t="s">
        <v>1302</v>
      </c>
      <c r="H242">
        <v>13</v>
      </c>
      <c r="I242" t="s">
        <v>2419</v>
      </c>
      <c r="J242" t="s">
        <v>220</v>
      </c>
    </row>
    <row r="243" spans="1:10">
      <c r="A243" t="s">
        <v>52</v>
      </c>
      <c r="B243" t="s">
        <v>141</v>
      </c>
      <c r="C243" t="s">
        <v>647</v>
      </c>
      <c r="D243" t="s">
        <v>146</v>
      </c>
      <c r="E243" t="s">
        <v>1775</v>
      </c>
      <c r="F243" t="s">
        <v>1395</v>
      </c>
      <c r="G243" t="s">
        <v>1302</v>
      </c>
      <c r="H243">
        <v>13</v>
      </c>
      <c r="I243" t="s">
        <v>2419</v>
      </c>
      <c r="J243" t="s">
        <v>220</v>
      </c>
    </row>
    <row r="244" spans="1:10">
      <c r="A244" t="s">
        <v>630</v>
      </c>
      <c r="B244" t="s">
        <v>141</v>
      </c>
      <c r="C244" t="s">
        <v>647</v>
      </c>
      <c r="D244" t="s">
        <v>660</v>
      </c>
      <c r="E244" t="s">
        <v>1776</v>
      </c>
      <c r="F244" t="s">
        <v>1395</v>
      </c>
      <c r="G244" t="s">
        <v>1302</v>
      </c>
      <c r="H244">
        <v>13</v>
      </c>
      <c r="I244" t="s">
        <v>2419</v>
      </c>
      <c r="J244" t="s">
        <v>220</v>
      </c>
    </row>
    <row r="245" spans="1:10">
      <c r="A245" t="s">
        <v>631</v>
      </c>
      <c r="B245" t="s">
        <v>141</v>
      </c>
      <c r="C245" t="s">
        <v>647</v>
      </c>
      <c r="D245" t="s">
        <v>661</v>
      </c>
      <c r="E245" t="s">
        <v>1777</v>
      </c>
      <c r="F245" t="s">
        <v>1395</v>
      </c>
      <c r="G245" t="s">
        <v>1302</v>
      </c>
      <c r="H245">
        <v>13</v>
      </c>
      <c r="I245" t="s">
        <v>2419</v>
      </c>
      <c r="J245" t="s">
        <v>220</v>
      </c>
    </row>
    <row r="246" spans="1:10">
      <c r="A246" t="s">
        <v>721</v>
      </c>
      <c r="B246" t="s">
        <v>141</v>
      </c>
      <c r="C246" t="s">
        <v>647</v>
      </c>
      <c r="D246" t="s">
        <v>722</v>
      </c>
      <c r="E246" t="s">
        <v>1778</v>
      </c>
      <c r="F246" t="s">
        <v>1395</v>
      </c>
      <c r="G246" t="s">
        <v>1302</v>
      </c>
      <c r="H246">
        <v>13</v>
      </c>
      <c r="I246" t="s">
        <v>2419</v>
      </c>
      <c r="J246" t="s">
        <v>220</v>
      </c>
    </row>
    <row r="247" spans="1:10">
      <c r="A247" t="s">
        <v>53</v>
      </c>
      <c r="B247" t="s">
        <v>141</v>
      </c>
      <c r="C247" t="s">
        <v>648</v>
      </c>
      <c r="D247" t="s">
        <v>145</v>
      </c>
      <c r="E247" t="s">
        <v>1779</v>
      </c>
      <c r="F247" t="s">
        <v>1397</v>
      </c>
      <c r="G247" t="s">
        <v>1304</v>
      </c>
      <c r="H247">
        <v>13</v>
      </c>
      <c r="I247" t="s">
        <v>2419</v>
      </c>
      <c r="J247" t="s">
        <v>220</v>
      </c>
    </row>
    <row r="248" spans="1:10">
      <c r="A248" t="s">
        <v>54</v>
      </c>
      <c r="B248" t="s">
        <v>141</v>
      </c>
      <c r="C248" t="s">
        <v>648</v>
      </c>
      <c r="D248" t="s">
        <v>146</v>
      </c>
      <c r="E248" t="s">
        <v>1780</v>
      </c>
      <c r="F248" t="s">
        <v>1397</v>
      </c>
      <c r="G248" t="s">
        <v>1304</v>
      </c>
      <c r="H248">
        <v>13</v>
      </c>
      <c r="I248" t="s">
        <v>2419</v>
      </c>
      <c r="J248" t="s">
        <v>220</v>
      </c>
    </row>
    <row r="249" spans="1:10">
      <c r="A249" t="s">
        <v>622</v>
      </c>
      <c r="B249" t="s">
        <v>141</v>
      </c>
      <c r="C249" t="s">
        <v>648</v>
      </c>
      <c r="D249" t="s">
        <v>660</v>
      </c>
      <c r="E249" t="s">
        <v>1781</v>
      </c>
      <c r="F249" t="s">
        <v>1397</v>
      </c>
      <c r="G249" t="s">
        <v>1304</v>
      </c>
      <c r="H249">
        <v>13</v>
      </c>
      <c r="I249" t="s">
        <v>2419</v>
      </c>
      <c r="J249" t="s">
        <v>220</v>
      </c>
    </row>
    <row r="250" spans="1:10">
      <c r="A250" t="s">
        <v>623</v>
      </c>
      <c r="B250" t="s">
        <v>141</v>
      </c>
      <c r="C250" t="s">
        <v>648</v>
      </c>
      <c r="D250" t="s">
        <v>661</v>
      </c>
      <c r="E250" t="s">
        <v>1782</v>
      </c>
      <c r="F250" t="s">
        <v>1397</v>
      </c>
      <c r="G250" t="s">
        <v>1304</v>
      </c>
      <c r="H250">
        <v>13</v>
      </c>
      <c r="I250" t="s">
        <v>2419</v>
      </c>
      <c r="J250" t="s">
        <v>220</v>
      </c>
    </row>
    <row r="251" spans="1:10">
      <c r="A251" t="s">
        <v>723</v>
      </c>
      <c r="B251" t="s">
        <v>141</v>
      </c>
      <c r="C251" t="s">
        <v>648</v>
      </c>
      <c r="D251" t="s">
        <v>722</v>
      </c>
      <c r="E251" t="s">
        <v>1783</v>
      </c>
      <c r="F251" t="s">
        <v>1397</v>
      </c>
      <c r="G251" t="s">
        <v>1304</v>
      </c>
      <c r="H251">
        <v>13</v>
      </c>
      <c r="I251" t="s">
        <v>2419</v>
      </c>
      <c r="J251" t="s">
        <v>220</v>
      </c>
    </row>
    <row r="252" spans="1:10">
      <c r="A252" t="s">
        <v>612</v>
      </c>
      <c r="B252" t="s">
        <v>141</v>
      </c>
      <c r="C252" t="s">
        <v>649</v>
      </c>
      <c r="D252" t="s">
        <v>145</v>
      </c>
      <c r="E252" t="s">
        <v>1784</v>
      </c>
      <c r="F252" t="s">
        <v>1396</v>
      </c>
      <c r="G252" t="s">
        <v>1303</v>
      </c>
      <c r="H252">
        <v>13</v>
      </c>
      <c r="I252" t="s">
        <v>2419</v>
      </c>
      <c r="J252" t="s">
        <v>220</v>
      </c>
    </row>
    <row r="253" spans="1:10">
      <c r="A253" t="s">
        <v>613</v>
      </c>
      <c r="B253" t="s">
        <v>141</v>
      </c>
      <c r="C253" t="s">
        <v>649</v>
      </c>
      <c r="D253" t="s">
        <v>146</v>
      </c>
      <c r="E253" t="s">
        <v>1785</v>
      </c>
      <c r="F253" t="s">
        <v>1396</v>
      </c>
      <c r="G253" t="s">
        <v>1303</v>
      </c>
      <c r="H253">
        <v>13</v>
      </c>
      <c r="I253" t="s">
        <v>2419</v>
      </c>
      <c r="J253" t="s">
        <v>220</v>
      </c>
    </row>
    <row r="254" spans="1:10">
      <c r="A254" t="s">
        <v>624</v>
      </c>
      <c r="B254" t="s">
        <v>141</v>
      </c>
      <c r="C254" t="s">
        <v>649</v>
      </c>
      <c r="D254" t="s">
        <v>660</v>
      </c>
      <c r="E254" t="s">
        <v>1786</v>
      </c>
      <c r="F254" t="s">
        <v>1396</v>
      </c>
      <c r="G254" t="s">
        <v>1303</v>
      </c>
      <c r="H254">
        <v>13</v>
      </c>
      <c r="I254" t="s">
        <v>2419</v>
      </c>
      <c r="J254" t="s">
        <v>220</v>
      </c>
    </row>
    <row r="255" spans="1:10">
      <c r="A255" t="s">
        <v>625</v>
      </c>
      <c r="B255" t="s">
        <v>141</v>
      </c>
      <c r="C255" t="s">
        <v>649</v>
      </c>
      <c r="D255" t="s">
        <v>661</v>
      </c>
      <c r="E255" t="s">
        <v>1787</v>
      </c>
      <c r="F255" t="s">
        <v>1396</v>
      </c>
      <c r="G255" t="s">
        <v>1303</v>
      </c>
      <c r="H255">
        <v>13</v>
      </c>
      <c r="I255" t="s">
        <v>2419</v>
      </c>
      <c r="J255" t="s">
        <v>220</v>
      </c>
    </row>
    <row r="256" spans="1:10">
      <c r="A256" t="s">
        <v>724</v>
      </c>
      <c r="B256" t="s">
        <v>141</v>
      </c>
      <c r="C256" t="s">
        <v>649</v>
      </c>
      <c r="D256" t="s">
        <v>722</v>
      </c>
      <c r="E256" t="s">
        <v>1788</v>
      </c>
      <c r="F256" t="s">
        <v>1396</v>
      </c>
      <c r="G256" t="s">
        <v>1303</v>
      </c>
      <c r="H256">
        <v>13</v>
      </c>
      <c r="I256" t="s">
        <v>2419</v>
      </c>
      <c r="J256" t="s">
        <v>220</v>
      </c>
    </row>
    <row r="257" spans="1:10">
      <c r="A257" t="s">
        <v>626</v>
      </c>
      <c r="B257" t="s">
        <v>141</v>
      </c>
      <c r="C257" t="s">
        <v>650</v>
      </c>
      <c r="D257" t="s">
        <v>145</v>
      </c>
      <c r="E257" t="s">
        <v>1789</v>
      </c>
      <c r="F257" t="s">
        <v>1398</v>
      </c>
      <c r="G257" t="s">
        <v>1305</v>
      </c>
      <c r="H257">
        <v>13</v>
      </c>
      <c r="I257" t="s">
        <v>2419</v>
      </c>
      <c r="J257" t="s">
        <v>220</v>
      </c>
    </row>
    <row r="258" spans="1:10">
      <c r="A258" t="s">
        <v>627</v>
      </c>
      <c r="B258" t="s">
        <v>141</v>
      </c>
      <c r="C258" t="s">
        <v>650</v>
      </c>
      <c r="D258" t="s">
        <v>146</v>
      </c>
      <c r="E258" t="s">
        <v>1790</v>
      </c>
      <c r="F258" t="s">
        <v>1398</v>
      </c>
      <c r="G258" t="s">
        <v>1305</v>
      </c>
      <c r="H258">
        <v>13</v>
      </c>
      <c r="I258" t="s">
        <v>2419</v>
      </c>
      <c r="J258" t="s">
        <v>220</v>
      </c>
    </row>
    <row r="259" spans="1:10">
      <c r="A259" t="s">
        <v>628</v>
      </c>
      <c r="B259" t="s">
        <v>141</v>
      </c>
      <c r="C259" t="s">
        <v>650</v>
      </c>
      <c r="D259" t="s">
        <v>660</v>
      </c>
      <c r="E259" t="s">
        <v>1791</v>
      </c>
      <c r="F259" t="s">
        <v>1398</v>
      </c>
      <c r="G259" t="s">
        <v>1305</v>
      </c>
      <c r="H259">
        <v>13</v>
      </c>
      <c r="I259" t="s">
        <v>2419</v>
      </c>
      <c r="J259" t="s">
        <v>220</v>
      </c>
    </row>
    <row r="260" spans="1:10">
      <c r="A260" t="s">
        <v>629</v>
      </c>
      <c r="B260" t="s">
        <v>141</v>
      </c>
      <c r="C260" t="s">
        <v>650</v>
      </c>
      <c r="D260" t="s">
        <v>661</v>
      </c>
      <c r="E260" t="s">
        <v>1792</v>
      </c>
      <c r="F260" t="s">
        <v>1398</v>
      </c>
      <c r="G260" t="s">
        <v>1305</v>
      </c>
      <c r="H260">
        <v>13</v>
      </c>
      <c r="I260" t="s">
        <v>2419</v>
      </c>
      <c r="J260" t="s">
        <v>220</v>
      </c>
    </row>
    <row r="261" spans="1:10">
      <c r="A261" t="s">
        <v>725</v>
      </c>
      <c r="B261" t="s">
        <v>141</v>
      </c>
      <c r="C261" t="s">
        <v>650</v>
      </c>
      <c r="D261" t="s">
        <v>722</v>
      </c>
      <c r="E261" t="s">
        <v>1793</v>
      </c>
      <c r="F261" t="s">
        <v>1398</v>
      </c>
      <c r="G261" t="s">
        <v>1305</v>
      </c>
      <c r="H261">
        <v>13</v>
      </c>
      <c r="I261" t="s">
        <v>2419</v>
      </c>
      <c r="J261" t="s">
        <v>220</v>
      </c>
    </row>
    <row r="262" spans="1:10">
      <c r="A262" t="s">
        <v>55</v>
      </c>
      <c r="B262" t="s">
        <v>614</v>
      </c>
      <c r="C262" t="s">
        <v>266</v>
      </c>
      <c r="D262" t="s">
        <v>307</v>
      </c>
      <c r="E262" t="s">
        <v>1794</v>
      </c>
      <c r="F262" t="s">
        <v>1426</v>
      </c>
      <c r="G262" t="s">
        <v>1300</v>
      </c>
      <c r="H262">
        <v>45</v>
      </c>
      <c r="I262" t="s">
        <v>687</v>
      </c>
      <c r="J262" t="s">
        <v>222</v>
      </c>
    </row>
    <row r="263" spans="1:10">
      <c r="A263" t="s">
        <v>404</v>
      </c>
      <c r="B263" t="s">
        <v>614</v>
      </c>
      <c r="C263" t="s">
        <v>716</v>
      </c>
      <c r="D263" t="s">
        <v>717</v>
      </c>
      <c r="E263" t="s">
        <v>1795</v>
      </c>
      <c r="F263" t="s">
        <v>1393</v>
      </c>
      <c r="G263" t="s">
        <v>1300</v>
      </c>
      <c r="H263">
        <v>45</v>
      </c>
      <c r="I263" t="s">
        <v>687</v>
      </c>
      <c r="J263" t="s">
        <v>222</v>
      </c>
    </row>
    <row r="264" spans="1:10">
      <c r="A264" t="s">
        <v>56</v>
      </c>
      <c r="B264" t="s">
        <v>614</v>
      </c>
      <c r="C264" t="s">
        <v>283</v>
      </c>
      <c r="D264" t="s">
        <v>307</v>
      </c>
      <c r="E264" t="s">
        <v>1796</v>
      </c>
      <c r="F264" t="s">
        <v>1435</v>
      </c>
      <c r="G264" t="s">
        <v>1300</v>
      </c>
      <c r="H264">
        <v>45</v>
      </c>
      <c r="I264" t="s">
        <v>687</v>
      </c>
      <c r="J264" t="s">
        <v>222</v>
      </c>
    </row>
    <row r="265" spans="1:10">
      <c r="A265" t="s">
        <v>77</v>
      </c>
      <c r="B265" t="s">
        <v>614</v>
      </c>
      <c r="C265" t="s">
        <v>975</v>
      </c>
      <c r="D265" t="s">
        <v>726</v>
      </c>
      <c r="E265" t="s">
        <v>1797</v>
      </c>
      <c r="F265" t="s">
        <v>1309</v>
      </c>
      <c r="G265" t="s">
        <v>1309</v>
      </c>
      <c r="H265">
        <v>45</v>
      </c>
      <c r="I265" t="s">
        <v>687</v>
      </c>
      <c r="J265" t="s">
        <v>222</v>
      </c>
    </row>
    <row r="266" spans="1:10">
      <c r="A266" t="s">
        <v>78</v>
      </c>
      <c r="B266" t="s">
        <v>614</v>
      </c>
      <c r="C266" t="s">
        <v>976</v>
      </c>
      <c r="D266" t="s">
        <v>726</v>
      </c>
      <c r="E266" t="s">
        <v>1798</v>
      </c>
      <c r="F266" t="s">
        <v>1313</v>
      </c>
      <c r="G266" t="s">
        <v>1313</v>
      </c>
      <c r="H266">
        <v>45</v>
      </c>
      <c r="I266" t="s">
        <v>687</v>
      </c>
      <c r="J266" t="s">
        <v>222</v>
      </c>
    </row>
    <row r="267" spans="1:10">
      <c r="A267" t="s">
        <v>79</v>
      </c>
      <c r="B267" t="s">
        <v>614</v>
      </c>
      <c r="C267" t="s">
        <v>977</v>
      </c>
      <c r="D267" t="s">
        <v>726</v>
      </c>
      <c r="E267" t="s">
        <v>1799</v>
      </c>
      <c r="F267" t="s">
        <v>1316</v>
      </c>
      <c r="G267" t="s">
        <v>1316</v>
      </c>
      <c r="H267">
        <v>45</v>
      </c>
      <c r="I267" t="s">
        <v>687</v>
      </c>
      <c r="J267" t="s">
        <v>222</v>
      </c>
    </row>
    <row r="268" spans="1:10">
      <c r="A268" t="s">
        <v>80</v>
      </c>
      <c r="B268" t="s">
        <v>614</v>
      </c>
      <c r="C268" t="s">
        <v>727</v>
      </c>
      <c r="D268" t="s">
        <v>726</v>
      </c>
      <c r="E268" t="s">
        <v>1800</v>
      </c>
      <c r="F268" t="s">
        <v>1323</v>
      </c>
      <c r="G268" t="s">
        <v>1323</v>
      </c>
      <c r="H268">
        <v>45</v>
      </c>
      <c r="I268" t="s">
        <v>687</v>
      </c>
      <c r="J268" t="s">
        <v>222</v>
      </c>
    </row>
    <row r="269" spans="1:10">
      <c r="A269" t="s">
        <v>72</v>
      </c>
      <c r="B269" t="s">
        <v>614</v>
      </c>
      <c r="C269" t="s">
        <v>728</v>
      </c>
      <c r="D269" t="s">
        <v>726</v>
      </c>
      <c r="E269" t="s">
        <v>1801</v>
      </c>
      <c r="F269" t="s">
        <v>1318</v>
      </c>
      <c r="G269" t="s">
        <v>1318</v>
      </c>
      <c r="H269">
        <v>45</v>
      </c>
      <c r="I269" t="s">
        <v>687</v>
      </c>
      <c r="J269" t="s">
        <v>222</v>
      </c>
    </row>
    <row r="270" spans="1:10">
      <c r="A270" t="s">
        <v>73</v>
      </c>
      <c r="B270" t="s">
        <v>614</v>
      </c>
      <c r="C270" t="s">
        <v>729</v>
      </c>
      <c r="D270" t="s">
        <v>726</v>
      </c>
      <c r="E270" t="s">
        <v>1802</v>
      </c>
      <c r="F270" t="s">
        <v>1406</v>
      </c>
      <c r="G270" t="s">
        <v>1307</v>
      </c>
      <c r="H270">
        <v>45</v>
      </c>
      <c r="I270" t="s">
        <v>687</v>
      </c>
      <c r="J270" t="s">
        <v>222</v>
      </c>
    </row>
    <row r="271" spans="1:10">
      <c r="A271" t="s">
        <v>74</v>
      </c>
      <c r="B271" t="s">
        <v>614</v>
      </c>
      <c r="C271" t="s">
        <v>730</v>
      </c>
      <c r="D271" t="s">
        <v>726</v>
      </c>
      <c r="E271" t="s">
        <v>1803</v>
      </c>
      <c r="F271" t="s">
        <v>1415</v>
      </c>
      <c r="G271" t="s">
        <v>1311</v>
      </c>
      <c r="H271">
        <v>45</v>
      </c>
      <c r="I271" t="s">
        <v>687</v>
      </c>
      <c r="J271" t="s">
        <v>222</v>
      </c>
    </row>
    <row r="272" spans="1:10">
      <c r="A272" t="s">
        <v>75</v>
      </c>
      <c r="B272" t="s">
        <v>614</v>
      </c>
      <c r="C272" t="s">
        <v>731</v>
      </c>
      <c r="D272" t="s">
        <v>726</v>
      </c>
      <c r="E272" t="s">
        <v>1804</v>
      </c>
      <c r="F272" t="s">
        <v>1424</v>
      </c>
      <c r="G272" t="s">
        <v>1314</v>
      </c>
      <c r="H272">
        <v>45</v>
      </c>
      <c r="I272" t="s">
        <v>687</v>
      </c>
      <c r="J272" t="s">
        <v>222</v>
      </c>
    </row>
    <row r="273" spans="1:10">
      <c r="A273" t="s">
        <v>76</v>
      </c>
      <c r="B273" t="s">
        <v>614</v>
      </c>
      <c r="C273" t="s">
        <v>732</v>
      </c>
      <c r="D273" t="s">
        <v>726</v>
      </c>
      <c r="E273" t="s">
        <v>1805</v>
      </c>
      <c r="F273" t="s">
        <v>1432</v>
      </c>
      <c r="G273" t="s">
        <v>1319</v>
      </c>
      <c r="H273">
        <v>45</v>
      </c>
      <c r="I273" t="s">
        <v>687</v>
      </c>
      <c r="J273" t="s">
        <v>222</v>
      </c>
    </row>
    <row r="274" spans="1:10">
      <c r="A274" t="s">
        <v>914</v>
      </c>
      <c r="B274" t="s">
        <v>614</v>
      </c>
      <c r="C274" t="s">
        <v>915</v>
      </c>
      <c r="D274" t="s">
        <v>726</v>
      </c>
      <c r="E274" t="s">
        <v>1806</v>
      </c>
      <c r="F274" t="s">
        <v>1407</v>
      </c>
      <c r="G274" t="s">
        <v>1308</v>
      </c>
      <c r="H274">
        <v>45</v>
      </c>
      <c r="I274" t="s">
        <v>687</v>
      </c>
      <c r="J274" t="s">
        <v>222</v>
      </c>
    </row>
    <row r="275" spans="1:10">
      <c r="A275" t="s">
        <v>916</v>
      </c>
      <c r="B275" t="s">
        <v>614</v>
      </c>
      <c r="C275" t="s">
        <v>917</v>
      </c>
      <c r="D275" t="s">
        <v>726</v>
      </c>
      <c r="E275" t="s">
        <v>1807</v>
      </c>
      <c r="F275" t="s">
        <v>1416</v>
      </c>
      <c r="G275" t="s">
        <v>1312</v>
      </c>
      <c r="H275">
        <v>45</v>
      </c>
      <c r="I275" t="s">
        <v>687</v>
      </c>
      <c r="J275" t="s">
        <v>222</v>
      </c>
    </row>
    <row r="276" spans="1:10">
      <c r="A276" t="s">
        <v>918</v>
      </c>
      <c r="B276" t="s">
        <v>614</v>
      </c>
      <c r="C276" t="s">
        <v>919</v>
      </c>
      <c r="D276" t="s">
        <v>726</v>
      </c>
      <c r="E276" t="s">
        <v>1808</v>
      </c>
      <c r="F276" t="s">
        <v>1425</v>
      </c>
      <c r="G276" t="s">
        <v>1315</v>
      </c>
      <c r="H276">
        <v>45</v>
      </c>
      <c r="I276" t="s">
        <v>687</v>
      </c>
      <c r="J276" t="s">
        <v>222</v>
      </c>
    </row>
    <row r="277" spans="1:10">
      <c r="A277" t="s">
        <v>920</v>
      </c>
      <c r="B277" t="s">
        <v>614</v>
      </c>
      <c r="C277" t="s">
        <v>921</v>
      </c>
      <c r="D277" t="s">
        <v>726</v>
      </c>
      <c r="E277" t="s">
        <v>1809</v>
      </c>
      <c r="F277" t="s">
        <v>1433</v>
      </c>
      <c r="G277" t="s">
        <v>1320</v>
      </c>
      <c r="H277">
        <v>45</v>
      </c>
      <c r="I277" t="s">
        <v>687</v>
      </c>
      <c r="J277" t="s">
        <v>222</v>
      </c>
    </row>
    <row r="278" spans="1:10">
      <c r="A278" t="s">
        <v>114</v>
      </c>
      <c r="B278" t="s">
        <v>614</v>
      </c>
      <c r="C278" t="s">
        <v>435</v>
      </c>
      <c r="D278" t="s">
        <v>717</v>
      </c>
      <c r="E278" t="s">
        <v>1810</v>
      </c>
      <c r="F278" t="s">
        <v>1409</v>
      </c>
      <c r="G278" t="s">
        <v>1301</v>
      </c>
      <c r="H278">
        <v>45</v>
      </c>
      <c r="I278" t="s">
        <v>687</v>
      </c>
      <c r="J278" t="s">
        <v>222</v>
      </c>
    </row>
    <row r="279" spans="1:10">
      <c r="A279" t="s">
        <v>115</v>
      </c>
      <c r="B279" t="s">
        <v>614</v>
      </c>
      <c r="C279" t="s">
        <v>436</v>
      </c>
      <c r="D279" t="s">
        <v>717</v>
      </c>
      <c r="E279" t="s">
        <v>1811</v>
      </c>
      <c r="F279" t="s">
        <v>1394</v>
      </c>
      <c r="G279" t="s">
        <v>1301</v>
      </c>
      <c r="H279">
        <v>45</v>
      </c>
      <c r="I279" t="s">
        <v>687</v>
      </c>
      <c r="J279" t="s">
        <v>222</v>
      </c>
    </row>
    <row r="280" spans="1:10">
      <c r="A280" t="s">
        <v>563</v>
      </c>
      <c r="B280" t="s">
        <v>614</v>
      </c>
      <c r="C280" t="s">
        <v>564</v>
      </c>
      <c r="D280" t="s">
        <v>726</v>
      </c>
      <c r="E280" t="s">
        <v>1812</v>
      </c>
      <c r="F280" t="s">
        <v>1401</v>
      </c>
      <c r="G280" t="s">
        <v>1300</v>
      </c>
      <c r="H280">
        <v>45</v>
      </c>
      <c r="I280" t="s">
        <v>687</v>
      </c>
      <c r="J280" t="s">
        <v>222</v>
      </c>
    </row>
    <row r="281" spans="1:10">
      <c r="A281" t="s">
        <v>57</v>
      </c>
      <c r="B281" t="s">
        <v>410</v>
      </c>
      <c r="C281" t="s">
        <v>250</v>
      </c>
      <c r="D281" t="s">
        <v>301</v>
      </c>
      <c r="E281" t="s">
        <v>1813</v>
      </c>
      <c r="F281" t="s">
        <v>1402</v>
      </c>
      <c r="G281" t="s">
        <v>1300</v>
      </c>
      <c r="H281">
        <v>45</v>
      </c>
      <c r="I281" t="s">
        <v>2060</v>
      </c>
      <c r="J281" t="s">
        <v>2615</v>
      </c>
    </row>
    <row r="282" spans="1:10">
      <c r="A282" t="s">
        <v>58</v>
      </c>
      <c r="B282" t="s">
        <v>1969</v>
      </c>
      <c r="C282" t="s">
        <v>250</v>
      </c>
      <c r="D282" t="s">
        <v>302</v>
      </c>
      <c r="E282" t="s">
        <v>1150</v>
      </c>
      <c r="F282" t="s">
        <v>1151</v>
      </c>
      <c r="G282" t="s">
        <v>1300</v>
      </c>
      <c r="H282">
        <v>45</v>
      </c>
      <c r="I282" t="s">
        <v>2728</v>
      </c>
      <c r="J282" t="s">
        <v>221</v>
      </c>
    </row>
    <row r="283" spans="1:10">
      <c r="A283" t="s">
        <v>1611</v>
      </c>
      <c r="B283" t="s">
        <v>1969</v>
      </c>
      <c r="C283" t="s">
        <v>250</v>
      </c>
      <c r="D283" t="s">
        <v>311</v>
      </c>
      <c r="E283" t="s">
        <v>1814</v>
      </c>
      <c r="F283" t="s">
        <v>1403</v>
      </c>
      <c r="G283" t="s">
        <v>1300</v>
      </c>
      <c r="H283">
        <v>45</v>
      </c>
      <c r="I283" t="s">
        <v>2728</v>
      </c>
      <c r="J283" t="s">
        <v>221</v>
      </c>
    </row>
    <row r="284" spans="1:10">
      <c r="A284" t="s">
        <v>1612</v>
      </c>
      <c r="B284" t="s">
        <v>1969</v>
      </c>
      <c r="C284" t="s">
        <v>250</v>
      </c>
      <c r="D284" t="s">
        <v>695</v>
      </c>
      <c r="E284" t="s">
        <v>1815</v>
      </c>
      <c r="F284" t="s">
        <v>1404</v>
      </c>
      <c r="G284" t="s">
        <v>1300</v>
      </c>
      <c r="H284">
        <v>45</v>
      </c>
      <c r="I284" t="s">
        <v>2728</v>
      </c>
      <c r="J284" t="s">
        <v>221</v>
      </c>
    </row>
    <row r="285" spans="1:10">
      <c r="A285" t="s">
        <v>1613</v>
      </c>
      <c r="B285" t="s">
        <v>1969</v>
      </c>
      <c r="C285" t="s">
        <v>250</v>
      </c>
      <c r="D285" t="s">
        <v>697</v>
      </c>
      <c r="E285" t="s">
        <v>1816</v>
      </c>
      <c r="F285" t="s">
        <v>1405</v>
      </c>
      <c r="G285" t="s">
        <v>1300</v>
      </c>
      <c r="H285">
        <v>45</v>
      </c>
      <c r="I285" t="s">
        <v>2728</v>
      </c>
      <c r="J285" t="s">
        <v>221</v>
      </c>
    </row>
    <row r="286" spans="1:10">
      <c r="A286" t="s">
        <v>437</v>
      </c>
      <c r="B286" t="s">
        <v>614</v>
      </c>
      <c r="C286" t="s">
        <v>733</v>
      </c>
      <c r="D286" t="s">
        <v>726</v>
      </c>
      <c r="E286" t="s">
        <v>1817</v>
      </c>
      <c r="F286" t="s">
        <v>1317</v>
      </c>
      <c r="G286" t="s">
        <v>1317</v>
      </c>
      <c r="H286">
        <v>45</v>
      </c>
      <c r="I286" t="s">
        <v>687</v>
      </c>
      <c r="J286" t="s">
        <v>222</v>
      </c>
    </row>
    <row r="287" spans="1:10">
      <c r="A287" t="s">
        <v>617</v>
      </c>
      <c r="B287" t="s">
        <v>614</v>
      </c>
      <c r="C287" t="s">
        <v>734</v>
      </c>
      <c r="D287" t="s">
        <v>726</v>
      </c>
      <c r="E287" t="s">
        <v>1818</v>
      </c>
      <c r="F287" t="s">
        <v>1411</v>
      </c>
      <c r="G287" t="s">
        <v>1310</v>
      </c>
      <c r="H287">
        <v>45</v>
      </c>
      <c r="I287" t="s">
        <v>687</v>
      </c>
      <c r="J287" t="s">
        <v>222</v>
      </c>
    </row>
    <row r="288" spans="1:10">
      <c r="A288" t="s">
        <v>618</v>
      </c>
      <c r="B288" t="s">
        <v>614</v>
      </c>
      <c r="C288" t="s">
        <v>735</v>
      </c>
      <c r="D288" t="s">
        <v>726</v>
      </c>
      <c r="E288" t="s">
        <v>1819</v>
      </c>
      <c r="F288" t="s">
        <v>1419</v>
      </c>
      <c r="G288" t="s">
        <v>1310</v>
      </c>
      <c r="H288">
        <v>45</v>
      </c>
      <c r="I288" t="s">
        <v>687</v>
      </c>
      <c r="J288" t="s">
        <v>222</v>
      </c>
    </row>
    <row r="289" spans="1:10">
      <c r="A289" t="s">
        <v>619</v>
      </c>
      <c r="B289" t="s">
        <v>614</v>
      </c>
      <c r="C289" t="s">
        <v>736</v>
      </c>
      <c r="D289" t="s">
        <v>726</v>
      </c>
      <c r="E289" t="s">
        <v>1820</v>
      </c>
      <c r="F289" t="s">
        <v>1428</v>
      </c>
      <c r="G289" t="s">
        <v>1310</v>
      </c>
      <c r="H289">
        <v>45</v>
      </c>
      <c r="I289" t="s">
        <v>687</v>
      </c>
      <c r="J289" t="s">
        <v>222</v>
      </c>
    </row>
    <row r="290" spans="1:10">
      <c r="A290" t="s">
        <v>620</v>
      </c>
      <c r="B290" t="s">
        <v>614</v>
      </c>
      <c r="C290" t="s">
        <v>737</v>
      </c>
      <c r="D290" t="s">
        <v>726</v>
      </c>
      <c r="E290" t="s">
        <v>1821</v>
      </c>
      <c r="F290" t="s">
        <v>1436</v>
      </c>
      <c r="G290" t="s">
        <v>1310</v>
      </c>
      <c r="H290">
        <v>45</v>
      </c>
      <c r="I290" t="s">
        <v>687</v>
      </c>
      <c r="J290" t="s">
        <v>222</v>
      </c>
    </row>
    <row r="291" spans="1:10">
      <c r="A291" t="s">
        <v>621</v>
      </c>
      <c r="B291" t="s">
        <v>614</v>
      </c>
      <c r="C291" t="s">
        <v>738</v>
      </c>
      <c r="D291" t="s">
        <v>726</v>
      </c>
      <c r="E291" t="s">
        <v>1822</v>
      </c>
      <c r="F291" t="s">
        <v>1322</v>
      </c>
      <c r="G291" t="s">
        <v>1322</v>
      </c>
      <c r="H291">
        <v>45</v>
      </c>
      <c r="I291" t="s">
        <v>687</v>
      </c>
      <c r="J291" t="s">
        <v>222</v>
      </c>
    </row>
    <row r="292" spans="1:10">
      <c r="A292" t="s">
        <v>1614</v>
      </c>
      <c r="B292" t="s">
        <v>614</v>
      </c>
      <c r="C292" t="s">
        <v>1248</v>
      </c>
      <c r="D292" t="s">
        <v>726</v>
      </c>
      <c r="E292" t="s">
        <v>1823</v>
      </c>
      <c r="F292" t="s">
        <v>1427</v>
      </c>
      <c r="G292" t="s">
        <v>1248</v>
      </c>
      <c r="H292">
        <v>45</v>
      </c>
      <c r="I292" t="s">
        <v>687</v>
      </c>
      <c r="J292" t="s">
        <v>222</v>
      </c>
    </row>
    <row r="293" spans="1:10">
      <c r="A293" t="s">
        <v>1615</v>
      </c>
      <c r="B293" t="s">
        <v>614</v>
      </c>
      <c r="C293" t="s">
        <v>1247</v>
      </c>
      <c r="D293" t="s">
        <v>726</v>
      </c>
      <c r="E293" t="s">
        <v>1824</v>
      </c>
      <c r="F293" t="s">
        <v>1410</v>
      </c>
      <c r="G293" t="s">
        <v>1247</v>
      </c>
      <c r="H293">
        <v>45</v>
      </c>
      <c r="I293" t="s">
        <v>687</v>
      </c>
      <c r="J293" t="s">
        <v>222</v>
      </c>
    </row>
    <row r="294" spans="1:10">
      <c r="A294" t="s">
        <v>1074</v>
      </c>
      <c r="B294" t="s">
        <v>614</v>
      </c>
      <c r="C294" t="s">
        <v>1109</v>
      </c>
      <c r="D294" t="s">
        <v>726</v>
      </c>
      <c r="E294" t="s">
        <v>1825</v>
      </c>
      <c r="F294" t="s">
        <v>1418</v>
      </c>
      <c r="G294" t="s">
        <v>1109</v>
      </c>
      <c r="H294">
        <v>45</v>
      </c>
      <c r="I294" t="s">
        <v>687</v>
      </c>
      <c r="J294" t="s">
        <v>222</v>
      </c>
    </row>
    <row r="295" spans="1:10">
      <c r="A295" t="s">
        <v>616</v>
      </c>
      <c r="B295" t="s">
        <v>614</v>
      </c>
      <c r="C295" t="s">
        <v>739</v>
      </c>
      <c r="D295" t="s">
        <v>726</v>
      </c>
      <c r="E295" t="s">
        <v>1826</v>
      </c>
      <c r="F295" t="s">
        <v>1423</v>
      </c>
      <c r="G295" t="s">
        <v>1300</v>
      </c>
      <c r="H295">
        <v>45</v>
      </c>
      <c r="I295" t="s">
        <v>687</v>
      </c>
      <c r="J295" t="s">
        <v>222</v>
      </c>
    </row>
    <row r="296" spans="1:10">
      <c r="A296" t="s">
        <v>1616</v>
      </c>
      <c r="B296" t="s">
        <v>614</v>
      </c>
      <c r="C296" t="s">
        <v>1249</v>
      </c>
      <c r="D296" t="s">
        <v>726</v>
      </c>
      <c r="E296" t="s">
        <v>1827</v>
      </c>
      <c r="F296" t="s">
        <v>1434</v>
      </c>
      <c r="G296" t="s">
        <v>1321</v>
      </c>
      <c r="H296">
        <v>45</v>
      </c>
      <c r="I296" t="s">
        <v>687</v>
      </c>
      <c r="J296" t="s">
        <v>222</v>
      </c>
    </row>
    <row r="297" spans="1:10">
      <c r="A297" t="s">
        <v>59</v>
      </c>
      <c r="B297" t="s">
        <v>1969</v>
      </c>
      <c r="C297" t="s">
        <v>258</v>
      </c>
      <c r="D297" t="s">
        <v>302</v>
      </c>
      <c r="E297" t="s">
        <v>1148</v>
      </c>
      <c r="F297" t="s">
        <v>1149</v>
      </c>
      <c r="G297" t="s">
        <v>1300</v>
      </c>
      <c r="H297">
        <v>45</v>
      </c>
      <c r="I297" t="s">
        <v>2728</v>
      </c>
      <c r="J297" t="s">
        <v>221</v>
      </c>
    </row>
    <row r="298" spans="1:10">
      <c r="A298" t="s">
        <v>60</v>
      </c>
      <c r="B298" t="s">
        <v>1969</v>
      </c>
      <c r="C298" t="s">
        <v>258</v>
      </c>
      <c r="D298" t="s">
        <v>311</v>
      </c>
      <c r="E298" t="s">
        <v>1828</v>
      </c>
      <c r="F298" t="s">
        <v>1412</v>
      </c>
      <c r="G298" t="s">
        <v>1300</v>
      </c>
      <c r="H298">
        <v>45</v>
      </c>
      <c r="I298" t="s">
        <v>2728</v>
      </c>
      <c r="J298" t="s">
        <v>221</v>
      </c>
    </row>
    <row r="299" spans="1:10">
      <c r="A299" t="s">
        <v>1617</v>
      </c>
      <c r="B299" t="s">
        <v>1969</v>
      </c>
      <c r="C299" t="s">
        <v>258</v>
      </c>
      <c r="D299" t="s">
        <v>695</v>
      </c>
      <c r="E299" t="s">
        <v>1829</v>
      </c>
      <c r="F299" t="s">
        <v>1413</v>
      </c>
      <c r="G299" t="s">
        <v>1300</v>
      </c>
      <c r="H299">
        <v>45</v>
      </c>
      <c r="I299" t="s">
        <v>2728</v>
      </c>
      <c r="J299" t="s">
        <v>221</v>
      </c>
    </row>
    <row r="300" spans="1:10">
      <c r="A300" t="s">
        <v>1618</v>
      </c>
      <c r="B300" t="s">
        <v>1969</v>
      </c>
      <c r="C300" t="s">
        <v>258</v>
      </c>
      <c r="D300" t="s">
        <v>697</v>
      </c>
      <c r="E300" t="s">
        <v>1830</v>
      </c>
      <c r="F300" t="s">
        <v>1414</v>
      </c>
      <c r="G300" t="s">
        <v>1300</v>
      </c>
      <c r="H300">
        <v>45</v>
      </c>
      <c r="I300" t="s">
        <v>2728</v>
      </c>
      <c r="J300" t="s">
        <v>221</v>
      </c>
    </row>
    <row r="301" spans="1:10">
      <c r="A301" t="s">
        <v>81</v>
      </c>
      <c r="B301" t="s">
        <v>1969</v>
      </c>
      <c r="C301" t="s">
        <v>264</v>
      </c>
      <c r="D301" t="s">
        <v>653</v>
      </c>
      <c r="E301" t="s">
        <v>1140</v>
      </c>
      <c r="F301" t="s">
        <v>1141</v>
      </c>
      <c r="G301" t="s">
        <v>1300</v>
      </c>
      <c r="H301">
        <v>45</v>
      </c>
      <c r="I301" t="s">
        <v>2728</v>
      </c>
      <c r="J301" t="s">
        <v>221</v>
      </c>
    </row>
    <row r="302" spans="1:10">
      <c r="A302" t="s">
        <v>61</v>
      </c>
      <c r="B302" t="s">
        <v>1969</v>
      </c>
      <c r="C302" t="s">
        <v>264</v>
      </c>
      <c r="D302" t="s">
        <v>1005</v>
      </c>
      <c r="E302" t="s">
        <v>1144</v>
      </c>
      <c r="F302" t="s">
        <v>1145</v>
      </c>
      <c r="G302" t="s">
        <v>1300</v>
      </c>
      <c r="H302">
        <v>45</v>
      </c>
      <c r="I302" t="s">
        <v>2728</v>
      </c>
      <c r="J302" t="s">
        <v>221</v>
      </c>
    </row>
    <row r="303" spans="1:10">
      <c r="A303" t="s">
        <v>62</v>
      </c>
      <c r="B303" t="s">
        <v>1969</v>
      </c>
      <c r="C303" t="s">
        <v>264</v>
      </c>
      <c r="D303" t="s">
        <v>740</v>
      </c>
      <c r="E303" t="s">
        <v>1831</v>
      </c>
      <c r="F303" t="s">
        <v>1420</v>
      </c>
      <c r="G303" t="s">
        <v>1300</v>
      </c>
      <c r="H303">
        <v>45</v>
      </c>
      <c r="I303" t="s">
        <v>2728</v>
      </c>
      <c r="J303" t="s">
        <v>221</v>
      </c>
    </row>
    <row r="304" spans="1:10">
      <c r="A304" t="s">
        <v>1619</v>
      </c>
      <c r="B304" t="s">
        <v>1969</v>
      </c>
      <c r="C304" t="s">
        <v>264</v>
      </c>
      <c r="D304" t="s">
        <v>1271</v>
      </c>
      <c r="E304" t="s">
        <v>1832</v>
      </c>
      <c r="F304" t="s">
        <v>1421</v>
      </c>
      <c r="G304" t="s">
        <v>1300</v>
      </c>
      <c r="H304">
        <v>45</v>
      </c>
      <c r="I304" t="s">
        <v>2728</v>
      </c>
      <c r="J304" t="s">
        <v>221</v>
      </c>
    </row>
    <row r="305" spans="1:10">
      <c r="A305" t="s">
        <v>1620</v>
      </c>
      <c r="B305" t="s">
        <v>1969</v>
      </c>
      <c r="C305" t="s">
        <v>264</v>
      </c>
      <c r="D305" t="s">
        <v>1272</v>
      </c>
      <c r="E305" t="s">
        <v>1833</v>
      </c>
      <c r="F305" t="s">
        <v>1422</v>
      </c>
      <c r="G305" t="s">
        <v>1300</v>
      </c>
      <c r="H305">
        <v>45</v>
      </c>
      <c r="I305" t="s">
        <v>2728</v>
      </c>
      <c r="J305" t="s">
        <v>221</v>
      </c>
    </row>
    <row r="306" spans="1:10">
      <c r="A306" t="s">
        <v>63</v>
      </c>
      <c r="B306" t="s">
        <v>410</v>
      </c>
      <c r="C306" t="s">
        <v>281</v>
      </c>
      <c r="D306" t="s">
        <v>327</v>
      </c>
      <c r="E306" t="s">
        <v>1142</v>
      </c>
      <c r="F306" t="s">
        <v>1143</v>
      </c>
      <c r="G306" t="s">
        <v>1300</v>
      </c>
      <c r="H306">
        <v>45</v>
      </c>
      <c r="I306" t="s">
        <v>2060</v>
      </c>
      <c r="J306" t="s">
        <v>2615</v>
      </c>
    </row>
    <row r="307" spans="1:10">
      <c r="A307" t="s">
        <v>64</v>
      </c>
      <c r="B307" t="s">
        <v>1969</v>
      </c>
      <c r="C307" t="s">
        <v>281</v>
      </c>
      <c r="D307" t="s">
        <v>328</v>
      </c>
      <c r="E307" t="s">
        <v>1146</v>
      </c>
      <c r="F307" t="s">
        <v>1147</v>
      </c>
      <c r="G307" t="s">
        <v>1300</v>
      </c>
      <c r="H307">
        <v>45</v>
      </c>
      <c r="I307" t="s">
        <v>2728</v>
      </c>
      <c r="J307" t="s">
        <v>221</v>
      </c>
    </row>
    <row r="308" spans="1:10">
      <c r="A308" t="s">
        <v>399</v>
      </c>
      <c r="B308" t="s">
        <v>1969</v>
      </c>
      <c r="C308" t="s">
        <v>281</v>
      </c>
      <c r="D308" t="s">
        <v>705</v>
      </c>
      <c r="E308" t="s">
        <v>1834</v>
      </c>
      <c r="F308" t="s">
        <v>1429</v>
      </c>
      <c r="G308" t="s">
        <v>1300</v>
      </c>
      <c r="H308">
        <v>45</v>
      </c>
      <c r="I308" t="s">
        <v>2728</v>
      </c>
      <c r="J308" t="s">
        <v>221</v>
      </c>
    </row>
    <row r="309" spans="1:10">
      <c r="A309" t="s">
        <v>1621</v>
      </c>
      <c r="B309" t="s">
        <v>1969</v>
      </c>
      <c r="C309" t="s">
        <v>281</v>
      </c>
      <c r="D309" t="s">
        <v>708</v>
      </c>
      <c r="E309" t="s">
        <v>1835</v>
      </c>
      <c r="F309" t="s">
        <v>1430</v>
      </c>
      <c r="G309" t="s">
        <v>1300</v>
      </c>
      <c r="H309">
        <v>45</v>
      </c>
      <c r="I309" t="s">
        <v>2728</v>
      </c>
      <c r="J309" t="s">
        <v>221</v>
      </c>
    </row>
    <row r="310" spans="1:10">
      <c r="A310" t="s">
        <v>1622</v>
      </c>
      <c r="B310" t="s">
        <v>1969</v>
      </c>
      <c r="C310" t="s">
        <v>281</v>
      </c>
      <c r="D310" t="s">
        <v>709</v>
      </c>
      <c r="E310" t="s">
        <v>1836</v>
      </c>
      <c r="F310" t="s">
        <v>1431</v>
      </c>
      <c r="G310" t="s">
        <v>1300</v>
      </c>
      <c r="H310">
        <v>45</v>
      </c>
      <c r="I310" t="s">
        <v>2728</v>
      </c>
      <c r="J310" t="s">
        <v>221</v>
      </c>
    </row>
    <row r="311" spans="1:10">
      <c r="A311" t="s">
        <v>358</v>
      </c>
      <c r="B311" t="s">
        <v>614</v>
      </c>
      <c r="C311" t="s">
        <v>718</v>
      </c>
      <c r="D311" t="s">
        <v>717</v>
      </c>
      <c r="E311" t="s">
        <v>1837</v>
      </c>
      <c r="F311" t="s">
        <v>1377</v>
      </c>
      <c r="G311" t="s">
        <v>1300</v>
      </c>
      <c r="H311">
        <v>45</v>
      </c>
      <c r="I311" t="s">
        <v>687</v>
      </c>
      <c r="J311" t="s">
        <v>222</v>
      </c>
    </row>
    <row r="312" spans="1:10">
      <c r="A312" t="s">
        <v>370</v>
      </c>
      <c r="B312" t="s">
        <v>614</v>
      </c>
      <c r="C312" t="s">
        <v>719</v>
      </c>
      <c r="D312" t="s">
        <v>717</v>
      </c>
      <c r="E312" t="s">
        <v>1838</v>
      </c>
      <c r="F312" t="s">
        <v>1382</v>
      </c>
      <c r="G312" t="s">
        <v>1300</v>
      </c>
      <c r="H312">
        <v>45</v>
      </c>
      <c r="I312" t="s">
        <v>687</v>
      </c>
      <c r="J312" t="s">
        <v>222</v>
      </c>
    </row>
    <row r="313" spans="1:10">
      <c r="A313" t="s">
        <v>381</v>
      </c>
      <c r="B313" t="s">
        <v>614</v>
      </c>
      <c r="C313" t="s">
        <v>720</v>
      </c>
      <c r="D313" t="s">
        <v>717</v>
      </c>
      <c r="E313" t="s">
        <v>1839</v>
      </c>
      <c r="F313" t="s">
        <v>1388</v>
      </c>
      <c r="G313" t="s">
        <v>1300</v>
      </c>
      <c r="H313">
        <v>45</v>
      </c>
      <c r="I313" t="s">
        <v>687</v>
      </c>
      <c r="J313" t="s">
        <v>222</v>
      </c>
    </row>
    <row r="314" spans="1:10">
      <c r="A314" t="s">
        <v>65</v>
      </c>
      <c r="B314" t="s">
        <v>614</v>
      </c>
      <c r="C314" t="s">
        <v>252</v>
      </c>
      <c r="D314" t="s">
        <v>307</v>
      </c>
      <c r="E314" t="s">
        <v>1840</v>
      </c>
      <c r="F314" t="s">
        <v>1408</v>
      </c>
      <c r="G314" t="s">
        <v>1300</v>
      </c>
      <c r="H314">
        <v>45</v>
      </c>
      <c r="I314" t="s">
        <v>687</v>
      </c>
      <c r="J314" t="s">
        <v>222</v>
      </c>
    </row>
    <row r="315" spans="1:10">
      <c r="A315" t="s">
        <v>66</v>
      </c>
      <c r="B315" t="s">
        <v>614</v>
      </c>
      <c r="C315" t="s">
        <v>260</v>
      </c>
      <c r="D315" t="s">
        <v>307</v>
      </c>
      <c r="E315" t="s">
        <v>1841</v>
      </c>
      <c r="F315" t="s">
        <v>1417</v>
      </c>
      <c r="G315" t="s">
        <v>1300</v>
      </c>
      <c r="H315">
        <v>45</v>
      </c>
      <c r="I315" t="s">
        <v>687</v>
      </c>
      <c r="J315" t="s">
        <v>222</v>
      </c>
    </row>
    <row r="316" spans="1:10">
      <c r="A316" t="s">
        <v>1623</v>
      </c>
      <c r="B316" t="s">
        <v>2677</v>
      </c>
      <c r="C316" t="s">
        <v>1251</v>
      </c>
      <c r="D316" t="s">
        <v>2357</v>
      </c>
      <c r="E316" t="s">
        <v>1842</v>
      </c>
      <c r="F316" t="s">
        <v>1496</v>
      </c>
      <c r="G316" t="s">
        <v>1251</v>
      </c>
      <c r="H316">
        <v>14</v>
      </c>
      <c r="I316" t="s">
        <v>2730</v>
      </c>
      <c r="J316" t="s">
        <v>989</v>
      </c>
    </row>
    <row r="317" spans="1:10">
      <c r="A317" t="s">
        <v>1624</v>
      </c>
      <c r="B317" t="s">
        <v>2677</v>
      </c>
      <c r="C317" t="s">
        <v>1254</v>
      </c>
      <c r="D317" t="s">
        <v>1276</v>
      </c>
      <c r="E317" t="s">
        <v>1843</v>
      </c>
      <c r="F317" t="s">
        <v>1501</v>
      </c>
      <c r="G317" t="s">
        <v>1254</v>
      </c>
      <c r="H317">
        <v>11</v>
      </c>
      <c r="I317" t="s">
        <v>2730</v>
      </c>
      <c r="J317" t="s">
        <v>989</v>
      </c>
    </row>
    <row r="318" spans="1:10">
      <c r="A318" t="s">
        <v>1625</v>
      </c>
      <c r="B318" t="s">
        <v>2677</v>
      </c>
      <c r="C318" t="s">
        <v>1255</v>
      </c>
      <c r="D318" t="s">
        <v>1276</v>
      </c>
      <c r="E318" t="s">
        <v>1844</v>
      </c>
      <c r="F318" t="s">
        <v>1505</v>
      </c>
      <c r="G318" t="s">
        <v>783</v>
      </c>
      <c r="H318">
        <v>6</v>
      </c>
      <c r="I318" t="s">
        <v>2730</v>
      </c>
      <c r="J318" t="s">
        <v>989</v>
      </c>
    </row>
    <row r="319" spans="1:10">
      <c r="A319" t="s">
        <v>1626</v>
      </c>
      <c r="B319" t="s">
        <v>2677</v>
      </c>
      <c r="C319" t="s">
        <v>1253</v>
      </c>
      <c r="D319" t="s">
        <v>1276</v>
      </c>
      <c r="E319" t="s">
        <v>1845</v>
      </c>
      <c r="F319" t="s">
        <v>1498</v>
      </c>
      <c r="G319" t="s">
        <v>1253</v>
      </c>
      <c r="H319">
        <v>25</v>
      </c>
      <c r="I319" t="s">
        <v>2730</v>
      </c>
      <c r="J319" t="s">
        <v>989</v>
      </c>
    </row>
    <row r="320" spans="1:10">
      <c r="A320" t="s">
        <v>1627</v>
      </c>
      <c r="B320" t="s">
        <v>2677</v>
      </c>
      <c r="C320" t="s">
        <v>1256</v>
      </c>
      <c r="D320" t="s">
        <v>286</v>
      </c>
      <c r="E320" t="s">
        <v>2345</v>
      </c>
      <c r="F320" t="s">
        <v>1490</v>
      </c>
      <c r="G320" t="s">
        <v>1343</v>
      </c>
      <c r="H320" t="s">
        <v>1977</v>
      </c>
      <c r="I320" t="s">
        <v>2730</v>
      </c>
      <c r="J320" t="s">
        <v>989</v>
      </c>
    </row>
    <row r="321" spans="1:10">
      <c r="A321" t="s">
        <v>392</v>
      </c>
      <c r="B321" t="s">
        <v>2677</v>
      </c>
      <c r="C321" t="s">
        <v>273</v>
      </c>
      <c r="D321" t="s">
        <v>287</v>
      </c>
      <c r="E321" t="s">
        <v>1846</v>
      </c>
      <c r="F321" t="s">
        <v>1502</v>
      </c>
      <c r="G321" t="s">
        <v>1344</v>
      </c>
      <c r="H321">
        <v>19</v>
      </c>
      <c r="I321" t="s">
        <v>2730</v>
      </c>
      <c r="J321" t="s">
        <v>989</v>
      </c>
    </row>
    <row r="322" spans="1:10">
      <c r="A322" t="s">
        <v>335</v>
      </c>
      <c r="B322" t="s">
        <v>2677</v>
      </c>
      <c r="C322" t="s">
        <v>237</v>
      </c>
      <c r="D322" t="s">
        <v>287</v>
      </c>
      <c r="E322" t="s">
        <v>1847</v>
      </c>
      <c r="F322" t="s">
        <v>1495</v>
      </c>
      <c r="G322" t="s">
        <v>1339</v>
      </c>
      <c r="H322">
        <v>5</v>
      </c>
      <c r="I322" t="s">
        <v>2730</v>
      </c>
      <c r="J322" t="s">
        <v>989</v>
      </c>
    </row>
    <row r="323" spans="1:10">
      <c r="A323" t="s">
        <v>393</v>
      </c>
      <c r="B323" t="s">
        <v>2677</v>
      </c>
      <c r="C323" t="s">
        <v>274</v>
      </c>
      <c r="D323" t="s">
        <v>287</v>
      </c>
      <c r="E323" t="s">
        <v>1848</v>
      </c>
      <c r="F323" t="s">
        <v>1504</v>
      </c>
      <c r="G323" t="s">
        <v>1345</v>
      </c>
      <c r="H323">
        <v>16</v>
      </c>
      <c r="I323" t="s">
        <v>2730</v>
      </c>
      <c r="J323" t="s">
        <v>989</v>
      </c>
    </row>
    <row r="324" spans="1:10">
      <c r="A324" t="s">
        <v>408</v>
      </c>
      <c r="B324" t="s">
        <v>2677</v>
      </c>
      <c r="C324" t="s">
        <v>285</v>
      </c>
      <c r="D324" t="s">
        <v>287</v>
      </c>
      <c r="E324" t="s">
        <v>1849</v>
      </c>
      <c r="F324" t="s">
        <v>1500</v>
      </c>
      <c r="G324" t="s">
        <v>1342</v>
      </c>
      <c r="H324">
        <v>21</v>
      </c>
      <c r="I324" t="s">
        <v>2730</v>
      </c>
      <c r="J324" t="s">
        <v>989</v>
      </c>
    </row>
    <row r="325" spans="1:10">
      <c r="A325" t="s">
        <v>337</v>
      </c>
      <c r="B325" t="s">
        <v>2677</v>
      </c>
      <c r="C325" t="s">
        <v>239</v>
      </c>
      <c r="D325" t="s">
        <v>287</v>
      </c>
      <c r="E325" t="s">
        <v>1850</v>
      </c>
      <c r="F325" t="s">
        <v>1497</v>
      </c>
      <c r="G325" t="s">
        <v>1340</v>
      </c>
      <c r="H325">
        <v>16</v>
      </c>
      <c r="I325" t="s">
        <v>2730</v>
      </c>
      <c r="J325" t="s">
        <v>989</v>
      </c>
    </row>
    <row r="326" spans="1:10">
      <c r="A326" t="s">
        <v>347</v>
      </c>
      <c r="B326" t="s">
        <v>2677</v>
      </c>
      <c r="C326" t="s">
        <v>248</v>
      </c>
      <c r="D326" t="s">
        <v>287</v>
      </c>
      <c r="E326" t="s">
        <v>1851</v>
      </c>
      <c r="F326" t="s">
        <v>1499</v>
      </c>
      <c r="G326" t="s">
        <v>1341</v>
      </c>
      <c r="H326">
        <v>5</v>
      </c>
      <c r="I326" t="s">
        <v>2730</v>
      </c>
      <c r="J326" t="s">
        <v>989</v>
      </c>
    </row>
    <row r="327" spans="1:10">
      <c r="A327" t="s">
        <v>349</v>
      </c>
      <c r="B327" t="s">
        <v>2677</v>
      </c>
      <c r="C327" t="s">
        <v>907</v>
      </c>
      <c r="D327" t="s">
        <v>287</v>
      </c>
      <c r="E327" t="s">
        <v>1852</v>
      </c>
      <c r="F327" t="s">
        <v>1503</v>
      </c>
      <c r="G327" t="s">
        <v>1333</v>
      </c>
      <c r="H327">
        <v>16</v>
      </c>
      <c r="I327" t="s">
        <v>2730</v>
      </c>
      <c r="J327" t="s">
        <v>989</v>
      </c>
    </row>
    <row r="328" spans="1:10">
      <c r="A328" t="s">
        <v>876</v>
      </c>
      <c r="B328" t="s">
        <v>2677</v>
      </c>
      <c r="C328" t="s">
        <v>875</v>
      </c>
      <c r="D328" t="s">
        <v>2357</v>
      </c>
      <c r="E328" t="s">
        <v>1192</v>
      </c>
      <c r="F328" t="s">
        <v>1088</v>
      </c>
      <c r="G328" t="s">
        <v>875</v>
      </c>
      <c r="H328">
        <v>14</v>
      </c>
      <c r="I328" t="s">
        <v>2730</v>
      </c>
      <c r="J328" t="s">
        <v>989</v>
      </c>
    </row>
    <row r="329" spans="1:10">
      <c r="A329" t="s">
        <v>111</v>
      </c>
      <c r="B329" t="s">
        <v>142</v>
      </c>
      <c r="C329" t="s">
        <v>741</v>
      </c>
      <c r="D329" t="s">
        <v>780</v>
      </c>
      <c r="E329" t="s">
        <v>1535</v>
      </c>
      <c r="F329" t="s">
        <v>1535</v>
      </c>
      <c r="G329" t="s">
        <v>1358</v>
      </c>
      <c r="H329">
        <v>6.5</v>
      </c>
      <c r="I329" t="s">
        <v>2420</v>
      </c>
      <c r="J329" t="s">
        <v>228</v>
      </c>
    </row>
    <row r="330" spans="1:10">
      <c r="A330" t="s">
        <v>110</v>
      </c>
      <c r="B330" t="s">
        <v>142</v>
      </c>
      <c r="C330" t="s">
        <v>741</v>
      </c>
      <c r="D330" t="s">
        <v>865</v>
      </c>
      <c r="E330" t="s">
        <v>1214</v>
      </c>
      <c r="F330" t="s">
        <v>1214</v>
      </c>
      <c r="G330" t="s">
        <v>1358</v>
      </c>
      <c r="H330">
        <v>6.5</v>
      </c>
      <c r="I330" t="s">
        <v>2420</v>
      </c>
      <c r="J330" t="s">
        <v>228</v>
      </c>
    </row>
    <row r="331" spans="1:10">
      <c r="A331" t="s">
        <v>342</v>
      </c>
      <c r="B331" t="s">
        <v>142</v>
      </c>
      <c r="C331" t="s">
        <v>741</v>
      </c>
      <c r="D331" t="s">
        <v>854</v>
      </c>
      <c r="E331" t="s">
        <v>1215</v>
      </c>
      <c r="F331" t="s">
        <v>1215</v>
      </c>
      <c r="G331" t="s">
        <v>1358</v>
      </c>
      <c r="H331">
        <v>6.5</v>
      </c>
      <c r="I331" t="s">
        <v>2420</v>
      </c>
      <c r="J331" t="s">
        <v>228</v>
      </c>
    </row>
    <row r="332" spans="1:10">
      <c r="A332" t="s">
        <v>1235</v>
      </c>
      <c r="B332" t="s">
        <v>142</v>
      </c>
      <c r="C332" t="s">
        <v>240</v>
      </c>
      <c r="D332" t="s">
        <v>780</v>
      </c>
      <c r="E332" t="s">
        <v>2358</v>
      </c>
      <c r="F332" t="s">
        <v>1531</v>
      </c>
      <c r="G332" t="s">
        <v>240</v>
      </c>
      <c r="H332">
        <v>14</v>
      </c>
      <c r="I332" t="s">
        <v>2420</v>
      </c>
      <c r="J332" t="s">
        <v>228</v>
      </c>
    </row>
    <row r="333" spans="1:10">
      <c r="A333" t="s">
        <v>229</v>
      </c>
      <c r="B333" t="s">
        <v>142</v>
      </c>
      <c r="C333" t="s">
        <v>240</v>
      </c>
      <c r="D333" t="s">
        <v>908</v>
      </c>
      <c r="E333" t="s">
        <v>2359</v>
      </c>
      <c r="F333" t="s">
        <v>1210</v>
      </c>
      <c r="G333" t="s">
        <v>240</v>
      </c>
      <c r="H333">
        <v>14</v>
      </c>
      <c r="I333" t="s">
        <v>2420</v>
      </c>
      <c r="J333" t="s">
        <v>228</v>
      </c>
    </row>
    <row r="334" spans="1:10">
      <c r="A334" t="s">
        <v>230</v>
      </c>
      <c r="B334" t="s">
        <v>142</v>
      </c>
      <c r="C334" t="s">
        <v>240</v>
      </c>
      <c r="D334" t="s">
        <v>743</v>
      </c>
      <c r="E334" t="s">
        <v>2360</v>
      </c>
      <c r="F334" t="s">
        <v>1211</v>
      </c>
      <c r="G334" t="s">
        <v>240</v>
      </c>
      <c r="H334">
        <v>14</v>
      </c>
      <c r="I334" t="s">
        <v>2420</v>
      </c>
      <c r="J334" t="s">
        <v>228</v>
      </c>
    </row>
    <row r="335" spans="1:10">
      <c r="A335" t="s">
        <v>231</v>
      </c>
      <c r="B335" t="s">
        <v>142</v>
      </c>
      <c r="C335" t="s">
        <v>240</v>
      </c>
      <c r="D335" t="s">
        <v>909</v>
      </c>
      <c r="E335" t="s">
        <v>2361</v>
      </c>
      <c r="F335" t="s">
        <v>1530</v>
      </c>
      <c r="G335" t="s">
        <v>240</v>
      </c>
      <c r="H335">
        <v>14</v>
      </c>
      <c r="I335" t="s">
        <v>2420</v>
      </c>
      <c r="J335" t="s">
        <v>228</v>
      </c>
    </row>
    <row r="336" spans="1:10">
      <c r="A336" t="s">
        <v>1628</v>
      </c>
      <c r="B336" t="s">
        <v>142</v>
      </c>
      <c r="C336" t="s">
        <v>270</v>
      </c>
      <c r="D336" t="s">
        <v>780</v>
      </c>
      <c r="E336" t="s">
        <v>1853</v>
      </c>
      <c r="F336" t="s">
        <v>1540</v>
      </c>
      <c r="G336" t="s">
        <v>783</v>
      </c>
      <c r="H336">
        <v>15.2</v>
      </c>
      <c r="I336" t="s">
        <v>2420</v>
      </c>
      <c r="J336" t="s">
        <v>228</v>
      </c>
    </row>
    <row r="337" spans="1:10">
      <c r="A337" t="s">
        <v>388</v>
      </c>
      <c r="B337" t="s">
        <v>142</v>
      </c>
      <c r="C337" t="s">
        <v>270</v>
      </c>
      <c r="D337" t="s">
        <v>865</v>
      </c>
      <c r="E337" t="s">
        <v>2362</v>
      </c>
      <c r="F337" t="s">
        <v>2362</v>
      </c>
      <c r="G337" t="s">
        <v>783</v>
      </c>
      <c r="H337">
        <v>15.2</v>
      </c>
      <c r="I337" t="s">
        <v>2420</v>
      </c>
      <c r="J337" t="s">
        <v>228</v>
      </c>
    </row>
    <row r="338" spans="1:10">
      <c r="A338" t="s">
        <v>389</v>
      </c>
      <c r="B338" t="s">
        <v>142</v>
      </c>
      <c r="C338" t="s">
        <v>270</v>
      </c>
      <c r="D338" t="s">
        <v>151</v>
      </c>
      <c r="E338" t="s">
        <v>2363</v>
      </c>
      <c r="F338" t="s">
        <v>2364</v>
      </c>
      <c r="G338" t="s">
        <v>783</v>
      </c>
      <c r="H338">
        <v>15.2</v>
      </c>
      <c r="I338" t="s">
        <v>2420</v>
      </c>
      <c r="J338" t="s">
        <v>228</v>
      </c>
    </row>
    <row r="339" spans="1:10">
      <c r="A339" t="s">
        <v>1629</v>
      </c>
      <c r="B339" t="s">
        <v>142</v>
      </c>
      <c r="C339" t="s">
        <v>270</v>
      </c>
      <c r="D339" t="s">
        <v>566</v>
      </c>
      <c r="E339" t="s">
        <v>1866</v>
      </c>
      <c r="F339" t="s">
        <v>1539</v>
      </c>
      <c r="G339" t="s">
        <v>783</v>
      </c>
      <c r="H339">
        <v>15.2</v>
      </c>
      <c r="I339" t="s">
        <v>2420</v>
      </c>
      <c r="J339" t="s">
        <v>228</v>
      </c>
    </row>
    <row r="340" spans="1:10">
      <c r="A340" t="s">
        <v>1630</v>
      </c>
      <c r="B340" t="s">
        <v>142</v>
      </c>
      <c r="C340" t="s">
        <v>272</v>
      </c>
      <c r="D340" t="s">
        <v>780</v>
      </c>
      <c r="E340" t="s">
        <v>1547</v>
      </c>
      <c r="F340" t="s">
        <v>1547</v>
      </c>
      <c r="G340" t="s">
        <v>783</v>
      </c>
      <c r="H340">
        <v>15.2</v>
      </c>
      <c r="I340" t="s">
        <v>2420</v>
      </c>
      <c r="J340" t="s">
        <v>228</v>
      </c>
    </row>
    <row r="341" spans="1:10">
      <c r="A341" t="s">
        <v>390</v>
      </c>
      <c r="B341" t="s">
        <v>142</v>
      </c>
      <c r="C341" t="s">
        <v>272</v>
      </c>
      <c r="D341" t="s">
        <v>865</v>
      </c>
      <c r="E341" t="s">
        <v>2365</v>
      </c>
      <c r="F341" t="s">
        <v>2365</v>
      </c>
      <c r="G341" t="s">
        <v>783</v>
      </c>
      <c r="H341">
        <v>15.2</v>
      </c>
      <c r="I341" t="s">
        <v>2420</v>
      </c>
      <c r="J341" t="s">
        <v>228</v>
      </c>
    </row>
    <row r="342" spans="1:10">
      <c r="A342" t="s">
        <v>391</v>
      </c>
      <c r="B342" t="s">
        <v>142</v>
      </c>
      <c r="C342" t="s">
        <v>272</v>
      </c>
      <c r="D342" t="s">
        <v>151</v>
      </c>
      <c r="E342" t="s">
        <v>2366</v>
      </c>
      <c r="F342" t="s">
        <v>2367</v>
      </c>
      <c r="G342" t="s">
        <v>783</v>
      </c>
      <c r="H342">
        <v>15.2</v>
      </c>
      <c r="I342" t="s">
        <v>2420</v>
      </c>
      <c r="J342" t="s">
        <v>228</v>
      </c>
    </row>
    <row r="343" spans="1:10">
      <c r="A343" t="s">
        <v>1631</v>
      </c>
      <c r="B343" t="s">
        <v>142</v>
      </c>
      <c r="C343" t="s">
        <v>272</v>
      </c>
      <c r="D343" t="s">
        <v>566</v>
      </c>
      <c r="E343" t="s">
        <v>1546</v>
      </c>
      <c r="F343" t="s">
        <v>1546</v>
      </c>
      <c r="G343" t="s">
        <v>783</v>
      </c>
      <c r="H343">
        <v>15.2</v>
      </c>
      <c r="I343" t="s">
        <v>2420</v>
      </c>
      <c r="J343" t="s">
        <v>228</v>
      </c>
    </row>
    <row r="344" spans="1:10">
      <c r="A344" t="s">
        <v>1632</v>
      </c>
      <c r="B344" t="s">
        <v>142</v>
      </c>
      <c r="C344" t="s">
        <v>980</v>
      </c>
      <c r="D344" t="s">
        <v>780</v>
      </c>
      <c r="E344" t="s">
        <v>1854</v>
      </c>
      <c r="F344" t="s">
        <v>1522</v>
      </c>
      <c r="G344" t="s">
        <v>1355</v>
      </c>
      <c r="H344">
        <v>16</v>
      </c>
      <c r="I344" t="s">
        <v>2420</v>
      </c>
      <c r="J344" t="s">
        <v>228</v>
      </c>
    </row>
    <row r="345" spans="1:10">
      <c r="A345" t="s">
        <v>979</v>
      </c>
      <c r="B345" t="s">
        <v>142</v>
      </c>
      <c r="C345" t="s">
        <v>980</v>
      </c>
      <c r="D345" t="s">
        <v>981</v>
      </c>
      <c r="E345" t="s">
        <v>1223</v>
      </c>
      <c r="F345" t="s">
        <v>1224</v>
      </c>
      <c r="G345" t="s">
        <v>1355</v>
      </c>
      <c r="H345">
        <v>16</v>
      </c>
      <c r="I345" t="s">
        <v>2420</v>
      </c>
      <c r="J345" t="s">
        <v>228</v>
      </c>
    </row>
    <row r="346" spans="1:10">
      <c r="A346" t="s">
        <v>982</v>
      </c>
      <c r="B346" t="s">
        <v>142</v>
      </c>
      <c r="C346" t="s">
        <v>980</v>
      </c>
      <c r="D346" t="s">
        <v>902</v>
      </c>
      <c r="E346" t="s">
        <v>1225</v>
      </c>
      <c r="F346" t="s">
        <v>1226</v>
      </c>
      <c r="G346" t="s">
        <v>1355</v>
      </c>
      <c r="H346">
        <v>16</v>
      </c>
      <c r="I346" t="s">
        <v>2420</v>
      </c>
      <c r="J346" t="s">
        <v>228</v>
      </c>
    </row>
    <row r="347" spans="1:10">
      <c r="A347" t="s">
        <v>983</v>
      </c>
      <c r="B347" t="s">
        <v>142</v>
      </c>
      <c r="C347" t="s">
        <v>980</v>
      </c>
      <c r="D347" t="s">
        <v>903</v>
      </c>
      <c r="E347" t="s">
        <v>1227</v>
      </c>
      <c r="F347" t="s">
        <v>1228</v>
      </c>
      <c r="G347" t="s">
        <v>1355</v>
      </c>
      <c r="H347">
        <v>16</v>
      </c>
      <c r="I347" t="s">
        <v>2420</v>
      </c>
      <c r="J347" t="s">
        <v>228</v>
      </c>
    </row>
    <row r="348" spans="1:10">
      <c r="A348" t="s">
        <v>984</v>
      </c>
      <c r="B348" t="s">
        <v>142</v>
      </c>
      <c r="C348" t="s">
        <v>980</v>
      </c>
      <c r="D348" t="s">
        <v>904</v>
      </c>
      <c r="E348" t="s">
        <v>1229</v>
      </c>
      <c r="F348" t="s">
        <v>1230</v>
      </c>
      <c r="G348" t="s">
        <v>1355</v>
      </c>
      <c r="H348">
        <v>16</v>
      </c>
      <c r="I348" t="s">
        <v>2420</v>
      </c>
      <c r="J348" t="s">
        <v>228</v>
      </c>
    </row>
    <row r="349" spans="1:10">
      <c r="A349" t="s">
        <v>985</v>
      </c>
      <c r="B349" t="s">
        <v>142</v>
      </c>
      <c r="C349" t="s">
        <v>980</v>
      </c>
      <c r="D349" t="s">
        <v>905</v>
      </c>
      <c r="E349" t="s">
        <v>1231</v>
      </c>
      <c r="F349" t="s">
        <v>1232</v>
      </c>
      <c r="G349" t="s">
        <v>1355</v>
      </c>
      <c r="H349">
        <v>16</v>
      </c>
      <c r="I349" t="s">
        <v>2420</v>
      </c>
      <c r="J349" t="s">
        <v>228</v>
      </c>
    </row>
    <row r="350" spans="1:10">
      <c r="A350" t="s">
        <v>986</v>
      </c>
      <c r="B350" t="s">
        <v>142</v>
      </c>
      <c r="C350" t="s">
        <v>980</v>
      </c>
      <c r="D350" t="s">
        <v>906</v>
      </c>
      <c r="E350" t="s">
        <v>1233</v>
      </c>
      <c r="F350" t="s">
        <v>1234</v>
      </c>
      <c r="G350" t="s">
        <v>1355</v>
      </c>
      <c r="H350">
        <v>16</v>
      </c>
      <c r="I350" t="s">
        <v>2420</v>
      </c>
      <c r="J350" t="s">
        <v>228</v>
      </c>
    </row>
    <row r="351" spans="1:10">
      <c r="A351" t="s">
        <v>1633</v>
      </c>
      <c r="B351" t="s">
        <v>142</v>
      </c>
      <c r="C351" t="s">
        <v>1261</v>
      </c>
      <c r="D351" t="s">
        <v>780</v>
      </c>
      <c r="E351" t="s">
        <v>1855</v>
      </c>
      <c r="F351" t="s">
        <v>1525</v>
      </c>
      <c r="G351" t="s">
        <v>1261</v>
      </c>
      <c r="H351">
        <v>12</v>
      </c>
      <c r="I351" t="s">
        <v>2420</v>
      </c>
      <c r="J351" t="s">
        <v>228</v>
      </c>
    </row>
    <row r="352" spans="1:10">
      <c r="A352" t="s">
        <v>1634</v>
      </c>
      <c r="B352" t="s">
        <v>142</v>
      </c>
      <c r="C352" t="s">
        <v>1261</v>
      </c>
      <c r="D352" t="s">
        <v>981</v>
      </c>
      <c r="E352" t="s">
        <v>1856</v>
      </c>
      <c r="F352" t="s">
        <v>1523</v>
      </c>
      <c r="G352" t="s">
        <v>1261</v>
      </c>
      <c r="H352">
        <v>12</v>
      </c>
      <c r="I352" t="s">
        <v>2420</v>
      </c>
      <c r="J352" t="s">
        <v>228</v>
      </c>
    </row>
    <row r="353" spans="1:10">
      <c r="A353" t="s">
        <v>1635</v>
      </c>
      <c r="B353" t="s">
        <v>142</v>
      </c>
      <c r="C353" t="s">
        <v>1261</v>
      </c>
      <c r="D353" t="s">
        <v>1278</v>
      </c>
      <c r="E353" t="s">
        <v>1857</v>
      </c>
      <c r="F353" t="s">
        <v>1524</v>
      </c>
      <c r="G353" t="s">
        <v>1261</v>
      </c>
      <c r="H353">
        <v>12</v>
      </c>
      <c r="I353" t="s">
        <v>2420</v>
      </c>
      <c r="J353" t="s">
        <v>228</v>
      </c>
    </row>
    <row r="354" spans="1:10">
      <c r="A354" t="s">
        <v>1636</v>
      </c>
      <c r="B354" t="s">
        <v>142</v>
      </c>
      <c r="C354" t="s">
        <v>1260</v>
      </c>
      <c r="D354" t="s">
        <v>780</v>
      </c>
      <c r="E354" t="s">
        <v>1858</v>
      </c>
      <c r="F354" t="s">
        <v>1521</v>
      </c>
      <c r="G354" t="s">
        <v>1260</v>
      </c>
      <c r="H354">
        <v>12</v>
      </c>
      <c r="I354" t="s">
        <v>2420</v>
      </c>
      <c r="J354" t="s">
        <v>228</v>
      </c>
    </row>
    <row r="355" spans="1:10">
      <c r="A355" t="s">
        <v>1637</v>
      </c>
      <c r="B355" t="s">
        <v>142</v>
      </c>
      <c r="C355" t="s">
        <v>1260</v>
      </c>
      <c r="D355" t="s">
        <v>981</v>
      </c>
      <c r="E355" t="s">
        <v>1859</v>
      </c>
      <c r="F355" t="s">
        <v>1519</v>
      </c>
      <c r="G355" t="s">
        <v>1260</v>
      </c>
      <c r="H355">
        <v>12</v>
      </c>
      <c r="I355" t="s">
        <v>2420</v>
      </c>
      <c r="J355" t="s">
        <v>228</v>
      </c>
    </row>
    <row r="356" spans="1:10">
      <c r="A356" t="s">
        <v>1638</v>
      </c>
      <c r="B356" t="s">
        <v>142</v>
      </c>
      <c r="C356" t="s">
        <v>1260</v>
      </c>
      <c r="D356" t="s">
        <v>1278</v>
      </c>
      <c r="E356" t="s">
        <v>1860</v>
      </c>
      <c r="F356" t="s">
        <v>1520</v>
      </c>
      <c r="G356" t="s">
        <v>1260</v>
      </c>
      <c r="H356">
        <v>12</v>
      </c>
      <c r="I356" t="s">
        <v>2420</v>
      </c>
      <c r="J356" t="s">
        <v>228</v>
      </c>
    </row>
    <row r="357" spans="1:10">
      <c r="A357" t="s">
        <v>1639</v>
      </c>
      <c r="B357" t="s">
        <v>142</v>
      </c>
      <c r="C357" t="s">
        <v>1263</v>
      </c>
      <c r="D357" t="s">
        <v>780</v>
      </c>
      <c r="E357" t="s">
        <v>1861</v>
      </c>
      <c r="F357" t="s">
        <v>1533</v>
      </c>
      <c r="G357" t="s">
        <v>1263</v>
      </c>
      <c r="H357">
        <v>11</v>
      </c>
      <c r="I357" t="s">
        <v>2420</v>
      </c>
      <c r="J357" t="s">
        <v>228</v>
      </c>
    </row>
    <row r="358" spans="1:10">
      <c r="A358" t="s">
        <v>1640</v>
      </c>
      <c r="B358" t="s">
        <v>142</v>
      </c>
      <c r="C358" t="s">
        <v>1263</v>
      </c>
      <c r="D358" t="s">
        <v>744</v>
      </c>
      <c r="E358" t="s">
        <v>1862</v>
      </c>
      <c r="F358" t="s">
        <v>1532</v>
      </c>
      <c r="G358" t="s">
        <v>1263</v>
      </c>
      <c r="H358">
        <v>11</v>
      </c>
      <c r="I358" t="s">
        <v>2420</v>
      </c>
      <c r="J358" t="s">
        <v>228</v>
      </c>
    </row>
    <row r="359" spans="1:10">
      <c r="A359" t="s">
        <v>1641</v>
      </c>
      <c r="B359" t="s">
        <v>142</v>
      </c>
      <c r="C359" t="s">
        <v>1264</v>
      </c>
      <c r="D359" t="s">
        <v>780</v>
      </c>
      <c r="E359" t="s">
        <v>1543</v>
      </c>
      <c r="F359" t="s">
        <v>1543</v>
      </c>
      <c r="G359" t="s">
        <v>1359</v>
      </c>
      <c r="H359">
        <v>15.2</v>
      </c>
      <c r="I359" t="s">
        <v>2420</v>
      </c>
      <c r="J359" t="s">
        <v>228</v>
      </c>
    </row>
    <row r="360" spans="1:10">
      <c r="A360" t="s">
        <v>1642</v>
      </c>
      <c r="B360" t="s">
        <v>142</v>
      </c>
      <c r="C360" t="s">
        <v>1264</v>
      </c>
      <c r="D360" t="s">
        <v>865</v>
      </c>
      <c r="E360" t="s">
        <v>1541</v>
      </c>
      <c r="F360" t="s">
        <v>1541</v>
      </c>
      <c r="G360" t="s">
        <v>1359</v>
      </c>
      <c r="H360">
        <v>15.2</v>
      </c>
      <c r="I360" t="s">
        <v>2420</v>
      </c>
      <c r="J360" t="s">
        <v>228</v>
      </c>
    </row>
    <row r="361" spans="1:10">
      <c r="A361" t="s">
        <v>1643</v>
      </c>
      <c r="B361" t="s">
        <v>142</v>
      </c>
      <c r="C361" t="s">
        <v>1264</v>
      </c>
      <c r="D361" t="s">
        <v>978</v>
      </c>
      <c r="E361" t="s">
        <v>1542</v>
      </c>
      <c r="F361" t="s">
        <v>1542</v>
      </c>
      <c r="G361" t="s">
        <v>1359</v>
      </c>
      <c r="H361">
        <v>15.2</v>
      </c>
      <c r="I361" t="s">
        <v>2420</v>
      </c>
      <c r="J361" t="s">
        <v>228</v>
      </c>
    </row>
    <row r="362" spans="1:10">
      <c r="A362" t="s">
        <v>1644</v>
      </c>
      <c r="B362" t="s">
        <v>142</v>
      </c>
      <c r="C362" t="s">
        <v>1259</v>
      </c>
      <c r="D362" t="s">
        <v>780</v>
      </c>
      <c r="E362" t="s">
        <v>1863</v>
      </c>
      <c r="F362" t="s">
        <v>1518</v>
      </c>
      <c r="G362" t="s">
        <v>1354</v>
      </c>
      <c r="H362">
        <v>12</v>
      </c>
      <c r="I362" t="s">
        <v>2420</v>
      </c>
      <c r="J362" t="s">
        <v>228</v>
      </c>
    </row>
    <row r="363" spans="1:10">
      <c r="A363" t="s">
        <v>1645</v>
      </c>
      <c r="B363" t="s">
        <v>142</v>
      </c>
      <c r="C363" t="s">
        <v>1259</v>
      </c>
      <c r="D363" t="s">
        <v>981</v>
      </c>
      <c r="E363" t="s">
        <v>1864</v>
      </c>
      <c r="F363" t="s">
        <v>1516</v>
      </c>
      <c r="G363" t="s">
        <v>1354</v>
      </c>
      <c r="H363">
        <v>12</v>
      </c>
      <c r="I363" t="s">
        <v>2420</v>
      </c>
      <c r="J363" t="s">
        <v>228</v>
      </c>
    </row>
    <row r="364" spans="1:10">
      <c r="A364" t="s">
        <v>1646</v>
      </c>
      <c r="B364" t="s">
        <v>142</v>
      </c>
      <c r="C364" t="s">
        <v>1259</v>
      </c>
      <c r="D364" t="s">
        <v>1278</v>
      </c>
      <c r="E364" t="s">
        <v>1865</v>
      </c>
      <c r="F364" t="s">
        <v>1517</v>
      </c>
      <c r="G364" t="s">
        <v>1354</v>
      </c>
      <c r="H364">
        <v>12</v>
      </c>
      <c r="I364" t="s">
        <v>2420</v>
      </c>
      <c r="J364" t="s">
        <v>228</v>
      </c>
    </row>
    <row r="365" spans="1:10">
      <c r="A365" t="s">
        <v>1647</v>
      </c>
      <c r="B365" t="s">
        <v>142</v>
      </c>
      <c r="C365" t="s">
        <v>1256</v>
      </c>
      <c r="D365" t="s">
        <v>286</v>
      </c>
      <c r="E365" t="s">
        <v>1866</v>
      </c>
      <c r="F365" t="s">
        <v>1538</v>
      </c>
      <c r="G365" t="s">
        <v>1343</v>
      </c>
      <c r="H365">
        <v>7</v>
      </c>
      <c r="I365" t="s">
        <v>2420</v>
      </c>
      <c r="J365" t="s">
        <v>228</v>
      </c>
    </row>
    <row r="366" spans="1:10">
      <c r="A366" t="s">
        <v>1648</v>
      </c>
      <c r="B366" t="s">
        <v>142</v>
      </c>
      <c r="C366" t="s">
        <v>1262</v>
      </c>
      <c r="D366" t="s">
        <v>780</v>
      </c>
      <c r="E366" t="s">
        <v>2368</v>
      </c>
      <c r="F366" t="s">
        <v>1526</v>
      </c>
      <c r="G366" t="s">
        <v>1356</v>
      </c>
      <c r="H366">
        <v>14</v>
      </c>
      <c r="I366" t="s">
        <v>2420</v>
      </c>
      <c r="J366" t="s">
        <v>228</v>
      </c>
    </row>
    <row r="367" spans="1:10">
      <c r="A367" t="s">
        <v>2101</v>
      </c>
      <c r="B367" t="s">
        <v>142</v>
      </c>
      <c r="C367" t="s">
        <v>2102</v>
      </c>
      <c r="D367" t="s">
        <v>2096</v>
      </c>
      <c r="E367" t="s">
        <v>2100</v>
      </c>
      <c r="F367" t="s">
        <v>2112</v>
      </c>
      <c r="G367" t="s">
        <v>2113</v>
      </c>
      <c r="H367">
        <v>7</v>
      </c>
      <c r="I367" t="s">
        <v>2420</v>
      </c>
      <c r="J367" t="s">
        <v>228</v>
      </c>
    </row>
    <row r="368" spans="1:10">
      <c r="A368" t="s">
        <v>1093</v>
      </c>
      <c r="B368" t="s">
        <v>142</v>
      </c>
      <c r="C368" t="s">
        <v>236</v>
      </c>
      <c r="D368" t="s">
        <v>780</v>
      </c>
      <c r="E368" t="s">
        <v>1515</v>
      </c>
      <c r="F368" t="s">
        <v>1515</v>
      </c>
      <c r="G368" t="s">
        <v>1353</v>
      </c>
      <c r="H368">
        <v>9</v>
      </c>
      <c r="I368" t="s">
        <v>2420</v>
      </c>
      <c r="J368" t="s">
        <v>228</v>
      </c>
    </row>
    <row r="369" spans="1:10">
      <c r="A369" t="s">
        <v>333</v>
      </c>
      <c r="B369" t="s">
        <v>142</v>
      </c>
      <c r="C369" t="s">
        <v>236</v>
      </c>
      <c r="D369" t="s">
        <v>981</v>
      </c>
      <c r="E369" t="s">
        <v>1512</v>
      </c>
      <c r="F369" t="s">
        <v>1512</v>
      </c>
      <c r="G369" t="s">
        <v>1353</v>
      </c>
      <c r="H369">
        <v>9</v>
      </c>
      <c r="I369" t="s">
        <v>2420</v>
      </c>
      <c r="J369" t="s">
        <v>228</v>
      </c>
    </row>
    <row r="370" spans="1:10">
      <c r="A370" t="s">
        <v>334</v>
      </c>
      <c r="B370" t="s">
        <v>142</v>
      </c>
      <c r="C370" t="s">
        <v>236</v>
      </c>
      <c r="D370" t="s">
        <v>987</v>
      </c>
      <c r="E370" t="s">
        <v>1513</v>
      </c>
      <c r="F370" t="s">
        <v>1513</v>
      </c>
      <c r="G370" t="s">
        <v>1353</v>
      </c>
      <c r="H370">
        <v>9</v>
      </c>
      <c r="I370" t="s">
        <v>2420</v>
      </c>
      <c r="J370" t="s">
        <v>228</v>
      </c>
    </row>
    <row r="371" spans="1:10">
      <c r="A371" t="s">
        <v>83</v>
      </c>
      <c r="B371" t="s">
        <v>142</v>
      </c>
      <c r="C371" t="s">
        <v>236</v>
      </c>
      <c r="D371" t="s">
        <v>1277</v>
      </c>
      <c r="E371" t="s">
        <v>1514</v>
      </c>
      <c r="F371" t="s">
        <v>1514</v>
      </c>
      <c r="G371" t="s">
        <v>1353</v>
      </c>
      <c r="H371">
        <v>9</v>
      </c>
      <c r="I371" t="s">
        <v>2420</v>
      </c>
      <c r="J371" t="s">
        <v>228</v>
      </c>
    </row>
    <row r="372" spans="1:10">
      <c r="A372" t="s">
        <v>1649</v>
      </c>
      <c r="B372" t="s">
        <v>142</v>
      </c>
      <c r="C372" t="s">
        <v>439</v>
      </c>
      <c r="D372" t="s">
        <v>780</v>
      </c>
      <c r="E372" t="s">
        <v>1867</v>
      </c>
      <c r="F372" t="s">
        <v>1550</v>
      </c>
      <c r="G372" t="s">
        <v>1360</v>
      </c>
      <c r="H372">
        <v>9</v>
      </c>
      <c r="I372" t="s">
        <v>2420</v>
      </c>
      <c r="J372" t="s">
        <v>228</v>
      </c>
    </row>
    <row r="373" spans="1:10">
      <c r="A373" t="s">
        <v>116</v>
      </c>
      <c r="B373" t="s">
        <v>142</v>
      </c>
      <c r="C373" t="s">
        <v>439</v>
      </c>
      <c r="D373" t="s">
        <v>744</v>
      </c>
      <c r="E373" t="s">
        <v>1220</v>
      </c>
      <c r="F373" t="s">
        <v>1549</v>
      </c>
      <c r="G373" t="s">
        <v>1360</v>
      </c>
      <c r="H373">
        <v>9</v>
      </c>
      <c r="I373" t="s">
        <v>2420</v>
      </c>
      <c r="J373" t="s">
        <v>228</v>
      </c>
    </row>
    <row r="374" spans="1:10">
      <c r="A374" t="s">
        <v>910</v>
      </c>
      <c r="B374" t="s">
        <v>142</v>
      </c>
      <c r="C374" t="s">
        <v>439</v>
      </c>
      <c r="D374" t="s">
        <v>151</v>
      </c>
      <c r="E374" t="s">
        <v>1221</v>
      </c>
      <c r="F374" t="s">
        <v>1548</v>
      </c>
      <c r="G374" t="s">
        <v>1360</v>
      </c>
      <c r="H374">
        <v>9</v>
      </c>
      <c r="I374" t="s">
        <v>2420</v>
      </c>
      <c r="J374" t="s">
        <v>228</v>
      </c>
    </row>
    <row r="375" spans="1:10">
      <c r="A375" t="s">
        <v>1650</v>
      </c>
      <c r="B375" t="s">
        <v>142</v>
      </c>
      <c r="C375" t="s">
        <v>441</v>
      </c>
      <c r="D375" t="s">
        <v>780</v>
      </c>
      <c r="E375" t="s">
        <v>1868</v>
      </c>
      <c r="F375" t="s">
        <v>1553</v>
      </c>
      <c r="G375" t="s">
        <v>249</v>
      </c>
      <c r="H375">
        <v>7</v>
      </c>
      <c r="I375" t="s">
        <v>2420</v>
      </c>
      <c r="J375" t="s">
        <v>228</v>
      </c>
    </row>
    <row r="376" spans="1:10">
      <c r="A376" t="s">
        <v>117</v>
      </c>
      <c r="B376" t="s">
        <v>142</v>
      </c>
      <c r="C376" t="s">
        <v>441</v>
      </c>
      <c r="D376" t="s">
        <v>745</v>
      </c>
      <c r="E376" t="s">
        <v>1869</v>
      </c>
      <c r="F376" t="s">
        <v>1552</v>
      </c>
      <c r="G376" t="s">
        <v>249</v>
      </c>
      <c r="H376">
        <v>7</v>
      </c>
      <c r="I376" t="s">
        <v>2420</v>
      </c>
      <c r="J376" t="s">
        <v>228</v>
      </c>
    </row>
    <row r="377" spans="1:10">
      <c r="A377" t="s">
        <v>350</v>
      </c>
      <c r="B377" t="s">
        <v>142</v>
      </c>
      <c r="C377" t="s">
        <v>441</v>
      </c>
      <c r="D377" t="s">
        <v>746</v>
      </c>
      <c r="E377" t="s">
        <v>1870</v>
      </c>
      <c r="F377" t="s">
        <v>1222</v>
      </c>
      <c r="G377" t="s">
        <v>249</v>
      </c>
      <c r="H377">
        <v>7</v>
      </c>
      <c r="I377" t="s">
        <v>2420</v>
      </c>
      <c r="J377" t="s">
        <v>228</v>
      </c>
    </row>
    <row r="378" spans="1:10">
      <c r="A378" t="s">
        <v>88</v>
      </c>
      <c r="B378" t="s">
        <v>142</v>
      </c>
      <c r="C378" t="s">
        <v>441</v>
      </c>
      <c r="D378" t="s">
        <v>747</v>
      </c>
      <c r="E378" t="s">
        <v>1871</v>
      </c>
      <c r="F378" t="s">
        <v>1209</v>
      </c>
      <c r="G378" t="s">
        <v>249</v>
      </c>
      <c r="H378">
        <v>7</v>
      </c>
      <c r="I378" t="s">
        <v>2420</v>
      </c>
      <c r="J378" t="s">
        <v>228</v>
      </c>
    </row>
    <row r="379" spans="1:10">
      <c r="A379" t="s">
        <v>1651</v>
      </c>
      <c r="B379" t="s">
        <v>142</v>
      </c>
      <c r="C379" t="s">
        <v>441</v>
      </c>
      <c r="D379" t="s">
        <v>1279</v>
      </c>
      <c r="E379" t="s">
        <v>1872</v>
      </c>
      <c r="F379" t="s">
        <v>1551</v>
      </c>
      <c r="G379" t="s">
        <v>249</v>
      </c>
      <c r="H379">
        <v>7</v>
      </c>
      <c r="I379" t="s">
        <v>2420</v>
      </c>
      <c r="J379" t="s">
        <v>228</v>
      </c>
    </row>
    <row r="380" spans="1:10">
      <c r="A380" t="s">
        <v>1652</v>
      </c>
      <c r="B380" t="s">
        <v>142</v>
      </c>
      <c r="C380" t="s">
        <v>748</v>
      </c>
      <c r="D380" t="s">
        <v>780</v>
      </c>
      <c r="E380" t="s">
        <v>1873</v>
      </c>
      <c r="F380" t="s">
        <v>1536</v>
      </c>
      <c r="G380" t="s">
        <v>280</v>
      </c>
      <c r="H380">
        <v>22</v>
      </c>
      <c r="I380" t="s">
        <v>2420</v>
      </c>
      <c r="J380" t="s">
        <v>228</v>
      </c>
    </row>
    <row r="381" spans="1:10">
      <c r="A381" t="s">
        <v>112</v>
      </c>
      <c r="B381" t="s">
        <v>142</v>
      </c>
      <c r="C381" t="s">
        <v>748</v>
      </c>
      <c r="D381" t="s">
        <v>865</v>
      </c>
      <c r="E381" t="s">
        <v>1216</v>
      </c>
      <c r="F381" t="s">
        <v>1216</v>
      </c>
      <c r="G381" t="s">
        <v>280</v>
      </c>
      <c r="H381">
        <v>22</v>
      </c>
      <c r="I381" t="s">
        <v>2420</v>
      </c>
      <c r="J381" t="s">
        <v>228</v>
      </c>
    </row>
    <row r="382" spans="1:10">
      <c r="A382" t="s">
        <v>988</v>
      </c>
      <c r="B382" t="s">
        <v>142</v>
      </c>
      <c r="C382" t="s">
        <v>748</v>
      </c>
      <c r="D382" t="s">
        <v>854</v>
      </c>
      <c r="E382" t="s">
        <v>1217</v>
      </c>
      <c r="F382" t="s">
        <v>1217</v>
      </c>
      <c r="G382" t="s">
        <v>280</v>
      </c>
      <c r="H382">
        <v>22</v>
      </c>
      <c r="I382" t="s">
        <v>2420</v>
      </c>
      <c r="J382" t="s">
        <v>228</v>
      </c>
    </row>
    <row r="383" spans="1:10">
      <c r="A383" t="s">
        <v>395</v>
      </c>
      <c r="B383" t="s">
        <v>142</v>
      </c>
      <c r="C383" t="s">
        <v>748</v>
      </c>
      <c r="D383" t="s">
        <v>286</v>
      </c>
      <c r="E383" t="s">
        <v>1537</v>
      </c>
      <c r="F383" t="s">
        <v>1537</v>
      </c>
      <c r="G383" t="s">
        <v>280</v>
      </c>
      <c r="H383">
        <v>22</v>
      </c>
      <c r="I383" t="s">
        <v>2420</v>
      </c>
      <c r="J383" t="s">
        <v>228</v>
      </c>
    </row>
    <row r="384" spans="1:10">
      <c r="A384" t="s">
        <v>1653</v>
      </c>
      <c r="B384" t="s">
        <v>142</v>
      </c>
      <c r="C384" t="s">
        <v>271</v>
      </c>
      <c r="D384" t="s">
        <v>780</v>
      </c>
      <c r="E384" t="s">
        <v>1545</v>
      </c>
      <c r="F384" t="s">
        <v>1545</v>
      </c>
      <c r="G384" t="s">
        <v>783</v>
      </c>
      <c r="H384">
        <v>15.2</v>
      </c>
      <c r="I384" t="s">
        <v>2420</v>
      </c>
      <c r="J384" t="s">
        <v>228</v>
      </c>
    </row>
    <row r="385" spans="1:10">
      <c r="A385" t="s">
        <v>91</v>
      </c>
      <c r="B385" t="s">
        <v>142</v>
      </c>
      <c r="C385" t="s">
        <v>271</v>
      </c>
      <c r="D385" t="s">
        <v>2346</v>
      </c>
      <c r="E385" t="s">
        <v>2347</v>
      </c>
      <c r="F385" t="s">
        <v>2369</v>
      </c>
      <c r="G385" t="s">
        <v>783</v>
      </c>
      <c r="H385">
        <v>15.2</v>
      </c>
      <c r="I385" t="s">
        <v>2420</v>
      </c>
      <c r="J385" t="s">
        <v>228</v>
      </c>
    </row>
    <row r="386" spans="1:10">
      <c r="A386" t="s">
        <v>92</v>
      </c>
      <c r="B386" t="s">
        <v>142</v>
      </c>
      <c r="C386" t="s">
        <v>271</v>
      </c>
      <c r="D386" t="s">
        <v>286</v>
      </c>
      <c r="E386" t="s">
        <v>2348</v>
      </c>
      <c r="F386" t="s">
        <v>286</v>
      </c>
      <c r="G386" t="s">
        <v>783</v>
      </c>
      <c r="H386">
        <v>15.2</v>
      </c>
      <c r="I386" t="s">
        <v>2420</v>
      </c>
      <c r="J386" t="s">
        <v>228</v>
      </c>
    </row>
    <row r="387" spans="1:10">
      <c r="A387" t="s">
        <v>1654</v>
      </c>
      <c r="B387" t="s">
        <v>142</v>
      </c>
      <c r="C387" t="s">
        <v>271</v>
      </c>
      <c r="D387" t="s">
        <v>566</v>
      </c>
      <c r="E387" t="s">
        <v>1866</v>
      </c>
      <c r="F387" t="s">
        <v>1544</v>
      </c>
      <c r="G387" t="s">
        <v>783</v>
      </c>
      <c r="H387">
        <v>15.2</v>
      </c>
      <c r="I387" t="s">
        <v>2420</v>
      </c>
      <c r="J387" t="s">
        <v>228</v>
      </c>
    </row>
    <row r="388" spans="1:10">
      <c r="A388" t="s">
        <v>82</v>
      </c>
      <c r="B388" t="s">
        <v>142</v>
      </c>
      <c r="C388" t="s">
        <v>2095</v>
      </c>
      <c r="D388" t="s">
        <v>2096</v>
      </c>
      <c r="E388" t="s">
        <v>2094</v>
      </c>
      <c r="F388" t="s">
        <v>2114</v>
      </c>
      <c r="G388" t="s">
        <v>2113</v>
      </c>
      <c r="H388">
        <v>7</v>
      </c>
      <c r="I388" t="s">
        <v>2420</v>
      </c>
      <c r="J388" t="s">
        <v>228</v>
      </c>
    </row>
    <row r="389" spans="1:10">
      <c r="A389" t="s">
        <v>1655</v>
      </c>
      <c r="B389" t="s">
        <v>142</v>
      </c>
      <c r="C389" t="s">
        <v>565</v>
      </c>
      <c r="D389" t="s">
        <v>2115</v>
      </c>
      <c r="E389" t="s">
        <v>2116</v>
      </c>
      <c r="F389" t="s">
        <v>2116</v>
      </c>
      <c r="G389" t="s">
        <v>1361</v>
      </c>
      <c r="H389">
        <v>7</v>
      </c>
      <c r="I389" t="s">
        <v>2420</v>
      </c>
      <c r="J389" t="s">
        <v>228</v>
      </c>
    </row>
    <row r="390" spans="1:10">
      <c r="A390" t="s">
        <v>1656</v>
      </c>
      <c r="B390" t="s">
        <v>142</v>
      </c>
      <c r="C390" t="s">
        <v>565</v>
      </c>
      <c r="D390" t="s">
        <v>151</v>
      </c>
      <c r="E390" t="s">
        <v>1874</v>
      </c>
      <c r="F390" t="s">
        <v>1554</v>
      </c>
      <c r="G390" t="s">
        <v>1361</v>
      </c>
      <c r="H390">
        <v>7</v>
      </c>
      <c r="I390" t="s">
        <v>2420</v>
      </c>
      <c r="J390" t="s">
        <v>228</v>
      </c>
    </row>
    <row r="391" spans="1:10">
      <c r="A391" t="s">
        <v>1657</v>
      </c>
      <c r="B391" t="s">
        <v>142</v>
      </c>
      <c r="C391" t="s">
        <v>565</v>
      </c>
      <c r="D391" t="s">
        <v>2117</v>
      </c>
      <c r="E391" t="s">
        <v>2118</v>
      </c>
      <c r="F391" t="s">
        <v>2118</v>
      </c>
      <c r="G391" t="s">
        <v>1361</v>
      </c>
      <c r="H391">
        <v>7</v>
      </c>
      <c r="I391" t="s">
        <v>2420</v>
      </c>
      <c r="J391" t="s">
        <v>228</v>
      </c>
    </row>
    <row r="392" spans="1:10">
      <c r="A392" t="s">
        <v>1658</v>
      </c>
      <c r="B392" t="s">
        <v>142</v>
      </c>
      <c r="C392" t="s">
        <v>565</v>
      </c>
      <c r="D392" t="s">
        <v>286</v>
      </c>
      <c r="E392" t="s">
        <v>1875</v>
      </c>
      <c r="F392" t="s">
        <v>1555</v>
      </c>
      <c r="G392" t="s">
        <v>1361</v>
      </c>
      <c r="H392">
        <v>7</v>
      </c>
      <c r="I392" t="s">
        <v>2420</v>
      </c>
      <c r="J392" t="s">
        <v>228</v>
      </c>
    </row>
    <row r="393" spans="1:10">
      <c r="A393" t="s">
        <v>127</v>
      </c>
      <c r="B393" t="s">
        <v>142</v>
      </c>
      <c r="C393" t="s">
        <v>144</v>
      </c>
      <c r="D393" t="s">
        <v>780</v>
      </c>
      <c r="E393" t="s">
        <v>2370</v>
      </c>
      <c r="F393" t="s">
        <v>1529</v>
      </c>
      <c r="G393" t="s">
        <v>144</v>
      </c>
      <c r="H393">
        <v>14</v>
      </c>
      <c r="I393" t="s">
        <v>2420</v>
      </c>
      <c r="J393" t="s">
        <v>228</v>
      </c>
    </row>
    <row r="394" spans="1:10">
      <c r="A394" t="s">
        <v>93</v>
      </c>
      <c r="B394" t="s">
        <v>142</v>
      </c>
      <c r="C394" t="s">
        <v>144</v>
      </c>
      <c r="D394" t="s">
        <v>743</v>
      </c>
      <c r="E394" t="s">
        <v>2371</v>
      </c>
      <c r="F394" t="s">
        <v>1528</v>
      </c>
      <c r="G394" t="s">
        <v>144</v>
      </c>
      <c r="H394">
        <v>14</v>
      </c>
      <c r="I394" t="s">
        <v>2420</v>
      </c>
      <c r="J394" t="s">
        <v>228</v>
      </c>
    </row>
    <row r="395" spans="1:10">
      <c r="A395" t="s">
        <v>94</v>
      </c>
      <c r="B395" t="s">
        <v>142</v>
      </c>
      <c r="C395" t="s">
        <v>144</v>
      </c>
      <c r="D395" t="s">
        <v>1006</v>
      </c>
      <c r="E395" t="s">
        <v>2372</v>
      </c>
      <c r="F395" t="s">
        <v>1212</v>
      </c>
      <c r="G395" t="s">
        <v>144</v>
      </c>
      <c r="H395">
        <v>14</v>
      </c>
      <c r="I395" t="s">
        <v>2420</v>
      </c>
      <c r="J395" t="s">
        <v>228</v>
      </c>
    </row>
    <row r="396" spans="1:10">
      <c r="A396" t="s">
        <v>95</v>
      </c>
      <c r="B396" t="s">
        <v>142</v>
      </c>
      <c r="C396" t="s">
        <v>144</v>
      </c>
      <c r="D396" t="s">
        <v>1007</v>
      </c>
      <c r="E396" t="s">
        <v>2373</v>
      </c>
      <c r="F396" t="s">
        <v>1213</v>
      </c>
      <c r="G396" t="s">
        <v>144</v>
      </c>
      <c r="H396">
        <v>14</v>
      </c>
      <c r="I396" t="s">
        <v>2420</v>
      </c>
      <c r="J396" t="s">
        <v>228</v>
      </c>
    </row>
    <row r="397" spans="1:10">
      <c r="A397" t="s">
        <v>1659</v>
      </c>
      <c r="B397" t="s">
        <v>142</v>
      </c>
      <c r="C397" t="s">
        <v>144</v>
      </c>
      <c r="D397" t="s">
        <v>150</v>
      </c>
      <c r="E397" t="s">
        <v>2374</v>
      </c>
      <c r="F397" t="s">
        <v>1527</v>
      </c>
      <c r="G397" t="s">
        <v>144</v>
      </c>
      <c r="H397">
        <v>14</v>
      </c>
      <c r="I397" t="s">
        <v>2420</v>
      </c>
      <c r="J397" t="s">
        <v>228</v>
      </c>
    </row>
    <row r="398" spans="1:10">
      <c r="A398" t="s">
        <v>102</v>
      </c>
      <c r="B398" t="s">
        <v>142</v>
      </c>
      <c r="C398" t="s">
        <v>749</v>
      </c>
      <c r="D398" t="s">
        <v>780</v>
      </c>
      <c r="E398" t="s">
        <v>1534</v>
      </c>
      <c r="F398" t="s">
        <v>1534</v>
      </c>
      <c r="G398" t="s">
        <v>1357</v>
      </c>
      <c r="H398">
        <v>22</v>
      </c>
      <c r="I398" t="s">
        <v>2420</v>
      </c>
      <c r="J398" t="s">
        <v>228</v>
      </c>
    </row>
    <row r="399" spans="1:10">
      <c r="A399" t="s">
        <v>103</v>
      </c>
      <c r="B399" t="s">
        <v>142</v>
      </c>
      <c r="C399" t="s">
        <v>749</v>
      </c>
      <c r="D399" t="s">
        <v>865</v>
      </c>
      <c r="E399" t="s">
        <v>1218</v>
      </c>
      <c r="F399" t="s">
        <v>1218</v>
      </c>
      <c r="G399" t="s">
        <v>1357</v>
      </c>
      <c r="H399">
        <v>22</v>
      </c>
      <c r="I399" t="s">
        <v>2420</v>
      </c>
      <c r="J399" t="s">
        <v>228</v>
      </c>
    </row>
    <row r="400" spans="1:10">
      <c r="A400" t="s">
        <v>104</v>
      </c>
      <c r="B400" t="s">
        <v>142</v>
      </c>
      <c r="C400" t="s">
        <v>749</v>
      </c>
      <c r="D400" t="s">
        <v>854</v>
      </c>
      <c r="E400" t="s">
        <v>1219</v>
      </c>
      <c r="F400" t="s">
        <v>1219</v>
      </c>
      <c r="G400" t="s">
        <v>1357</v>
      </c>
      <c r="H400">
        <v>22</v>
      </c>
      <c r="I400" t="s">
        <v>2420</v>
      </c>
      <c r="J400" t="s">
        <v>228</v>
      </c>
    </row>
    <row r="401" spans="1:10">
      <c r="A401" t="s">
        <v>1660</v>
      </c>
      <c r="B401" t="s">
        <v>680</v>
      </c>
      <c r="C401" t="s">
        <v>911</v>
      </c>
      <c r="D401" t="s">
        <v>1270</v>
      </c>
      <c r="E401" t="s">
        <v>1876</v>
      </c>
      <c r="F401" t="s">
        <v>1400</v>
      </c>
      <c r="G401" t="s">
        <v>911</v>
      </c>
      <c r="H401">
        <v>42</v>
      </c>
      <c r="I401" t="s">
        <v>2731</v>
      </c>
      <c r="J401" t="s">
        <v>681</v>
      </c>
    </row>
    <row r="402" spans="1:10">
      <c r="A402" t="s">
        <v>750</v>
      </c>
      <c r="B402" t="s">
        <v>680</v>
      </c>
      <c r="C402" t="s">
        <v>911</v>
      </c>
      <c r="D402" t="s">
        <v>751</v>
      </c>
      <c r="E402" t="s">
        <v>1134</v>
      </c>
      <c r="F402" t="s">
        <v>1135</v>
      </c>
      <c r="G402" t="s">
        <v>911</v>
      </c>
      <c r="H402">
        <v>42</v>
      </c>
      <c r="I402" t="s">
        <v>2731</v>
      </c>
      <c r="J402" t="s">
        <v>681</v>
      </c>
    </row>
    <row r="403" spans="1:10">
      <c r="A403" t="s">
        <v>912</v>
      </c>
      <c r="B403" t="s">
        <v>680</v>
      </c>
      <c r="C403" t="s">
        <v>911</v>
      </c>
      <c r="D403" t="s">
        <v>913</v>
      </c>
      <c r="E403" t="s">
        <v>1136</v>
      </c>
      <c r="F403" t="s">
        <v>1137</v>
      </c>
      <c r="G403" t="s">
        <v>911</v>
      </c>
      <c r="H403">
        <v>42</v>
      </c>
      <c r="I403" t="s">
        <v>2731</v>
      </c>
      <c r="J403" t="s">
        <v>681</v>
      </c>
    </row>
    <row r="404" spans="1:10">
      <c r="A404" t="s">
        <v>752</v>
      </c>
      <c r="B404" t="s">
        <v>680</v>
      </c>
      <c r="C404" t="s">
        <v>911</v>
      </c>
      <c r="D404" t="s">
        <v>869</v>
      </c>
      <c r="E404" t="s">
        <v>1138</v>
      </c>
      <c r="F404" t="s">
        <v>1139</v>
      </c>
      <c r="G404" t="s">
        <v>911</v>
      </c>
      <c r="H404">
        <v>42</v>
      </c>
      <c r="I404" t="s">
        <v>2731</v>
      </c>
      <c r="J404" t="s">
        <v>681</v>
      </c>
    </row>
    <row r="405" spans="1:10">
      <c r="A405" t="s">
        <v>1978</v>
      </c>
      <c r="B405" t="s">
        <v>1101</v>
      </c>
      <c r="C405" t="s">
        <v>1008</v>
      </c>
      <c r="D405" t="s">
        <v>780</v>
      </c>
      <c r="E405" t="s">
        <v>1979</v>
      </c>
      <c r="F405" t="s">
        <v>2455</v>
      </c>
      <c r="G405" t="s">
        <v>2456</v>
      </c>
      <c r="H405">
        <v>11.5</v>
      </c>
      <c r="I405" t="s">
        <v>2421</v>
      </c>
      <c r="J405" t="s">
        <v>1004</v>
      </c>
    </row>
    <row r="406" spans="1:10">
      <c r="A406" t="s">
        <v>991</v>
      </c>
      <c r="B406" t="s">
        <v>1101</v>
      </c>
      <c r="C406" t="s">
        <v>1008</v>
      </c>
      <c r="D406" t="s">
        <v>145</v>
      </c>
      <c r="E406" t="s">
        <v>1877</v>
      </c>
      <c r="F406" t="s">
        <v>2457</v>
      </c>
      <c r="G406" t="s">
        <v>2456</v>
      </c>
      <c r="H406">
        <v>11.5</v>
      </c>
      <c r="I406" t="s">
        <v>2421</v>
      </c>
      <c r="J406" t="s">
        <v>1004</v>
      </c>
    </row>
    <row r="407" spans="1:10">
      <c r="A407" t="s">
        <v>992</v>
      </c>
      <c r="B407" t="s">
        <v>1101</v>
      </c>
      <c r="C407" t="s">
        <v>1008</v>
      </c>
      <c r="D407" t="s">
        <v>146</v>
      </c>
      <c r="E407" t="s">
        <v>1878</v>
      </c>
      <c r="F407" t="s">
        <v>2458</v>
      </c>
      <c r="G407" t="s">
        <v>2456</v>
      </c>
      <c r="H407">
        <v>11.5</v>
      </c>
      <c r="I407" t="s">
        <v>2421</v>
      </c>
      <c r="J407" t="s">
        <v>1004</v>
      </c>
    </row>
    <row r="408" spans="1:10">
      <c r="A408" t="s">
        <v>1980</v>
      </c>
      <c r="B408" t="s">
        <v>1101</v>
      </c>
      <c r="C408" t="s">
        <v>1009</v>
      </c>
      <c r="D408" t="s">
        <v>780</v>
      </c>
      <c r="E408" t="s">
        <v>1981</v>
      </c>
      <c r="F408" t="s">
        <v>2459</v>
      </c>
      <c r="G408" t="s">
        <v>2460</v>
      </c>
      <c r="H408">
        <v>11.5</v>
      </c>
      <c r="I408" t="s">
        <v>2421</v>
      </c>
      <c r="J408" t="s">
        <v>1004</v>
      </c>
    </row>
    <row r="409" spans="1:10">
      <c r="A409" t="s">
        <v>993</v>
      </c>
      <c r="B409" t="s">
        <v>1101</v>
      </c>
      <c r="C409" t="s">
        <v>1009</v>
      </c>
      <c r="D409" t="s">
        <v>145</v>
      </c>
      <c r="E409" t="s">
        <v>1879</v>
      </c>
      <c r="F409" t="s">
        <v>2461</v>
      </c>
      <c r="G409" t="s">
        <v>2460</v>
      </c>
      <c r="H409">
        <v>11.5</v>
      </c>
      <c r="I409" t="s">
        <v>2421</v>
      </c>
      <c r="J409" t="s">
        <v>1004</v>
      </c>
    </row>
    <row r="410" spans="1:10">
      <c r="A410" t="s">
        <v>994</v>
      </c>
      <c r="B410" t="s">
        <v>1101</v>
      </c>
      <c r="C410" t="s">
        <v>1009</v>
      </c>
      <c r="D410" t="s">
        <v>146</v>
      </c>
      <c r="E410" t="s">
        <v>1880</v>
      </c>
      <c r="F410" t="s">
        <v>2462</v>
      </c>
      <c r="G410" t="s">
        <v>2460</v>
      </c>
      <c r="H410">
        <v>11.5</v>
      </c>
      <c r="I410" t="s">
        <v>2421</v>
      </c>
      <c r="J410" t="s">
        <v>1004</v>
      </c>
    </row>
    <row r="411" spans="1:10">
      <c r="A411" t="s">
        <v>1982</v>
      </c>
      <c r="B411" t="s">
        <v>1101</v>
      </c>
      <c r="C411" t="s">
        <v>1010</v>
      </c>
      <c r="D411" t="s">
        <v>780</v>
      </c>
      <c r="E411" t="s">
        <v>1983</v>
      </c>
      <c r="F411" t="s">
        <v>2463</v>
      </c>
      <c r="G411" t="s">
        <v>2464</v>
      </c>
      <c r="H411">
        <v>11.5</v>
      </c>
      <c r="I411" t="s">
        <v>2421</v>
      </c>
      <c r="J411" t="s">
        <v>1004</v>
      </c>
    </row>
    <row r="412" spans="1:10">
      <c r="A412" t="s">
        <v>995</v>
      </c>
      <c r="B412" t="s">
        <v>1101</v>
      </c>
      <c r="C412" t="s">
        <v>1010</v>
      </c>
      <c r="D412" t="s">
        <v>145</v>
      </c>
      <c r="E412" t="s">
        <v>1881</v>
      </c>
      <c r="F412" t="s">
        <v>2465</v>
      </c>
      <c r="G412" t="s">
        <v>2464</v>
      </c>
      <c r="H412">
        <v>11.5</v>
      </c>
      <c r="I412" t="s">
        <v>2421</v>
      </c>
      <c r="J412" t="s">
        <v>1004</v>
      </c>
    </row>
    <row r="413" spans="1:10">
      <c r="A413" t="s">
        <v>996</v>
      </c>
      <c r="B413" t="s">
        <v>1101</v>
      </c>
      <c r="C413" t="s">
        <v>1010</v>
      </c>
      <c r="D413" t="s">
        <v>146</v>
      </c>
      <c r="E413" t="s">
        <v>1882</v>
      </c>
      <c r="F413" t="s">
        <v>1577</v>
      </c>
      <c r="G413" t="s">
        <v>2464</v>
      </c>
      <c r="H413">
        <v>11.5</v>
      </c>
      <c r="I413" t="s">
        <v>2421</v>
      </c>
      <c r="J413" t="s">
        <v>1004</v>
      </c>
    </row>
    <row r="414" spans="1:10">
      <c r="A414" t="s">
        <v>997</v>
      </c>
      <c r="B414" t="s">
        <v>1101</v>
      </c>
      <c r="C414" t="s">
        <v>1010</v>
      </c>
      <c r="D414" t="s">
        <v>660</v>
      </c>
      <c r="E414" t="s">
        <v>1883</v>
      </c>
      <c r="F414" t="s">
        <v>2466</v>
      </c>
      <c r="G414" t="s">
        <v>2464</v>
      </c>
      <c r="H414">
        <v>11.5</v>
      </c>
      <c r="I414" t="s">
        <v>2421</v>
      </c>
      <c r="J414" t="s">
        <v>1004</v>
      </c>
    </row>
    <row r="415" spans="1:10">
      <c r="A415" t="s">
        <v>1984</v>
      </c>
      <c r="B415" t="s">
        <v>1101</v>
      </c>
      <c r="C415" t="s">
        <v>1011</v>
      </c>
      <c r="D415" t="s">
        <v>780</v>
      </c>
      <c r="E415" t="s">
        <v>1985</v>
      </c>
      <c r="F415" t="s">
        <v>2467</v>
      </c>
      <c r="G415" t="s">
        <v>2468</v>
      </c>
      <c r="H415">
        <v>11.5</v>
      </c>
      <c r="I415" t="s">
        <v>2421</v>
      </c>
      <c r="J415" t="s">
        <v>1004</v>
      </c>
    </row>
    <row r="416" spans="1:10">
      <c r="A416" t="s">
        <v>998</v>
      </c>
      <c r="B416" t="s">
        <v>1101</v>
      </c>
      <c r="C416" t="s">
        <v>1011</v>
      </c>
      <c r="D416" t="s">
        <v>145</v>
      </c>
      <c r="E416" t="s">
        <v>1884</v>
      </c>
      <c r="F416" t="s">
        <v>2469</v>
      </c>
      <c r="G416" t="s">
        <v>2468</v>
      </c>
      <c r="H416">
        <v>11.5</v>
      </c>
      <c r="I416" t="s">
        <v>2421</v>
      </c>
      <c r="J416" t="s">
        <v>1004</v>
      </c>
    </row>
    <row r="417" spans="1:10">
      <c r="A417" t="s">
        <v>999</v>
      </c>
      <c r="B417" t="s">
        <v>1101</v>
      </c>
      <c r="C417" t="s">
        <v>1011</v>
      </c>
      <c r="D417" t="s">
        <v>146</v>
      </c>
      <c r="E417" t="s">
        <v>1885</v>
      </c>
      <c r="F417" t="s">
        <v>1576</v>
      </c>
      <c r="G417" t="s">
        <v>2468</v>
      </c>
      <c r="H417">
        <v>11.5</v>
      </c>
      <c r="I417" t="s">
        <v>2421</v>
      </c>
      <c r="J417" t="s">
        <v>1004</v>
      </c>
    </row>
    <row r="418" spans="1:10">
      <c r="A418" t="s">
        <v>1000</v>
      </c>
      <c r="B418" t="s">
        <v>1101</v>
      </c>
      <c r="C418" t="s">
        <v>1011</v>
      </c>
      <c r="D418" t="s">
        <v>660</v>
      </c>
      <c r="E418" t="s">
        <v>1886</v>
      </c>
      <c r="F418" t="s">
        <v>2470</v>
      </c>
      <c r="G418" t="s">
        <v>2468</v>
      </c>
      <c r="H418">
        <v>11.5</v>
      </c>
      <c r="I418" t="s">
        <v>2421</v>
      </c>
      <c r="J418" t="s">
        <v>1004</v>
      </c>
    </row>
    <row r="419" spans="1:10">
      <c r="A419" t="s">
        <v>1986</v>
      </c>
      <c r="B419" t="s">
        <v>1101</v>
      </c>
      <c r="C419" t="s">
        <v>1013</v>
      </c>
      <c r="D419" t="s">
        <v>780</v>
      </c>
      <c r="E419" t="s">
        <v>1987</v>
      </c>
      <c r="F419" t="s">
        <v>1988</v>
      </c>
      <c r="G419" t="s">
        <v>2471</v>
      </c>
      <c r="H419">
        <v>19</v>
      </c>
      <c r="I419" t="s">
        <v>2421</v>
      </c>
      <c r="J419" t="s">
        <v>1004</v>
      </c>
    </row>
    <row r="420" spans="1:10">
      <c r="A420" t="s">
        <v>1001</v>
      </c>
      <c r="B420" t="s">
        <v>1101</v>
      </c>
      <c r="C420" t="s">
        <v>1013</v>
      </c>
      <c r="D420" t="s">
        <v>288</v>
      </c>
      <c r="E420" t="s">
        <v>1887</v>
      </c>
      <c r="F420" t="s">
        <v>1014</v>
      </c>
      <c r="G420" t="s">
        <v>2471</v>
      </c>
      <c r="H420">
        <v>19</v>
      </c>
      <c r="I420" t="s">
        <v>2421</v>
      </c>
      <c r="J420" t="s">
        <v>1004</v>
      </c>
    </row>
    <row r="421" spans="1:10">
      <c r="A421" t="s">
        <v>1989</v>
      </c>
      <c r="B421" t="s">
        <v>1101</v>
      </c>
      <c r="C421" t="s">
        <v>1092</v>
      </c>
      <c r="D421" t="s">
        <v>780</v>
      </c>
      <c r="E421" t="s">
        <v>1990</v>
      </c>
      <c r="F421" t="s">
        <v>1991</v>
      </c>
      <c r="G421" t="s">
        <v>2472</v>
      </c>
      <c r="H421">
        <v>19</v>
      </c>
      <c r="I421" t="s">
        <v>2421</v>
      </c>
      <c r="J421" t="s">
        <v>1004</v>
      </c>
    </row>
    <row r="422" spans="1:10">
      <c r="A422" t="s">
        <v>1002</v>
      </c>
      <c r="B422" t="s">
        <v>1101</v>
      </c>
      <c r="C422" t="s">
        <v>1092</v>
      </c>
      <c r="D422" t="s">
        <v>145</v>
      </c>
      <c r="E422" t="s">
        <v>1888</v>
      </c>
      <c r="F422" t="s">
        <v>1015</v>
      </c>
      <c r="G422" t="s">
        <v>2472</v>
      </c>
      <c r="H422">
        <v>19</v>
      </c>
      <c r="I422" t="s">
        <v>2421</v>
      </c>
      <c r="J422" t="s">
        <v>1004</v>
      </c>
    </row>
    <row r="423" spans="1:10">
      <c r="A423" t="s">
        <v>1003</v>
      </c>
      <c r="B423" t="s">
        <v>1101</v>
      </c>
      <c r="C423" t="s">
        <v>1092</v>
      </c>
      <c r="D423" t="s">
        <v>146</v>
      </c>
      <c r="E423" t="s">
        <v>2473</v>
      </c>
      <c r="F423" t="s">
        <v>1016</v>
      </c>
      <c r="G423" t="s">
        <v>2472</v>
      </c>
      <c r="H423">
        <v>19</v>
      </c>
      <c r="I423" t="s">
        <v>2421</v>
      </c>
      <c r="J423" t="s">
        <v>1004</v>
      </c>
    </row>
    <row r="424" spans="1:10">
      <c r="A424" t="s">
        <v>2748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8">
    <tabColor theme="0"/>
  </sheetPr>
  <dimension ref="A1:E10"/>
  <sheetViews>
    <sheetView showGridLines="0" zoomScale="70" zoomScaleNormal="70" workbookViewId="0"/>
  </sheetViews>
  <sheetFormatPr defaultColWidth="9.42578125" defaultRowHeight="15"/>
  <cols>
    <col min="1" max="1" width="16.85546875" customWidth="1"/>
    <col min="2" max="2" width="40.5703125" customWidth="1"/>
    <col min="3" max="5" width="22.5703125" customWidth="1"/>
    <col min="6" max="6" width="29.42578125" customWidth="1"/>
    <col min="7" max="7" width="26" customWidth="1"/>
  </cols>
  <sheetData>
    <row r="1" spans="1:5">
      <c r="A1" s="19" t="s">
        <v>2753</v>
      </c>
    </row>
    <row r="2" spans="1:5">
      <c r="A2" s="626" t="s">
        <v>861</v>
      </c>
      <c r="B2" s="627" t="s">
        <v>2815</v>
      </c>
      <c r="C2" s="1667" t="s">
        <v>669</v>
      </c>
      <c r="D2" s="1668"/>
      <c r="E2" s="1669"/>
    </row>
    <row r="3" spans="1:5" ht="15" customHeight="1">
      <c r="A3" s="1685" t="s">
        <v>755</v>
      </c>
      <c r="B3" s="1556" t="s">
        <v>2816</v>
      </c>
      <c r="C3" s="1680" t="str">
        <f>INDEX('AMMO Initiatives'!$I:$I,MATCH("Commercial New Construction",'AMMO Initiatives'!$B:$B,0))</f>
        <v>To affect permanent market change as part of Market Transformation, NEEA provides market intelligence, product and performance data and technical expertise to influence and accelerate the adoption of new and more stringent building energy codes.  NEEA also provides training and information to builders, trades and code officials once a new code has passed to increase awareness and understanding how to implement code changes.</v>
      </c>
      <c r="D3" s="1681"/>
      <c r="E3" s="1682"/>
    </row>
    <row r="4" spans="1:5">
      <c r="A4" s="1686"/>
      <c r="B4" s="1556" t="s">
        <v>2814</v>
      </c>
      <c r="C4" s="1683"/>
      <c r="D4" s="1664"/>
      <c r="E4" s="1684"/>
    </row>
    <row r="5" spans="1:5">
      <c r="A5" s="1686"/>
      <c r="B5" s="1556" t="s">
        <v>2817</v>
      </c>
      <c r="C5" s="1683"/>
      <c r="D5" s="1664"/>
      <c r="E5" s="1684"/>
    </row>
    <row r="6" spans="1:5" ht="67.150000000000006" customHeight="1">
      <c r="A6" s="1686"/>
      <c r="B6" s="1556" t="s">
        <v>2818</v>
      </c>
      <c r="C6" s="1683"/>
      <c r="D6" s="1664"/>
      <c r="E6" s="1684"/>
    </row>
    <row r="7" spans="1:5" ht="50.25" customHeight="1">
      <c r="A7" s="1670" t="s">
        <v>864</v>
      </c>
      <c r="B7" s="1678" t="s">
        <v>2778</v>
      </c>
      <c r="C7" s="1672" t="str">
        <f>INDEX('AMMO Initiatives'!$I:$I,MATCH("Consumer Products (Standards)",'AMMO Initiatives'!$B:$B,0))</f>
        <v>To affect permanent market change as part of Market Transformation, NEEA provides market intelligence, product and performance data and technical expertise to influence and accelerate the adoption of more stringent appliance and equipment standards at a state and federal level.</v>
      </c>
      <c r="D7" s="1673"/>
      <c r="E7" s="1674"/>
    </row>
    <row r="8" spans="1:5" ht="48.75" customHeight="1">
      <c r="A8" s="1671"/>
      <c r="B8" s="1679"/>
      <c r="C8" s="1675"/>
      <c r="D8" s="1676"/>
      <c r="E8" s="1677"/>
    </row>
    <row r="9" spans="1:5">
      <c r="A9" s="1665" t="s">
        <v>2813</v>
      </c>
      <c r="B9" s="1665"/>
      <c r="C9" s="1665"/>
      <c r="D9" s="1665"/>
      <c r="E9" s="1665"/>
    </row>
    <row r="10" spans="1:5">
      <c r="A10" s="1666"/>
      <c r="B10" s="1666"/>
      <c r="C10" s="1666"/>
      <c r="D10" s="1666"/>
      <c r="E10" s="1666"/>
    </row>
  </sheetData>
  <mergeCells count="7">
    <mergeCell ref="A9:E10"/>
    <mergeCell ref="C2:E2"/>
    <mergeCell ref="A7:A8"/>
    <mergeCell ref="C7:E8"/>
    <mergeCell ref="B7:B8"/>
    <mergeCell ref="C3:E6"/>
    <mergeCell ref="A3:A6"/>
  </mergeCells>
  <hyperlinks>
    <hyperlink ref="A7:A8" location="'Other Products'!A1" display="Other Standards" xr:uid="{00000000-0004-0000-1000-000001000000}"/>
    <hyperlink ref="A3:A6" location="'New Construction_Regional'!A1" display="New Construction" xr:uid="{02E3F3CD-B054-4E6F-842E-E33655C2A005}"/>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CB95-EE45-413F-99CA-4325C69D725D}">
  <sheetPr>
    <tabColor rgb="FFFF0000"/>
  </sheetPr>
  <dimension ref="A1:XFD34"/>
  <sheetViews>
    <sheetView showGridLines="0" topLeftCell="A23" workbookViewId="0">
      <selection activeCell="A13" sqref="A13:Q13"/>
    </sheetView>
  </sheetViews>
  <sheetFormatPr defaultColWidth="8.5703125" defaultRowHeight="12.75"/>
  <cols>
    <col min="1" max="1" width="21.42578125" style="47" customWidth="1"/>
    <col min="2" max="16384" width="8.5703125" style="47"/>
  </cols>
  <sheetData>
    <row r="1" spans="1:19" ht="15">
      <c r="A1" s="663" t="s">
        <v>2620</v>
      </c>
    </row>
    <row r="2" spans="1:19">
      <c r="A2" s="1687" t="s">
        <v>2621</v>
      </c>
      <c r="B2" s="1687"/>
      <c r="C2" s="1687"/>
      <c r="D2" s="1687"/>
      <c r="E2" s="1687"/>
      <c r="F2" s="1687"/>
      <c r="G2" s="1687"/>
      <c r="H2" s="1687"/>
      <c r="I2" s="1687"/>
      <c r="J2" s="1687"/>
      <c r="K2" s="1687"/>
      <c r="L2" s="1687"/>
      <c r="M2" s="1687"/>
      <c r="N2" s="1687"/>
      <c r="O2" s="1687"/>
      <c r="P2" s="1687"/>
      <c r="Q2" s="1687"/>
    </row>
    <row r="3" spans="1:19" s="224" customFormat="1">
      <c r="A3" s="664" t="s">
        <v>2622</v>
      </c>
    </row>
    <row r="4" spans="1:19" s="224" customFormat="1">
      <c r="A4" s="665" t="s">
        <v>2623</v>
      </c>
    </row>
    <row r="5" spans="1:19" s="224" customFormat="1" ht="13.5" customHeight="1">
      <c r="A5" s="664" t="s">
        <v>2624</v>
      </c>
    </row>
    <row r="6" spans="1:19" s="224" customFormat="1">
      <c r="A6" s="665" t="s">
        <v>2625</v>
      </c>
    </row>
    <row r="7" spans="1:19" s="224" customFormat="1">
      <c r="A7" s="664" t="s">
        <v>2626</v>
      </c>
    </row>
    <row r="8" spans="1:19" s="224" customFormat="1">
      <c r="A8" s="665" t="s">
        <v>2627</v>
      </c>
    </row>
    <row r="9" spans="1:19" s="224" customFormat="1">
      <c r="A9" s="664" t="s">
        <v>2628</v>
      </c>
    </row>
    <row r="10" spans="1:19" s="224" customFormat="1" ht="12.75" customHeight="1">
      <c r="A10" s="665" t="s">
        <v>2629</v>
      </c>
    </row>
    <row r="11" spans="1:19" s="224" customFormat="1">
      <c r="A11" s="666"/>
    </row>
    <row r="12" spans="1:19">
      <c r="A12" s="224"/>
      <c r="B12" s="224"/>
      <c r="C12" s="224"/>
      <c r="D12" s="224"/>
      <c r="E12" s="224"/>
      <c r="F12" s="224"/>
      <c r="G12" s="224"/>
      <c r="H12" s="224"/>
      <c r="I12" s="224"/>
      <c r="J12" s="224"/>
      <c r="K12" s="224"/>
      <c r="L12" s="224"/>
      <c r="M12" s="224"/>
      <c r="N12" s="224"/>
      <c r="O12" s="224"/>
      <c r="P12" s="224"/>
      <c r="Q12" s="224"/>
    </row>
    <row r="13" spans="1:19" ht="28.35" customHeight="1">
      <c r="A13" s="1687" t="s">
        <v>2630</v>
      </c>
      <c r="B13" s="1687"/>
      <c r="C13" s="1687"/>
      <c r="D13" s="1687"/>
      <c r="E13" s="1687"/>
      <c r="F13" s="1687"/>
      <c r="G13" s="1687"/>
      <c r="H13" s="1687"/>
      <c r="I13" s="1687"/>
      <c r="J13" s="1687"/>
      <c r="K13" s="1687"/>
      <c r="L13" s="1687"/>
      <c r="M13" s="1687"/>
      <c r="N13" s="1687"/>
      <c r="O13" s="1687"/>
      <c r="P13" s="1687"/>
      <c r="Q13" s="1687"/>
      <c r="S13"/>
    </row>
    <row r="14" spans="1:19" ht="56.85" customHeight="1">
      <c r="A14" s="1688" t="s">
        <v>2631</v>
      </c>
      <c r="B14" s="1688"/>
      <c r="C14" s="1688"/>
      <c r="D14" s="1688"/>
      <c r="E14" s="1688"/>
      <c r="F14" s="1688"/>
      <c r="G14" s="1688"/>
      <c r="H14" s="1688"/>
      <c r="I14" s="1688"/>
      <c r="J14" s="1688"/>
      <c r="K14" s="1688"/>
      <c r="L14" s="1688"/>
      <c r="M14" s="1688"/>
      <c r="N14" s="1688"/>
      <c r="O14" s="1688"/>
      <c r="P14" s="1688"/>
      <c r="Q14" s="1688"/>
    </row>
    <row r="15" spans="1:19" ht="15.6" customHeight="1">
      <c r="A15" s="1687" t="s">
        <v>2632</v>
      </c>
      <c r="B15" s="1687"/>
      <c r="C15" s="1687"/>
      <c r="D15" s="1687"/>
      <c r="E15" s="1687"/>
      <c r="F15" s="1687"/>
      <c r="G15" s="1687"/>
      <c r="H15" s="1687"/>
      <c r="I15" s="1687"/>
      <c r="J15" s="1687"/>
      <c r="K15" s="1687"/>
      <c r="L15" s="1687"/>
      <c r="M15" s="1687"/>
      <c r="N15" s="1687"/>
      <c r="O15" s="1687"/>
      <c r="P15" s="1687"/>
      <c r="Q15" s="1687"/>
      <c r="S15"/>
    </row>
    <row r="16" spans="1:19" ht="49.35" customHeight="1">
      <c r="A16" s="1688" t="s">
        <v>2633</v>
      </c>
      <c r="B16" s="1688"/>
      <c r="C16" s="1688"/>
      <c r="D16" s="1688"/>
      <c r="E16" s="1688"/>
      <c r="F16" s="1688"/>
      <c r="G16" s="1688"/>
      <c r="H16" s="1688"/>
      <c r="I16" s="1688"/>
      <c r="J16" s="1688"/>
      <c r="K16" s="1688"/>
      <c r="L16" s="1688"/>
      <c r="M16" s="1688"/>
      <c r="N16" s="1688"/>
      <c r="O16" s="1688"/>
      <c r="P16" s="1688"/>
      <c r="Q16" s="1688"/>
    </row>
    <row r="17" spans="1:16384" ht="74.849999999999994" customHeight="1">
      <c r="A17" s="1687" t="s">
        <v>2634</v>
      </c>
      <c r="B17" s="1687"/>
      <c r="C17" s="1687"/>
      <c r="D17" s="1687"/>
      <c r="E17" s="1687"/>
      <c r="F17" s="1687"/>
      <c r="G17" s="1687"/>
      <c r="H17" s="1687"/>
      <c r="I17" s="1687"/>
      <c r="J17" s="1687"/>
      <c r="K17" s="1687"/>
      <c r="L17" s="1687"/>
      <c r="M17" s="1687"/>
      <c r="N17" s="1687"/>
      <c r="O17" s="1687"/>
      <c r="P17" s="1687"/>
      <c r="Q17" s="1687"/>
      <c r="S17"/>
    </row>
    <row r="18" spans="1:16384" ht="93" customHeight="1">
      <c r="A18" s="1688" t="s">
        <v>2635</v>
      </c>
      <c r="B18" s="1688"/>
      <c r="C18" s="1688"/>
      <c r="D18" s="1688"/>
      <c r="E18" s="1688"/>
      <c r="F18" s="1688"/>
      <c r="G18" s="1688"/>
      <c r="H18" s="1688"/>
      <c r="I18" s="1688"/>
      <c r="J18" s="1688"/>
      <c r="K18" s="1688"/>
      <c r="L18" s="1688"/>
      <c r="M18" s="1688"/>
      <c r="N18" s="1688"/>
      <c r="O18" s="1688"/>
      <c r="P18" s="1688"/>
      <c r="Q18" s="1688"/>
    </row>
    <row r="19" spans="1:16384" ht="36.6" customHeight="1">
      <c r="A19" s="1687" t="s">
        <v>2636</v>
      </c>
      <c r="B19" s="1687"/>
      <c r="C19" s="1687"/>
      <c r="D19" s="1687"/>
      <c r="E19" s="1687"/>
      <c r="F19" s="1687"/>
      <c r="G19" s="1687"/>
      <c r="H19" s="1687"/>
      <c r="I19" s="1687"/>
      <c r="J19" s="1687"/>
      <c r="K19" s="1687"/>
      <c r="L19" s="1687"/>
      <c r="M19" s="1687"/>
      <c r="N19" s="1687"/>
      <c r="O19" s="1687"/>
      <c r="P19" s="1687"/>
      <c r="Q19" s="1687"/>
      <c r="S19"/>
    </row>
    <row r="20" spans="1:16384" ht="103.5" customHeight="1">
      <c r="A20" s="1688" t="s">
        <v>2637</v>
      </c>
      <c r="B20" s="1688"/>
      <c r="C20" s="1688"/>
      <c r="D20" s="1688"/>
      <c r="E20" s="1688"/>
      <c r="F20" s="1688"/>
      <c r="G20" s="1688"/>
      <c r="H20" s="1688"/>
      <c r="I20" s="1688"/>
      <c r="J20" s="1688"/>
      <c r="K20" s="1688"/>
      <c r="L20" s="1688"/>
      <c r="M20" s="1688"/>
      <c r="N20" s="1688"/>
      <c r="O20" s="1688"/>
      <c r="P20" s="1688"/>
      <c r="Q20" s="1688"/>
    </row>
    <row r="21" spans="1:16384" ht="49.35" customHeight="1">
      <c r="A21" s="1687" t="s">
        <v>2638</v>
      </c>
      <c r="B21" s="1687"/>
      <c r="C21" s="1687"/>
      <c r="D21" s="1687"/>
      <c r="E21" s="1687"/>
      <c r="F21" s="1687"/>
      <c r="G21" s="1687"/>
      <c r="H21" s="1687"/>
      <c r="I21" s="1687"/>
      <c r="J21" s="1687"/>
      <c r="K21" s="1687"/>
      <c r="L21" s="1687"/>
      <c r="M21" s="1687"/>
      <c r="N21" s="1687"/>
      <c r="O21" s="1687"/>
      <c r="P21" s="1687"/>
      <c r="Q21" s="1687"/>
      <c r="S21"/>
    </row>
    <row r="22" spans="1:16384" ht="75" customHeight="1">
      <c r="A22" s="1688" t="s">
        <v>2639</v>
      </c>
      <c r="B22" s="1688"/>
      <c r="C22" s="1688"/>
      <c r="D22" s="1688"/>
      <c r="E22" s="1688"/>
      <c r="F22" s="1688"/>
      <c r="G22" s="1688"/>
      <c r="H22" s="1688"/>
      <c r="I22" s="1688"/>
      <c r="J22" s="1688"/>
      <c r="K22" s="1688"/>
      <c r="L22" s="1688"/>
      <c r="M22" s="1688"/>
      <c r="N22" s="1688"/>
      <c r="O22" s="1688"/>
      <c r="P22" s="1688"/>
      <c r="Q22" s="1688"/>
    </row>
    <row r="23" spans="1:16384" ht="49.35" customHeight="1">
      <c r="A23" s="1687" t="s">
        <v>2640</v>
      </c>
      <c r="B23" s="1687"/>
      <c r="C23" s="1687"/>
      <c r="D23" s="1687"/>
      <c r="E23" s="1687"/>
      <c r="F23" s="1687"/>
      <c r="G23" s="1687"/>
      <c r="H23" s="1687"/>
      <c r="I23" s="1687"/>
      <c r="J23" s="1687"/>
      <c r="K23" s="1687"/>
      <c r="L23" s="1687"/>
      <c r="M23" s="1687"/>
      <c r="N23" s="1687"/>
      <c r="O23" s="1687"/>
      <c r="P23" s="1687"/>
      <c r="Q23" s="1687"/>
      <c r="S23"/>
    </row>
    <row r="24" spans="1:16384" ht="63.75" customHeight="1">
      <c r="A24" s="1688" t="s">
        <v>2641</v>
      </c>
      <c r="B24" s="1688"/>
      <c r="C24" s="1688"/>
      <c r="D24" s="1688"/>
      <c r="E24" s="1688"/>
      <c r="F24" s="1688"/>
      <c r="G24" s="1688"/>
      <c r="H24" s="1688"/>
      <c r="I24" s="1688"/>
      <c r="J24" s="1688"/>
      <c r="K24" s="1688"/>
      <c r="L24" s="1688"/>
      <c r="M24" s="1688"/>
      <c r="N24" s="1688"/>
      <c r="O24" s="1688"/>
      <c r="P24" s="1688"/>
      <c r="Q24" s="1688"/>
    </row>
    <row r="25" spans="1:16384" ht="49.35" customHeight="1">
      <c r="A25" s="1687" t="s">
        <v>2642</v>
      </c>
      <c r="B25" s="1687"/>
      <c r="C25" s="1687"/>
      <c r="D25" s="1687"/>
      <c r="E25" s="1687"/>
      <c r="F25" s="1689"/>
      <c r="G25" s="1687"/>
      <c r="H25" s="1687"/>
      <c r="I25" s="1687"/>
      <c r="J25" s="1687"/>
      <c r="K25" s="1687"/>
      <c r="L25" s="1687"/>
      <c r="M25" s="1687"/>
      <c r="N25" s="1687"/>
      <c r="O25" s="1687"/>
      <c r="P25" s="1687"/>
      <c r="Q25" s="1687"/>
      <c r="S25"/>
    </row>
    <row r="26" spans="1:16384" ht="49.35" customHeight="1">
      <c r="A26" s="1688" t="s">
        <v>2643</v>
      </c>
      <c r="B26" s="1688"/>
      <c r="C26" s="1688"/>
      <c r="D26" s="1688"/>
      <c r="E26" s="1688"/>
      <c r="F26" s="1688"/>
      <c r="G26" s="1688"/>
      <c r="H26" s="1688"/>
      <c r="I26" s="1688"/>
      <c r="J26" s="1688"/>
      <c r="K26" s="1688"/>
      <c r="L26" s="1688"/>
      <c r="M26" s="1688"/>
      <c r="N26" s="1688"/>
      <c r="O26" s="1688"/>
      <c r="P26" s="1688"/>
      <c r="Q26" s="1688"/>
    </row>
    <row r="27" spans="1:16384" ht="49.35" customHeight="1">
      <c r="A27" s="1687" t="s">
        <v>2644</v>
      </c>
      <c r="B27" s="1687"/>
      <c r="C27" s="1687"/>
      <c r="D27" s="1687"/>
      <c r="E27" s="1687"/>
      <c r="F27" s="1687"/>
      <c r="G27" s="1687"/>
      <c r="H27" s="1687"/>
      <c r="I27" s="1687"/>
      <c r="J27" s="1687"/>
      <c r="K27" s="1687"/>
      <c r="L27" s="1687"/>
      <c r="M27" s="1687"/>
      <c r="N27" s="1687"/>
      <c r="O27" s="1687"/>
      <c r="P27" s="1687"/>
      <c r="Q27" s="1687"/>
      <c r="S27"/>
    </row>
    <row r="28" spans="1:16384" ht="41.25" customHeight="1">
      <c r="A28" s="1688" t="s">
        <v>2645</v>
      </c>
      <c r="B28" s="1688"/>
      <c r="C28" s="1688"/>
      <c r="D28" s="1688"/>
      <c r="E28" s="1688"/>
      <c r="F28" s="1688"/>
      <c r="G28" s="1688"/>
      <c r="H28" s="1688"/>
      <c r="I28" s="1688"/>
      <c r="J28" s="1688"/>
      <c r="K28" s="1688"/>
      <c r="L28" s="1688"/>
      <c r="M28" s="1688"/>
      <c r="N28" s="1688"/>
      <c r="O28" s="1688"/>
      <c r="P28" s="1688"/>
      <c r="Q28" s="1688"/>
      <c r="R28" s="1688"/>
      <c r="S28" s="1688"/>
      <c r="T28" s="1688"/>
      <c r="U28" s="1688"/>
      <c r="V28" s="1688"/>
      <c r="W28" s="1688"/>
      <c r="X28" s="1688"/>
      <c r="Y28" s="1688"/>
      <c r="Z28" s="1688"/>
      <c r="AA28" s="1688"/>
      <c r="AB28" s="1688"/>
      <c r="AC28" s="1688"/>
      <c r="AD28" s="1688"/>
      <c r="AE28" s="1688"/>
      <c r="AF28" s="1688"/>
      <c r="AG28" s="1688"/>
      <c r="AH28" s="1688"/>
      <c r="AI28" s="1688"/>
      <c r="AJ28" s="1688"/>
      <c r="AK28" s="1688"/>
      <c r="AL28" s="1688"/>
      <c r="AM28" s="1688"/>
      <c r="AN28" s="1688"/>
      <c r="AO28" s="1688"/>
      <c r="AP28" s="1688"/>
      <c r="AQ28" s="1688"/>
      <c r="AR28" s="1688"/>
      <c r="AS28" s="1688"/>
      <c r="AT28" s="1688"/>
      <c r="AU28" s="1688"/>
      <c r="AV28" s="1688"/>
      <c r="AW28" s="1688"/>
      <c r="AX28" s="1688"/>
      <c r="AY28" s="1688"/>
      <c r="AZ28" s="1688"/>
      <c r="BA28" s="1688"/>
      <c r="BB28" s="1688"/>
      <c r="BC28" s="1688"/>
      <c r="BD28" s="1688"/>
      <c r="BE28" s="1688"/>
      <c r="BF28" s="1688"/>
      <c r="BG28" s="1688"/>
      <c r="BH28" s="1688"/>
      <c r="BI28" s="1688"/>
      <c r="BJ28" s="1688"/>
      <c r="BK28" s="1688"/>
      <c r="BL28" s="1688"/>
      <c r="BM28" s="1688"/>
      <c r="BN28" s="1688"/>
      <c r="BO28" s="1688"/>
      <c r="BP28" s="1688"/>
      <c r="BQ28" s="1688"/>
      <c r="BR28" s="1688"/>
      <c r="BS28" s="1688"/>
      <c r="BT28" s="1688"/>
      <c r="BU28" s="1688"/>
      <c r="BV28" s="1688"/>
      <c r="BW28" s="1688"/>
      <c r="BX28" s="1688"/>
      <c r="BY28" s="1688"/>
      <c r="BZ28" s="1688"/>
      <c r="CA28" s="1688"/>
      <c r="CB28" s="1688"/>
      <c r="CC28" s="1688"/>
      <c r="CD28" s="1688"/>
      <c r="CE28" s="1688"/>
      <c r="CF28" s="1688"/>
      <c r="CG28" s="1688"/>
      <c r="CH28" s="1688"/>
      <c r="CI28" s="1688"/>
      <c r="CJ28" s="1688"/>
      <c r="CK28" s="1688"/>
      <c r="CL28" s="1688"/>
      <c r="CM28" s="1688"/>
      <c r="CN28" s="1688"/>
      <c r="CO28" s="1688"/>
      <c r="CP28" s="1688"/>
      <c r="CQ28" s="1688"/>
      <c r="CR28" s="1688"/>
      <c r="CS28" s="1688"/>
      <c r="CT28" s="1688"/>
      <c r="CU28" s="1688"/>
      <c r="CV28" s="1688"/>
      <c r="CW28" s="1688"/>
      <c r="CX28" s="1688"/>
      <c r="CY28" s="1688"/>
      <c r="CZ28" s="1688"/>
      <c r="DA28" s="1688"/>
      <c r="DB28" s="1688"/>
      <c r="DC28" s="1688"/>
      <c r="DD28" s="1688"/>
      <c r="DE28" s="1688"/>
      <c r="DF28" s="1688"/>
      <c r="DG28" s="1688"/>
      <c r="DH28" s="1688"/>
      <c r="DI28" s="1688"/>
      <c r="DJ28" s="1688"/>
      <c r="DK28" s="1688"/>
      <c r="DL28" s="1688"/>
      <c r="DM28" s="1688"/>
      <c r="DN28" s="1688"/>
      <c r="DO28" s="1688"/>
      <c r="DP28" s="1688"/>
      <c r="DQ28" s="1688"/>
      <c r="DR28" s="1688"/>
      <c r="DS28" s="1688"/>
      <c r="DT28" s="1688"/>
      <c r="DU28" s="1688"/>
      <c r="DV28" s="1688"/>
      <c r="DW28" s="1688"/>
      <c r="DX28" s="1688"/>
      <c r="DY28" s="1688"/>
      <c r="DZ28" s="1688"/>
      <c r="EA28" s="1688"/>
      <c r="EB28" s="1688"/>
      <c r="EC28" s="1688"/>
      <c r="ED28" s="1688"/>
      <c r="EE28" s="1688"/>
      <c r="EF28" s="1688"/>
      <c r="EG28" s="1688"/>
      <c r="EH28" s="1688"/>
      <c r="EI28" s="1688"/>
      <c r="EJ28" s="1688"/>
      <c r="EK28" s="1688"/>
      <c r="EL28" s="1688"/>
      <c r="EM28" s="1688"/>
      <c r="EN28" s="1688"/>
      <c r="EO28" s="1688"/>
      <c r="EP28" s="1688"/>
      <c r="EQ28" s="1688"/>
      <c r="ER28" s="1688"/>
      <c r="ES28" s="1688"/>
      <c r="ET28" s="1688"/>
      <c r="EU28" s="1688"/>
      <c r="EV28" s="1688"/>
      <c r="EW28" s="1688"/>
      <c r="EX28" s="1688"/>
      <c r="EY28" s="1688"/>
      <c r="EZ28" s="1688"/>
      <c r="FA28" s="1688"/>
      <c r="FB28" s="1688"/>
      <c r="FC28" s="1688"/>
      <c r="FD28" s="1688"/>
      <c r="FE28" s="1688"/>
      <c r="FF28" s="1688"/>
      <c r="FG28" s="1688"/>
      <c r="FH28" s="1688"/>
      <c r="FI28" s="1688"/>
      <c r="FJ28" s="1688"/>
      <c r="FK28" s="1688"/>
      <c r="FL28" s="1688"/>
      <c r="FM28" s="1688"/>
      <c r="FN28" s="1688"/>
      <c r="FO28" s="1688"/>
      <c r="FP28" s="1688"/>
      <c r="FQ28" s="1688"/>
      <c r="FR28" s="1688"/>
      <c r="FS28" s="1688"/>
      <c r="FT28" s="1688"/>
      <c r="FU28" s="1688"/>
      <c r="FV28" s="1688"/>
      <c r="FW28" s="1688"/>
      <c r="FX28" s="1688"/>
      <c r="FY28" s="1688"/>
      <c r="FZ28" s="1688"/>
      <c r="GA28" s="1688"/>
      <c r="GB28" s="1688"/>
      <c r="GC28" s="1688"/>
      <c r="GD28" s="1688"/>
      <c r="GE28" s="1688"/>
      <c r="GF28" s="1688"/>
      <c r="GG28" s="1688"/>
      <c r="GH28" s="1688"/>
      <c r="GI28" s="1688"/>
      <c r="GJ28" s="1688"/>
      <c r="GK28" s="1688"/>
      <c r="GL28" s="1688"/>
      <c r="GM28" s="1688"/>
      <c r="GN28" s="1688"/>
      <c r="GO28" s="1688"/>
      <c r="GP28" s="1688"/>
      <c r="GQ28" s="1688"/>
      <c r="GR28" s="1688"/>
      <c r="GS28" s="1688"/>
      <c r="GT28" s="1688"/>
      <c r="GU28" s="1688"/>
      <c r="GV28" s="1688"/>
      <c r="GW28" s="1688"/>
      <c r="GX28" s="1688"/>
      <c r="GY28" s="1688"/>
      <c r="GZ28" s="1688"/>
      <c r="HA28" s="1688"/>
      <c r="HB28" s="1688"/>
      <c r="HC28" s="1688"/>
      <c r="HD28" s="1688"/>
      <c r="HE28" s="1688"/>
      <c r="HF28" s="1688"/>
      <c r="HG28" s="1688"/>
      <c r="HH28" s="1688"/>
      <c r="HI28" s="1688"/>
      <c r="HJ28" s="1688"/>
      <c r="HK28" s="1688"/>
      <c r="HL28" s="1688"/>
      <c r="HM28" s="1688"/>
      <c r="HN28" s="1688"/>
      <c r="HO28" s="1688"/>
      <c r="HP28" s="1688"/>
      <c r="HQ28" s="1688"/>
      <c r="HR28" s="1688"/>
      <c r="HS28" s="1688"/>
      <c r="HT28" s="1688"/>
      <c r="HU28" s="1688"/>
      <c r="HV28" s="1688"/>
      <c r="HW28" s="1688"/>
      <c r="HX28" s="1688"/>
      <c r="HY28" s="1688"/>
      <c r="HZ28" s="1688"/>
      <c r="IA28" s="1688"/>
      <c r="IB28" s="1688"/>
      <c r="IC28" s="1688"/>
      <c r="ID28" s="1688"/>
      <c r="IE28" s="1688"/>
      <c r="IF28" s="1688"/>
      <c r="IG28" s="1688"/>
      <c r="IH28" s="1688"/>
      <c r="II28" s="1688"/>
      <c r="IJ28" s="1688"/>
      <c r="IK28" s="1688"/>
      <c r="IL28" s="1688"/>
      <c r="IM28" s="1688"/>
      <c r="IN28" s="1688"/>
      <c r="IO28" s="1688"/>
      <c r="IP28" s="1688"/>
      <c r="IQ28" s="1688"/>
      <c r="IR28" s="1688"/>
      <c r="IS28" s="1688"/>
      <c r="IT28" s="1688"/>
      <c r="IU28" s="1688"/>
      <c r="IV28" s="1688"/>
      <c r="IW28" s="1688"/>
      <c r="IX28" s="1688"/>
      <c r="IY28" s="1688"/>
      <c r="IZ28" s="1688"/>
      <c r="JA28" s="1688"/>
      <c r="JB28" s="1688"/>
      <c r="JC28" s="1688"/>
      <c r="JD28" s="1688"/>
      <c r="JE28" s="1688"/>
      <c r="JF28" s="1688"/>
      <c r="JG28" s="1688"/>
      <c r="JH28" s="1688"/>
      <c r="JI28" s="1688"/>
      <c r="JJ28" s="1688"/>
      <c r="JK28" s="1688"/>
      <c r="JL28" s="1688"/>
      <c r="JM28" s="1688"/>
      <c r="JN28" s="1688"/>
      <c r="JO28" s="1688"/>
      <c r="JP28" s="1688"/>
      <c r="JQ28" s="1688"/>
      <c r="JR28" s="1688"/>
      <c r="JS28" s="1688"/>
      <c r="JT28" s="1688"/>
      <c r="JU28" s="1688"/>
      <c r="JV28" s="1688"/>
      <c r="JW28" s="1688"/>
      <c r="JX28" s="1688"/>
      <c r="JY28" s="1688"/>
      <c r="JZ28" s="1688"/>
      <c r="KA28" s="1688"/>
      <c r="KB28" s="1688"/>
      <c r="KC28" s="1688"/>
      <c r="KD28" s="1688"/>
      <c r="KE28" s="1688"/>
      <c r="KF28" s="1688"/>
      <c r="KG28" s="1688"/>
      <c r="KH28" s="1688"/>
      <c r="KI28" s="1688"/>
      <c r="KJ28" s="1688"/>
      <c r="KK28" s="1688"/>
      <c r="KL28" s="1688"/>
      <c r="KM28" s="1688"/>
      <c r="KN28" s="1688"/>
      <c r="KO28" s="1688"/>
      <c r="KP28" s="1688"/>
      <c r="KQ28" s="1688"/>
      <c r="KR28" s="1688"/>
      <c r="KS28" s="1688"/>
      <c r="KT28" s="1688"/>
      <c r="KU28" s="1688"/>
      <c r="KV28" s="1688"/>
      <c r="KW28" s="1688"/>
      <c r="KX28" s="1688"/>
      <c r="KY28" s="1688"/>
      <c r="KZ28" s="1688"/>
      <c r="LA28" s="1688"/>
      <c r="LB28" s="1688"/>
      <c r="LC28" s="1688"/>
      <c r="LD28" s="1688"/>
      <c r="LE28" s="1688"/>
      <c r="LF28" s="1688"/>
      <c r="LG28" s="1688"/>
      <c r="LH28" s="1688"/>
      <c r="LI28" s="1688"/>
      <c r="LJ28" s="1688"/>
      <c r="LK28" s="1688"/>
      <c r="LL28" s="1688"/>
      <c r="LM28" s="1688"/>
      <c r="LN28" s="1688"/>
      <c r="LO28" s="1688"/>
      <c r="LP28" s="1688"/>
      <c r="LQ28" s="1688"/>
      <c r="LR28" s="1688"/>
      <c r="LS28" s="1688"/>
      <c r="LT28" s="1688"/>
      <c r="LU28" s="1688"/>
      <c r="LV28" s="1688"/>
      <c r="LW28" s="1688"/>
      <c r="LX28" s="1688"/>
      <c r="LY28" s="1688"/>
      <c r="LZ28" s="1688"/>
      <c r="MA28" s="1688"/>
      <c r="MB28" s="1688"/>
      <c r="MC28" s="1688"/>
      <c r="MD28" s="1688"/>
      <c r="ME28" s="1688"/>
      <c r="MF28" s="1688"/>
      <c r="MG28" s="1688"/>
      <c r="MH28" s="1688"/>
      <c r="MI28" s="1688"/>
      <c r="MJ28" s="1688"/>
      <c r="MK28" s="1688"/>
      <c r="ML28" s="1688"/>
      <c r="MM28" s="1688"/>
      <c r="MN28" s="1688"/>
      <c r="MO28" s="1688"/>
      <c r="MP28" s="1688"/>
      <c r="MQ28" s="1688"/>
      <c r="MR28" s="1688"/>
      <c r="MS28" s="1688"/>
      <c r="MT28" s="1688"/>
      <c r="MU28" s="1688"/>
      <c r="MV28" s="1688"/>
      <c r="MW28" s="1688"/>
      <c r="MX28" s="1688"/>
      <c r="MY28" s="1688"/>
      <c r="MZ28" s="1688"/>
      <c r="NA28" s="1688"/>
      <c r="NB28" s="1688"/>
      <c r="NC28" s="1688"/>
      <c r="ND28" s="1688"/>
      <c r="NE28" s="1688"/>
      <c r="NF28" s="1688"/>
      <c r="NG28" s="1688"/>
      <c r="NH28" s="1688"/>
      <c r="NI28" s="1688"/>
      <c r="NJ28" s="1688"/>
      <c r="NK28" s="1688"/>
      <c r="NL28" s="1688"/>
      <c r="NM28" s="1688"/>
      <c r="NN28" s="1688"/>
      <c r="NO28" s="1688"/>
      <c r="NP28" s="1688"/>
      <c r="NQ28" s="1688"/>
      <c r="NR28" s="1688"/>
      <c r="NS28" s="1688"/>
      <c r="NT28" s="1688"/>
      <c r="NU28" s="1688"/>
      <c r="NV28" s="1688"/>
      <c r="NW28" s="1688"/>
      <c r="NX28" s="1688"/>
      <c r="NY28" s="1688"/>
      <c r="NZ28" s="1688"/>
      <c r="OA28" s="1688"/>
      <c r="OB28" s="1688"/>
      <c r="OC28" s="1688"/>
      <c r="OD28" s="1688"/>
      <c r="OE28" s="1688"/>
      <c r="OF28" s="1688"/>
      <c r="OG28" s="1688"/>
      <c r="OH28" s="1688"/>
      <c r="OI28" s="1688"/>
      <c r="OJ28" s="1688"/>
      <c r="OK28" s="1688"/>
      <c r="OL28" s="1688"/>
      <c r="OM28" s="1688"/>
      <c r="ON28" s="1688"/>
      <c r="OO28" s="1688"/>
      <c r="OP28" s="1688"/>
      <c r="OQ28" s="1688"/>
      <c r="OR28" s="1688"/>
      <c r="OS28" s="1688"/>
      <c r="OT28" s="1688"/>
      <c r="OU28" s="1688"/>
      <c r="OV28" s="1688"/>
      <c r="OW28" s="1688"/>
      <c r="OX28" s="1688"/>
      <c r="OY28" s="1688"/>
      <c r="OZ28" s="1688"/>
      <c r="PA28" s="1688"/>
      <c r="PB28" s="1688"/>
      <c r="PC28" s="1688"/>
      <c r="PD28" s="1688"/>
      <c r="PE28" s="1688"/>
      <c r="PF28" s="1688"/>
      <c r="PG28" s="1688"/>
      <c r="PH28" s="1688"/>
      <c r="PI28" s="1688"/>
      <c r="PJ28" s="1688"/>
      <c r="PK28" s="1688"/>
      <c r="PL28" s="1688"/>
      <c r="PM28" s="1688"/>
      <c r="PN28" s="1688"/>
      <c r="PO28" s="1688"/>
      <c r="PP28" s="1688"/>
      <c r="PQ28" s="1688"/>
      <c r="PR28" s="1688"/>
      <c r="PS28" s="1688"/>
      <c r="PT28" s="1688"/>
      <c r="PU28" s="1688"/>
      <c r="PV28" s="1688"/>
      <c r="PW28" s="1688"/>
      <c r="PX28" s="1688"/>
      <c r="PY28" s="1688"/>
      <c r="PZ28" s="1688"/>
      <c r="QA28" s="1688"/>
      <c r="QB28" s="1688"/>
      <c r="QC28" s="1688"/>
      <c r="QD28" s="1688"/>
      <c r="QE28" s="1688"/>
      <c r="QF28" s="1688"/>
      <c r="QG28" s="1688"/>
      <c r="QH28" s="1688"/>
      <c r="QI28" s="1688"/>
      <c r="QJ28" s="1688"/>
      <c r="QK28" s="1688"/>
      <c r="QL28" s="1688"/>
      <c r="QM28" s="1688"/>
      <c r="QN28" s="1688"/>
      <c r="QO28" s="1688"/>
      <c r="QP28" s="1688"/>
      <c r="QQ28" s="1688"/>
      <c r="QR28" s="1688"/>
      <c r="QS28" s="1688"/>
      <c r="QT28" s="1688"/>
      <c r="QU28" s="1688"/>
      <c r="QV28" s="1688"/>
      <c r="QW28" s="1688"/>
      <c r="QX28" s="1688"/>
      <c r="QY28" s="1688"/>
      <c r="QZ28" s="1688"/>
      <c r="RA28" s="1688"/>
      <c r="RB28" s="1688"/>
      <c r="RC28" s="1688"/>
      <c r="RD28" s="1688"/>
      <c r="RE28" s="1688"/>
      <c r="RF28" s="1688"/>
      <c r="RG28" s="1688"/>
      <c r="RH28" s="1688"/>
      <c r="RI28" s="1688"/>
      <c r="RJ28" s="1688"/>
      <c r="RK28" s="1688"/>
      <c r="RL28" s="1688"/>
      <c r="RM28" s="1688"/>
      <c r="RN28" s="1688"/>
      <c r="RO28" s="1688"/>
      <c r="RP28" s="1688"/>
      <c r="RQ28" s="1688"/>
      <c r="RR28" s="1688"/>
      <c r="RS28" s="1688"/>
      <c r="RT28" s="1688"/>
      <c r="RU28" s="1688"/>
      <c r="RV28" s="1688"/>
      <c r="RW28" s="1688"/>
      <c r="RX28" s="1688"/>
      <c r="RY28" s="1688"/>
      <c r="RZ28" s="1688"/>
      <c r="SA28" s="1688"/>
      <c r="SB28" s="1688"/>
      <c r="SC28" s="1688"/>
      <c r="SD28" s="1688"/>
      <c r="SE28" s="1688"/>
      <c r="SF28" s="1688"/>
      <c r="SG28" s="1688"/>
      <c r="SH28" s="1688"/>
      <c r="SI28" s="1688"/>
      <c r="SJ28" s="1688"/>
      <c r="SK28" s="1688"/>
      <c r="SL28" s="1688"/>
      <c r="SM28" s="1688"/>
      <c r="SN28" s="1688"/>
      <c r="SO28" s="1688"/>
      <c r="SP28" s="1688"/>
      <c r="SQ28" s="1688"/>
      <c r="SR28" s="1688"/>
      <c r="SS28" s="1688"/>
      <c r="ST28" s="1688"/>
      <c r="SU28" s="1688"/>
      <c r="SV28" s="1688"/>
      <c r="SW28" s="1688"/>
      <c r="SX28" s="1688"/>
      <c r="SY28" s="1688"/>
      <c r="SZ28" s="1688"/>
      <c r="TA28" s="1688"/>
      <c r="TB28" s="1688"/>
      <c r="TC28" s="1688"/>
      <c r="TD28" s="1688"/>
      <c r="TE28" s="1688"/>
      <c r="TF28" s="1688"/>
      <c r="TG28" s="1688"/>
      <c r="TH28" s="1688"/>
      <c r="TI28" s="1688"/>
      <c r="TJ28" s="1688"/>
      <c r="TK28" s="1688"/>
      <c r="TL28" s="1688"/>
      <c r="TM28" s="1688"/>
      <c r="TN28" s="1688"/>
      <c r="TO28" s="1688"/>
      <c r="TP28" s="1688"/>
      <c r="TQ28" s="1688"/>
      <c r="TR28" s="1688"/>
      <c r="TS28" s="1688"/>
      <c r="TT28" s="1688"/>
      <c r="TU28" s="1688"/>
      <c r="TV28" s="1688"/>
      <c r="TW28" s="1688"/>
      <c r="TX28" s="1688"/>
      <c r="TY28" s="1688"/>
      <c r="TZ28" s="1688"/>
      <c r="UA28" s="1688"/>
      <c r="UB28" s="1688"/>
      <c r="UC28" s="1688"/>
      <c r="UD28" s="1688"/>
      <c r="UE28" s="1688"/>
      <c r="UF28" s="1688"/>
      <c r="UG28" s="1688"/>
      <c r="UH28" s="1688"/>
      <c r="UI28" s="1688"/>
      <c r="UJ28" s="1688"/>
      <c r="UK28" s="1688"/>
      <c r="UL28" s="1688"/>
      <c r="UM28" s="1688"/>
      <c r="UN28" s="1688"/>
      <c r="UO28" s="1688"/>
      <c r="UP28" s="1688"/>
      <c r="UQ28" s="1688"/>
      <c r="UR28" s="1688"/>
      <c r="US28" s="1688"/>
      <c r="UT28" s="1688"/>
      <c r="UU28" s="1688"/>
      <c r="UV28" s="1688"/>
      <c r="UW28" s="1688"/>
      <c r="UX28" s="1688"/>
      <c r="UY28" s="1688"/>
      <c r="UZ28" s="1688"/>
      <c r="VA28" s="1688"/>
      <c r="VB28" s="1688"/>
      <c r="VC28" s="1688"/>
      <c r="VD28" s="1688"/>
      <c r="VE28" s="1688"/>
      <c r="VF28" s="1688"/>
      <c r="VG28" s="1688"/>
      <c r="VH28" s="1688"/>
      <c r="VI28" s="1688"/>
      <c r="VJ28" s="1688"/>
      <c r="VK28" s="1688"/>
      <c r="VL28" s="1688"/>
      <c r="VM28" s="1688"/>
      <c r="VN28" s="1688"/>
      <c r="VO28" s="1688"/>
      <c r="VP28" s="1688"/>
      <c r="VQ28" s="1688"/>
      <c r="VR28" s="1688"/>
      <c r="VS28" s="1688"/>
      <c r="VT28" s="1688"/>
      <c r="VU28" s="1688"/>
      <c r="VV28" s="1688"/>
      <c r="VW28" s="1688"/>
      <c r="VX28" s="1688"/>
      <c r="VY28" s="1688"/>
      <c r="VZ28" s="1688"/>
      <c r="WA28" s="1688"/>
      <c r="WB28" s="1688"/>
      <c r="WC28" s="1688"/>
      <c r="WD28" s="1688"/>
      <c r="WE28" s="1688"/>
      <c r="WF28" s="1688"/>
      <c r="WG28" s="1688"/>
      <c r="WH28" s="1688"/>
      <c r="WI28" s="1688"/>
      <c r="WJ28" s="1688"/>
      <c r="WK28" s="1688"/>
      <c r="WL28" s="1688"/>
      <c r="WM28" s="1688"/>
      <c r="WN28" s="1688"/>
      <c r="WO28" s="1688"/>
      <c r="WP28" s="1688"/>
      <c r="WQ28" s="1688"/>
      <c r="WR28" s="1688"/>
      <c r="WS28" s="1688"/>
      <c r="WT28" s="1688"/>
      <c r="WU28" s="1688"/>
      <c r="WV28" s="1688"/>
      <c r="WW28" s="1688"/>
      <c r="WX28" s="1688"/>
      <c r="WY28" s="1688"/>
      <c r="WZ28" s="1688"/>
      <c r="XA28" s="1688"/>
      <c r="XB28" s="1688"/>
      <c r="XC28" s="1688"/>
      <c r="XD28" s="1688"/>
      <c r="XE28" s="1688"/>
      <c r="XF28" s="1688"/>
      <c r="XG28" s="1688"/>
      <c r="XH28" s="1688"/>
      <c r="XI28" s="1688"/>
      <c r="XJ28" s="1688"/>
      <c r="XK28" s="1688"/>
      <c r="XL28" s="1688"/>
      <c r="XM28" s="1688"/>
      <c r="XN28" s="1688"/>
      <c r="XO28" s="1688"/>
      <c r="XP28" s="1688"/>
      <c r="XQ28" s="1688"/>
      <c r="XR28" s="1688"/>
      <c r="XS28" s="1688"/>
      <c r="XT28" s="1688"/>
      <c r="XU28" s="1688"/>
      <c r="XV28" s="1688"/>
      <c r="XW28" s="1688"/>
      <c r="XX28" s="1688"/>
      <c r="XY28" s="1688"/>
      <c r="XZ28" s="1688"/>
      <c r="YA28" s="1688"/>
      <c r="YB28" s="1688"/>
      <c r="YC28" s="1688"/>
      <c r="YD28" s="1688"/>
      <c r="YE28" s="1688"/>
      <c r="YF28" s="1688"/>
      <c r="YG28" s="1688"/>
      <c r="YH28" s="1688"/>
      <c r="YI28" s="1688"/>
      <c r="YJ28" s="1688"/>
      <c r="YK28" s="1688"/>
      <c r="YL28" s="1688"/>
      <c r="YM28" s="1688"/>
      <c r="YN28" s="1688"/>
      <c r="YO28" s="1688"/>
      <c r="YP28" s="1688"/>
      <c r="YQ28" s="1688"/>
      <c r="YR28" s="1688"/>
      <c r="YS28" s="1688"/>
      <c r="YT28" s="1688"/>
      <c r="YU28" s="1688"/>
      <c r="YV28" s="1688"/>
      <c r="YW28" s="1688"/>
      <c r="YX28" s="1688"/>
      <c r="YY28" s="1688"/>
      <c r="YZ28" s="1688"/>
      <c r="ZA28" s="1688"/>
      <c r="ZB28" s="1688"/>
      <c r="ZC28" s="1688"/>
      <c r="ZD28" s="1688"/>
      <c r="ZE28" s="1688"/>
      <c r="ZF28" s="1688"/>
      <c r="ZG28" s="1688"/>
      <c r="ZH28" s="1688"/>
      <c r="ZI28" s="1688"/>
      <c r="ZJ28" s="1688"/>
      <c r="ZK28" s="1688"/>
      <c r="ZL28" s="1688"/>
      <c r="ZM28" s="1688"/>
      <c r="ZN28" s="1688"/>
      <c r="ZO28" s="1688"/>
      <c r="ZP28" s="1688"/>
      <c r="ZQ28" s="1688"/>
      <c r="ZR28" s="1688"/>
      <c r="ZS28" s="1688"/>
      <c r="ZT28" s="1688"/>
      <c r="ZU28" s="1688"/>
      <c r="ZV28" s="1688"/>
      <c r="ZW28" s="1688"/>
      <c r="ZX28" s="1688"/>
      <c r="ZY28" s="1688"/>
      <c r="ZZ28" s="1688"/>
      <c r="AAA28" s="1688"/>
      <c r="AAB28" s="1688"/>
      <c r="AAC28" s="1688"/>
      <c r="AAD28" s="1688"/>
      <c r="AAE28" s="1688"/>
      <c r="AAF28" s="1688"/>
      <c r="AAG28" s="1688"/>
      <c r="AAH28" s="1688"/>
      <c r="AAI28" s="1688"/>
      <c r="AAJ28" s="1688"/>
      <c r="AAK28" s="1688"/>
      <c r="AAL28" s="1688"/>
      <c r="AAM28" s="1688"/>
      <c r="AAN28" s="1688"/>
      <c r="AAO28" s="1688"/>
      <c r="AAP28" s="1688"/>
      <c r="AAQ28" s="1688"/>
      <c r="AAR28" s="1688"/>
      <c r="AAS28" s="1688"/>
      <c r="AAT28" s="1688"/>
      <c r="AAU28" s="1688"/>
      <c r="AAV28" s="1688"/>
      <c r="AAW28" s="1688"/>
      <c r="AAX28" s="1688"/>
      <c r="AAY28" s="1688"/>
      <c r="AAZ28" s="1688"/>
      <c r="ABA28" s="1688"/>
      <c r="ABB28" s="1688"/>
      <c r="ABC28" s="1688"/>
      <c r="ABD28" s="1688"/>
      <c r="ABE28" s="1688"/>
      <c r="ABF28" s="1688"/>
      <c r="ABG28" s="1688"/>
      <c r="ABH28" s="1688"/>
      <c r="ABI28" s="1688"/>
      <c r="ABJ28" s="1688"/>
      <c r="ABK28" s="1688"/>
      <c r="ABL28" s="1688"/>
      <c r="ABM28" s="1688"/>
      <c r="ABN28" s="1688"/>
      <c r="ABO28" s="1688"/>
      <c r="ABP28" s="1688"/>
      <c r="ABQ28" s="1688"/>
      <c r="ABR28" s="1688"/>
      <c r="ABS28" s="1688"/>
      <c r="ABT28" s="1688"/>
      <c r="ABU28" s="1688"/>
      <c r="ABV28" s="1688"/>
      <c r="ABW28" s="1688"/>
      <c r="ABX28" s="1688"/>
      <c r="ABY28" s="1688"/>
      <c r="ABZ28" s="1688"/>
      <c r="ACA28" s="1688"/>
      <c r="ACB28" s="1688"/>
      <c r="ACC28" s="1688"/>
      <c r="ACD28" s="1688"/>
      <c r="ACE28" s="1688"/>
      <c r="ACF28" s="1688"/>
      <c r="ACG28" s="1688"/>
      <c r="ACH28" s="1688"/>
      <c r="ACI28" s="1688"/>
      <c r="ACJ28" s="1688"/>
      <c r="ACK28" s="1688"/>
      <c r="ACL28" s="1688"/>
      <c r="ACM28" s="1688"/>
      <c r="ACN28" s="1688"/>
      <c r="ACO28" s="1688"/>
      <c r="ACP28" s="1688"/>
      <c r="ACQ28" s="1688"/>
      <c r="ACR28" s="1688"/>
      <c r="ACS28" s="1688"/>
      <c r="ACT28" s="1688"/>
      <c r="ACU28" s="1688"/>
      <c r="ACV28" s="1688"/>
      <c r="ACW28" s="1688"/>
      <c r="ACX28" s="1688"/>
      <c r="ACY28" s="1688"/>
      <c r="ACZ28" s="1688"/>
      <c r="ADA28" s="1688"/>
      <c r="ADB28" s="1688"/>
      <c r="ADC28" s="1688"/>
      <c r="ADD28" s="1688"/>
      <c r="ADE28" s="1688"/>
      <c r="ADF28" s="1688"/>
      <c r="ADG28" s="1688"/>
      <c r="ADH28" s="1688"/>
      <c r="ADI28" s="1688"/>
      <c r="ADJ28" s="1688"/>
      <c r="ADK28" s="1688"/>
      <c r="ADL28" s="1688"/>
      <c r="ADM28" s="1688"/>
      <c r="ADN28" s="1688"/>
      <c r="ADO28" s="1688"/>
      <c r="ADP28" s="1688"/>
      <c r="ADQ28" s="1688"/>
      <c r="ADR28" s="1688"/>
      <c r="ADS28" s="1688"/>
      <c r="ADT28" s="1688"/>
      <c r="ADU28" s="1688"/>
      <c r="ADV28" s="1688"/>
      <c r="ADW28" s="1688"/>
      <c r="ADX28" s="1688"/>
      <c r="ADY28" s="1688"/>
      <c r="ADZ28" s="1688"/>
      <c r="AEA28" s="1688"/>
      <c r="AEB28" s="1688"/>
      <c r="AEC28" s="1688"/>
      <c r="AED28" s="1688"/>
      <c r="AEE28" s="1688"/>
      <c r="AEF28" s="1688"/>
      <c r="AEG28" s="1688"/>
      <c r="AEH28" s="1688"/>
      <c r="AEI28" s="1688"/>
      <c r="AEJ28" s="1688"/>
      <c r="AEK28" s="1688"/>
      <c r="AEL28" s="1688"/>
      <c r="AEM28" s="1688"/>
      <c r="AEN28" s="1688"/>
      <c r="AEO28" s="1688"/>
      <c r="AEP28" s="1688"/>
      <c r="AEQ28" s="1688"/>
      <c r="AER28" s="1688"/>
      <c r="AES28" s="1688"/>
      <c r="AET28" s="1688"/>
      <c r="AEU28" s="1688"/>
      <c r="AEV28" s="1688"/>
      <c r="AEW28" s="1688"/>
      <c r="AEX28" s="1688"/>
      <c r="AEY28" s="1688"/>
      <c r="AEZ28" s="1688"/>
      <c r="AFA28" s="1688"/>
      <c r="AFB28" s="1688"/>
      <c r="AFC28" s="1688"/>
      <c r="AFD28" s="1688"/>
      <c r="AFE28" s="1688"/>
      <c r="AFF28" s="1688"/>
      <c r="AFG28" s="1688"/>
      <c r="AFH28" s="1688"/>
      <c r="AFI28" s="1688"/>
      <c r="AFJ28" s="1688"/>
      <c r="AFK28" s="1688"/>
      <c r="AFL28" s="1688"/>
      <c r="AFM28" s="1688"/>
      <c r="AFN28" s="1688"/>
      <c r="AFO28" s="1688"/>
      <c r="AFP28" s="1688"/>
      <c r="AFQ28" s="1688"/>
      <c r="AFR28" s="1688"/>
      <c r="AFS28" s="1688"/>
      <c r="AFT28" s="1688"/>
      <c r="AFU28" s="1688"/>
      <c r="AFV28" s="1688"/>
      <c r="AFW28" s="1688"/>
      <c r="AFX28" s="1688"/>
      <c r="AFY28" s="1688"/>
      <c r="AFZ28" s="1688"/>
      <c r="AGA28" s="1688"/>
      <c r="AGB28" s="1688"/>
      <c r="AGC28" s="1688"/>
      <c r="AGD28" s="1688"/>
      <c r="AGE28" s="1688"/>
      <c r="AGF28" s="1688"/>
      <c r="AGG28" s="1688"/>
      <c r="AGH28" s="1688"/>
      <c r="AGI28" s="1688"/>
      <c r="AGJ28" s="1688"/>
      <c r="AGK28" s="1688"/>
      <c r="AGL28" s="1688"/>
      <c r="AGM28" s="1688"/>
      <c r="AGN28" s="1688"/>
      <c r="AGO28" s="1688"/>
      <c r="AGP28" s="1688"/>
      <c r="AGQ28" s="1688"/>
      <c r="AGR28" s="1688"/>
      <c r="AGS28" s="1688"/>
      <c r="AGT28" s="1688"/>
      <c r="AGU28" s="1688"/>
      <c r="AGV28" s="1688"/>
      <c r="AGW28" s="1688"/>
      <c r="AGX28" s="1688"/>
      <c r="AGY28" s="1688"/>
      <c r="AGZ28" s="1688"/>
      <c r="AHA28" s="1688"/>
      <c r="AHB28" s="1688"/>
      <c r="AHC28" s="1688"/>
      <c r="AHD28" s="1688"/>
      <c r="AHE28" s="1688"/>
      <c r="AHF28" s="1688"/>
      <c r="AHG28" s="1688"/>
      <c r="AHH28" s="1688"/>
      <c r="AHI28" s="1688"/>
      <c r="AHJ28" s="1688"/>
      <c r="AHK28" s="1688"/>
      <c r="AHL28" s="1688"/>
      <c r="AHM28" s="1688"/>
      <c r="AHN28" s="1688"/>
      <c r="AHO28" s="1688"/>
      <c r="AHP28" s="1688"/>
      <c r="AHQ28" s="1688"/>
      <c r="AHR28" s="1688"/>
      <c r="AHS28" s="1688"/>
      <c r="AHT28" s="1688"/>
      <c r="AHU28" s="1688"/>
      <c r="AHV28" s="1688"/>
      <c r="AHW28" s="1688"/>
      <c r="AHX28" s="1688"/>
      <c r="AHY28" s="1688"/>
      <c r="AHZ28" s="1688"/>
      <c r="AIA28" s="1688"/>
      <c r="AIB28" s="1688"/>
      <c r="AIC28" s="1688"/>
      <c r="AID28" s="1688"/>
      <c r="AIE28" s="1688"/>
      <c r="AIF28" s="1688"/>
      <c r="AIG28" s="1688"/>
      <c r="AIH28" s="1688"/>
      <c r="AII28" s="1688"/>
      <c r="AIJ28" s="1688"/>
      <c r="AIK28" s="1688"/>
      <c r="AIL28" s="1688"/>
      <c r="AIM28" s="1688"/>
      <c r="AIN28" s="1688"/>
      <c r="AIO28" s="1688"/>
      <c r="AIP28" s="1688"/>
      <c r="AIQ28" s="1688"/>
      <c r="AIR28" s="1688"/>
      <c r="AIS28" s="1688"/>
      <c r="AIT28" s="1688"/>
      <c r="AIU28" s="1688"/>
      <c r="AIV28" s="1688"/>
      <c r="AIW28" s="1688"/>
      <c r="AIX28" s="1688"/>
      <c r="AIY28" s="1688"/>
      <c r="AIZ28" s="1688"/>
      <c r="AJA28" s="1688"/>
      <c r="AJB28" s="1688"/>
      <c r="AJC28" s="1688"/>
      <c r="AJD28" s="1688"/>
      <c r="AJE28" s="1688"/>
      <c r="AJF28" s="1688"/>
      <c r="AJG28" s="1688"/>
      <c r="AJH28" s="1688"/>
      <c r="AJI28" s="1688"/>
      <c r="AJJ28" s="1688"/>
      <c r="AJK28" s="1688"/>
      <c r="AJL28" s="1688"/>
      <c r="AJM28" s="1688"/>
      <c r="AJN28" s="1688"/>
      <c r="AJO28" s="1688"/>
      <c r="AJP28" s="1688"/>
      <c r="AJQ28" s="1688"/>
      <c r="AJR28" s="1688"/>
      <c r="AJS28" s="1688"/>
      <c r="AJT28" s="1688"/>
      <c r="AJU28" s="1688"/>
      <c r="AJV28" s="1688"/>
      <c r="AJW28" s="1688"/>
      <c r="AJX28" s="1688"/>
      <c r="AJY28" s="1688"/>
      <c r="AJZ28" s="1688"/>
      <c r="AKA28" s="1688"/>
      <c r="AKB28" s="1688"/>
      <c r="AKC28" s="1688"/>
      <c r="AKD28" s="1688"/>
      <c r="AKE28" s="1688"/>
      <c r="AKF28" s="1688"/>
      <c r="AKG28" s="1688"/>
      <c r="AKH28" s="1688"/>
      <c r="AKI28" s="1688"/>
      <c r="AKJ28" s="1688"/>
      <c r="AKK28" s="1688"/>
      <c r="AKL28" s="1688"/>
      <c r="AKM28" s="1688"/>
      <c r="AKN28" s="1688"/>
      <c r="AKO28" s="1688"/>
      <c r="AKP28" s="1688"/>
      <c r="AKQ28" s="1688"/>
      <c r="AKR28" s="1688"/>
      <c r="AKS28" s="1688"/>
      <c r="AKT28" s="1688"/>
      <c r="AKU28" s="1688"/>
      <c r="AKV28" s="1688"/>
      <c r="AKW28" s="1688"/>
      <c r="AKX28" s="1688"/>
      <c r="AKY28" s="1688"/>
      <c r="AKZ28" s="1688"/>
      <c r="ALA28" s="1688"/>
      <c r="ALB28" s="1688"/>
      <c r="ALC28" s="1688"/>
      <c r="ALD28" s="1688"/>
      <c r="ALE28" s="1688"/>
      <c r="ALF28" s="1688"/>
      <c r="ALG28" s="1688"/>
      <c r="ALH28" s="1688"/>
      <c r="ALI28" s="1688"/>
      <c r="ALJ28" s="1688"/>
      <c r="ALK28" s="1688"/>
      <c r="ALL28" s="1688"/>
      <c r="ALM28" s="1688"/>
      <c r="ALN28" s="1688"/>
      <c r="ALO28" s="1688"/>
      <c r="ALP28" s="1688"/>
      <c r="ALQ28" s="1688"/>
      <c r="ALR28" s="1688"/>
      <c r="ALS28" s="1688"/>
      <c r="ALT28" s="1688"/>
      <c r="ALU28" s="1688"/>
      <c r="ALV28" s="1688"/>
      <c r="ALW28" s="1688"/>
      <c r="ALX28" s="1688"/>
      <c r="ALY28" s="1688"/>
      <c r="ALZ28" s="1688"/>
      <c r="AMA28" s="1688"/>
      <c r="AMB28" s="1688"/>
      <c r="AMC28" s="1688"/>
      <c r="AMD28" s="1688"/>
      <c r="AME28" s="1688"/>
      <c r="AMF28" s="1688"/>
      <c r="AMG28" s="1688"/>
      <c r="AMH28" s="1688"/>
      <c r="AMI28" s="1688"/>
      <c r="AMJ28" s="1688"/>
      <c r="AMK28" s="1688"/>
      <c r="AML28" s="1688"/>
      <c r="AMM28" s="1688"/>
      <c r="AMN28" s="1688"/>
      <c r="AMO28" s="1688"/>
      <c r="AMP28" s="1688"/>
      <c r="AMQ28" s="1688"/>
      <c r="AMR28" s="1688"/>
      <c r="AMS28" s="1688"/>
      <c r="AMT28" s="1688"/>
      <c r="AMU28" s="1688"/>
      <c r="AMV28" s="1688"/>
      <c r="AMW28" s="1688"/>
      <c r="AMX28" s="1688"/>
      <c r="AMY28" s="1688"/>
      <c r="AMZ28" s="1688"/>
      <c r="ANA28" s="1688"/>
      <c r="ANB28" s="1688"/>
      <c r="ANC28" s="1688"/>
      <c r="AND28" s="1688"/>
      <c r="ANE28" s="1688"/>
      <c r="ANF28" s="1688"/>
      <c r="ANG28" s="1688"/>
      <c r="ANH28" s="1688"/>
      <c r="ANI28" s="1688"/>
      <c r="ANJ28" s="1688"/>
      <c r="ANK28" s="1688"/>
      <c r="ANL28" s="1688"/>
      <c r="ANM28" s="1688"/>
      <c r="ANN28" s="1688"/>
      <c r="ANO28" s="1688"/>
      <c r="ANP28" s="1688"/>
      <c r="ANQ28" s="1688"/>
      <c r="ANR28" s="1688"/>
      <c r="ANS28" s="1688"/>
      <c r="ANT28" s="1688"/>
      <c r="ANU28" s="1688"/>
      <c r="ANV28" s="1688"/>
      <c r="ANW28" s="1688"/>
      <c r="ANX28" s="1688"/>
      <c r="ANY28" s="1688"/>
      <c r="ANZ28" s="1688"/>
      <c r="AOA28" s="1688"/>
      <c r="AOB28" s="1688"/>
      <c r="AOC28" s="1688"/>
      <c r="AOD28" s="1688"/>
      <c r="AOE28" s="1688"/>
      <c r="AOF28" s="1688"/>
      <c r="AOG28" s="1688"/>
      <c r="AOH28" s="1688"/>
      <c r="AOI28" s="1688"/>
      <c r="AOJ28" s="1688"/>
      <c r="AOK28" s="1688"/>
      <c r="AOL28" s="1688"/>
      <c r="AOM28" s="1688"/>
      <c r="AON28" s="1688"/>
      <c r="AOO28" s="1688"/>
      <c r="AOP28" s="1688"/>
      <c r="AOQ28" s="1688"/>
      <c r="AOR28" s="1688"/>
      <c r="AOS28" s="1688"/>
      <c r="AOT28" s="1688"/>
      <c r="AOU28" s="1688"/>
      <c r="AOV28" s="1688"/>
      <c r="AOW28" s="1688"/>
      <c r="AOX28" s="1688"/>
      <c r="AOY28" s="1688"/>
      <c r="AOZ28" s="1688"/>
      <c r="APA28" s="1688"/>
      <c r="APB28" s="1688"/>
      <c r="APC28" s="1688"/>
      <c r="APD28" s="1688"/>
      <c r="APE28" s="1688"/>
      <c r="APF28" s="1688"/>
      <c r="APG28" s="1688"/>
      <c r="APH28" s="1688"/>
      <c r="API28" s="1688"/>
      <c r="APJ28" s="1688"/>
      <c r="APK28" s="1688"/>
      <c r="APL28" s="1688"/>
      <c r="APM28" s="1688"/>
      <c r="APN28" s="1688"/>
      <c r="APO28" s="1688"/>
      <c r="APP28" s="1688"/>
      <c r="APQ28" s="1688"/>
      <c r="APR28" s="1688"/>
      <c r="APS28" s="1688"/>
      <c r="APT28" s="1688"/>
      <c r="APU28" s="1688"/>
      <c r="APV28" s="1688"/>
      <c r="APW28" s="1688"/>
      <c r="APX28" s="1688"/>
      <c r="APY28" s="1688"/>
      <c r="APZ28" s="1688"/>
      <c r="AQA28" s="1688"/>
      <c r="AQB28" s="1688"/>
      <c r="AQC28" s="1688"/>
      <c r="AQD28" s="1688"/>
      <c r="AQE28" s="1688"/>
      <c r="AQF28" s="1688"/>
      <c r="AQG28" s="1688"/>
      <c r="AQH28" s="1688"/>
      <c r="AQI28" s="1688"/>
      <c r="AQJ28" s="1688"/>
      <c r="AQK28" s="1688"/>
      <c r="AQL28" s="1688"/>
      <c r="AQM28" s="1688"/>
      <c r="AQN28" s="1688"/>
      <c r="AQO28" s="1688"/>
      <c r="AQP28" s="1688"/>
      <c r="AQQ28" s="1688"/>
      <c r="AQR28" s="1688"/>
      <c r="AQS28" s="1688"/>
      <c r="AQT28" s="1688"/>
      <c r="AQU28" s="1688"/>
      <c r="AQV28" s="1688"/>
      <c r="AQW28" s="1688"/>
      <c r="AQX28" s="1688"/>
      <c r="AQY28" s="1688"/>
      <c r="AQZ28" s="1688"/>
      <c r="ARA28" s="1688"/>
      <c r="ARB28" s="1688"/>
      <c r="ARC28" s="1688"/>
      <c r="ARD28" s="1688"/>
      <c r="ARE28" s="1688"/>
      <c r="ARF28" s="1688"/>
      <c r="ARG28" s="1688"/>
      <c r="ARH28" s="1688"/>
      <c r="ARI28" s="1688"/>
      <c r="ARJ28" s="1688"/>
      <c r="ARK28" s="1688"/>
      <c r="ARL28" s="1688"/>
      <c r="ARM28" s="1688"/>
      <c r="ARN28" s="1688"/>
      <c r="ARO28" s="1688"/>
      <c r="ARP28" s="1688"/>
      <c r="ARQ28" s="1688"/>
      <c r="ARR28" s="1688"/>
      <c r="ARS28" s="1688"/>
      <c r="ART28" s="1688"/>
      <c r="ARU28" s="1688"/>
      <c r="ARV28" s="1688"/>
      <c r="ARW28" s="1688"/>
      <c r="ARX28" s="1688"/>
      <c r="ARY28" s="1688"/>
      <c r="ARZ28" s="1688"/>
      <c r="ASA28" s="1688"/>
      <c r="ASB28" s="1688"/>
      <c r="ASC28" s="1688"/>
      <c r="ASD28" s="1688"/>
      <c r="ASE28" s="1688"/>
      <c r="ASF28" s="1688"/>
      <c r="ASG28" s="1688"/>
      <c r="ASH28" s="1688"/>
      <c r="ASI28" s="1688"/>
      <c r="ASJ28" s="1688"/>
      <c r="ASK28" s="1688"/>
      <c r="ASL28" s="1688"/>
      <c r="ASM28" s="1688"/>
      <c r="ASN28" s="1688"/>
      <c r="ASO28" s="1688"/>
      <c r="ASP28" s="1688"/>
      <c r="ASQ28" s="1688"/>
      <c r="ASR28" s="1688"/>
      <c r="ASS28" s="1688"/>
      <c r="AST28" s="1688"/>
      <c r="ASU28" s="1688"/>
      <c r="ASV28" s="1688"/>
      <c r="ASW28" s="1688"/>
      <c r="ASX28" s="1688"/>
      <c r="ASY28" s="1688"/>
      <c r="ASZ28" s="1688"/>
      <c r="ATA28" s="1688"/>
      <c r="ATB28" s="1688"/>
      <c r="ATC28" s="1688"/>
      <c r="ATD28" s="1688"/>
      <c r="ATE28" s="1688"/>
      <c r="ATF28" s="1688"/>
      <c r="ATG28" s="1688"/>
      <c r="ATH28" s="1688"/>
      <c r="ATI28" s="1688"/>
      <c r="ATJ28" s="1688"/>
      <c r="ATK28" s="1688"/>
      <c r="ATL28" s="1688"/>
      <c r="ATM28" s="1688"/>
      <c r="ATN28" s="1688"/>
      <c r="ATO28" s="1688"/>
      <c r="ATP28" s="1688"/>
      <c r="ATQ28" s="1688"/>
      <c r="ATR28" s="1688"/>
      <c r="ATS28" s="1688"/>
      <c r="ATT28" s="1688"/>
      <c r="ATU28" s="1688"/>
      <c r="ATV28" s="1688"/>
      <c r="ATW28" s="1688"/>
      <c r="ATX28" s="1688"/>
      <c r="ATY28" s="1688"/>
      <c r="ATZ28" s="1688"/>
      <c r="AUA28" s="1688"/>
      <c r="AUB28" s="1688"/>
      <c r="AUC28" s="1688"/>
      <c r="AUD28" s="1688"/>
      <c r="AUE28" s="1688"/>
      <c r="AUF28" s="1688"/>
      <c r="AUG28" s="1688"/>
      <c r="AUH28" s="1688"/>
      <c r="AUI28" s="1688"/>
      <c r="AUJ28" s="1688"/>
      <c r="AUK28" s="1688"/>
      <c r="AUL28" s="1688"/>
      <c r="AUM28" s="1688"/>
      <c r="AUN28" s="1688"/>
      <c r="AUO28" s="1688"/>
      <c r="AUP28" s="1688"/>
      <c r="AUQ28" s="1688"/>
      <c r="AUR28" s="1688"/>
      <c r="AUS28" s="1688"/>
      <c r="AUT28" s="1688"/>
      <c r="AUU28" s="1688"/>
      <c r="AUV28" s="1688"/>
      <c r="AUW28" s="1688"/>
      <c r="AUX28" s="1688"/>
      <c r="AUY28" s="1688"/>
      <c r="AUZ28" s="1688"/>
      <c r="AVA28" s="1688"/>
      <c r="AVB28" s="1688"/>
      <c r="AVC28" s="1688"/>
      <c r="AVD28" s="1688"/>
      <c r="AVE28" s="1688"/>
      <c r="AVF28" s="1688"/>
      <c r="AVG28" s="1688"/>
      <c r="AVH28" s="1688"/>
      <c r="AVI28" s="1688"/>
      <c r="AVJ28" s="1688"/>
      <c r="AVK28" s="1688"/>
      <c r="AVL28" s="1688"/>
      <c r="AVM28" s="1688"/>
      <c r="AVN28" s="1688"/>
      <c r="AVO28" s="1688"/>
      <c r="AVP28" s="1688"/>
      <c r="AVQ28" s="1688"/>
      <c r="AVR28" s="1688"/>
      <c r="AVS28" s="1688"/>
      <c r="AVT28" s="1688"/>
      <c r="AVU28" s="1688"/>
      <c r="AVV28" s="1688"/>
      <c r="AVW28" s="1688"/>
      <c r="AVX28" s="1688"/>
      <c r="AVY28" s="1688"/>
      <c r="AVZ28" s="1688"/>
      <c r="AWA28" s="1688"/>
      <c r="AWB28" s="1688"/>
      <c r="AWC28" s="1688"/>
      <c r="AWD28" s="1688"/>
      <c r="AWE28" s="1688"/>
      <c r="AWF28" s="1688"/>
      <c r="AWG28" s="1688"/>
      <c r="AWH28" s="1688"/>
      <c r="AWI28" s="1688"/>
      <c r="AWJ28" s="1688"/>
      <c r="AWK28" s="1688"/>
      <c r="AWL28" s="1688"/>
      <c r="AWM28" s="1688"/>
      <c r="AWN28" s="1688"/>
      <c r="AWO28" s="1688"/>
      <c r="AWP28" s="1688"/>
      <c r="AWQ28" s="1688"/>
      <c r="AWR28" s="1688"/>
      <c r="AWS28" s="1688"/>
      <c r="AWT28" s="1688"/>
      <c r="AWU28" s="1688"/>
      <c r="AWV28" s="1688"/>
      <c r="AWW28" s="1688"/>
      <c r="AWX28" s="1688"/>
      <c r="AWY28" s="1688"/>
      <c r="AWZ28" s="1688"/>
      <c r="AXA28" s="1688"/>
      <c r="AXB28" s="1688"/>
      <c r="AXC28" s="1688"/>
      <c r="AXD28" s="1688"/>
      <c r="AXE28" s="1688"/>
      <c r="AXF28" s="1688"/>
      <c r="AXG28" s="1688"/>
      <c r="AXH28" s="1688"/>
      <c r="AXI28" s="1688"/>
      <c r="AXJ28" s="1688"/>
      <c r="AXK28" s="1688"/>
      <c r="AXL28" s="1688"/>
      <c r="AXM28" s="1688"/>
      <c r="AXN28" s="1688"/>
      <c r="AXO28" s="1688"/>
      <c r="AXP28" s="1688"/>
      <c r="AXQ28" s="1688"/>
      <c r="AXR28" s="1688"/>
      <c r="AXS28" s="1688"/>
      <c r="AXT28" s="1688"/>
      <c r="AXU28" s="1688"/>
      <c r="AXV28" s="1688"/>
      <c r="AXW28" s="1688"/>
      <c r="AXX28" s="1688"/>
      <c r="AXY28" s="1688"/>
      <c r="AXZ28" s="1688"/>
      <c r="AYA28" s="1688"/>
      <c r="AYB28" s="1688"/>
      <c r="AYC28" s="1688"/>
      <c r="AYD28" s="1688"/>
      <c r="AYE28" s="1688"/>
      <c r="AYF28" s="1688"/>
      <c r="AYG28" s="1688"/>
      <c r="AYH28" s="1688"/>
      <c r="AYI28" s="1688"/>
      <c r="AYJ28" s="1688"/>
      <c r="AYK28" s="1688"/>
      <c r="AYL28" s="1688"/>
      <c r="AYM28" s="1688"/>
      <c r="AYN28" s="1688"/>
      <c r="AYO28" s="1688"/>
      <c r="AYP28" s="1688"/>
      <c r="AYQ28" s="1688"/>
      <c r="AYR28" s="1688"/>
      <c r="AYS28" s="1688"/>
      <c r="AYT28" s="1688"/>
      <c r="AYU28" s="1688"/>
      <c r="AYV28" s="1688"/>
      <c r="AYW28" s="1688"/>
      <c r="AYX28" s="1688"/>
      <c r="AYY28" s="1688"/>
      <c r="AYZ28" s="1688"/>
      <c r="AZA28" s="1688"/>
      <c r="AZB28" s="1688"/>
      <c r="AZC28" s="1688"/>
      <c r="AZD28" s="1688"/>
      <c r="AZE28" s="1688"/>
      <c r="AZF28" s="1688"/>
      <c r="AZG28" s="1688"/>
      <c r="AZH28" s="1688"/>
      <c r="AZI28" s="1688"/>
      <c r="AZJ28" s="1688"/>
      <c r="AZK28" s="1688"/>
      <c r="AZL28" s="1688"/>
      <c r="AZM28" s="1688"/>
      <c r="AZN28" s="1688"/>
      <c r="AZO28" s="1688"/>
      <c r="AZP28" s="1688"/>
      <c r="AZQ28" s="1688"/>
      <c r="AZR28" s="1688"/>
      <c r="AZS28" s="1688"/>
      <c r="AZT28" s="1688"/>
      <c r="AZU28" s="1688"/>
      <c r="AZV28" s="1688"/>
      <c r="AZW28" s="1688"/>
      <c r="AZX28" s="1688"/>
      <c r="AZY28" s="1688"/>
      <c r="AZZ28" s="1688"/>
      <c r="BAA28" s="1688"/>
      <c r="BAB28" s="1688"/>
      <c r="BAC28" s="1688"/>
      <c r="BAD28" s="1688"/>
      <c r="BAE28" s="1688"/>
      <c r="BAF28" s="1688"/>
      <c r="BAG28" s="1688"/>
      <c r="BAH28" s="1688"/>
      <c r="BAI28" s="1688"/>
      <c r="BAJ28" s="1688"/>
      <c r="BAK28" s="1688"/>
      <c r="BAL28" s="1688"/>
      <c r="BAM28" s="1688"/>
      <c r="BAN28" s="1688"/>
      <c r="BAO28" s="1688"/>
      <c r="BAP28" s="1688"/>
      <c r="BAQ28" s="1688"/>
      <c r="BAR28" s="1688"/>
      <c r="BAS28" s="1688"/>
      <c r="BAT28" s="1688"/>
      <c r="BAU28" s="1688"/>
      <c r="BAV28" s="1688"/>
      <c r="BAW28" s="1688"/>
      <c r="BAX28" s="1688"/>
      <c r="BAY28" s="1688"/>
      <c r="BAZ28" s="1688"/>
      <c r="BBA28" s="1688"/>
      <c r="BBB28" s="1688"/>
      <c r="BBC28" s="1688"/>
      <c r="BBD28" s="1688"/>
      <c r="BBE28" s="1688"/>
      <c r="BBF28" s="1688"/>
      <c r="BBG28" s="1688"/>
      <c r="BBH28" s="1688"/>
      <c r="BBI28" s="1688"/>
      <c r="BBJ28" s="1688"/>
      <c r="BBK28" s="1688"/>
      <c r="BBL28" s="1688"/>
      <c r="BBM28" s="1688"/>
      <c r="BBN28" s="1688"/>
      <c r="BBO28" s="1688"/>
      <c r="BBP28" s="1688"/>
      <c r="BBQ28" s="1688"/>
      <c r="BBR28" s="1688"/>
      <c r="BBS28" s="1688"/>
      <c r="BBT28" s="1688"/>
      <c r="BBU28" s="1688"/>
      <c r="BBV28" s="1688"/>
      <c r="BBW28" s="1688"/>
      <c r="BBX28" s="1688"/>
      <c r="BBY28" s="1688"/>
      <c r="BBZ28" s="1688"/>
      <c r="BCA28" s="1688"/>
      <c r="BCB28" s="1688"/>
      <c r="BCC28" s="1688"/>
      <c r="BCD28" s="1688"/>
      <c r="BCE28" s="1688"/>
      <c r="BCF28" s="1688"/>
      <c r="BCG28" s="1688"/>
      <c r="BCH28" s="1688"/>
      <c r="BCI28" s="1688"/>
      <c r="BCJ28" s="1688"/>
      <c r="BCK28" s="1688"/>
      <c r="BCL28" s="1688"/>
      <c r="BCM28" s="1688"/>
      <c r="BCN28" s="1688"/>
      <c r="BCO28" s="1688"/>
      <c r="BCP28" s="1688"/>
      <c r="BCQ28" s="1688"/>
      <c r="BCR28" s="1688"/>
      <c r="BCS28" s="1688"/>
      <c r="BCT28" s="1688"/>
      <c r="BCU28" s="1688"/>
      <c r="BCV28" s="1688"/>
      <c r="BCW28" s="1688"/>
      <c r="BCX28" s="1688"/>
      <c r="BCY28" s="1688"/>
      <c r="BCZ28" s="1688"/>
      <c r="BDA28" s="1688"/>
      <c r="BDB28" s="1688"/>
      <c r="BDC28" s="1688"/>
      <c r="BDD28" s="1688"/>
      <c r="BDE28" s="1688"/>
      <c r="BDF28" s="1688"/>
      <c r="BDG28" s="1688"/>
      <c r="BDH28" s="1688"/>
      <c r="BDI28" s="1688"/>
      <c r="BDJ28" s="1688"/>
      <c r="BDK28" s="1688"/>
      <c r="BDL28" s="1688"/>
      <c r="BDM28" s="1688"/>
      <c r="BDN28" s="1688"/>
      <c r="BDO28" s="1688"/>
      <c r="BDP28" s="1688"/>
      <c r="BDQ28" s="1688"/>
      <c r="BDR28" s="1688"/>
      <c r="BDS28" s="1688"/>
      <c r="BDT28" s="1688"/>
      <c r="BDU28" s="1688"/>
      <c r="BDV28" s="1688"/>
      <c r="BDW28" s="1688"/>
      <c r="BDX28" s="1688"/>
      <c r="BDY28" s="1688"/>
      <c r="BDZ28" s="1688"/>
      <c r="BEA28" s="1688"/>
      <c r="BEB28" s="1688"/>
      <c r="BEC28" s="1688"/>
      <c r="BED28" s="1688"/>
      <c r="BEE28" s="1688"/>
      <c r="BEF28" s="1688"/>
      <c r="BEG28" s="1688"/>
      <c r="BEH28" s="1688"/>
      <c r="BEI28" s="1688"/>
      <c r="BEJ28" s="1688"/>
      <c r="BEK28" s="1688"/>
      <c r="BEL28" s="1688"/>
      <c r="BEM28" s="1688"/>
      <c r="BEN28" s="1688"/>
      <c r="BEO28" s="1688"/>
      <c r="BEP28" s="1688"/>
      <c r="BEQ28" s="1688"/>
      <c r="BER28" s="1688"/>
      <c r="BES28" s="1688"/>
      <c r="BET28" s="1688"/>
      <c r="BEU28" s="1688"/>
      <c r="BEV28" s="1688"/>
      <c r="BEW28" s="1688"/>
      <c r="BEX28" s="1688"/>
      <c r="BEY28" s="1688"/>
      <c r="BEZ28" s="1688"/>
      <c r="BFA28" s="1688"/>
      <c r="BFB28" s="1688"/>
      <c r="BFC28" s="1688"/>
      <c r="BFD28" s="1688"/>
      <c r="BFE28" s="1688"/>
      <c r="BFF28" s="1688"/>
      <c r="BFG28" s="1688"/>
      <c r="BFH28" s="1688"/>
      <c r="BFI28" s="1688"/>
      <c r="BFJ28" s="1688"/>
      <c r="BFK28" s="1688"/>
      <c r="BFL28" s="1688"/>
      <c r="BFM28" s="1688"/>
      <c r="BFN28" s="1688"/>
      <c r="BFO28" s="1688"/>
      <c r="BFP28" s="1688"/>
      <c r="BFQ28" s="1688"/>
      <c r="BFR28" s="1688"/>
      <c r="BFS28" s="1688"/>
      <c r="BFT28" s="1688"/>
      <c r="BFU28" s="1688"/>
      <c r="BFV28" s="1688"/>
      <c r="BFW28" s="1688"/>
      <c r="BFX28" s="1688"/>
      <c r="BFY28" s="1688"/>
      <c r="BFZ28" s="1688"/>
      <c r="BGA28" s="1688"/>
      <c r="BGB28" s="1688"/>
      <c r="BGC28" s="1688"/>
      <c r="BGD28" s="1688"/>
      <c r="BGE28" s="1688"/>
      <c r="BGF28" s="1688"/>
      <c r="BGG28" s="1688"/>
      <c r="BGH28" s="1688"/>
      <c r="BGI28" s="1688"/>
      <c r="BGJ28" s="1688"/>
      <c r="BGK28" s="1688"/>
      <c r="BGL28" s="1688"/>
      <c r="BGM28" s="1688"/>
      <c r="BGN28" s="1688"/>
      <c r="BGO28" s="1688"/>
      <c r="BGP28" s="1688"/>
      <c r="BGQ28" s="1688"/>
      <c r="BGR28" s="1688"/>
      <c r="BGS28" s="1688"/>
      <c r="BGT28" s="1688"/>
      <c r="BGU28" s="1688"/>
      <c r="BGV28" s="1688"/>
      <c r="BGW28" s="1688"/>
      <c r="BGX28" s="1688"/>
      <c r="BGY28" s="1688"/>
      <c r="BGZ28" s="1688"/>
      <c r="BHA28" s="1688"/>
      <c r="BHB28" s="1688"/>
      <c r="BHC28" s="1688"/>
      <c r="BHD28" s="1688"/>
      <c r="BHE28" s="1688"/>
      <c r="BHF28" s="1688"/>
      <c r="BHG28" s="1688"/>
      <c r="BHH28" s="1688"/>
      <c r="BHI28" s="1688"/>
      <c r="BHJ28" s="1688"/>
      <c r="BHK28" s="1688"/>
      <c r="BHL28" s="1688"/>
      <c r="BHM28" s="1688"/>
      <c r="BHN28" s="1688"/>
      <c r="BHO28" s="1688"/>
      <c r="BHP28" s="1688"/>
      <c r="BHQ28" s="1688"/>
      <c r="BHR28" s="1688"/>
      <c r="BHS28" s="1688"/>
      <c r="BHT28" s="1688"/>
      <c r="BHU28" s="1688"/>
      <c r="BHV28" s="1688"/>
      <c r="BHW28" s="1688"/>
      <c r="BHX28" s="1688"/>
      <c r="BHY28" s="1688"/>
      <c r="BHZ28" s="1688"/>
      <c r="BIA28" s="1688"/>
      <c r="BIB28" s="1688"/>
      <c r="BIC28" s="1688"/>
      <c r="BID28" s="1688"/>
      <c r="BIE28" s="1688"/>
      <c r="BIF28" s="1688"/>
      <c r="BIG28" s="1688"/>
      <c r="BIH28" s="1688"/>
      <c r="BII28" s="1688"/>
      <c r="BIJ28" s="1688"/>
      <c r="BIK28" s="1688"/>
      <c r="BIL28" s="1688"/>
      <c r="BIM28" s="1688"/>
      <c r="BIN28" s="1688"/>
      <c r="BIO28" s="1688"/>
      <c r="BIP28" s="1688"/>
      <c r="BIQ28" s="1688"/>
      <c r="BIR28" s="1688"/>
      <c r="BIS28" s="1688"/>
      <c r="BIT28" s="1688"/>
      <c r="BIU28" s="1688"/>
      <c r="BIV28" s="1688"/>
      <c r="BIW28" s="1688"/>
      <c r="BIX28" s="1688"/>
      <c r="BIY28" s="1688"/>
      <c r="BIZ28" s="1688"/>
      <c r="BJA28" s="1688"/>
      <c r="BJB28" s="1688"/>
      <c r="BJC28" s="1688"/>
      <c r="BJD28" s="1688"/>
      <c r="BJE28" s="1688"/>
      <c r="BJF28" s="1688"/>
      <c r="BJG28" s="1688"/>
      <c r="BJH28" s="1688"/>
      <c r="BJI28" s="1688"/>
      <c r="BJJ28" s="1688"/>
      <c r="BJK28" s="1688"/>
      <c r="BJL28" s="1688"/>
      <c r="BJM28" s="1688"/>
      <c r="BJN28" s="1688"/>
      <c r="BJO28" s="1688"/>
      <c r="BJP28" s="1688"/>
      <c r="BJQ28" s="1688"/>
      <c r="BJR28" s="1688"/>
      <c r="BJS28" s="1688"/>
      <c r="BJT28" s="1688"/>
      <c r="BJU28" s="1688"/>
      <c r="BJV28" s="1688"/>
      <c r="BJW28" s="1688"/>
      <c r="BJX28" s="1688"/>
      <c r="BJY28" s="1688"/>
      <c r="BJZ28" s="1688"/>
      <c r="BKA28" s="1688"/>
      <c r="BKB28" s="1688"/>
      <c r="BKC28" s="1688"/>
      <c r="BKD28" s="1688"/>
      <c r="BKE28" s="1688"/>
      <c r="BKF28" s="1688"/>
      <c r="BKG28" s="1688"/>
      <c r="BKH28" s="1688"/>
      <c r="BKI28" s="1688"/>
      <c r="BKJ28" s="1688"/>
      <c r="BKK28" s="1688"/>
      <c r="BKL28" s="1688"/>
      <c r="BKM28" s="1688"/>
      <c r="BKN28" s="1688"/>
      <c r="BKO28" s="1688"/>
      <c r="BKP28" s="1688"/>
      <c r="BKQ28" s="1688"/>
      <c r="BKR28" s="1688"/>
      <c r="BKS28" s="1688"/>
      <c r="BKT28" s="1688"/>
      <c r="BKU28" s="1688"/>
      <c r="BKV28" s="1688"/>
      <c r="BKW28" s="1688"/>
      <c r="BKX28" s="1688"/>
      <c r="BKY28" s="1688"/>
      <c r="BKZ28" s="1688"/>
      <c r="BLA28" s="1688"/>
      <c r="BLB28" s="1688"/>
      <c r="BLC28" s="1688"/>
      <c r="BLD28" s="1688"/>
      <c r="BLE28" s="1688"/>
      <c r="BLF28" s="1688"/>
      <c r="BLG28" s="1688"/>
      <c r="BLH28" s="1688"/>
      <c r="BLI28" s="1688"/>
      <c r="BLJ28" s="1688"/>
      <c r="BLK28" s="1688"/>
      <c r="BLL28" s="1688"/>
      <c r="BLM28" s="1688"/>
      <c r="BLN28" s="1688"/>
      <c r="BLO28" s="1688"/>
      <c r="BLP28" s="1688"/>
      <c r="BLQ28" s="1688"/>
      <c r="BLR28" s="1688"/>
      <c r="BLS28" s="1688"/>
      <c r="BLT28" s="1688"/>
      <c r="BLU28" s="1688"/>
      <c r="BLV28" s="1688"/>
      <c r="BLW28" s="1688"/>
      <c r="BLX28" s="1688"/>
      <c r="BLY28" s="1688"/>
      <c r="BLZ28" s="1688"/>
      <c r="BMA28" s="1688"/>
      <c r="BMB28" s="1688"/>
      <c r="BMC28" s="1688"/>
      <c r="BMD28" s="1688"/>
      <c r="BME28" s="1688"/>
      <c r="BMF28" s="1688"/>
      <c r="BMG28" s="1688"/>
      <c r="BMH28" s="1688"/>
      <c r="BMI28" s="1688"/>
      <c r="BMJ28" s="1688"/>
      <c r="BMK28" s="1688"/>
      <c r="BML28" s="1688"/>
      <c r="BMM28" s="1688"/>
      <c r="BMN28" s="1688"/>
      <c r="BMO28" s="1688"/>
      <c r="BMP28" s="1688"/>
      <c r="BMQ28" s="1688"/>
      <c r="BMR28" s="1688"/>
      <c r="BMS28" s="1688"/>
      <c r="BMT28" s="1688"/>
      <c r="BMU28" s="1688"/>
      <c r="BMV28" s="1688"/>
      <c r="BMW28" s="1688"/>
      <c r="BMX28" s="1688"/>
      <c r="BMY28" s="1688"/>
      <c r="BMZ28" s="1688"/>
      <c r="BNA28" s="1688"/>
      <c r="BNB28" s="1688"/>
      <c r="BNC28" s="1688"/>
      <c r="BND28" s="1688"/>
      <c r="BNE28" s="1688"/>
      <c r="BNF28" s="1688"/>
      <c r="BNG28" s="1688"/>
      <c r="BNH28" s="1688"/>
      <c r="BNI28" s="1688"/>
      <c r="BNJ28" s="1688"/>
      <c r="BNK28" s="1688"/>
      <c r="BNL28" s="1688"/>
      <c r="BNM28" s="1688"/>
      <c r="BNN28" s="1688"/>
      <c r="BNO28" s="1688"/>
      <c r="BNP28" s="1688"/>
      <c r="BNQ28" s="1688"/>
      <c r="BNR28" s="1688"/>
      <c r="BNS28" s="1688"/>
      <c r="BNT28" s="1688"/>
      <c r="BNU28" s="1688"/>
      <c r="BNV28" s="1688"/>
      <c r="BNW28" s="1688"/>
      <c r="BNX28" s="1688"/>
      <c r="BNY28" s="1688"/>
      <c r="BNZ28" s="1688"/>
      <c r="BOA28" s="1688"/>
      <c r="BOB28" s="1688"/>
      <c r="BOC28" s="1688"/>
      <c r="BOD28" s="1688"/>
      <c r="BOE28" s="1688"/>
      <c r="BOF28" s="1688"/>
      <c r="BOG28" s="1688"/>
      <c r="BOH28" s="1688"/>
      <c r="BOI28" s="1688"/>
      <c r="BOJ28" s="1688"/>
      <c r="BOK28" s="1688"/>
      <c r="BOL28" s="1688"/>
      <c r="BOM28" s="1688"/>
      <c r="BON28" s="1688"/>
      <c r="BOO28" s="1688"/>
      <c r="BOP28" s="1688"/>
      <c r="BOQ28" s="1688"/>
      <c r="BOR28" s="1688"/>
      <c r="BOS28" s="1688"/>
      <c r="BOT28" s="1688"/>
      <c r="BOU28" s="1688"/>
      <c r="BOV28" s="1688"/>
      <c r="BOW28" s="1688"/>
      <c r="BOX28" s="1688"/>
      <c r="BOY28" s="1688"/>
      <c r="BOZ28" s="1688"/>
      <c r="BPA28" s="1688"/>
      <c r="BPB28" s="1688"/>
      <c r="BPC28" s="1688"/>
      <c r="BPD28" s="1688"/>
      <c r="BPE28" s="1688"/>
      <c r="BPF28" s="1688"/>
      <c r="BPG28" s="1688"/>
      <c r="BPH28" s="1688"/>
      <c r="BPI28" s="1688"/>
      <c r="BPJ28" s="1688"/>
      <c r="BPK28" s="1688"/>
      <c r="BPL28" s="1688"/>
      <c r="BPM28" s="1688"/>
      <c r="BPN28" s="1688"/>
      <c r="BPO28" s="1688"/>
      <c r="BPP28" s="1688"/>
      <c r="BPQ28" s="1688"/>
      <c r="BPR28" s="1688"/>
      <c r="BPS28" s="1688"/>
      <c r="BPT28" s="1688"/>
      <c r="BPU28" s="1688"/>
      <c r="BPV28" s="1688"/>
      <c r="BPW28" s="1688"/>
      <c r="BPX28" s="1688"/>
      <c r="BPY28" s="1688"/>
      <c r="BPZ28" s="1688"/>
      <c r="BQA28" s="1688"/>
      <c r="BQB28" s="1688"/>
      <c r="BQC28" s="1688"/>
      <c r="BQD28" s="1688"/>
      <c r="BQE28" s="1688"/>
      <c r="BQF28" s="1688"/>
      <c r="BQG28" s="1688"/>
      <c r="BQH28" s="1688"/>
      <c r="BQI28" s="1688"/>
      <c r="BQJ28" s="1688"/>
      <c r="BQK28" s="1688"/>
      <c r="BQL28" s="1688"/>
      <c r="BQM28" s="1688"/>
      <c r="BQN28" s="1688"/>
      <c r="BQO28" s="1688"/>
      <c r="BQP28" s="1688"/>
      <c r="BQQ28" s="1688"/>
      <c r="BQR28" s="1688"/>
      <c r="BQS28" s="1688"/>
      <c r="BQT28" s="1688"/>
      <c r="BQU28" s="1688"/>
      <c r="BQV28" s="1688"/>
      <c r="BQW28" s="1688"/>
      <c r="BQX28" s="1688"/>
      <c r="BQY28" s="1688"/>
      <c r="BQZ28" s="1688"/>
      <c r="BRA28" s="1688"/>
      <c r="BRB28" s="1688"/>
      <c r="BRC28" s="1688"/>
      <c r="BRD28" s="1688"/>
      <c r="BRE28" s="1688"/>
      <c r="BRF28" s="1688"/>
      <c r="BRG28" s="1688"/>
      <c r="BRH28" s="1688"/>
      <c r="BRI28" s="1688"/>
      <c r="BRJ28" s="1688"/>
      <c r="BRK28" s="1688"/>
      <c r="BRL28" s="1688"/>
      <c r="BRM28" s="1688"/>
      <c r="BRN28" s="1688"/>
      <c r="BRO28" s="1688"/>
      <c r="BRP28" s="1688"/>
      <c r="BRQ28" s="1688"/>
      <c r="BRR28" s="1688"/>
      <c r="BRS28" s="1688"/>
      <c r="BRT28" s="1688"/>
      <c r="BRU28" s="1688"/>
      <c r="BRV28" s="1688"/>
      <c r="BRW28" s="1688"/>
      <c r="BRX28" s="1688"/>
      <c r="BRY28" s="1688"/>
      <c r="BRZ28" s="1688"/>
      <c r="BSA28" s="1688"/>
      <c r="BSB28" s="1688"/>
      <c r="BSC28" s="1688"/>
      <c r="BSD28" s="1688"/>
      <c r="BSE28" s="1688"/>
      <c r="BSF28" s="1688"/>
      <c r="BSG28" s="1688"/>
      <c r="BSH28" s="1688"/>
      <c r="BSI28" s="1688"/>
      <c r="BSJ28" s="1688"/>
      <c r="BSK28" s="1688"/>
      <c r="BSL28" s="1688"/>
      <c r="BSM28" s="1688"/>
      <c r="BSN28" s="1688"/>
      <c r="BSO28" s="1688"/>
      <c r="BSP28" s="1688"/>
      <c r="BSQ28" s="1688"/>
      <c r="BSR28" s="1688"/>
      <c r="BSS28" s="1688"/>
      <c r="BST28" s="1688"/>
      <c r="BSU28" s="1688"/>
      <c r="BSV28" s="1688"/>
      <c r="BSW28" s="1688"/>
      <c r="BSX28" s="1688"/>
      <c r="BSY28" s="1688"/>
      <c r="BSZ28" s="1688"/>
      <c r="BTA28" s="1688"/>
      <c r="BTB28" s="1688"/>
      <c r="BTC28" s="1688"/>
      <c r="BTD28" s="1688"/>
      <c r="BTE28" s="1688"/>
      <c r="BTF28" s="1688"/>
      <c r="BTG28" s="1688"/>
      <c r="BTH28" s="1688"/>
      <c r="BTI28" s="1688"/>
      <c r="BTJ28" s="1688"/>
      <c r="BTK28" s="1688"/>
      <c r="BTL28" s="1688"/>
      <c r="BTM28" s="1688"/>
      <c r="BTN28" s="1688"/>
      <c r="BTO28" s="1688"/>
      <c r="BTP28" s="1688"/>
      <c r="BTQ28" s="1688"/>
      <c r="BTR28" s="1688"/>
      <c r="BTS28" s="1688"/>
      <c r="BTT28" s="1688"/>
      <c r="BTU28" s="1688"/>
      <c r="BTV28" s="1688"/>
      <c r="BTW28" s="1688"/>
      <c r="BTX28" s="1688"/>
      <c r="BTY28" s="1688"/>
      <c r="BTZ28" s="1688"/>
      <c r="BUA28" s="1688"/>
      <c r="BUB28" s="1688"/>
      <c r="BUC28" s="1688"/>
      <c r="BUD28" s="1688"/>
      <c r="BUE28" s="1688"/>
      <c r="BUF28" s="1688"/>
      <c r="BUG28" s="1688"/>
      <c r="BUH28" s="1688"/>
      <c r="BUI28" s="1688"/>
      <c r="BUJ28" s="1688"/>
      <c r="BUK28" s="1688"/>
      <c r="BUL28" s="1688"/>
      <c r="BUM28" s="1688"/>
      <c r="BUN28" s="1688"/>
      <c r="BUO28" s="1688"/>
      <c r="BUP28" s="1688"/>
      <c r="BUQ28" s="1688"/>
      <c r="BUR28" s="1688"/>
      <c r="BUS28" s="1688"/>
      <c r="BUT28" s="1688"/>
      <c r="BUU28" s="1688"/>
      <c r="BUV28" s="1688"/>
      <c r="BUW28" s="1688"/>
      <c r="BUX28" s="1688"/>
      <c r="BUY28" s="1688"/>
      <c r="BUZ28" s="1688"/>
      <c r="BVA28" s="1688"/>
      <c r="BVB28" s="1688"/>
      <c r="BVC28" s="1688"/>
      <c r="BVD28" s="1688"/>
      <c r="BVE28" s="1688"/>
      <c r="BVF28" s="1688"/>
      <c r="BVG28" s="1688"/>
      <c r="BVH28" s="1688"/>
      <c r="BVI28" s="1688"/>
      <c r="BVJ28" s="1688"/>
      <c r="BVK28" s="1688"/>
      <c r="BVL28" s="1688"/>
      <c r="BVM28" s="1688"/>
      <c r="BVN28" s="1688"/>
      <c r="BVO28" s="1688"/>
      <c r="BVP28" s="1688"/>
      <c r="BVQ28" s="1688"/>
      <c r="BVR28" s="1688"/>
      <c r="BVS28" s="1688"/>
      <c r="BVT28" s="1688"/>
      <c r="BVU28" s="1688"/>
      <c r="BVV28" s="1688"/>
      <c r="BVW28" s="1688"/>
      <c r="BVX28" s="1688"/>
      <c r="BVY28" s="1688"/>
      <c r="BVZ28" s="1688"/>
      <c r="BWA28" s="1688"/>
      <c r="BWB28" s="1688"/>
      <c r="BWC28" s="1688"/>
      <c r="BWD28" s="1688"/>
      <c r="BWE28" s="1688"/>
      <c r="BWF28" s="1688"/>
      <c r="BWG28" s="1688"/>
      <c r="BWH28" s="1688"/>
      <c r="BWI28" s="1688"/>
      <c r="BWJ28" s="1688"/>
      <c r="BWK28" s="1688"/>
      <c r="BWL28" s="1688"/>
      <c r="BWM28" s="1688"/>
      <c r="BWN28" s="1688"/>
      <c r="BWO28" s="1688"/>
      <c r="BWP28" s="1688"/>
      <c r="BWQ28" s="1688"/>
      <c r="BWR28" s="1688"/>
      <c r="BWS28" s="1688"/>
      <c r="BWT28" s="1688"/>
      <c r="BWU28" s="1688"/>
      <c r="BWV28" s="1688"/>
      <c r="BWW28" s="1688"/>
      <c r="BWX28" s="1688"/>
      <c r="BWY28" s="1688"/>
      <c r="BWZ28" s="1688"/>
      <c r="BXA28" s="1688"/>
      <c r="BXB28" s="1688"/>
      <c r="BXC28" s="1688"/>
      <c r="BXD28" s="1688"/>
      <c r="BXE28" s="1688"/>
      <c r="BXF28" s="1688"/>
      <c r="BXG28" s="1688"/>
      <c r="BXH28" s="1688"/>
      <c r="BXI28" s="1688"/>
      <c r="BXJ28" s="1688"/>
      <c r="BXK28" s="1688"/>
      <c r="BXL28" s="1688"/>
      <c r="BXM28" s="1688"/>
      <c r="BXN28" s="1688"/>
      <c r="BXO28" s="1688"/>
      <c r="BXP28" s="1688"/>
      <c r="BXQ28" s="1688"/>
      <c r="BXR28" s="1688"/>
      <c r="BXS28" s="1688"/>
      <c r="BXT28" s="1688"/>
      <c r="BXU28" s="1688"/>
      <c r="BXV28" s="1688"/>
      <c r="BXW28" s="1688"/>
      <c r="BXX28" s="1688"/>
      <c r="BXY28" s="1688"/>
      <c r="BXZ28" s="1688"/>
      <c r="BYA28" s="1688"/>
      <c r="BYB28" s="1688"/>
      <c r="BYC28" s="1688"/>
      <c r="BYD28" s="1688"/>
      <c r="BYE28" s="1688"/>
      <c r="BYF28" s="1688"/>
      <c r="BYG28" s="1688"/>
      <c r="BYH28" s="1688"/>
      <c r="BYI28" s="1688"/>
      <c r="BYJ28" s="1688"/>
      <c r="BYK28" s="1688"/>
      <c r="BYL28" s="1688"/>
      <c r="BYM28" s="1688"/>
      <c r="BYN28" s="1688"/>
      <c r="BYO28" s="1688"/>
      <c r="BYP28" s="1688"/>
      <c r="BYQ28" s="1688"/>
      <c r="BYR28" s="1688"/>
      <c r="BYS28" s="1688"/>
      <c r="BYT28" s="1688"/>
      <c r="BYU28" s="1688"/>
      <c r="BYV28" s="1688"/>
      <c r="BYW28" s="1688"/>
      <c r="BYX28" s="1688"/>
      <c r="BYY28" s="1688"/>
      <c r="BYZ28" s="1688"/>
      <c r="BZA28" s="1688"/>
      <c r="BZB28" s="1688"/>
      <c r="BZC28" s="1688"/>
      <c r="BZD28" s="1688"/>
      <c r="BZE28" s="1688"/>
      <c r="BZF28" s="1688"/>
      <c r="BZG28" s="1688"/>
      <c r="BZH28" s="1688"/>
      <c r="BZI28" s="1688"/>
      <c r="BZJ28" s="1688"/>
      <c r="BZK28" s="1688"/>
      <c r="BZL28" s="1688"/>
      <c r="BZM28" s="1688"/>
      <c r="BZN28" s="1688"/>
      <c r="BZO28" s="1688"/>
      <c r="BZP28" s="1688"/>
      <c r="BZQ28" s="1688"/>
      <c r="BZR28" s="1688"/>
      <c r="BZS28" s="1688"/>
      <c r="BZT28" s="1688"/>
      <c r="BZU28" s="1688"/>
      <c r="BZV28" s="1688"/>
      <c r="BZW28" s="1688"/>
      <c r="BZX28" s="1688"/>
      <c r="BZY28" s="1688"/>
      <c r="BZZ28" s="1688"/>
      <c r="CAA28" s="1688"/>
      <c r="CAB28" s="1688"/>
      <c r="CAC28" s="1688"/>
      <c r="CAD28" s="1688"/>
      <c r="CAE28" s="1688"/>
      <c r="CAF28" s="1688"/>
      <c r="CAG28" s="1688"/>
      <c r="CAH28" s="1688"/>
      <c r="CAI28" s="1688"/>
      <c r="CAJ28" s="1688"/>
      <c r="CAK28" s="1688"/>
      <c r="CAL28" s="1688"/>
      <c r="CAM28" s="1688"/>
      <c r="CAN28" s="1688"/>
      <c r="CAO28" s="1688"/>
      <c r="CAP28" s="1688"/>
      <c r="CAQ28" s="1688"/>
      <c r="CAR28" s="1688"/>
      <c r="CAS28" s="1688"/>
      <c r="CAT28" s="1688"/>
      <c r="CAU28" s="1688"/>
      <c r="CAV28" s="1688"/>
      <c r="CAW28" s="1688"/>
      <c r="CAX28" s="1688"/>
      <c r="CAY28" s="1688"/>
      <c r="CAZ28" s="1688"/>
      <c r="CBA28" s="1688"/>
      <c r="CBB28" s="1688"/>
      <c r="CBC28" s="1688"/>
      <c r="CBD28" s="1688"/>
      <c r="CBE28" s="1688"/>
      <c r="CBF28" s="1688"/>
      <c r="CBG28" s="1688"/>
      <c r="CBH28" s="1688"/>
      <c r="CBI28" s="1688"/>
      <c r="CBJ28" s="1688"/>
      <c r="CBK28" s="1688"/>
      <c r="CBL28" s="1688"/>
      <c r="CBM28" s="1688"/>
      <c r="CBN28" s="1688"/>
      <c r="CBO28" s="1688"/>
      <c r="CBP28" s="1688"/>
      <c r="CBQ28" s="1688"/>
      <c r="CBR28" s="1688"/>
      <c r="CBS28" s="1688"/>
      <c r="CBT28" s="1688"/>
      <c r="CBU28" s="1688"/>
      <c r="CBV28" s="1688"/>
      <c r="CBW28" s="1688"/>
      <c r="CBX28" s="1688"/>
      <c r="CBY28" s="1688"/>
      <c r="CBZ28" s="1688"/>
      <c r="CCA28" s="1688"/>
      <c r="CCB28" s="1688"/>
      <c r="CCC28" s="1688"/>
      <c r="CCD28" s="1688"/>
      <c r="CCE28" s="1688"/>
      <c r="CCF28" s="1688"/>
      <c r="CCG28" s="1688"/>
      <c r="CCH28" s="1688"/>
      <c r="CCI28" s="1688"/>
      <c r="CCJ28" s="1688"/>
      <c r="CCK28" s="1688"/>
      <c r="CCL28" s="1688"/>
      <c r="CCM28" s="1688"/>
      <c r="CCN28" s="1688"/>
      <c r="CCO28" s="1688"/>
      <c r="CCP28" s="1688"/>
      <c r="CCQ28" s="1688"/>
      <c r="CCR28" s="1688"/>
      <c r="CCS28" s="1688"/>
      <c r="CCT28" s="1688"/>
      <c r="CCU28" s="1688"/>
      <c r="CCV28" s="1688"/>
      <c r="CCW28" s="1688"/>
      <c r="CCX28" s="1688"/>
      <c r="CCY28" s="1688"/>
      <c r="CCZ28" s="1688"/>
      <c r="CDA28" s="1688"/>
      <c r="CDB28" s="1688"/>
      <c r="CDC28" s="1688"/>
      <c r="CDD28" s="1688"/>
      <c r="CDE28" s="1688"/>
      <c r="CDF28" s="1688"/>
      <c r="CDG28" s="1688"/>
      <c r="CDH28" s="1688"/>
      <c r="CDI28" s="1688"/>
      <c r="CDJ28" s="1688"/>
      <c r="CDK28" s="1688"/>
      <c r="CDL28" s="1688"/>
      <c r="CDM28" s="1688"/>
      <c r="CDN28" s="1688"/>
      <c r="CDO28" s="1688"/>
      <c r="CDP28" s="1688"/>
      <c r="CDQ28" s="1688"/>
      <c r="CDR28" s="1688"/>
      <c r="CDS28" s="1688"/>
      <c r="CDT28" s="1688"/>
      <c r="CDU28" s="1688"/>
      <c r="CDV28" s="1688"/>
      <c r="CDW28" s="1688"/>
      <c r="CDX28" s="1688"/>
      <c r="CDY28" s="1688"/>
      <c r="CDZ28" s="1688"/>
      <c r="CEA28" s="1688"/>
      <c r="CEB28" s="1688"/>
      <c r="CEC28" s="1688"/>
      <c r="CED28" s="1688"/>
      <c r="CEE28" s="1688"/>
      <c r="CEF28" s="1688"/>
      <c r="CEG28" s="1688"/>
      <c r="CEH28" s="1688"/>
      <c r="CEI28" s="1688"/>
      <c r="CEJ28" s="1688"/>
      <c r="CEK28" s="1688"/>
      <c r="CEL28" s="1688"/>
      <c r="CEM28" s="1688"/>
      <c r="CEN28" s="1688"/>
      <c r="CEO28" s="1688"/>
      <c r="CEP28" s="1688"/>
      <c r="CEQ28" s="1688"/>
      <c r="CER28" s="1688"/>
      <c r="CES28" s="1688"/>
      <c r="CET28" s="1688"/>
      <c r="CEU28" s="1688"/>
      <c r="CEV28" s="1688"/>
      <c r="CEW28" s="1688"/>
      <c r="CEX28" s="1688"/>
      <c r="CEY28" s="1688"/>
      <c r="CEZ28" s="1688"/>
      <c r="CFA28" s="1688"/>
      <c r="CFB28" s="1688"/>
      <c r="CFC28" s="1688"/>
      <c r="CFD28" s="1688"/>
      <c r="CFE28" s="1688"/>
      <c r="CFF28" s="1688"/>
      <c r="CFG28" s="1688"/>
      <c r="CFH28" s="1688"/>
      <c r="CFI28" s="1688"/>
      <c r="CFJ28" s="1688"/>
      <c r="CFK28" s="1688"/>
      <c r="CFL28" s="1688"/>
      <c r="CFM28" s="1688"/>
      <c r="CFN28" s="1688"/>
      <c r="CFO28" s="1688"/>
      <c r="CFP28" s="1688"/>
      <c r="CFQ28" s="1688"/>
      <c r="CFR28" s="1688"/>
      <c r="CFS28" s="1688"/>
      <c r="CFT28" s="1688"/>
      <c r="CFU28" s="1688"/>
      <c r="CFV28" s="1688"/>
      <c r="CFW28" s="1688"/>
      <c r="CFX28" s="1688"/>
      <c r="CFY28" s="1688"/>
      <c r="CFZ28" s="1688"/>
      <c r="CGA28" s="1688"/>
      <c r="CGB28" s="1688"/>
      <c r="CGC28" s="1688"/>
      <c r="CGD28" s="1688"/>
      <c r="CGE28" s="1688"/>
      <c r="CGF28" s="1688"/>
      <c r="CGG28" s="1688"/>
      <c r="CGH28" s="1688"/>
      <c r="CGI28" s="1688"/>
      <c r="CGJ28" s="1688"/>
      <c r="CGK28" s="1688"/>
      <c r="CGL28" s="1688"/>
      <c r="CGM28" s="1688"/>
      <c r="CGN28" s="1688"/>
      <c r="CGO28" s="1688"/>
      <c r="CGP28" s="1688"/>
      <c r="CGQ28" s="1688"/>
      <c r="CGR28" s="1688"/>
      <c r="CGS28" s="1688"/>
      <c r="CGT28" s="1688"/>
      <c r="CGU28" s="1688"/>
      <c r="CGV28" s="1688"/>
      <c r="CGW28" s="1688"/>
      <c r="CGX28" s="1688"/>
      <c r="CGY28" s="1688"/>
      <c r="CGZ28" s="1688"/>
      <c r="CHA28" s="1688"/>
      <c r="CHB28" s="1688"/>
      <c r="CHC28" s="1688"/>
      <c r="CHD28" s="1688"/>
      <c r="CHE28" s="1688"/>
      <c r="CHF28" s="1688"/>
      <c r="CHG28" s="1688"/>
      <c r="CHH28" s="1688"/>
      <c r="CHI28" s="1688"/>
      <c r="CHJ28" s="1688"/>
      <c r="CHK28" s="1688"/>
      <c r="CHL28" s="1688"/>
      <c r="CHM28" s="1688"/>
      <c r="CHN28" s="1688"/>
      <c r="CHO28" s="1688"/>
      <c r="CHP28" s="1688"/>
      <c r="CHQ28" s="1688"/>
      <c r="CHR28" s="1688"/>
      <c r="CHS28" s="1688"/>
      <c r="CHT28" s="1688"/>
      <c r="CHU28" s="1688"/>
      <c r="CHV28" s="1688"/>
      <c r="CHW28" s="1688"/>
      <c r="CHX28" s="1688"/>
      <c r="CHY28" s="1688"/>
      <c r="CHZ28" s="1688"/>
      <c r="CIA28" s="1688"/>
      <c r="CIB28" s="1688"/>
      <c r="CIC28" s="1688"/>
      <c r="CID28" s="1688"/>
      <c r="CIE28" s="1688"/>
      <c r="CIF28" s="1688"/>
      <c r="CIG28" s="1688"/>
      <c r="CIH28" s="1688"/>
      <c r="CII28" s="1688"/>
      <c r="CIJ28" s="1688"/>
      <c r="CIK28" s="1688"/>
      <c r="CIL28" s="1688"/>
      <c r="CIM28" s="1688"/>
      <c r="CIN28" s="1688"/>
      <c r="CIO28" s="1688"/>
      <c r="CIP28" s="1688"/>
      <c r="CIQ28" s="1688"/>
      <c r="CIR28" s="1688"/>
      <c r="CIS28" s="1688"/>
      <c r="CIT28" s="1688"/>
      <c r="CIU28" s="1688"/>
      <c r="CIV28" s="1688"/>
      <c r="CIW28" s="1688"/>
      <c r="CIX28" s="1688"/>
      <c r="CIY28" s="1688"/>
      <c r="CIZ28" s="1688"/>
      <c r="CJA28" s="1688"/>
      <c r="CJB28" s="1688"/>
      <c r="CJC28" s="1688"/>
      <c r="CJD28" s="1688"/>
      <c r="CJE28" s="1688"/>
      <c r="CJF28" s="1688"/>
      <c r="CJG28" s="1688"/>
      <c r="CJH28" s="1688"/>
      <c r="CJI28" s="1688"/>
      <c r="CJJ28" s="1688"/>
      <c r="CJK28" s="1688"/>
      <c r="CJL28" s="1688"/>
      <c r="CJM28" s="1688"/>
      <c r="CJN28" s="1688"/>
      <c r="CJO28" s="1688"/>
      <c r="CJP28" s="1688"/>
      <c r="CJQ28" s="1688"/>
      <c r="CJR28" s="1688"/>
      <c r="CJS28" s="1688"/>
      <c r="CJT28" s="1688"/>
      <c r="CJU28" s="1688"/>
      <c r="CJV28" s="1688"/>
      <c r="CJW28" s="1688"/>
      <c r="CJX28" s="1688"/>
      <c r="CJY28" s="1688"/>
      <c r="CJZ28" s="1688"/>
      <c r="CKA28" s="1688"/>
      <c r="CKB28" s="1688"/>
      <c r="CKC28" s="1688"/>
      <c r="CKD28" s="1688"/>
      <c r="CKE28" s="1688"/>
      <c r="CKF28" s="1688"/>
      <c r="CKG28" s="1688"/>
      <c r="CKH28" s="1688"/>
      <c r="CKI28" s="1688"/>
      <c r="CKJ28" s="1688"/>
      <c r="CKK28" s="1688"/>
      <c r="CKL28" s="1688"/>
      <c r="CKM28" s="1688"/>
      <c r="CKN28" s="1688"/>
      <c r="CKO28" s="1688"/>
      <c r="CKP28" s="1688"/>
      <c r="CKQ28" s="1688"/>
      <c r="CKR28" s="1688"/>
      <c r="CKS28" s="1688"/>
      <c r="CKT28" s="1688"/>
      <c r="CKU28" s="1688"/>
      <c r="CKV28" s="1688"/>
      <c r="CKW28" s="1688"/>
      <c r="CKX28" s="1688"/>
      <c r="CKY28" s="1688"/>
      <c r="CKZ28" s="1688"/>
      <c r="CLA28" s="1688"/>
      <c r="CLB28" s="1688"/>
      <c r="CLC28" s="1688"/>
      <c r="CLD28" s="1688"/>
      <c r="CLE28" s="1688"/>
      <c r="CLF28" s="1688"/>
      <c r="CLG28" s="1688"/>
      <c r="CLH28" s="1688"/>
      <c r="CLI28" s="1688"/>
      <c r="CLJ28" s="1688"/>
      <c r="CLK28" s="1688"/>
      <c r="CLL28" s="1688"/>
      <c r="CLM28" s="1688"/>
      <c r="CLN28" s="1688"/>
      <c r="CLO28" s="1688"/>
      <c r="CLP28" s="1688"/>
      <c r="CLQ28" s="1688"/>
      <c r="CLR28" s="1688"/>
      <c r="CLS28" s="1688"/>
      <c r="CLT28" s="1688"/>
      <c r="CLU28" s="1688"/>
      <c r="CLV28" s="1688"/>
      <c r="CLW28" s="1688"/>
      <c r="CLX28" s="1688"/>
      <c r="CLY28" s="1688"/>
      <c r="CLZ28" s="1688"/>
      <c r="CMA28" s="1688"/>
      <c r="CMB28" s="1688"/>
      <c r="CMC28" s="1688"/>
      <c r="CMD28" s="1688"/>
      <c r="CME28" s="1688"/>
      <c r="CMF28" s="1688"/>
      <c r="CMG28" s="1688"/>
      <c r="CMH28" s="1688"/>
      <c r="CMI28" s="1688"/>
      <c r="CMJ28" s="1688"/>
      <c r="CMK28" s="1688"/>
      <c r="CML28" s="1688"/>
      <c r="CMM28" s="1688"/>
      <c r="CMN28" s="1688"/>
      <c r="CMO28" s="1688"/>
      <c r="CMP28" s="1688"/>
      <c r="CMQ28" s="1688"/>
      <c r="CMR28" s="1688"/>
      <c r="CMS28" s="1688"/>
      <c r="CMT28" s="1688"/>
      <c r="CMU28" s="1688"/>
      <c r="CMV28" s="1688"/>
      <c r="CMW28" s="1688"/>
      <c r="CMX28" s="1688"/>
      <c r="CMY28" s="1688"/>
      <c r="CMZ28" s="1688"/>
      <c r="CNA28" s="1688"/>
      <c r="CNB28" s="1688"/>
      <c r="CNC28" s="1688"/>
      <c r="CND28" s="1688"/>
      <c r="CNE28" s="1688"/>
      <c r="CNF28" s="1688"/>
      <c r="CNG28" s="1688"/>
      <c r="CNH28" s="1688"/>
      <c r="CNI28" s="1688"/>
      <c r="CNJ28" s="1688"/>
      <c r="CNK28" s="1688"/>
      <c r="CNL28" s="1688"/>
      <c r="CNM28" s="1688"/>
      <c r="CNN28" s="1688"/>
      <c r="CNO28" s="1688"/>
      <c r="CNP28" s="1688"/>
      <c r="CNQ28" s="1688"/>
      <c r="CNR28" s="1688"/>
      <c r="CNS28" s="1688"/>
      <c r="CNT28" s="1688"/>
      <c r="CNU28" s="1688"/>
      <c r="CNV28" s="1688"/>
      <c r="CNW28" s="1688"/>
      <c r="CNX28" s="1688"/>
      <c r="CNY28" s="1688"/>
      <c r="CNZ28" s="1688"/>
      <c r="COA28" s="1688"/>
      <c r="COB28" s="1688"/>
      <c r="COC28" s="1688"/>
      <c r="COD28" s="1688"/>
      <c r="COE28" s="1688"/>
      <c r="COF28" s="1688"/>
      <c r="COG28" s="1688"/>
      <c r="COH28" s="1688"/>
      <c r="COI28" s="1688"/>
      <c r="COJ28" s="1688"/>
      <c r="COK28" s="1688"/>
      <c r="COL28" s="1688"/>
      <c r="COM28" s="1688"/>
      <c r="CON28" s="1688"/>
      <c r="COO28" s="1688"/>
      <c r="COP28" s="1688"/>
      <c r="COQ28" s="1688"/>
      <c r="COR28" s="1688"/>
      <c r="COS28" s="1688"/>
      <c r="COT28" s="1688"/>
      <c r="COU28" s="1688"/>
      <c r="COV28" s="1688"/>
      <c r="COW28" s="1688"/>
      <c r="COX28" s="1688"/>
      <c r="COY28" s="1688"/>
      <c r="COZ28" s="1688"/>
      <c r="CPA28" s="1688"/>
      <c r="CPB28" s="1688"/>
      <c r="CPC28" s="1688"/>
      <c r="CPD28" s="1688"/>
      <c r="CPE28" s="1688"/>
      <c r="CPF28" s="1688"/>
      <c r="CPG28" s="1688"/>
      <c r="CPH28" s="1688"/>
      <c r="CPI28" s="1688"/>
      <c r="CPJ28" s="1688"/>
      <c r="CPK28" s="1688"/>
      <c r="CPL28" s="1688"/>
      <c r="CPM28" s="1688"/>
      <c r="CPN28" s="1688"/>
      <c r="CPO28" s="1688"/>
      <c r="CPP28" s="1688"/>
      <c r="CPQ28" s="1688"/>
      <c r="CPR28" s="1688"/>
      <c r="CPS28" s="1688"/>
      <c r="CPT28" s="1688"/>
      <c r="CPU28" s="1688"/>
      <c r="CPV28" s="1688"/>
      <c r="CPW28" s="1688"/>
      <c r="CPX28" s="1688"/>
      <c r="CPY28" s="1688"/>
      <c r="CPZ28" s="1688"/>
      <c r="CQA28" s="1688"/>
      <c r="CQB28" s="1688"/>
      <c r="CQC28" s="1688"/>
      <c r="CQD28" s="1688"/>
      <c r="CQE28" s="1688"/>
      <c r="CQF28" s="1688"/>
      <c r="CQG28" s="1688"/>
      <c r="CQH28" s="1688"/>
      <c r="CQI28" s="1688"/>
      <c r="CQJ28" s="1688"/>
      <c r="CQK28" s="1688"/>
      <c r="CQL28" s="1688"/>
      <c r="CQM28" s="1688"/>
      <c r="CQN28" s="1688"/>
      <c r="CQO28" s="1688"/>
      <c r="CQP28" s="1688"/>
      <c r="CQQ28" s="1688"/>
      <c r="CQR28" s="1688"/>
      <c r="CQS28" s="1688"/>
      <c r="CQT28" s="1688"/>
      <c r="CQU28" s="1688"/>
      <c r="CQV28" s="1688"/>
      <c r="CQW28" s="1688"/>
      <c r="CQX28" s="1688"/>
      <c r="CQY28" s="1688"/>
      <c r="CQZ28" s="1688"/>
      <c r="CRA28" s="1688"/>
      <c r="CRB28" s="1688"/>
      <c r="CRC28" s="1688"/>
      <c r="CRD28" s="1688"/>
      <c r="CRE28" s="1688"/>
      <c r="CRF28" s="1688"/>
      <c r="CRG28" s="1688"/>
      <c r="CRH28" s="1688"/>
      <c r="CRI28" s="1688"/>
      <c r="CRJ28" s="1688"/>
      <c r="CRK28" s="1688"/>
      <c r="CRL28" s="1688"/>
      <c r="CRM28" s="1688"/>
      <c r="CRN28" s="1688"/>
      <c r="CRO28" s="1688"/>
      <c r="CRP28" s="1688"/>
      <c r="CRQ28" s="1688"/>
      <c r="CRR28" s="1688"/>
      <c r="CRS28" s="1688"/>
      <c r="CRT28" s="1688"/>
      <c r="CRU28" s="1688"/>
      <c r="CRV28" s="1688"/>
      <c r="CRW28" s="1688"/>
      <c r="CRX28" s="1688"/>
      <c r="CRY28" s="1688"/>
      <c r="CRZ28" s="1688"/>
      <c r="CSA28" s="1688"/>
      <c r="CSB28" s="1688"/>
      <c r="CSC28" s="1688"/>
      <c r="CSD28" s="1688"/>
      <c r="CSE28" s="1688"/>
      <c r="CSF28" s="1688"/>
      <c r="CSG28" s="1688"/>
      <c r="CSH28" s="1688"/>
      <c r="CSI28" s="1688"/>
      <c r="CSJ28" s="1688"/>
      <c r="CSK28" s="1688"/>
      <c r="CSL28" s="1688"/>
      <c r="CSM28" s="1688"/>
      <c r="CSN28" s="1688"/>
      <c r="CSO28" s="1688"/>
      <c r="CSP28" s="1688"/>
      <c r="CSQ28" s="1688"/>
      <c r="CSR28" s="1688"/>
      <c r="CSS28" s="1688"/>
      <c r="CST28" s="1688"/>
      <c r="CSU28" s="1688"/>
      <c r="CSV28" s="1688"/>
      <c r="CSW28" s="1688"/>
      <c r="CSX28" s="1688"/>
      <c r="CSY28" s="1688"/>
      <c r="CSZ28" s="1688"/>
      <c r="CTA28" s="1688"/>
      <c r="CTB28" s="1688"/>
      <c r="CTC28" s="1688"/>
      <c r="CTD28" s="1688"/>
      <c r="CTE28" s="1688"/>
      <c r="CTF28" s="1688"/>
      <c r="CTG28" s="1688"/>
      <c r="CTH28" s="1688"/>
      <c r="CTI28" s="1688"/>
      <c r="CTJ28" s="1688"/>
      <c r="CTK28" s="1688"/>
      <c r="CTL28" s="1688"/>
      <c r="CTM28" s="1688"/>
      <c r="CTN28" s="1688"/>
      <c r="CTO28" s="1688"/>
      <c r="CTP28" s="1688"/>
      <c r="CTQ28" s="1688"/>
      <c r="CTR28" s="1688"/>
      <c r="CTS28" s="1688"/>
      <c r="CTT28" s="1688"/>
      <c r="CTU28" s="1688"/>
      <c r="CTV28" s="1688"/>
      <c r="CTW28" s="1688"/>
      <c r="CTX28" s="1688"/>
      <c r="CTY28" s="1688"/>
      <c r="CTZ28" s="1688"/>
      <c r="CUA28" s="1688"/>
      <c r="CUB28" s="1688"/>
      <c r="CUC28" s="1688"/>
      <c r="CUD28" s="1688"/>
      <c r="CUE28" s="1688"/>
      <c r="CUF28" s="1688"/>
      <c r="CUG28" s="1688"/>
      <c r="CUH28" s="1688"/>
      <c r="CUI28" s="1688"/>
      <c r="CUJ28" s="1688"/>
      <c r="CUK28" s="1688"/>
      <c r="CUL28" s="1688"/>
      <c r="CUM28" s="1688"/>
      <c r="CUN28" s="1688"/>
      <c r="CUO28" s="1688"/>
      <c r="CUP28" s="1688"/>
      <c r="CUQ28" s="1688"/>
      <c r="CUR28" s="1688"/>
      <c r="CUS28" s="1688"/>
      <c r="CUT28" s="1688"/>
      <c r="CUU28" s="1688"/>
      <c r="CUV28" s="1688"/>
      <c r="CUW28" s="1688"/>
      <c r="CUX28" s="1688"/>
      <c r="CUY28" s="1688"/>
      <c r="CUZ28" s="1688"/>
      <c r="CVA28" s="1688"/>
      <c r="CVB28" s="1688"/>
      <c r="CVC28" s="1688"/>
      <c r="CVD28" s="1688"/>
      <c r="CVE28" s="1688"/>
      <c r="CVF28" s="1688"/>
      <c r="CVG28" s="1688"/>
      <c r="CVH28" s="1688"/>
      <c r="CVI28" s="1688"/>
      <c r="CVJ28" s="1688"/>
      <c r="CVK28" s="1688"/>
      <c r="CVL28" s="1688"/>
      <c r="CVM28" s="1688"/>
      <c r="CVN28" s="1688"/>
      <c r="CVO28" s="1688"/>
      <c r="CVP28" s="1688"/>
      <c r="CVQ28" s="1688"/>
      <c r="CVR28" s="1688"/>
      <c r="CVS28" s="1688"/>
      <c r="CVT28" s="1688"/>
      <c r="CVU28" s="1688"/>
      <c r="CVV28" s="1688"/>
      <c r="CVW28" s="1688"/>
      <c r="CVX28" s="1688"/>
      <c r="CVY28" s="1688"/>
      <c r="CVZ28" s="1688"/>
      <c r="CWA28" s="1688"/>
      <c r="CWB28" s="1688"/>
      <c r="CWC28" s="1688"/>
      <c r="CWD28" s="1688"/>
      <c r="CWE28" s="1688"/>
      <c r="CWF28" s="1688"/>
      <c r="CWG28" s="1688"/>
      <c r="CWH28" s="1688"/>
      <c r="CWI28" s="1688"/>
      <c r="CWJ28" s="1688"/>
      <c r="CWK28" s="1688"/>
      <c r="CWL28" s="1688"/>
      <c r="CWM28" s="1688"/>
      <c r="CWN28" s="1688"/>
      <c r="CWO28" s="1688"/>
      <c r="CWP28" s="1688"/>
      <c r="CWQ28" s="1688"/>
      <c r="CWR28" s="1688"/>
      <c r="CWS28" s="1688"/>
      <c r="CWT28" s="1688"/>
      <c r="CWU28" s="1688"/>
      <c r="CWV28" s="1688"/>
      <c r="CWW28" s="1688"/>
      <c r="CWX28" s="1688"/>
      <c r="CWY28" s="1688"/>
      <c r="CWZ28" s="1688"/>
      <c r="CXA28" s="1688"/>
      <c r="CXB28" s="1688"/>
      <c r="CXC28" s="1688"/>
      <c r="CXD28" s="1688"/>
      <c r="CXE28" s="1688"/>
      <c r="CXF28" s="1688"/>
      <c r="CXG28" s="1688"/>
      <c r="CXH28" s="1688"/>
      <c r="CXI28" s="1688"/>
      <c r="CXJ28" s="1688"/>
      <c r="CXK28" s="1688"/>
      <c r="CXL28" s="1688"/>
      <c r="CXM28" s="1688"/>
      <c r="CXN28" s="1688"/>
      <c r="CXO28" s="1688"/>
      <c r="CXP28" s="1688"/>
      <c r="CXQ28" s="1688"/>
      <c r="CXR28" s="1688"/>
      <c r="CXS28" s="1688"/>
      <c r="CXT28" s="1688"/>
      <c r="CXU28" s="1688"/>
      <c r="CXV28" s="1688"/>
      <c r="CXW28" s="1688"/>
      <c r="CXX28" s="1688"/>
      <c r="CXY28" s="1688"/>
      <c r="CXZ28" s="1688"/>
      <c r="CYA28" s="1688"/>
      <c r="CYB28" s="1688"/>
      <c r="CYC28" s="1688"/>
      <c r="CYD28" s="1688"/>
      <c r="CYE28" s="1688"/>
      <c r="CYF28" s="1688"/>
      <c r="CYG28" s="1688"/>
      <c r="CYH28" s="1688"/>
      <c r="CYI28" s="1688"/>
      <c r="CYJ28" s="1688"/>
      <c r="CYK28" s="1688"/>
      <c r="CYL28" s="1688"/>
      <c r="CYM28" s="1688"/>
      <c r="CYN28" s="1688"/>
      <c r="CYO28" s="1688"/>
      <c r="CYP28" s="1688"/>
      <c r="CYQ28" s="1688"/>
      <c r="CYR28" s="1688"/>
      <c r="CYS28" s="1688"/>
      <c r="CYT28" s="1688"/>
      <c r="CYU28" s="1688"/>
      <c r="CYV28" s="1688"/>
      <c r="CYW28" s="1688"/>
      <c r="CYX28" s="1688"/>
      <c r="CYY28" s="1688"/>
      <c r="CYZ28" s="1688"/>
      <c r="CZA28" s="1688"/>
      <c r="CZB28" s="1688"/>
      <c r="CZC28" s="1688"/>
      <c r="CZD28" s="1688"/>
      <c r="CZE28" s="1688"/>
      <c r="CZF28" s="1688"/>
      <c r="CZG28" s="1688"/>
      <c r="CZH28" s="1688"/>
      <c r="CZI28" s="1688"/>
      <c r="CZJ28" s="1688"/>
      <c r="CZK28" s="1688"/>
      <c r="CZL28" s="1688"/>
      <c r="CZM28" s="1688"/>
      <c r="CZN28" s="1688"/>
      <c r="CZO28" s="1688"/>
      <c r="CZP28" s="1688"/>
      <c r="CZQ28" s="1688"/>
      <c r="CZR28" s="1688"/>
      <c r="CZS28" s="1688"/>
      <c r="CZT28" s="1688"/>
      <c r="CZU28" s="1688"/>
      <c r="CZV28" s="1688"/>
      <c r="CZW28" s="1688"/>
      <c r="CZX28" s="1688"/>
      <c r="CZY28" s="1688"/>
      <c r="CZZ28" s="1688"/>
      <c r="DAA28" s="1688"/>
      <c r="DAB28" s="1688"/>
      <c r="DAC28" s="1688"/>
      <c r="DAD28" s="1688"/>
      <c r="DAE28" s="1688"/>
      <c r="DAF28" s="1688"/>
      <c r="DAG28" s="1688"/>
      <c r="DAH28" s="1688"/>
      <c r="DAI28" s="1688"/>
      <c r="DAJ28" s="1688"/>
      <c r="DAK28" s="1688"/>
      <c r="DAL28" s="1688"/>
      <c r="DAM28" s="1688"/>
      <c r="DAN28" s="1688"/>
      <c r="DAO28" s="1688"/>
      <c r="DAP28" s="1688"/>
      <c r="DAQ28" s="1688"/>
      <c r="DAR28" s="1688"/>
      <c r="DAS28" s="1688"/>
      <c r="DAT28" s="1688"/>
      <c r="DAU28" s="1688"/>
      <c r="DAV28" s="1688"/>
      <c r="DAW28" s="1688"/>
      <c r="DAX28" s="1688"/>
      <c r="DAY28" s="1688"/>
      <c r="DAZ28" s="1688"/>
      <c r="DBA28" s="1688"/>
      <c r="DBB28" s="1688"/>
      <c r="DBC28" s="1688"/>
      <c r="DBD28" s="1688"/>
      <c r="DBE28" s="1688"/>
      <c r="DBF28" s="1688"/>
      <c r="DBG28" s="1688"/>
      <c r="DBH28" s="1688"/>
      <c r="DBI28" s="1688"/>
      <c r="DBJ28" s="1688"/>
      <c r="DBK28" s="1688"/>
      <c r="DBL28" s="1688"/>
      <c r="DBM28" s="1688"/>
      <c r="DBN28" s="1688"/>
      <c r="DBO28" s="1688"/>
      <c r="DBP28" s="1688"/>
      <c r="DBQ28" s="1688"/>
      <c r="DBR28" s="1688"/>
      <c r="DBS28" s="1688"/>
      <c r="DBT28" s="1688"/>
      <c r="DBU28" s="1688"/>
      <c r="DBV28" s="1688"/>
      <c r="DBW28" s="1688"/>
      <c r="DBX28" s="1688"/>
      <c r="DBY28" s="1688"/>
      <c r="DBZ28" s="1688"/>
      <c r="DCA28" s="1688"/>
      <c r="DCB28" s="1688"/>
      <c r="DCC28" s="1688"/>
      <c r="DCD28" s="1688"/>
      <c r="DCE28" s="1688"/>
      <c r="DCF28" s="1688"/>
      <c r="DCG28" s="1688"/>
      <c r="DCH28" s="1688"/>
      <c r="DCI28" s="1688"/>
      <c r="DCJ28" s="1688"/>
      <c r="DCK28" s="1688"/>
      <c r="DCL28" s="1688"/>
      <c r="DCM28" s="1688"/>
      <c r="DCN28" s="1688"/>
      <c r="DCO28" s="1688"/>
      <c r="DCP28" s="1688"/>
      <c r="DCQ28" s="1688"/>
      <c r="DCR28" s="1688"/>
      <c r="DCS28" s="1688"/>
      <c r="DCT28" s="1688"/>
      <c r="DCU28" s="1688"/>
      <c r="DCV28" s="1688"/>
      <c r="DCW28" s="1688"/>
      <c r="DCX28" s="1688"/>
      <c r="DCY28" s="1688"/>
      <c r="DCZ28" s="1688"/>
      <c r="DDA28" s="1688"/>
      <c r="DDB28" s="1688"/>
      <c r="DDC28" s="1688"/>
      <c r="DDD28" s="1688"/>
      <c r="DDE28" s="1688"/>
      <c r="DDF28" s="1688"/>
      <c r="DDG28" s="1688"/>
      <c r="DDH28" s="1688"/>
      <c r="DDI28" s="1688"/>
      <c r="DDJ28" s="1688"/>
      <c r="DDK28" s="1688"/>
      <c r="DDL28" s="1688"/>
      <c r="DDM28" s="1688"/>
      <c r="DDN28" s="1688"/>
      <c r="DDO28" s="1688"/>
      <c r="DDP28" s="1688"/>
      <c r="DDQ28" s="1688"/>
      <c r="DDR28" s="1688"/>
      <c r="DDS28" s="1688"/>
      <c r="DDT28" s="1688"/>
      <c r="DDU28" s="1688"/>
      <c r="DDV28" s="1688"/>
      <c r="DDW28" s="1688"/>
      <c r="DDX28" s="1688"/>
      <c r="DDY28" s="1688"/>
      <c r="DDZ28" s="1688"/>
      <c r="DEA28" s="1688"/>
      <c r="DEB28" s="1688"/>
      <c r="DEC28" s="1688"/>
      <c r="DED28" s="1688"/>
      <c r="DEE28" s="1688"/>
      <c r="DEF28" s="1688"/>
      <c r="DEG28" s="1688"/>
      <c r="DEH28" s="1688"/>
      <c r="DEI28" s="1688"/>
      <c r="DEJ28" s="1688"/>
      <c r="DEK28" s="1688"/>
      <c r="DEL28" s="1688"/>
      <c r="DEM28" s="1688"/>
      <c r="DEN28" s="1688"/>
      <c r="DEO28" s="1688"/>
      <c r="DEP28" s="1688"/>
      <c r="DEQ28" s="1688"/>
      <c r="DER28" s="1688"/>
      <c r="DES28" s="1688"/>
      <c r="DET28" s="1688"/>
      <c r="DEU28" s="1688"/>
      <c r="DEV28" s="1688"/>
      <c r="DEW28" s="1688"/>
      <c r="DEX28" s="1688"/>
      <c r="DEY28" s="1688"/>
      <c r="DEZ28" s="1688"/>
      <c r="DFA28" s="1688"/>
      <c r="DFB28" s="1688"/>
      <c r="DFC28" s="1688"/>
      <c r="DFD28" s="1688"/>
      <c r="DFE28" s="1688"/>
      <c r="DFF28" s="1688"/>
      <c r="DFG28" s="1688"/>
      <c r="DFH28" s="1688"/>
      <c r="DFI28" s="1688"/>
      <c r="DFJ28" s="1688"/>
      <c r="DFK28" s="1688"/>
      <c r="DFL28" s="1688"/>
      <c r="DFM28" s="1688"/>
      <c r="DFN28" s="1688"/>
      <c r="DFO28" s="1688"/>
      <c r="DFP28" s="1688"/>
      <c r="DFQ28" s="1688"/>
      <c r="DFR28" s="1688"/>
      <c r="DFS28" s="1688"/>
      <c r="DFT28" s="1688"/>
      <c r="DFU28" s="1688"/>
      <c r="DFV28" s="1688"/>
      <c r="DFW28" s="1688"/>
      <c r="DFX28" s="1688"/>
      <c r="DFY28" s="1688"/>
      <c r="DFZ28" s="1688"/>
      <c r="DGA28" s="1688"/>
      <c r="DGB28" s="1688"/>
      <c r="DGC28" s="1688"/>
      <c r="DGD28" s="1688"/>
      <c r="DGE28" s="1688"/>
      <c r="DGF28" s="1688"/>
      <c r="DGG28" s="1688"/>
      <c r="DGH28" s="1688"/>
      <c r="DGI28" s="1688"/>
      <c r="DGJ28" s="1688"/>
      <c r="DGK28" s="1688"/>
      <c r="DGL28" s="1688"/>
      <c r="DGM28" s="1688"/>
      <c r="DGN28" s="1688"/>
      <c r="DGO28" s="1688"/>
      <c r="DGP28" s="1688"/>
      <c r="DGQ28" s="1688"/>
      <c r="DGR28" s="1688"/>
      <c r="DGS28" s="1688"/>
      <c r="DGT28" s="1688"/>
      <c r="DGU28" s="1688"/>
      <c r="DGV28" s="1688"/>
      <c r="DGW28" s="1688"/>
      <c r="DGX28" s="1688"/>
      <c r="DGY28" s="1688"/>
      <c r="DGZ28" s="1688"/>
      <c r="DHA28" s="1688"/>
      <c r="DHB28" s="1688"/>
      <c r="DHC28" s="1688"/>
      <c r="DHD28" s="1688"/>
      <c r="DHE28" s="1688"/>
      <c r="DHF28" s="1688"/>
      <c r="DHG28" s="1688"/>
      <c r="DHH28" s="1688"/>
      <c r="DHI28" s="1688"/>
      <c r="DHJ28" s="1688"/>
      <c r="DHK28" s="1688"/>
      <c r="DHL28" s="1688"/>
      <c r="DHM28" s="1688"/>
      <c r="DHN28" s="1688"/>
      <c r="DHO28" s="1688"/>
      <c r="DHP28" s="1688"/>
      <c r="DHQ28" s="1688"/>
      <c r="DHR28" s="1688"/>
      <c r="DHS28" s="1688"/>
      <c r="DHT28" s="1688"/>
      <c r="DHU28" s="1688"/>
      <c r="DHV28" s="1688"/>
      <c r="DHW28" s="1688"/>
      <c r="DHX28" s="1688"/>
      <c r="DHY28" s="1688"/>
      <c r="DHZ28" s="1688"/>
      <c r="DIA28" s="1688"/>
      <c r="DIB28" s="1688"/>
      <c r="DIC28" s="1688"/>
      <c r="DID28" s="1688"/>
      <c r="DIE28" s="1688"/>
      <c r="DIF28" s="1688"/>
      <c r="DIG28" s="1688"/>
      <c r="DIH28" s="1688"/>
      <c r="DII28" s="1688"/>
      <c r="DIJ28" s="1688"/>
      <c r="DIK28" s="1688"/>
      <c r="DIL28" s="1688"/>
      <c r="DIM28" s="1688"/>
      <c r="DIN28" s="1688"/>
      <c r="DIO28" s="1688"/>
      <c r="DIP28" s="1688"/>
      <c r="DIQ28" s="1688"/>
      <c r="DIR28" s="1688"/>
      <c r="DIS28" s="1688"/>
      <c r="DIT28" s="1688"/>
      <c r="DIU28" s="1688"/>
      <c r="DIV28" s="1688"/>
      <c r="DIW28" s="1688"/>
      <c r="DIX28" s="1688"/>
      <c r="DIY28" s="1688"/>
      <c r="DIZ28" s="1688"/>
      <c r="DJA28" s="1688"/>
      <c r="DJB28" s="1688"/>
      <c r="DJC28" s="1688"/>
      <c r="DJD28" s="1688"/>
      <c r="DJE28" s="1688"/>
      <c r="DJF28" s="1688"/>
      <c r="DJG28" s="1688"/>
      <c r="DJH28" s="1688"/>
      <c r="DJI28" s="1688"/>
      <c r="DJJ28" s="1688"/>
      <c r="DJK28" s="1688"/>
      <c r="DJL28" s="1688"/>
      <c r="DJM28" s="1688"/>
      <c r="DJN28" s="1688"/>
      <c r="DJO28" s="1688"/>
      <c r="DJP28" s="1688"/>
      <c r="DJQ28" s="1688"/>
      <c r="DJR28" s="1688"/>
      <c r="DJS28" s="1688"/>
      <c r="DJT28" s="1688"/>
      <c r="DJU28" s="1688"/>
      <c r="DJV28" s="1688"/>
      <c r="DJW28" s="1688"/>
      <c r="DJX28" s="1688"/>
      <c r="DJY28" s="1688"/>
      <c r="DJZ28" s="1688"/>
      <c r="DKA28" s="1688"/>
      <c r="DKB28" s="1688"/>
      <c r="DKC28" s="1688"/>
      <c r="DKD28" s="1688"/>
      <c r="DKE28" s="1688"/>
      <c r="DKF28" s="1688"/>
      <c r="DKG28" s="1688"/>
      <c r="DKH28" s="1688"/>
      <c r="DKI28" s="1688"/>
      <c r="DKJ28" s="1688"/>
      <c r="DKK28" s="1688"/>
      <c r="DKL28" s="1688"/>
      <c r="DKM28" s="1688"/>
      <c r="DKN28" s="1688"/>
      <c r="DKO28" s="1688"/>
      <c r="DKP28" s="1688"/>
      <c r="DKQ28" s="1688"/>
      <c r="DKR28" s="1688"/>
      <c r="DKS28" s="1688"/>
      <c r="DKT28" s="1688"/>
      <c r="DKU28" s="1688"/>
      <c r="DKV28" s="1688"/>
      <c r="DKW28" s="1688"/>
      <c r="DKX28" s="1688"/>
      <c r="DKY28" s="1688"/>
      <c r="DKZ28" s="1688"/>
      <c r="DLA28" s="1688"/>
      <c r="DLB28" s="1688"/>
      <c r="DLC28" s="1688"/>
      <c r="DLD28" s="1688"/>
      <c r="DLE28" s="1688"/>
      <c r="DLF28" s="1688"/>
      <c r="DLG28" s="1688"/>
      <c r="DLH28" s="1688"/>
      <c r="DLI28" s="1688"/>
      <c r="DLJ28" s="1688"/>
      <c r="DLK28" s="1688"/>
      <c r="DLL28" s="1688"/>
      <c r="DLM28" s="1688"/>
      <c r="DLN28" s="1688"/>
      <c r="DLO28" s="1688"/>
      <c r="DLP28" s="1688"/>
      <c r="DLQ28" s="1688"/>
      <c r="DLR28" s="1688"/>
      <c r="DLS28" s="1688"/>
      <c r="DLT28" s="1688"/>
      <c r="DLU28" s="1688"/>
      <c r="DLV28" s="1688"/>
      <c r="DLW28" s="1688"/>
      <c r="DLX28" s="1688"/>
      <c r="DLY28" s="1688"/>
      <c r="DLZ28" s="1688"/>
      <c r="DMA28" s="1688"/>
      <c r="DMB28" s="1688"/>
      <c r="DMC28" s="1688"/>
      <c r="DMD28" s="1688"/>
      <c r="DME28" s="1688"/>
      <c r="DMF28" s="1688"/>
      <c r="DMG28" s="1688"/>
      <c r="DMH28" s="1688"/>
      <c r="DMI28" s="1688"/>
      <c r="DMJ28" s="1688"/>
      <c r="DMK28" s="1688"/>
      <c r="DML28" s="1688"/>
      <c r="DMM28" s="1688"/>
      <c r="DMN28" s="1688"/>
      <c r="DMO28" s="1688"/>
      <c r="DMP28" s="1688"/>
      <c r="DMQ28" s="1688"/>
      <c r="DMR28" s="1688"/>
      <c r="DMS28" s="1688"/>
      <c r="DMT28" s="1688"/>
      <c r="DMU28" s="1688"/>
      <c r="DMV28" s="1688"/>
      <c r="DMW28" s="1688"/>
      <c r="DMX28" s="1688"/>
      <c r="DMY28" s="1688"/>
      <c r="DMZ28" s="1688"/>
      <c r="DNA28" s="1688"/>
      <c r="DNB28" s="1688"/>
      <c r="DNC28" s="1688"/>
      <c r="DND28" s="1688"/>
      <c r="DNE28" s="1688"/>
      <c r="DNF28" s="1688"/>
      <c r="DNG28" s="1688"/>
      <c r="DNH28" s="1688"/>
      <c r="DNI28" s="1688"/>
      <c r="DNJ28" s="1688"/>
      <c r="DNK28" s="1688"/>
      <c r="DNL28" s="1688"/>
      <c r="DNM28" s="1688"/>
      <c r="DNN28" s="1688"/>
      <c r="DNO28" s="1688"/>
      <c r="DNP28" s="1688"/>
      <c r="DNQ28" s="1688"/>
      <c r="DNR28" s="1688"/>
      <c r="DNS28" s="1688"/>
      <c r="DNT28" s="1688"/>
      <c r="DNU28" s="1688"/>
      <c r="DNV28" s="1688"/>
      <c r="DNW28" s="1688"/>
      <c r="DNX28" s="1688"/>
      <c r="DNY28" s="1688"/>
      <c r="DNZ28" s="1688"/>
      <c r="DOA28" s="1688"/>
      <c r="DOB28" s="1688"/>
      <c r="DOC28" s="1688"/>
      <c r="DOD28" s="1688"/>
      <c r="DOE28" s="1688"/>
      <c r="DOF28" s="1688"/>
      <c r="DOG28" s="1688"/>
      <c r="DOH28" s="1688"/>
      <c r="DOI28" s="1688"/>
      <c r="DOJ28" s="1688"/>
      <c r="DOK28" s="1688"/>
      <c r="DOL28" s="1688"/>
      <c r="DOM28" s="1688"/>
      <c r="DON28" s="1688"/>
      <c r="DOO28" s="1688"/>
      <c r="DOP28" s="1688"/>
      <c r="DOQ28" s="1688"/>
      <c r="DOR28" s="1688"/>
      <c r="DOS28" s="1688"/>
      <c r="DOT28" s="1688"/>
      <c r="DOU28" s="1688"/>
      <c r="DOV28" s="1688"/>
      <c r="DOW28" s="1688"/>
      <c r="DOX28" s="1688"/>
      <c r="DOY28" s="1688"/>
      <c r="DOZ28" s="1688"/>
      <c r="DPA28" s="1688"/>
      <c r="DPB28" s="1688"/>
      <c r="DPC28" s="1688"/>
      <c r="DPD28" s="1688"/>
      <c r="DPE28" s="1688"/>
      <c r="DPF28" s="1688"/>
      <c r="DPG28" s="1688"/>
      <c r="DPH28" s="1688"/>
      <c r="DPI28" s="1688"/>
      <c r="DPJ28" s="1688"/>
      <c r="DPK28" s="1688"/>
      <c r="DPL28" s="1688"/>
      <c r="DPM28" s="1688"/>
      <c r="DPN28" s="1688"/>
      <c r="DPO28" s="1688"/>
      <c r="DPP28" s="1688"/>
      <c r="DPQ28" s="1688"/>
      <c r="DPR28" s="1688"/>
      <c r="DPS28" s="1688"/>
      <c r="DPT28" s="1688"/>
      <c r="DPU28" s="1688"/>
      <c r="DPV28" s="1688"/>
      <c r="DPW28" s="1688"/>
      <c r="DPX28" s="1688"/>
      <c r="DPY28" s="1688"/>
      <c r="DPZ28" s="1688"/>
      <c r="DQA28" s="1688"/>
      <c r="DQB28" s="1688"/>
      <c r="DQC28" s="1688"/>
      <c r="DQD28" s="1688"/>
      <c r="DQE28" s="1688"/>
      <c r="DQF28" s="1688"/>
      <c r="DQG28" s="1688"/>
      <c r="DQH28" s="1688"/>
      <c r="DQI28" s="1688"/>
      <c r="DQJ28" s="1688"/>
      <c r="DQK28" s="1688"/>
      <c r="DQL28" s="1688"/>
      <c r="DQM28" s="1688"/>
      <c r="DQN28" s="1688"/>
      <c r="DQO28" s="1688"/>
      <c r="DQP28" s="1688"/>
      <c r="DQQ28" s="1688"/>
      <c r="DQR28" s="1688"/>
      <c r="DQS28" s="1688"/>
      <c r="DQT28" s="1688"/>
      <c r="DQU28" s="1688"/>
      <c r="DQV28" s="1688"/>
      <c r="DQW28" s="1688"/>
      <c r="DQX28" s="1688"/>
      <c r="DQY28" s="1688"/>
      <c r="DQZ28" s="1688"/>
      <c r="DRA28" s="1688"/>
      <c r="DRB28" s="1688"/>
      <c r="DRC28" s="1688"/>
      <c r="DRD28" s="1688"/>
      <c r="DRE28" s="1688"/>
      <c r="DRF28" s="1688"/>
      <c r="DRG28" s="1688"/>
      <c r="DRH28" s="1688"/>
      <c r="DRI28" s="1688"/>
      <c r="DRJ28" s="1688"/>
      <c r="DRK28" s="1688"/>
      <c r="DRL28" s="1688"/>
      <c r="DRM28" s="1688"/>
      <c r="DRN28" s="1688"/>
      <c r="DRO28" s="1688"/>
      <c r="DRP28" s="1688"/>
      <c r="DRQ28" s="1688"/>
      <c r="DRR28" s="1688"/>
      <c r="DRS28" s="1688"/>
      <c r="DRT28" s="1688"/>
      <c r="DRU28" s="1688"/>
      <c r="DRV28" s="1688"/>
      <c r="DRW28" s="1688"/>
      <c r="DRX28" s="1688"/>
      <c r="DRY28" s="1688"/>
      <c r="DRZ28" s="1688"/>
      <c r="DSA28" s="1688"/>
      <c r="DSB28" s="1688"/>
      <c r="DSC28" s="1688"/>
      <c r="DSD28" s="1688"/>
      <c r="DSE28" s="1688"/>
      <c r="DSF28" s="1688"/>
      <c r="DSG28" s="1688"/>
      <c r="DSH28" s="1688"/>
      <c r="DSI28" s="1688"/>
      <c r="DSJ28" s="1688"/>
      <c r="DSK28" s="1688"/>
      <c r="DSL28" s="1688"/>
      <c r="DSM28" s="1688"/>
      <c r="DSN28" s="1688"/>
      <c r="DSO28" s="1688"/>
      <c r="DSP28" s="1688"/>
      <c r="DSQ28" s="1688"/>
      <c r="DSR28" s="1688"/>
      <c r="DSS28" s="1688"/>
      <c r="DST28" s="1688"/>
      <c r="DSU28" s="1688"/>
      <c r="DSV28" s="1688"/>
      <c r="DSW28" s="1688"/>
      <c r="DSX28" s="1688"/>
      <c r="DSY28" s="1688"/>
      <c r="DSZ28" s="1688"/>
      <c r="DTA28" s="1688"/>
      <c r="DTB28" s="1688"/>
      <c r="DTC28" s="1688"/>
      <c r="DTD28" s="1688"/>
      <c r="DTE28" s="1688"/>
      <c r="DTF28" s="1688"/>
      <c r="DTG28" s="1688"/>
      <c r="DTH28" s="1688"/>
      <c r="DTI28" s="1688"/>
      <c r="DTJ28" s="1688"/>
      <c r="DTK28" s="1688"/>
      <c r="DTL28" s="1688"/>
      <c r="DTM28" s="1688"/>
      <c r="DTN28" s="1688"/>
      <c r="DTO28" s="1688"/>
      <c r="DTP28" s="1688"/>
      <c r="DTQ28" s="1688"/>
      <c r="DTR28" s="1688"/>
      <c r="DTS28" s="1688"/>
      <c r="DTT28" s="1688"/>
      <c r="DTU28" s="1688"/>
      <c r="DTV28" s="1688"/>
      <c r="DTW28" s="1688"/>
      <c r="DTX28" s="1688"/>
      <c r="DTY28" s="1688"/>
      <c r="DTZ28" s="1688"/>
      <c r="DUA28" s="1688"/>
      <c r="DUB28" s="1688"/>
      <c r="DUC28" s="1688"/>
      <c r="DUD28" s="1688"/>
      <c r="DUE28" s="1688"/>
      <c r="DUF28" s="1688"/>
      <c r="DUG28" s="1688"/>
      <c r="DUH28" s="1688"/>
      <c r="DUI28" s="1688"/>
      <c r="DUJ28" s="1688"/>
      <c r="DUK28" s="1688"/>
      <c r="DUL28" s="1688"/>
      <c r="DUM28" s="1688"/>
      <c r="DUN28" s="1688"/>
      <c r="DUO28" s="1688"/>
      <c r="DUP28" s="1688"/>
      <c r="DUQ28" s="1688"/>
      <c r="DUR28" s="1688"/>
      <c r="DUS28" s="1688"/>
      <c r="DUT28" s="1688"/>
      <c r="DUU28" s="1688"/>
      <c r="DUV28" s="1688"/>
      <c r="DUW28" s="1688"/>
      <c r="DUX28" s="1688"/>
      <c r="DUY28" s="1688"/>
      <c r="DUZ28" s="1688"/>
      <c r="DVA28" s="1688"/>
      <c r="DVB28" s="1688"/>
      <c r="DVC28" s="1688"/>
      <c r="DVD28" s="1688"/>
      <c r="DVE28" s="1688"/>
      <c r="DVF28" s="1688"/>
      <c r="DVG28" s="1688"/>
      <c r="DVH28" s="1688"/>
      <c r="DVI28" s="1688"/>
      <c r="DVJ28" s="1688"/>
      <c r="DVK28" s="1688"/>
      <c r="DVL28" s="1688"/>
      <c r="DVM28" s="1688"/>
      <c r="DVN28" s="1688"/>
      <c r="DVO28" s="1688"/>
      <c r="DVP28" s="1688"/>
      <c r="DVQ28" s="1688"/>
      <c r="DVR28" s="1688"/>
      <c r="DVS28" s="1688"/>
      <c r="DVT28" s="1688"/>
      <c r="DVU28" s="1688"/>
      <c r="DVV28" s="1688"/>
      <c r="DVW28" s="1688"/>
      <c r="DVX28" s="1688"/>
      <c r="DVY28" s="1688"/>
      <c r="DVZ28" s="1688"/>
      <c r="DWA28" s="1688"/>
      <c r="DWB28" s="1688"/>
      <c r="DWC28" s="1688"/>
      <c r="DWD28" s="1688"/>
      <c r="DWE28" s="1688"/>
      <c r="DWF28" s="1688"/>
      <c r="DWG28" s="1688"/>
      <c r="DWH28" s="1688"/>
      <c r="DWI28" s="1688"/>
      <c r="DWJ28" s="1688"/>
      <c r="DWK28" s="1688"/>
      <c r="DWL28" s="1688"/>
      <c r="DWM28" s="1688"/>
      <c r="DWN28" s="1688"/>
      <c r="DWO28" s="1688"/>
      <c r="DWP28" s="1688"/>
      <c r="DWQ28" s="1688"/>
      <c r="DWR28" s="1688"/>
      <c r="DWS28" s="1688"/>
      <c r="DWT28" s="1688"/>
      <c r="DWU28" s="1688"/>
      <c r="DWV28" s="1688"/>
      <c r="DWW28" s="1688"/>
      <c r="DWX28" s="1688"/>
      <c r="DWY28" s="1688"/>
      <c r="DWZ28" s="1688"/>
      <c r="DXA28" s="1688"/>
      <c r="DXB28" s="1688"/>
      <c r="DXC28" s="1688"/>
      <c r="DXD28" s="1688"/>
      <c r="DXE28" s="1688"/>
      <c r="DXF28" s="1688"/>
      <c r="DXG28" s="1688"/>
      <c r="DXH28" s="1688"/>
      <c r="DXI28" s="1688"/>
      <c r="DXJ28" s="1688"/>
      <c r="DXK28" s="1688"/>
      <c r="DXL28" s="1688"/>
      <c r="DXM28" s="1688"/>
      <c r="DXN28" s="1688"/>
      <c r="DXO28" s="1688"/>
      <c r="DXP28" s="1688"/>
      <c r="DXQ28" s="1688"/>
      <c r="DXR28" s="1688"/>
      <c r="DXS28" s="1688"/>
      <c r="DXT28" s="1688"/>
      <c r="DXU28" s="1688"/>
      <c r="DXV28" s="1688"/>
      <c r="DXW28" s="1688"/>
      <c r="DXX28" s="1688"/>
      <c r="DXY28" s="1688"/>
      <c r="DXZ28" s="1688"/>
      <c r="DYA28" s="1688"/>
      <c r="DYB28" s="1688"/>
      <c r="DYC28" s="1688"/>
      <c r="DYD28" s="1688"/>
      <c r="DYE28" s="1688"/>
      <c r="DYF28" s="1688"/>
      <c r="DYG28" s="1688"/>
      <c r="DYH28" s="1688"/>
      <c r="DYI28" s="1688"/>
      <c r="DYJ28" s="1688"/>
      <c r="DYK28" s="1688"/>
      <c r="DYL28" s="1688"/>
      <c r="DYM28" s="1688"/>
      <c r="DYN28" s="1688"/>
      <c r="DYO28" s="1688"/>
      <c r="DYP28" s="1688"/>
      <c r="DYQ28" s="1688"/>
      <c r="DYR28" s="1688"/>
      <c r="DYS28" s="1688"/>
      <c r="DYT28" s="1688"/>
      <c r="DYU28" s="1688"/>
      <c r="DYV28" s="1688"/>
      <c r="DYW28" s="1688"/>
      <c r="DYX28" s="1688"/>
      <c r="DYY28" s="1688"/>
      <c r="DYZ28" s="1688"/>
      <c r="DZA28" s="1688"/>
      <c r="DZB28" s="1688"/>
      <c r="DZC28" s="1688"/>
      <c r="DZD28" s="1688"/>
      <c r="DZE28" s="1688"/>
      <c r="DZF28" s="1688"/>
      <c r="DZG28" s="1688"/>
      <c r="DZH28" s="1688"/>
      <c r="DZI28" s="1688"/>
      <c r="DZJ28" s="1688"/>
      <c r="DZK28" s="1688"/>
      <c r="DZL28" s="1688"/>
      <c r="DZM28" s="1688"/>
      <c r="DZN28" s="1688"/>
      <c r="DZO28" s="1688"/>
      <c r="DZP28" s="1688"/>
      <c r="DZQ28" s="1688"/>
      <c r="DZR28" s="1688"/>
      <c r="DZS28" s="1688"/>
      <c r="DZT28" s="1688"/>
      <c r="DZU28" s="1688"/>
      <c r="DZV28" s="1688"/>
      <c r="DZW28" s="1688"/>
      <c r="DZX28" s="1688"/>
      <c r="DZY28" s="1688"/>
      <c r="DZZ28" s="1688"/>
      <c r="EAA28" s="1688"/>
      <c r="EAB28" s="1688"/>
      <c r="EAC28" s="1688"/>
      <c r="EAD28" s="1688"/>
      <c r="EAE28" s="1688"/>
      <c r="EAF28" s="1688"/>
      <c r="EAG28" s="1688"/>
      <c r="EAH28" s="1688"/>
      <c r="EAI28" s="1688"/>
      <c r="EAJ28" s="1688"/>
      <c r="EAK28" s="1688"/>
      <c r="EAL28" s="1688"/>
      <c r="EAM28" s="1688"/>
      <c r="EAN28" s="1688"/>
      <c r="EAO28" s="1688"/>
      <c r="EAP28" s="1688"/>
      <c r="EAQ28" s="1688"/>
      <c r="EAR28" s="1688"/>
      <c r="EAS28" s="1688"/>
      <c r="EAT28" s="1688"/>
      <c r="EAU28" s="1688"/>
      <c r="EAV28" s="1688"/>
      <c r="EAW28" s="1688"/>
      <c r="EAX28" s="1688"/>
      <c r="EAY28" s="1688"/>
      <c r="EAZ28" s="1688"/>
      <c r="EBA28" s="1688"/>
      <c r="EBB28" s="1688"/>
      <c r="EBC28" s="1688"/>
      <c r="EBD28" s="1688"/>
      <c r="EBE28" s="1688"/>
      <c r="EBF28" s="1688"/>
      <c r="EBG28" s="1688"/>
      <c r="EBH28" s="1688"/>
      <c r="EBI28" s="1688"/>
      <c r="EBJ28" s="1688"/>
      <c r="EBK28" s="1688"/>
      <c r="EBL28" s="1688"/>
      <c r="EBM28" s="1688"/>
      <c r="EBN28" s="1688"/>
      <c r="EBO28" s="1688"/>
      <c r="EBP28" s="1688"/>
      <c r="EBQ28" s="1688"/>
      <c r="EBR28" s="1688"/>
      <c r="EBS28" s="1688"/>
      <c r="EBT28" s="1688"/>
      <c r="EBU28" s="1688"/>
      <c r="EBV28" s="1688"/>
      <c r="EBW28" s="1688"/>
      <c r="EBX28" s="1688"/>
      <c r="EBY28" s="1688"/>
      <c r="EBZ28" s="1688"/>
      <c r="ECA28" s="1688"/>
      <c r="ECB28" s="1688"/>
      <c r="ECC28" s="1688"/>
      <c r="ECD28" s="1688"/>
      <c r="ECE28" s="1688"/>
      <c r="ECF28" s="1688"/>
      <c r="ECG28" s="1688"/>
      <c r="ECH28" s="1688"/>
      <c r="ECI28" s="1688"/>
      <c r="ECJ28" s="1688"/>
      <c r="ECK28" s="1688"/>
      <c r="ECL28" s="1688"/>
      <c r="ECM28" s="1688"/>
      <c r="ECN28" s="1688"/>
      <c r="ECO28" s="1688"/>
      <c r="ECP28" s="1688"/>
      <c r="ECQ28" s="1688"/>
      <c r="ECR28" s="1688"/>
      <c r="ECS28" s="1688"/>
      <c r="ECT28" s="1688"/>
      <c r="ECU28" s="1688"/>
      <c r="ECV28" s="1688"/>
      <c r="ECW28" s="1688"/>
      <c r="ECX28" s="1688"/>
      <c r="ECY28" s="1688"/>
      <c r="ECZ28" s="1688"/>
      <c r="EDA28" s="1688"/>
      <c r="EDB28" s="1688"/>
      <c r="EDC28" s="1688"/>
      <c r="EDD28" s="1688"/>
      <c r="EDE28" s="1688"/>
      <c r="EDF28" s="1688"/>
      <c r="EDG28" s="1688"/>
      <c r="EDH28" s="1688"/>
      <c r="EDI28" s="1688"/>
      <c r="EDJ28" s="1688"/>
      <c r="EDK28" s="1688"/>
      <c r="EDL28" s="1688"/>
      <c r="EDM28" s="1688"/>
      <c r="EDN28" s="1688"/>
      <c r="EDO28" s="1688"/>
      <c r="EDP28" s="1688"/>
      <c r="EDQ28" s="1688"/>
      <c r="EDR28" s="1688"/>
      <c r="EDS28" s="1688"/>
      <c r="EDT28" s="1688"/>
      <c r="EDU28" s="1688"/>
      <c r="EDV28" s="1688"/>
      <c r="EDW28" s="1688"/>
      <c r="EDX28" s="1688"/>
      <c r="EDY28" s="1688"/>
      <c r="EDZ28" s="1688"/>
      <c r="EEA28" s="1688"/>
      <c r="EEB28" s="1688"/>
      <c r="EEC28" s="1688"/>
      <c r="EED28" s="1688"/>
      <c r="EEE28" s="1688"/>
      <c r="EEF28" s="1688"/>
      <c r="EEG28" s="1688"/>
      <c r="EEH28" s="1688"/>
      <c r="EEI28" s="1688"/>
      <c r="EEJ28" s="1688"/>
      <c r="EEK28" s="1688"/>
      <c r="EEL28" s="1688"/>
      <c r="EEM28" s="1688"/>
      <c r="EEN28" s="1688"/>
      <c r="EEO28" s="1688"/>
      <c r="EEP28" s="1688"/>
      <c r="EEQ28" s="1688"/>
      <c r="EER28" s="1688"/>
      <c r="EES28" s="1688"/>
      <c r="EET28" s="1688"/>
      <c r="EEU28" s="1688"/>
      <c r="EEV28" s="1688"/>
      <c r="EEW28" s="1688"/>
      <c r="EEX28" s="1688"/>
      <c r="EEY28" s="1688"/>
      <c r="EEZ28" s="1688"/>
      <c r="EFA28" s="1688"/>
      <c r="EFB28" s="1688"/>
      <c r="EFC28" s="1688"/>
      <c r="EFD28" s="1688"/>
      <c r="EFE28" s="1688"/>
      <c r="EFF28" s="1688"/>
      <c r="EFG28" s="1688"/>
      <c r="EFH28" s="1688"/>
      <c r="EFI28" s="1688"/>
      <c r="EFJ28" s="1688"/>
      <c r="EFK28" s="1688"/>
      <c r="EFL28" s="1688"/>
      <c r="EFM28" s="1688"/>
      <c r="EFN28" s="1688"/>
      <c r="EFO28" s="1688"/>
      <c r="EFP28" s="1688"/>
      <c r="EFQ28" s="1688"/>
      <c r="EFR28" s="1688"/>
      <c r="EFS28" s="1688"/>
      <c r="EFT28" s="1688"/>
      <c r="EFU28" s="1688"/>
      <c r="EFV28" s="1688"/>
      <c r="EFW28" s="1688"/>
      <c r="EFX28" s="1688"/>
      <c r="EFY28" s="1688"/>
      <c r="EFZ28" s="1688"/>
      <c r="EGA28" s="1688"/>
      <c r="EGB28" s="1688"/>
      <c r="EGC28" s="1688"/>
      <c r="EGD28" s="1688"/>
      <c r="EGE28" s="1688"/>
      <c r="EGF28" s="1688"/>
      <c r="EGG28" s="1688"/>
      <c r="EGH28" s="1688"/>
      <c r="EGI28" s="1688"/>
      <c r="EGJ28" s="1688"/>
      <c r="EGK28" s="1688"/>
      <c r="EGL28" s="1688"/>
      <c r="EGM28" s="1688"/>
      <c r="EGN28" s="1688"/>
      <c r="EGO28" s="1688"/>
      <c r="EGP28" s="1688"/>
      <c r="EGQ28" s="1688"/>
      <c r="EGR28" s="1688"/>
      <c r="EGS28" s="1688"/>
      <c r="EGT28" s="1688"/>
      <c r="EGU28" s="1688"/>
      <c r="EGV28" s="1688"/>
      <c r="EGW28" s="1688"/>
      <c r="EGX28" s="1688"/>
      <c r="EGY28" s="1688"/>
      <c r="EGZ28" s="1688"/>
      <c r="EHA28" s="1688"/>
      <c r="EHB28" s="1688"/>
      <c r="EHC28" s="1688"/>
      <c r="EHD28" s="1688"/>
      <c r="EHE28" s="1688"/>
      <c r="EHF28" s="1688"/>
      <c r="EHG28" s="1688"/>
      <c r="EHH28" s="1688"/>
      <c r="EHI28" s="1688"/>
      <c r="EHJ28" s="1688"/>
      <c r="EHK28" s="1688"/>
      <c r="EHL28" s="1688"/>
      <c r="EHM28" s="1688"/>
      <c r="EHN28" s="1688"/>
      <c r="EHO28" s="1688"/>
      <c r="EHP28" s="1688"/>
      <c r="EHQ28" s="1688"/>
      <c r="EHR28" s="1688"/>
      <c r="EHS28" s="1688"/>
      <c r="EHT28" s="1688"/>
      <c r="EHU28" s="1688"/>
      <c r="EHV28" s="1688"/>
      <c r="EHW28" s="1688"/>
      <c r="EHX28" s="1688"/>
      <c r="EHY28" s="1688"/>
      <c r="EHZ28" s="1688"/>
      <c r="EIA28" s="1688"/>
      <c r="EIB28" s="1688"/>
      <c r="EIC28" s="1688"/>
      <c r="EID28" s="1688"/>
      <c r="EIE28" s="1688"/>
      <c r="EIF28" s="1688"/>
      <c r="EIG28" s="1688"/>
      <c r="EIH28" s="1688"/>
      <c r="EII28" s="1688"/>
      <c r="EIJ28" s="1688"/>
      <c r="EIK28" s="1688"/>
      <c r="EIL28" s="1688"/>
      <c r="EIM28" s="1688"/>
      <c r="EIN28" s="1688"/>
      <c r="EIO28" s="1688"/>
      <c r="EIP28" s="1688"/>
      <c r="EIQ28" s="1688"/>
      <c r="EIR28" s="1688"/>
      <c r="EIS28" s="1688"/>
      <c r="EIT28" s="1688"/>
      <c r="EIU28" s="1688"/>
      <c r="EIV28" s="1688"/>
      <c r="EIW28" s="1688"/>
      <c r="EIX28" s="1688"/>
      <c r="EIY28" s="1688"/>
      <c r="EIZ28" s="1688"/>
      <c r="EJA28" s="1688"/>
      <c r="EJB28" s="1688"/>
      <c r="EJC28" s="1688"/>
      <c r="EJD28" s="1688"/>
      <c r="EJE28" s="1688"/>
      <c r="EJF28" s="1688"/>
      <c r="EJG28" s="1688"/>
      <c r="EJH28" s="1688"/>
      <c r="EJI28" s="1688"/>
      <c r="EJJ28" s="1688"/>
      <c r="EJK28" s="1688"/>
      <c r="EJL28" s="1688"/>
      <c r="EJM28" s="1688"/>
      <c r="EJN28" s="1688"/>
      <c r="EJO28" s="1688"/>
      <c r="EJP28" s="1688"/>
      <c r="EJQ28" s="1688"/>
      <c r="EJR28" s="1688"/>
      <c r="EJS28" s="1688"/>
      <c r="EJT28" s="1688"/>
      <c r="EJU28" s="1688"/>
      <c r="EJV28" s="1688"/>
      <c r="EJW28" s="1688"/>
      <c r="EJX28" s="1688"/>
      <c r="EJY28" s="1688"/>
      <c r="EJZ28" s="1688"/>
      <c r="EKA28" s="1688"/>
      <c r="EKB28" s="1688"/>
      <c r="EKC28" s="1688"/>
      <c r="EKD28" s="1688"/>
      <c r="EKE28" s="1688"/>
      <c r="EKF28" s="1688"/>
      <c r="EKG28" s="1688"/>
      <c r="EKH28" s="1688"/>
      <c r="EKI28" s="1688"/>
      <c r="EKJ28" s="1688"/>
      <c r="EKK28" s="1688"/>
      <c r="EKL28" s="1688"/>
      <c r="EKM28" s="1688"/>
      <c r="EKN28" s="1688"/>
      <c r="EKO28" s="1688"/>
      <c r="EKP28" s="1688"/>
      <c r="EKQ28" s="1688"/>
      <c r="EKR28" s="1688"/>
      <c r="EKS28" s="1688"/>
      <c r="EKT28" s="1688"/>
      <c r="EKU28" s="1688"/>
      <c r="EKV28" s="1688"/>
      <c r="EKW28" s="1688"/>
      <c r="EKX28" s="1688"/>
      <c r="EKY28" s="1688"/>
      <c r="EKZ28" s="1688"/>
      <c r="ELA28" s="1688"/>
      <c r="ELB28" s="1688"/>
      <c r="ELC28" s="1688"/>
      <c r="ELD28" s="1688"/>
      <c r="ELE28" s="1688"/>
      <c r="ELF28" s="1688"/>
      <c r="ELG28" s="1688"/>
      <c r="ELH28" s="1688"/>
      <c r="ELI28" s="1688"/>
      <c r="ELJ28" s="1688"/>
      <c r="ELK28" s="1688"/>
      <c r="ELL28" s="1688"/>
      <c r="ELM28" s="1688"/>
      <c r="ELN28" s="1688"/>
      <c r="ELO28" s="1688"/>
      <c r="ELP28" s="1688"/>
      <c r="ELQ28" s="1688"/>
      <c r="ELR28" s="1688"/>
      <c r="ELS28" s="1688"/>
      <c r="ELT28" s="1688"/>
      <c r="ELU28" s="1688"/>
      <c r="ELV28" s="1688"/>
      <c r="ELW28" s="1688"/>
      <c r="ELX28" s="1688"/>
      <c r="ELY28" s="1688"/>
      <c r="ELZ28" s="1688"/>
      <c r="EMA28" s="1688"/>
      <c r="EMB28" s="1688"/>
      <c r="EMC28" s="1688"/>
      <c r="EMD28" s="1688"/>
      <c r="EME28" s="1688"/>
      <c r="EMF28" s="1688"/>
      <c r="EMG28" s="1688"/>
      <c r="EMH28" s="1688"/>
      <c r="EMI28" s="1688"/>
      <c r="EMJ28" s="1688"/>
      <c r="EMK28" s="1688"/>
      <c r="EML28" s="1688"/>
      <c r="EMM28" s="1688"/>
      <c r="EMN28" s="1688"/>
      <c r="EMO28" s="1688"/>
      <c r="EMP28" s="1688"/>
      <c r="EMQ28" s="1688"/>
      <c r="EMR28" s="1688"/>
      <c r="EMS28" s="1688"/>
      <c r="EMT28" s="1688"/>
      <c r="EMU28" s="1688"/>
      <c r="EMV28" s="1688"/>
      <c r="EMW28" s="1688"/>
      <c r="EMX28" s="1688"/>
      <c r="EMY28" s="1688"/>
      <c r="EMZ28" s="1688"/>
      <c r="ENA28" s="1688"/>
      <c r="ENB28" s="1688"/>
      <c r="ENC28" s="1688"/>
      <c r="END28" s="1688"/>
      <c r="ENE28" s="1688"/>
      <c r="ENF28" s="1688"/>
      <c r="ENG28" s="1688"/>
      <c r="ENH28" s="1688"/>
      <c r="ENI28" s="1688"/>
      <c r="ENJ28" s="1688"/>
      <c r="ENK28" s="1688"/>
      <c r="ENL28" s="1688"/>
      <c r="ENM28" s="1688"/>
      <c r="ENN28" s="1688"/>
      <c r="ENO28" s="1688"/>
      <c r="ENP28" s="1688"/>
      <c r="ENQ28" s="1688"/>
      <c r="ENR28" s="1688"/>
      <c r="ENS28" s="1688"/>
      <c r="ENT28" s="1688"/>
      <c r="ENU28" s="1688"/>
      <c r="ENV28" s="1688"/>
      <c r="ENW28" s="1688"/>
      <c r="ENX28" s="1688"/>
      <c r="ENY28" s="1688"/>
      <c r="ENZ28" s="1688"/>
      <c r="EOA28" s="1688"/>
      <c r="EOB28" s="1688"/>
      <c r="EOC28" s="1688"/>
      <c r="EOD28" s="1688"/>
      <c r="EOE28" s="1688"/>
      <c r="EOF28" s="1688"/>
      <c r="EOG28" s="1688"/>
      <c r="EOH28" s="1688"/>
      <c r="EOI28" s="1688"/>
      <c r="EOJ28" s="1688"/>
      <c r="EOK28" s="1688"/>
      <c r="EOL28" s="1688"/>
      <c r="EOM28" s="1688"/>
      <c r="EON28" s="1688"/>
      <c r="EOO28" s="1688"/>
      <c r="EOP28" s="1688"/>
      <c r="EOQ28" s="1688"/>
      <c r="EOR28" s="1688"/>
      <c r="EOS28" s="1688"/>
      <c r="EOT28" s="1688"/>
      <c r="EOU28" s="1688"/>
      <c r="EOV28" s="1688"/>
      <c r="EOW28" s="1688"/>
      <c r="EOX28" s="1688"/>
      <c r="EOY28" s="1688"/>
      <c r="EOZ28" s="1688"/>
      <c r="EPA28" s="1688"/>
      <c r="EPB28" s="1688"/>
      <c r="EPC28" s="1688"/>
      <c r="EPD28" s="1688"/>
      <c r="EPE28" s="1688"/>
      <c r="EPF28" s="1688"/>
      <c r="EPG28" s="1688"/>
      <c r="EPH28" s="1688"/>
      <c r="EPI28" s="1688"/>
      <c r="EPJ28" s="1688"/>
      <c r="EPK28" s="1688"/>
      <c r="EPL28" s="1688"/>
      <c r="EPM28" s="1688"/>
      <c r="EPN28" s="1688"/>
      <c r="EPO28" s="1688"/>
      <c r="EPP28" s="1688"/>
      <c r="EPQ28" s="1688"/>
      <c r="EPR28" s="1688"/>
      <c r="EPS28" s="1688"/>
      <c r="EPT28" s="1688"/>
      <c r="EPU28" s="1688"/>
      <c r="EPV28" s="1688"/>
      <c r="EPW28" s="1688"/>
      <c r="EPX28" s="1688"/>
      <c r="EPY28" s="1688"/>
      <c r="EPZ28" s="1688"/>
      <c r="EQA28" s="1688"/>
      <c r="EQB28" s="1688"/>
      <c r="EQC28" s="1688"/>
      <c r="EQD28" s="1688"/>
      <c r="EQE28" s="1688"/>
      <c r="EQF28" s="1688"/>
      <c r="EQG28" s="1688"/>
      <c r="EQH28" s="1688"/>
      <c r="EQI28" s="1688"/>
      <c r="EQJ28" s="1688"/>
      <c r="EQK28" s="1688"/>
      <c r="EQL28" s="1688"/>
      <c r="EQM28" s="1688"/>
      <c r="EQN28" s="1688"/>
      <c r="EQO28" s="1688"/>
      <c r="EQP28" s="1688"/>
      <c r="EQQ28" s="1688"/>
      <c r="EQR28" s="1688"/>
      <c r="EQS28" s="1688"/>
      <c r="EQT28" s="1688"/>
      <c r="EQU28" s="1688"/>
      <c r="EQV28" s="1688"/>
      <c r="EQW28" s="1688"/>
      <c r="EQX28" s="1688"/>
      <c r="EQY28" s="1688"/>
      <c r="EQZ28" s="1688"/>
      <c r="ERA28" s="1688"/>
      <c r="ERB28" s="1688"/>
      <c r="ERC28" s="1688"/>
      <c r="ERD28" s="1688"/>
      <c r="ERE28" s="1688"/>
      <c r="ERF28" s="1688"/>
      <c r="ERG28" s="1688"/>
      <c r="ERH28" s="1688"/>
      <c r="ERI28" s="1688"/>
      <c r="ERJ28" s="1688"/>
      <c r="ERK28" s="1688"/>
      <c r="ERL28" s="1688"/>
      <c r="ERM28" s="1688"/>
      <c r="ERN28" s="1688"/>
      <c r="ERO28" s="1688"/>
      <c r="ERP28" s="1688"/>
      <c r="ERQ28" s="1688"/>
      <c r="ERR28" s="1688"/>
      <c r="ERS28" s="1688"/>
      <c r="ERT28" s="1688"/>
      <c r="ERU28" s="1688"/>
      <c r="ERV28" s="1688"/>
      <c r="ERW28" s="1688"/>
      <c r="ERX28" s="1688"/>
      <c r="ERY28" s="1688"/>
      <c r="ERZ28" s="1688"/>
      <c r="ESA28" s="1688"/>
      <c r="ESB28" s="1688"/>
      <c r="ESC28" s="1688"/>
      <c r="ESD28" s="1688"/>
      <c r="ESE28" s="1688"/>
      <c r="ESF28" s="1688"/>
      <c r="ESG28" s="1688"/>
      <c r="ESH28" s="1688"/>
      <c r="ESI28" s="1688"/>
      <c r="ESJ28" s="1688"/>
      <c r="ESK28" s="1688"/>
      <c r="ESL28" s="1688"/>
      <c r="ESM28" s="1688"/>
      <c r="ESN28" s="1688"/>
      <c r="ESO28" s="1688"/>
      <c r="ESP28" s="1688"/>
      <c r="ESQ28" s="1688"/>
      <c r="ESR28" s="1688"/>
      <c r="ESS28" s="1688"/>
      <c r="EST28" s="1688"/>
      <c r="ESU28" s="1688"/>
      <c r="ESV28" s="1688"/>
      <c r="ESW28" s="1688"/>
      <c r="ESX28" s="1688"/>
      <c r="ESY28" s="1688"/>
      <c r="ESZ28" s="1688"/>
      <c r="ETA28" s="1688"/>
      <c r="ETB28" s="1688"/>
      <c r="ETC28" s="1688"/>
      <c r="ETD28" s="1688"/>
      <c r="ETE28" s="1688"/>
      <c r="ETF28" s="1688"/>
      <c r="ETG28" s="1688"/>
      <c r="ETH28" s="1688"/>
      <c r="ETI28" s="1688"/>
      <c r="ETJ28" s="1688"/>
      <c r="ETK28" s="1688"/>
      <c r="ETL28" s="1688"/>
      <c r="ETM28" s="1688"/>
      <c r="ETN28" s="1688"/>
      <c r="ETO28" s="1688"/>
      <c r="ETP28" s="1688"/>
      <c r="ETQ28" s="1688"/>
      <c r="ETR28" s="1688"/>
      <c r="ETS28" s="1688"/>
      <c r="ETT28" s="1688"/>
      <c r="ETU28" s="1688"/>
      <c r="ETV28" s="1688"/>
      <c r="ETW28" s="1688"/>
      <c r="ETX28" s="1688"/>
      <c r="ETY28" s="1688"/>
      <c r="ETZ28" s="1688"/>
      <c r="EUA28" s="1688"/>
      <c r="EUB28" s="1688"/>
      <c r="EUC28" s="1688"/>
      <c r="EUD28" s="1688"/>
      <c r="EUE28" s="1688"/>
      <c r="EUF28" s="1688"/>
      <c r="EUG28" s="1688"/>
      <c r="EUH28" s="1688"/>
      <c r="EUI28" s="1688"/>
      <c r="EUJ28" s="1688"/>
      <c r="EUK28" s="1688"/>
      <c r="EUL28" s="1688"/>
      <c r="EUM28" s="1688"/>
      <c r="EUN28" s="1688"/>
      <c r="EUO28" s="1688"/>
      <c r="EUP28" s="1688"/>
      <c r="EUQ28" s="1688"/>
      <c r="EUR28" s="1688"/>
      <c r="EUS28" s="1688"/>
      <c r="EUT28" s="1688"/>
      <c r="EUU28" s="1688"/>
      <c r="EUV28" s="1688"/>
      <c r="EUW28" s="1688"/>
      <c r="EUX28" s="1688"/>
      <c r="EUY28" s="1688"/>
      <c r="EUZ28" s="1688"/>
      <c r="EVA28" s="1688"/>
      <c r="EVB28" s="1688"/>
      <c r="EVC28" s="1688"/>
      <c r="EVD28" s="1688"/>
      <c r="EVE28" s="1688"/>
      <c r="EVF28" s="1688"/>
      <c r="EVG28" s="1688"/>
      <c r="EVH28" s="1688"/>
      <c r="EVI28" s="1688"/>
      <c r="EVJ28" s="1688"/>
      <c r="EVK28" s="1688"/>
      <c r="EVL28" s="1688"/>
      <c r="EVM28" s="1688"/>
      <c r="EVN28" s="1688"/>
      <c r="EVO28" s="1688"/>
      <c r="EVP28" s="1688"/>
      <c r="EVQ28" s="1688"/>
      <c r="EVR28" s="1688"/>
      <c r="EVS28" s="1688"/>
      <c r="EVT28" s="1688"/>
      <c r="EVU28" s="1688"/>
      <c r="EVV28" s="1688"/>
      <c r="EVW28" s="1688"/>
      <c r="EVX28" s="1688"/>
      <c r="EVY28" s="1688"/>
      <c r="EVZ28" s="1688"/>
      <c r="EWA28" s="1688"/>
      <c r="EWB28" s="1688"/>
      <c r="EWC28" s="1688"/>
      <c r="EWD28" s="1688"/>
      <c r="EWE28" s="1688"/>
      <c r="EWF28" s="1688"/>
      <c r="EWG28" s="1688"/>
      <c r="EWH28" s="1688"/>
      <c r="EWI28" s="1688"/>
      <c r="EWJ28" s="1688"/>
      <c r="EWK28" s="1688"/>
      <c r="EWL28" s="1688"/>
      <c r="EWM28" s="1688"/>
      <c r="EWN28" s="1688"/>
      <c r="EWO28" s="1688"/>
      <c r="EWP28" s="1688"/>
      <c r="EWQ28" s="1688"/>
      <c r="EWR28" s="1688"/>
      <c r="EWS28" s="1688"/>
      <c r="EWT28" s="1688"/>
      <c r="EWU28" s="1688"/>
      <c r="EWV28" s="1688"/>
      <c r="EWW28" s="1688"/>
      <c r="EWX28" s="1688"/>
      <c r="EWY28" s="1688"/>
      <c r="EWZ28" s="1688"/>
      <c r="EXA28" s="1688"/>
      <c r="EXB28" s="1688"/>
      <c r="EXC28" s="1688"/>
      <c r="EXD28" s="1688"/>
      <c r="EXE28" s="1688"/>
      <c r="EXF28" s="1688"/>
      <c r="EXG28" s="1688"/>
      <c r="EXH28" s="1688"/>
      <c r="EXI28" s="1688"/>
      <c r="EXJ28" s="1688"/>
      <c r="EXK28" s="1688"/>
      <c r="EXL28" s="1688"/>
      <c r="EXM28" s="1688"/>
      <c r="EXN28" s="1688"/>
      <c r="EXO28" s="1688"/>
      <c r="EXP28" s="1688"/>
      <c r="EXQ28" s="1688"/>
      <c r="EXR28" s="1688"/>
      <c r="EXS28" s="1688"/>
      <c r="EXT28" s="1688"/>
      <c r="EXU28" s="1688"/>
      <c r="EXV28" s="1688"/>
      <c r="EXW28" s="1688"/>
      <c r="EXX28" s="1688"/>
      <c r="EXY28" s="1688"/>
      <c r="EXZ28" s="1688"/>
      <c r="EYA28" s="1688"/>
      <c r="EYB28" s="1688"/>
      <c r="EYC28" s="1688"/>
      <c r="EYD28" s="1688"/>
      <c r="EYE28" s="1688"/>
      <c r="EYF28" s="1688"/>
      <c r="EYG28" s="1688"/>
      <c r="EYH28" s="1688"/>
      <c r="EYI28" s="1688"/>
      <c r="EYJ28" s="1688"/>
      <c r="EYK28" s="1688"/>
      <c r="EYL28" s="1688"/>
      <c r="EYM28" s="1688"/>
      <c r="EYN28" s="1688"/>
      <c r="EYO28" s="1688"/>
      <c r="EYP28" s="1688"/>
      <c r="EYQ28" s="1688"/>
      <c r="EYR28" s="1688"/>
      <c r="EYS28" s="1688"/>
      <c r="EYT28" s="1688"/>
      <c r="EYU28" s="1688"/>
      <c r="EYV28" s="1688"/>
      <c r="EYW28" s="1688"/>
      <c r="EYX28" s="1688"/>
      <c r="EYY28" s="1688"/>
      <c r="EYZ28" s="1688"/>
      <c r="EZA28" s="1688"/>
      <c r="EZB28" s="1688"/>
      <c r="EZC28" s="1688"/>
      <c r="EZD28" s="1688"/>
      <c r="EZE28" s="1688"/>
      <c r="EZF28" s="1688"/>
      <c r="EZG28" s="1688"/>
      <c r="EZH28" s="1688"/>
      <c r="EZI28" s="1688"/>
      <c r="EZJ28" s="1688"/>
      <c r="EZK28" s="1688"/>
      <c r="EZL28" s="1688"/>
      <c r="EZM28" s="1688"/>
      <c r="EZN28" s="1688"/>
      <c r="EZO28" s="1688"/>
      <c r="EZP28" s="1688"/>
      <c r="EZQ28" s="1688"/>
      <c r="EZR28" s="1688"/>
      <c r="EZS28" s="1688"/>
      <c r="EZT28" s="1688"/>
      <c r="EZU28" s="1688"/>
      <c r="EZV28" s="1688"/>
      <c r="EZW28" s="1688"/>
      <c r="EZX28" s="1688"/>
      <c r="EZY28" s="1688"/>
      <c r="EZZ28" s="1688"/>
      <c r="FAA28" s="1688"/>
      <c r="FAB28" s="1688"/>
      <c r="FAC28" s="1688"/>
      <c r="FAD28" s="1688"/>
      <c r="FAE28" s="1688"/>
      <c r="FAF28" s="1688"/>
      <c r="FAG28" s="1688"/>
      <c r="FAH28" s="1688"/>
      <c r="FAI28" s="1688"/>
      <c r="FAJ28" s="1688"/>
      <c r="FAK28" s="1688"/>
      <c r="FAL28" s="1688"/>
      <c r="FAM28" s="1688"/>
      <c r="FAN28" s="1688"/>
      <c r="FAO28" s="1688"/>
      <c r="FAP28" s="1688"/>
      <c r="FAQ28" s="1688"/>
      <c r="FAR28" s="1688"/>
      <c r="FAS28" s="1688"/>
      <c r="FAT28" s="1688"/>
      <c r="FAU28" s="1688"/>
      <c r="FAV28" s="1688"/>
      <c r="FAW28" s="1688"/>
      <c r="FAX28" s="1688"/>
      <c r="FAY28" s="1688"/>
      <c r="FAZ28" s="1688"/>
      <c r="FBA28" s="1688"/>
      <c r="FBB28" s="1688"/>
      <c r="FBC28" s="1688"/>
      <c r="FBD28" s="1688"/>
      <c r="FBE28" s="1688"/>
      <c r="FBF28" s="1688"/>
      <c r="FBG28" s="1688"/>
      <c r="FBH28" s="1688"/>
      <c r="FBI28" s="1688"/>
      <c r="FBJ28" s="1688"/>
      <c r="FBK28" s="1688"/>
      <c r="FBL28" s="1688"/>
      <c r="FBM28" s="1688"/>
      <c r="FBN28" s="1688"/>
      <c r="FBO28" s="1688"/>
      <c r="FBP28" s="1688"/>
      <c r="FBQ28" s="1688"/>
      <c r="FBR28" s="1688"/>
      <c r="FBS28" s="1688"/>
      <c r="FBT28" s="1688"/>
      <c r="FBU28" s="1688"/>
      <c r="FBV28" s="1688"/>
      <c r="FBW28" s="1688"/>
      <c r="FBX28" s="1688"/>
      <c r="FBY28" s="1688"/>
      <c r="FBZ28" s="1688"/>
      <c r="FCA28" s="1688"/>
      <c r="FCB28" s="1688"/>
      <c r="FCC28" s="1688"/>
      <c r="FCD28" s="1688"/>
      <c r="FCE28" s="1688"/>
      <c r="FCF28" s="1688"/>
      <c r="FCG28" s="1688"/>
      <c r="FCH28" s="1688"/>
      <c r="FCI28" s="1688"/>
      <c r="FCJ28" s="1688"/>
      <c r="FCK28" s="1688"/>
      <c r="FCL28" s="1688"/>
      <c r="FCM28" s="1688"/>
      <c r="FCN28" s="1688"/>
      <c r="FCO28" s="1688"/>
      <c r="FCP28" s="1688"/>
      <c r="FCQ28" s="1688"/>
      <c r="FCR28" s="1688"/>
      <c r="FCS28" s="1688"/>
      <c r="FCT28" s="1688"/>
      <c r="FCU28" s="1688"/>
      <c r="FCV28" s="1688"/>
      <c r="FCW28" s="1688"/>
      <c r="FCX28" s="1688"/>
      <c r="FCY28" s="1688"/>
      <c r="FCZ28" s="1688"/>
      <c r="FDA28" s="1688"/>
      <c r="FDB28" s="1688"/>
      <c r="FDC28" s="1688"/>
      <c r="FDD28" s="1688"/>
      <c r="FDE28" s="1688"/>
      <c r="FDF28" s="1688"/>
      <c r="FDG28" s="1688"/>
      <c r="FDH28" s="1688"/>
      <c r="FDI28" s="1688"/>
      <c r="FDJ28" s="1688"/>
      <c r="FDK28" s="1688"/>
      <c r="FDL28" s="1688"/>
      <c r="FDM28" s="1688"/>
      <c r="FDN28" s="1688"/>
      <c r="FDO28" s="1688"/>
      <c r="FDP28" s="1688"/>
      <c r="FDQ28" s="1688"/>
      <c r="FDR28" s="1688"/>
      <c r="FDS28" s="1688"/>
      <c r="FDT28" s="1688"/>
      <c r="FDU28" s="1688"/>
      <c r="FDV28" s="1688"/>
      <c r="FDW28" s="1688"/>
      <c r="FDX28" s="1688"/>
      <c r="FDY28" s="1688"/>
      <c r="FDZ28" s="1688"/>
      <c r="FEA28" s="1688"/>
      <c r="FEB28" s="1688"/>
      <c r="FEC28" s="1688"/>
      <c r="FED28" s="1688"/>
      <c r="FEE28" s="1688"/>
      <c r="FEF28" s="1688"/>
      <c r="FEG28" s="1688"/>
      <c r="FEH28" s="1688"/>
      <c r="FEI28" s="1688"/>
      <c r="FEJ28" s="1688"/>
      <c r="FEK28" s="1688"/>
      <c r="FEL28" s="1688"/>
      <c r="FEM28" s="1688"/>
      <c r="FEN28" s="1688"/>
      <c r="FEO28" s="1688"/>
      <c r="FEP28" s="1688"/>
      <c r="FEQ28" s="1688"/>
      <c r="FER28" s="1688"/>
      <c r="FES28" s="1688"/>
      <c r="FET28" s="1688"/>
      <c r="FEU28" s="1688"/>
      <c r="FEV28" s="1688"/>
      <c r="FEW28" s="1688"/>
      <c r="FEX28" s="1688"/>
      <c r="FEY28" s="1688"/>
      <c r="FEZ28" s="1688"/>
      <c r="FFA28" s="1688"/>
      <c r="FFB28" s="1688"/>
      <c r="FFC28" s="1688"/>
      <c r="FFD28" s="1688"/>
      <c r="FFE28" s="1688"/>
      <c r="FFF28" s="1688"/>
      <c r="FFG28" s="1688"/>
      <c r="FFH28" s="1688"/>
      <c r="FFI28" s="1688"/>
      <c r="FFJ28" s="1688"/>
      <c r="FFK28" s="1688"/>
      <c r="FFL28" s="1688"/>
      <c r="FFM28" s="1688"/>
      <c r="FFN28" s="1688"/>
      <c r="FFO28" s="1688"/>
      <c r="FFP28" s="1688"/>
      <c r="FFQ28" s="1688"/>
      <c r="FFR28" s="1688"/>
      <c r="FFS28" s="1688"/>
      <c r="FFT28" s="1688"/>
      <c r="FFU28" s="1688"/>
      <c r="FFV28" s="1688"/>
      <c r="FFW28" s="1688"/>
      <c r="FFX28" s="1688"/>
      <c r="FFY28" s="1688"/>
      <c r="FFZ28" s="1688"/>
      <c r="FGA28" s="1688"/>
      <c r="FGB28" s="1688"/>
      <c r="FGC28" s="1688"/>
      <c r="FGD28" s="1688"/>
      <c r="FGE28" s="1688"/>
      <c r="FGF28" s="1688"/>
      <c r="FGG28" s="1688"/>
      <c r="FGH28" s="1688"/>
      <c r="FGI28" s="1688"/>
      <c r="FGJ28" s="1688"/>
      <c r="FGK28" s="1688"/>
      <c r="FGL28" s="1688"/>
      <c r="FGM28" s="1688"/>
      <c r="FGN28" s="1688"/>
      <c r="FGO28" s="1688"/>
      <c r="FGP28" s="1688"/>
      <c r="FGQ28" s="1688"/>
      <c r="FGR28" s="1688"/>
      <c r="FGS28" s="1688"/>
      <c r="FGT28" s="1688"/>
      <c r="FGU28" s="1688"/>
      <c r="FGV28" s="1688"/>
      <c r="FGW28" s="1688"/>
      <c r="FGX28" s="1688"/>
      <c r="FGY28" s="1688"/>
      <c r="FGZ28" s="1688"/>
      <c r="FHA28" s="1688"/>
      <c r="FHB28" s="1688"/>
      <c r="FHC28" s="1688"/>
      <c r="FHD28" s="1688"/>
      <c r="FHE28" s="1688"/>
      <c r="FHF28" s="1688"/>
      <c r="FHG28" s="1688"/>
      <c r="FHH28" s="1688"/>
      <c r="FHI28" s="1688"/>
      <c r="FHJ28" s="1688"/>
      <c r="FHK28" s="1688"/>
      <c r="FHL28" s="1688"/>
      <c r="FHM28" s="1688"/>
      <c r="FHN28" s="1688"/>
      <c r="FHO28" s="1688"/>
      <c r="FHP28" s="1688"/>
      <c r="FHQ28" s="1688"/>
      <c r="FHR28" s="1688"/>
      <c r="FHS28" s="1688"/>
      <c r="FHT28" s="1688"/>
      <c r="FHU28" s="1688"/>
      <c r="FHV28" s="1688"/>
      <c r="FHW28" s="1688"/>
      <c r="FHX28" s="1688"/>
      <c r="FHY28" s="1688"/>
      <c r="FHZ28" s="1688"/>
      <c r="FIA28" s="1688"/>
      <c r="FIB28" s="1688"/>
      <c r="FIC28" s="1688"/>
      <c r="FID28" s="1688"/>
      <c r="FIE28" s="1688"/>
      <c r="FIF28" s="1688"/>
      <c r="FIG28" s="1688"/>
      <c r="FIH28" s="1688"/>
      <c r="FII28" s="1688"/>
      <c r="FIJ28" s="1688"/>
      <c r="FIK28" s="1688"/>
      <c r="FIL28" s="1688"/>
      <c r="FIM28" s="1688"/>
      <c r="FIN28" s="1688"/>
      <c r="FIO28" s="1688"/>
      <c r="FIP28" s="1688"/>
      <c r="FIQ28" s="1688"/>
      <c r="FIR28" s="1688"/>
      <c r="FIS28" s="1688"/>
      <c r="FIT28" s="1688"/>
      <c r="FIU28" s="1688"/>
      <c r="FIV28" s="1688"/>
      <c r="FIW28" s="1688"/>
      <c r="FIX28" s="1688"/>
      <c r="FIY28" s="1688"/>
      <c r="FIZ28" s="1688"/>
      <c r="FJA28" s="1688"/>
      <c r="FJB28" s="1688"/>
      <c r="FJC28" s="1688"/>
      <c r="FJD28" s="1688"/>
      <c r="FJE28" s="1688"/>
      <c r="FJF28" s="1688"/>
      <c r="FJG28" s="1688"/>
      <c r="FJH28" s="1688"/>
      <c r="FJI28" s="1688"/>
      <c r="FJJ28" s="1688"/>
      <c r="FJK28" s="1688"/>
      <c r="FJL28" s="1688"/>
      <c r="FJM28" s="1688"/>
      <c r="FJN28" s="1688"/>
      <c r="FJO28" s="1688"/>
      <c r="FJP28" s="1688"/>
      <c r="FJQ28" s="1688"/>
      <c r="FJR28" s="1688"/>
      <c r="FJS28" s="1688"/>
      <c r="FJT28" s="1688"/>
      <c r="FJU28" s="1688"/>
      <c r="FJV28" s="1688"/>
      <c r="FJW28" s="1688"/>
      <c r="FJX28" s="1688"/>
      <c r="FJY28" s="1688"/>
      <c r="FJZ28" s="1688"/>
      <c r="FKA28" s="1688"/>
      <c r="FKB28" s="1688"/>
      <c r="FKC28" s="1688"/>
      <c r="FKD28" s="1688"/>
      <c r="FKE28" s="1688"/>
      <c r="FKF28" s="1688"/>
      <c r="FKG28" s="1688"/>
      <c r="FKH28" s="1688"/>
      <c r="FKI28" s="1688"/>
      <c r="FKJ28" s="1688"/>
      <c r="FKK28" s="1688"/>
      <c r="FKL28" s="1688"/>
      <c r="FKM28" s="1688"/>
      <c r="FKN28" s="1688"/>
      <c r="FKO28" s="1688"/>
      <c r="FKP28" s="1688"/>
      <c r="FKQ28" s="1688"/>
      <c r="FKR28" s="1688"/>
      <c r="FKS28" s="1688"/>
      <c r="FKT28" s="1688"/>
      <c r="FKU28" s="1688"/>
      <c r="FKV28" s="1688"/>
      <c r="FKW28" s="1688"/>
      <c r="FKX28" s="1688"/>
      <c r="FKY28" s="1688"/>
      <c r="FKZ28" s="1688"/>
      <c r="FLA28" s="1688"/>
      <c r="FLB28" s="1688"/>
      <c r="FLC28" s="1688"/>
      <c r="FLD28" s="1688"/>
      <c r="FLE28" s="1688"/>
      <c r="FLF28" s="1688"/>
      <c r="FLG28" s="1688"/>
      <c r="FLH28" s="1688"/>
      <c r="FLI28" s="1688"/>
      <c r="FLJ28" s="1688"/>
      <c r="FLK28" s="1688"/>
      <c r="FLL28" s="1688"/>
      <c r="FLM28" s="1688"/>
      <c r="FLN28" s="1688"/>
      <c r="FLO28" s="1688"/>
      <c r="FLP28" s="1688"/>
      <c r="FLQ28" s="1688"/>
      <c r="FLR28" s="1688"/>
      <c r="FLS28" s="1688"/>
      <c r="FLT28" s="1688"/>
      <c r="FLU28" s="1688"/>
      <c r="FLV28" s="1688"/>
      <c r="FLW28" s="1688"/>
      <c r="FLX28" s="1688"/>
      <c r="FLY28" s="1688"/>
      <c r="FLZ28" s="1688"/>
      <c r="FMA28" s="1688"/>
      <c r="FMB28" s="1688"/>
      <c r="FMC28" s="1688"/>
      <c r="FMD28" s="1688"/>
      <c r="FME28" s="1688"/>
      <c r="FMF28" s="1688"/>
      <c r="FMG28" s="1688"/>
      <c r="FMH28" s="1688"/>
      <c r="FMI28" s="1688"/>
      <c r="FMJ28" s="1688"/>
      <c r="FMK28" s="1688"/>
      <c r="FML28" s="1688"/>
      <c r="FMM28" s="1688"/>
      <c r="FMN28" s="1688"/>
      <c r="FMO28" s="1688"/>
      <c r="FMP28" s="1688"/>
      <c r="FMQ28" s="1688"/>
      <c r="FMR28" s="1688"/>
      <c r="FMS28" s="1688"/>
      <c r="FMT28" s="1688"/>
      <c r="FMU28" s="1688"/>
      <c r="FMV28" s="1688"/>
      <c r="FMW28" s="1688"/>
      <c r="FMX28" s="1688"/>
      <c r="FMY28" s="1688"/>
      <c r="FMZ28" s="1688"/>
      <c r="FNA28" s="1688"/>
      <c r="FNB28" s="1688"/>
      <c r="FNC28" s="1688"/>
      <c r="FND28" s="1688"/>
      <c r="FNE28" s="1688"/>
      <c r="FNF28" s="1688"/>
      <c r="FNG28" s="1688"/>
      <c r="FNH28" s="1688"/>
      <c r="FNI28" s="1688"/>
      <c r="FNJ28" s="1688"/>
      <c r="FNK28" s="1688"/>
      <c r="FNL28" s="1688"/>
      <c r="FNM28" s="1688"/>
      <c r="FNN28" s="1688"/>
      <c r="FNO28" s="1688"/>
      <c r="FNP28" s="1688"/>
      <c r="FNQ28" s="1688"/>
      <c r="FNR28" s="1688"/>
      <c r="FNS28" s="1688"/>
      <c r="FNT28" s="1688"/>
      <c r="FNU28" s="1688"/>
      <c r="FNV28" s="1688"/>
      <c r="FNW28" s="1688"/>
      <c r="FNX28" s="1688"/>
      <c r="FNY28" s="1688"/>
      <c r="FNZ28" s="1688"/>
      <c r="FOA28" s="1688"/>
      <c r="FOB28" s="1688"/>
      <c r="FOC28" s="1688"/>
      <c r="FOD28" s="1688"/>
      <c r="FOE28" s="1688"/>
      <c r="FOF28" s="1688"/>
      <c r="FOG28" s="1688"/>
      <c r="FOH28" s="1688"/>
      <c r="FOI28" s="1688"/>
      <c r="FOJ28" s="1688"/>
      <c r="FOK28" s="1688"/>
      <c r="FOL28" s="1688"/>
      <c r="FOM28" s="1688"/>
      <c r="FON28" s="1688"/>
      <c r="FOO28" s="1688"/>
      <c r="FOP28" s="1688"/>
      <c r="FOQ28" s="1688"/>
      <c r="FOR28" s="1688"/>
      <c r="FOS28" s="1688"/>
      <c r="FOT28" s="1688"/>
      <c r="FOU28" s="1688"/>
      <c r="FOV28" s="1688"/>
      <c r="FOW28" s="1688"/>
      <c r="FOX28" s="1688"/>
      <c r="FOY28" s="1688"/>
      <c r="FOZ28" s="1688"/>
      <c r="FPA28" s="1688"/>
      <c r="FPB28" s="1688"/>
      <c r="FPC28" s="1688"/>
      <c r="FPD28" s="1688"/>
      <c r="FPE28" s="1688"/>
      <c r="FPF28" s="1688"/>
      <c r="FPG28" s="1688"/>
      <c r="FPH28" s="1688"/>
      <c r="FPI28" s="1688"/>
      <c r="FPJ28" s="1688"/>
      <c r="FPK28" s="1688"/>
      <c r="FPL28" s="1688"/>
      <c r="FPM28" s="1688"/>
      <c r="FPN28" s="1688"/>
      <c r="FPO28" s="1688"/>
      <c r="FPP28" s="1688"/>
      <c r="FPQ28" s="1688"/>
      <c r="FPR28" s="1688"/>
      <c r="FPS28" s="1688"/>
      <c r="FPT28" s="1688"/>
      <c r="FPU28" s="1688"/>
      <c r="FPV28" s="1688"/>
      <c r="FPW28" s="1688"/>
      <c r="FPX28" s="1688"/>
      <c r="FPY28" s="1688"/>
      <c r="FPZ28" s="1688"/>
      <c r="FQA28" s="1688"/>
      <c r="FQB28" s="1688"/>
      <c r="FQC28" s="1688"/>
      <c r="FQD28" s="1688"/>
      <c r="FQE28" s="1688"/>
      <c r="FQF28" s="1688"/>
      <c r="FQG28" s="1688"/>
      <c r="FQH28" s="1688"/>
      <c r="FQI28" s="1688"/>
      <c r="FQJ28" s="1688"/>
      <c r="FQK28" s="1688"/>
      <c r="FQL28" s="1688"/>
      <c r="FQM28" s="1688"/>
      <c r="FQN28" s="1688"/>
      <c r="FQO28" s="1688"/>
      <c r="FQP28" s="1688"/>
      <c r="FQQ28" s="1688"/>
      <c r="FQR28" s="1688"/>
      <c r="FQS28" s="1688"/>
      <c r="FQT28" s="1688"/>
      <c r="FQU28" s="1688"/>
      <c r="FQV28" s="1688"/>
      <c r="FQW28" s="1688"/>
      <c r="FQX28" s="1688"/>
      <c r="FQY28" s="1688"/>
      <c r="FQZ28" s="1688"/>
      <c r="FRA28" s="1688"/>
      <c r="FRB28" s="1688"/>
      <c r="FRC28" s="1688"/>
      <c r="FRD28" s="1688"/>
      <c r="FRE28" s="1688"/>
      <c r="FRF28" s="1688"/>
      <c r="FRG28" s="1688"/>
      <c r="FRH28" s="1688"/>
      <c r="FRI28" s="1688"/>
      <c r="FRJ28" s="1688"/>
      <c r="FRK28" s="1688"/>
      <c r="FRL28" s="1688"/>
      <c r="FRM28" s="1688"/>
      <c r="FRN28" s="1688"/>
      <c r="FRO28" s="1688"/>
      <c r="FRP28" s="1688"/>
      <c r="FRQ28" s="1688"/>
      <c r="FRR28" s="1688"/>
      <c r="FRS28" s="1688"/>
      <c r="FRT28" s="1688"/>
      <c r="FRU28" s="1688"/>
      <c r="FRV28" s="1688"/>
      <c r="FRW28" s="1688"/>
      <c r="FRX28" s="1688"/>
      <c r="FRY28" s="1688"/>
      <c r="FRZ28" s="1688"/>
      <c r="FSA28" s="1688"/>
      <c r="FSB28" s="1688"/>
      <c r="FSC28" s="1688"/>
      <c r="FSD28" s="1688"/>
      <c r="FSE28" s="1688"/>
      <c r="FSF28" s="1688"/>
      <c r="FSG28" s="1688"/>
      <c r="FSH28" s="1688"/>
      <c r="FSI28" s="1688"/>
      <c r="FSJ28" s="1688"/>
      <c r="FSK28" s="1688"/>
      <c r="FSL28" s="1688"/>
      <c r="FSM28" s="1688"/>
      <c r="FSN28" s="1688"/>
      <c r="FSO28" s="1688"/>
      <c r="FSP28" s="1688"/>
      <c r="FSQ28" s="1688"/>
      <c r="FSR28" s="1688"/>
      <c r="FSS28" s="1688"/>
      <c r="FST28" s="1688"/>
      <c r="FSU28" s="1688"/>
      <c r="FSV28" s="1688"/>
      <c r="FSW28" s="1688"/>
      <c r="FSX28" s="1688"/>
      <c r="FSY28" s="1688"/>
      <c r="FSZ28" s="1688"/>
      <c r="FTA28" s="1688"/>
      <c r="FTB28" s="1688"/>
      <c r="FTC28" s="1688"/>
      <c r="FTD28" s="1688"/>
      <c r="FTE28" s="1688"/>
      <c r="FTF28" s="1688"/>
      <c r="FTG28" s="1688"/>
      <c r="FTH28" s="1688"/>
      <c r="FTI28" s="1688"/>
      <c r="FTJ28" s="1688"/>
      <c r="FTK28" s="1688"/>
      <c r="FTL28" s="1688"/>
      <c r="FTM28" s="1688"/>
      <c r="FTN28" s="1688"/>
      <c r="FTO28" s="1688"/>
      <c r="FTP28" s="1688"/>
      <c r="FTQ28" s="1688"/>
      <c r="FTR28" s="1688"/>
      <c r="FTS28" s="1688"/>
      <c r="FTT28" s="1688"/>
      <c r="FTU28" s="1688"/>
      <c r="FTV28" s="1688"/>
      <c r="FTW28" s="1688"/>
      <c r="FTX28" s="1688"/>
      <c r="FTY28" s="1688"/>
      <c r="FTZ28" s="1688"/>
      <c r="FUA28" s="1688"/>
      <c r="FUB28" s="1688"/>
      <c r="FUC28" s="1688"/>
      <c r="FUD28" s="1688"/>
      <c r="FUE28" s="1688"/>
      <c r="FUF28" s="1688"/>
      <c r="FUG28" s="1688"/>
      <c r="FUH28" s="1688"/>
      <c r="FUI28" s="1688"/>
      <c r="FUJ28" s="1688"/>
      <c r="FUK28" s="1688"/>
      <c r="FUL28" s="1688"/>
      <c r="FUM28" s="1688"/>
      <c r="FUN28" s="1688"/>
      <c r="FUO28" s="1688"/>
      <c r="FUP28" s="1688"/>
      <c r="FUQ28" s="1688"/>
      <c r="FUR28" s="1688"/>
      <c r="FUS28" s="1688"/>
      <c r="FUT28" s="1688"/>
      <c r="FUU28" s="1688"/>
      <c r="FUV28" s="1688"/>
      <c r="FUW28" s="1688"/>
      <c r="FUX28" s="1688"/>
      <c r="FUY28" s="1688"/>
      <c r="FUZ28" s="1688"/>
      <c r="FVA28" s="1688"/>
      <c r="FVB28" s="1688"/>
      <c r="FVC28" s="1688"/>
      <c r="FVD28" s="1688"/>
      <c r="FVE28" s="1688"/>
      <c r="FVF28" s="1688"/>
      <c r="FVG28" s="1688"/>
      <c r="FVH28" s="1688"/>
      <c r="FVI28" s="1688"/>
      <c r="FVJ28" s="1688"/>
      <c r="FVK28" s="1688"/>
      <c r="FVL28" s="1688"/>
      <c r="FVM28" s="1688"/>
      <c r="FVN28" s="1688"/>
      <c r="FVO28" s="1688"/>
      <c r="FVP28" s="1688"/>
      <c r="FVQ28" s="1688"/>
      <c r="FVR28" s="1688"/>
      <c r="FVS28" s="1688"/>
      <c r="FVT28" s="1688"/>
      <c r="FVU28" s="1688"/>
      <c r="FVV28" s="1688"/>
      <c r="FVW28" s="1688"/>
      <c r="FVX28" s="1688"/>
      <c r="FVY28" s="1688"/>
      <c r="FVZ28" s="1688"/>
      <c r="FWA28" s="1688"/>
      <c r="FWB28" s="1688"/>
      <c r="FWC28" s="1688"/>
      <c r="FWD28" s="1688"/>
      <c r="FWE28" s="1688"/>
      <c r="FWF28" s="1688"/>
      <c r="FWG28" s="1688"/>
      <c r="FWH28" s="1688"/>
      <c r="FWI28" s="1688"/>
      <c r="FWJ28" s="1688"/>
      <c r="FWK28" s="1688"/>
      <c r="FWL28" s="1688"/>
      <c r="FWM28" s="1688"/>
      <c r="FWN28" s="1688"/>
      <c r="FWO28" s="1688"/>
      <c r="FWP28" s="1688"/>
      <c r="FWQ28" s="1688"/>
      <c r="FWR28" s="1688"/>
      <c r="FWS28" s="1688"/>
      <c r="FWT28" s="1688"/>
      <c r="FWU28" s="1688"/>
      <c r="FWV28" s="1688"/>
      <c r="FWW28" s="1688"/>
      <c r="FWX28" s="1688"/>
      <c r="FWY28" s="1688"/>
      <c r="FWZ28" s="1688"/>
      <c r="FXA28" s="1688"/>
      <c r="FXB28" s="1688"/>
      <c r="FXC28" s="1688"/>
      <c r="FXD28" s="1688"/>
      <c r="FXE28" s="1688"/>
      <c r="FXF28" s="1688"/>
      <c r="FXG28" s="1688"/>
      <c r="FXH28" s="1688"/>
      <c r="FXI28" s="1688"/>
      <c r="FXJ28" s="1688"/>
      <c r="FXK28" s="1688"/>
      <c r="FXL28" s="1688"/>
      <c r="FXM28" s="1688"/>
      <c r="FXN28" s="1688"/>
      <c r="FXO28" s="1688"/>
      <c r="FXP28" s="1688"/>
      <c r="FXQ28" s="1688"/>
      <c r="FXR28" s="1688"/>
      <c r="FXS28" s="1688"/>
      <c r="FXT28" s="1688"/>
      <c r="FXU28" s="1688"/>
      <c r="FXV28" s="1688"/>
      <c r="FXW28" s="1688"/>
      <c r="FXX28" s="1688"/>
      <c r="FXY28" s="1688"/>
      <c r="FXZ28" s="1688"/>
      <c r="FYA28" s="1688"/>
      <c r="FYB28" s="1688"/>
      <c r="FYC28" s="1688"/>
      <c r="FYD28" s="1688"/>
      <c r="FYE28" s="1688"/>
      <c r="FYF28" s="1688"/>
      <c r="FYG28" s="1688"/>
      <c r="FYH28" s="1688"/>
      <c r="FYI28" s="1688"/>
      <c r="FYJ28" s="1688"/>
      <c r="FYK28" s="1688"/>
      <c r="FYL28" s="1688"/>
      <c r="FYM28" s="1688"/>
      <c r="FYN28" s="1688"/>
      <c r="FYO28" s="1688"/>
      <c r="FYP28" s="1688"/>
      <c r="FYQ28" s="1688"/>
      <c r="FYR28" s="1688"/>
      <c r="FYS28" s="1688"/>
      <c r="FYT28" s="1688"/>
      <c r="FYU28" s="1688"/>
      <c r="FYV28" s="1688"/>
      <c r="FYW28" s="1688"/>
      <c r="FYX28" s="1688"/>
      <c r="FYY28" s="1688"/>
      <c r="FYZ28" s="1688"/>
      <c r="FZA28" s="1688"/>
      <c r="FZB28" s="1688"/>
      <c r="FZC28" s="1688"/>
      <c r="FZD28" s="1688"/>
      <c r="FZE28" s="1688"/>
      <c r="FZF28" s="1688"/>
      <c r="FZG28" s="1688"/>
      <c r="FZH28" s="1688"/>
      <c r="FZI28" s="1688"/>
      <c r="FZJ28" s="1688"/>
      <c r="FZK28" s="1688"/>
      <c r="FZL28" s="1688"/>
      <c r="FZM28" s="1688"/>
      <c r="FZN28" s="1688"/>
      <c r="FZO28" s="1688"/>
      <c r="FZP28" s="1688"/>
      <c r="FZQ28" s="1688"/>
      <c r="FZR28" s="1688"/>
      <c r="FZS28" s="1688"/>
      <c r="FZT28" s="1688"/>
      <c r="FZU28" s="1688"/>
      <c r="FZV28" s="1688"/>
      <c r="FZW28" s="1688"/>
      <c r="FZX28" s="1688"/>
      <c r="FZY28" s="1688"/>
      <c r="FZZ28" s="1688"/>
      <c r="GAA28" s="1688"/>
      <c r="GAB28" s="1688"/>
      <c r="GAC28" s="1688"/>
      <c r="GAD28" s="1688"/>
      <c r="GAE28" s="1688"/>
      <c r="GAF28" s="1688"/>
      <c r="GAG28" s="1688"/>
      <c r="GAH28" s="1688"/>
      <c r="GAI28" s="1688"/>
      <c r="GAJ28" s="1688"/>
      <c r="GAK28" s="1688"/>
      <c r="GAL28" s="1688"/>
      <c r="GAM28" s="1688"/>
      <c r="GAN28" s="1688"/>
      <c r="GAO28" s="1688"/>
      <c r="GAP28" s="1688"/>
      <c r="GAQ28" s="1688"/>
      <c r="GAR28" s="1688"/>
      <c r="GAS28" s="1688"/>
      <c r="GAT28" s="1688"/>
      <c r="GAU28" s="1688"/>
      <c r="GAV28" s="1688"/>
      <c r="GAW28" s="1688"/>
      <c r="GAX28" s="1688"/>
      <c r="GAY28" s="1688"/>
      <c r="GAZ28" s="1688"/>
      <c r="GBA28" s="1688"/>
      <c r="GBB28" s="1688"/>
      <c r="GBC28" s="1688"/>
      <c r="GBD28" s="1688"/>
      <c r="GBE28" s="1688"/>
      <c r="GBF28" s="1688"/>
      <c r="GBG28" s="1688"/>
      <c r="GBH28" s="1688"/>
      <c r="GBI28" s="1688"/>
      <c r="GBJ28" s="1688"/>
      <c r="GBK28" s="1688"/>
      <c r="GBL28" s="1688"/>
      <c r="GBM28" s="1688"/>
      <c r="GBN28" s="1688"/>
      <c r="GBO28" s="1688"/>
      <c r="GBP28" s="1688"/>
      <c r="GBQ28" s="1688"/>
      <c r="GBR28" s="1688"/>
      <c r="GBS28" s="1688"/>
      <c r="GBT28" s="1688"/>
      <c r="GBU28" s="1688"/>
      <c r="GBV28" s="1688"/>
      <c r="GBW28" s="1688"/>
      <c r="GBX28" s="1688"/>
      <c r="GBY28" s="1688"/>
      <c r="GBZ28" s="1688"/>
      <c r="GCA28" s="1688"/>
      <c r="GCB28" s="1688"/>
      <c r="GCC28" s="1688"/>
      <c r="GCD28" s="1688"/>
      <c r="GCE28" s="1688"/>
      <c r="GCF28" s="1688"/>
      <c r="GCG28" s="1688"/>
      <c r="GCH28" s="1688"/>
      <c r="GCI28" s="1688"/>
      <c r="GCJ28" s="1688"/>
      <c r="GCK28" s="1688"/>
      <c r="GCL28" s="1688"/>
      <c r="GCM28" s="1688"/>
      <c r="GCN28" s="1688"/>
      <c r="GCO28" s="1688"/>
      <c r="GCP28" s="1688"/>
      <c r="GCQ28" s="1688"/>
      <c r="GCR28" s="1688"/>
      <c r="GCS28" s="1688"/>
      <c r="GCT28" s="1688"/>
      <c r="GCU28" s="1688"/>
      <c r="GCV28" s="1688"/>
      <c r="GCW28" s="1688"/>
      <c r="GCX28" s="1688"/>
      <c r="GCY28" s="1688"/>
      <c r="GCZ28" s="1688"/>
      <c r="GDA28" s="1688"/>
      <c r="GDB28" s="1688"/>
      <c r="GDC28" s="1688"/>
      <c r="GDD28" s="1688"/>
      <c r="GDE28" s="1688"/>
      <c r="GDF28" s="1688"/>
      <c r="GDG28" s="1688"/>
      <c r="GDH28" s="1688"/>
      <c r="GDI28" s="1688"/>
      <c r="GDJ28" s="1688"/>
      <c r="GDK28" s="1688"/>
      <c r="GDL28" s="1688"/>
      <c r="GDM28" s="1688"/>
      <c r="GDN28" s="1688"/>
      <c r="GDO28" s="1688"/>
      <c r="GDP28" s="1688"/>
      <c r="GDQ28" s="1688"/>
      <c r="GDR28" s="1688"/>
      <c r="GDS28" s="1688"/>
      <c r="GDT28" s="1688"/>
      <c r="GDU28" s="1688"/>
      <c r="GDV28" s="1688"/>
      <c r="GDW28" s="1688"/>
      <c r="GDX28" s="1688"/>
      <c r="GDY28" s="1688"/>
      <c r="GDZ28" s="1688"/>
      <c r="GEA28" s="1688"/>
      <c r="GEB28" s="1688"/>
      <c r="GEC28" s="1688"/>
      <c r="GED28" s="1688"/>
      <c r="GEE28" s="1688"/>
      <c r="GEF28" s="1688"/>
      <c r="GEG28" s="1688"/>
      <c r="GEH28" s="1688"/>
      <c r="GEI28" s="1688"/>
      <c r="GEJ28" s="1688"/>
      <c r="GEK28" s="1688"/>
      <c r="GEL28" s="1688"/>
      <c r="GEM28" s="1688"/>
      <c r="GEN28" s="1688"/>
      <c r="GEO28" s="1688"/>
      <c r="GEP28" s="1688"/>
      <c r="GEQ28" s="1688"/>
      <c r="GER28" s="1688"/>
      <c r="GES28" s="1688"/>
      <c r="GET28" s="1688"/>
      <c r="GEU28" s="1688"/>
      <c r="GEV28" s="1688"/>
      <c r="GEW28" s="1688"/>
      <c r="GEX28" s="1688"/>
      <c r="GEY28" s="1688"/>
      <c r="GEZ28" s="1688"/>
      <c r="GFA28" s="1688"/>
      <c r="GFB28" s="1688"/>
      <c r="GFC28" s="1688"/>
      <c r="GFD28" s="1688"/>
      <c r="GFE28" s="1688"/>
      <c r="GFF28" s="1688"/>
      <c r="GFG28" s="1688"/>
      <c r="GFH28" s="1688"/>
      <c r="GFI28" s="1688"/>
      <c r="GFJ28" s="1688"/>
      <c r="GFK28" s="1688"/>
      <c r="GFL28" s="1688"/>
      <c r="GFM28" s="1688"/>
      <c r="GFN28" s="1688"/>
      <c r="GFO28" s="1688"/>
      <c r="GFP28" s="1688"/>
      <c r="GFQ28" s="1688"/>
      <c r="GFR28" s="1688"/>
      <c r="GFS28" s="1688"/>
      <c r="GFT28" s="1688"/>
      <c r="GFU28" s="1688"/>
      <c r="GFV28" s="1688"/>
      <c r="GFW28" s="1688"/>
      <c r="GFX28" s="1688"/>
      <c r="GFY28" s="1688"/>
      <c r="GFZ28" s="1688"/>
      <c r="GGA28" s="1688"/>
      <c r="GGB28" s="1688"/>
      <c r="GGC28" s="1688"/>
      <c r="GGD28" s="1688"/>
      <c r="GGE28" s="1688"/>
      <c r="GGF28" s="1688"/>
      <c r="GGG28" s="1688"/>
      <c r="GGH28" s="1688"/>
      <c r="GGI28" s="1688"/>
      <c r="GGJ28" s="1688"/>
      <c r="GGK28" s="1688"/>
      <c r="GGL28" s="1688"/>
      <c r="GGM28" s="1688"/>
      <c r="GGN28" s="1688"/>
      <c r="GGO28" s="1688"/>
      <c r="GGP28" s="1688"/>
      <c r="GGQ28" s="1688"/>
      <c r="GGR28" s="1688"/>
      <c r="GGS28" s="1688"/>
      <c r="GGT28" s="1688"/>
      <c r="GGU28" s="1688"/>
      <c r="GGV28" s="1688"/>
      <c r="GGW28" s="1688"/>
      <c r="GGX28" s="1688"/>
      <c r="GGY28" s="1688"/>
      <c r="GGZ28" s="1688"/>
      <c r="GHA28" s="1688"/>
      <c r="GHB28" s="1688"/>
      <c r="GHC28" s="1688"/>
      <c r="GHD28" s="1688"/>
      <c r="GHE28" s="1688"/>
      <c r="GHF28" s="1688"/>
      <c r="GHG28" s="1688"/>
      <c r="GHH28" s="1688"/>
      <c r="GHI28" s="1688"/>
      <c r="GHJ28" s="1688"/>
      <c r="GHK28" s="1688"/>
      <c r="GHL28" s="1688"/>
      <c r="GHM28" s="1688"/>
      <c r="GHN28" s="1688"/>
      <c r="GHO28" s="1688"/>
      <c r="GHP28" s="1688"/>
      <c r="GHQ28" s="1688"/>
      <c r="GHR28" s="1688"/>
      <c r="GHS28" s="1688"/>
      <c r="GHT28" s="1688"/>
      <c r="GHU28" s="1688"/>
      <c r="GHV28" s="1688"/>
      <c r="GHW28" s="1688"/>
      <c r="GHX28" s="1688"/>
      <c r="GHY28" s="1688"/>
      <c r="GHZ28" s="1688"/>
      <c r="GIA28" s="1688"/>
      <c r="GIB28" s="1688"/>
      <c r="GIC28" s="1688"/>
      <c r="GID28" s="1688"/>
      <c r="GIE28" s="1688"/>
      <c r="GIF28" s="1688"/>
      <c r="GIG28" s="1688"/>
      <c r="GIH28" s="1688"/>
      <c r="GII28" s="1688"/>
      <c r="GIJ28" s="1688"/>
      <c r="GIK28" s="1688"/>
      <c r="GIL28" s="1688"/>
      <c r="GIM28" s="1688"/>
      <c r="GIN28" s="1688"/>
      <c r="GIO28" s="1688"/>
      <c r="GIP28" s="1688"/>
      <c r="GIQ28" s="1688"/>
      <c r="GIR28" s="1688"/>
      <c r="GIS28" s="1688"/>
      <c r="GIT28" s="1688"/>
      <c r="GIU28" s="1688"/>
      <c r="GIV28" s="1688"/>
      <c r="GIW28" s="1688"/>
      <c r="GIX28" s="1688"/>
      <c r="GIY28" s="1688"/>
      <c r="GIZ28" s="1688"/>
      <c r="GJA28" s="1688"/>
      <c r="GJB28" s="1688"/>
      <c r="GJC28" s="1688"/>
      <c r="GJD28" s="1688"/>
      <c r="GJE28" s="1688"/>
      <c r="GJF28" s="1688"/>
      <c r="GJG28" s="1688"/>
      <c r="GJH28" s="1688"/>
      <c r="GJI28" s="1688"/>
      <c r="GJJ28" s="1688"/>
      <c r="GJK28" s="1688"/>
      <c r="GJL28" s="1688"/>
      <c r="GJM28" s="1688"/>
      <c r="GJN28" s="1688"/>
      <c r="GJO28" s="1688"/>
      <c r="GJP28" s="1688"/>
      <c r="GJQ28" s="1688"/>
      <c r="GJR28" s="1688"/>
      <c r="GJS28" s="1688"/>
      <c r="GJT28" s="1688"/>
      <c r="GJU28" s="1688"/>
      <c r="GJV28" s="1688"/>
      <c r="GJW28" s="1688"/>
      <c r="GJX28" s="1688"/>
      <c r="GJY28" s="1688"/>
      <c r="GJZ28" s="1688"/>
      <c r="GKA28" s="1688"/>
      <c r="GKB28" s="1688"/>
      <c r="GKC28" s="1688"/>
      <c r="GKD28" s="1688"/>
      <c r="GKE28" s="1688"/>
      <c r="GKF28" s="1688"/>
      <c r="GKG28" s="1688"/>
      <c r="GKH28" s="1688"/>
      <c r="GKI28" s="1688"/>
      <c r="GKJ28" s="1688"/>
      <c r="GKK28" s="1688"/>
      <c r="GKL28" s="1688"/>
      <c r="GKM28" s="1688"/>
      <c r="GKN28" s="1688"/>
      <c r="GKO28" s="1688"/>
      <c r="GKP28" s="1688"/>
      <c r="GKQ28" s="1688"/>
      <c r="GKR28" s="1688"/>
      <c r="GKS28" s="1688"/>
      <c r="GKT28" s="1688"/>
      <c r="GKU28" s="1688"/>
      <c r="GKV28" s="1688"/>
      <c r="GKW28" s="1688"/>
      <c r="GKX28" s="1688"/>
      <c r="GKY28" s="1688"/>
      <c r="GKZ28" s="1688"/>
      <c r="GLA28" s="1688"/>
      <c r="GLB28" s="1688"/>
      <c r="GLC28" s="1688"/>
      <c r="GLD28" s="1688"/>
      <c r="GLE28" s="1688"/>
      <c r="GLF28" s="1688"/>
      <c r="GLG28" s="1688"/>
      <c r="GLH28" s="1688"/>
      <c r="GLI28" s="1688"/>
      <c r="GLJ28" s="1688"/>
      <c r="GLK28" s="1688"/>
      <c r="GLL28" s="1688"/>
      <c r="GLM28" s="1688"/>
      <c r="GLN28" s="1688"/>
      <c r="GLO28" s="1688"/>
      <c r="GLP28" s="1688"/>
      <c r="GLQ28" s="1688"/>
      <c r="GLR28" s="1688"/>
      <c r="GLS28" s="1688"/>
      <c r="GLT28" s="1688"/>
      <c r="GLU28" s="1688"/>
      <c r="GLV28" s="1688"/>
      <c r="GLW28" s="1688"/>
      <c r="GLX28" s="1688"/>
      <c r="GLY28" s="1688"/>
      <c r="GLZ28" s="1688"/>
      <c r="GMA28" s="1688"/>
      <c r="GMB28" s="1688"/>
      <c r="GMC28" s="1688"/>
      <c r="GMD28" s="1688"/>
      <c r="GME28" s="1688"/>
      <c r="GMF28" s="1688"/>
      <c r="GMG28" s="1688"/>
      <c r="GMH28" s="1688"/>
      <c r="GMI28" s="1688"/>
      <c r="GMJ28" s="1688"/>
      <c r="GMK28" s="1688"/>
      <c r="GML28" s="1688"/>
      <c r="GMM28" s="1688"/>
      <c r="GMN28" s="1688"/>
      <c r="GMO28" s="1688"/>
      <c r="GMP28" s="1688"/>
      <c r="GMQ28" s="1688"/>
      <c r="GMR28" s="1688"/>
      <c r="GMS28" s="1688"/>
      <c r="GMT28" s="1688"/>
      <c r="GMU28" s="1688"/>
      <c r="GMV28" s="1688"/>
      <c r="GMW28" s="1688"/>
      <c r="GMX28" s="1688"/>
      <c r="GMY28" s="1688"/>
      <c r="GMZ28" s="1688"/>
      <c r="GNA28" s="1688"/>
      <c r="GNB28" s="1688"/>
      <c r="GNC28" s="1688"/>
      <c r="GND28" s="1688"/>
      <c r="GNE28" s="1688"/>
      <c r="GNF28" s="1688"/>
      <c r="GNG28" s="1688"/>
      <c r="GNH28" s="1688"/>
      <c r="GNI28" s="1688"/>
      <c r="GNJ28" s="1688"/>
      <c r="GNK28" s="1688"/>
      <c r="GNL28" s="1688"/>
      <c r="GNM28" s="1688"/>
      <c r="GNN28" s="1688"/>
      <c r="GNO28" s="1688"/>
      <c r="GNP28" s="1688"/>
      <c r="GNQ28" s="1688"/>
      <c r="GNR28" s="1688"/>
      <c r="GNS28" s="1688"/>
      <c r="GNT28" s="1688"/>
      <c r="GNU28" s="1688"/>
      <c r="GNV28" s="1688"/>
      <c r="GNW28" s="1688"/>
      <c r="GNX28" s="1688"/>
      <c r="GNY28" s="1688"/>
      <c r="GNZ28" s="1688"/>
      <c r="GOA28" s="1688"/>
      <c r="GOB28" s="1688"/>
      <c r="GOC28" s="1688"/>
      <c r="GOD28" s="1688"/>
      <c r="GOE28" s="1688"/>
      <c r="GOF28" s="1688"/>
      <c r="GOG28" s="1688"/>
      <c r="GOH28" s="1688"/>
      <c r="GOI28" s="1688"/>
      <c r="GOJ28" s="1688"/>
      <c r="GOK28" s="1688"/>
      <c r="GOL28" s="1688"/>
      <c r="GOM28" s="1688"/>
      <c r="GON28" s="1688"/>
      <c r="GOO28" s="1688"/>
      <c r="GOP28" s="1688"/>
      <c r="GOQ28" s="1688"/>
      <c r="GOR28" s="1688"/>
      <c r="GOS28" s="1688"/>
      <c r="GOT28" s="1688"/>
      <c r="GOU28" s="1688"/>
      <c r="GOV28" s="1688"/>
      <c r="GOW28" s="1688"/>
      <c r="GOX28" s="1688"/>
      <c r="GOY28" s="1688"/>
      <c r="GOZ28" s="1688"/>
      <c r="GPA28" s="1688"/>
      <c r="GPB28" s="1688"/>
      <c r="GPC28" s="1688"/>
      <c r="GPD28" s="1688"/>
      <c r="GPE28" s="1688"/>
      <c r="GPF28" s="1688"/>
      <c r="GPG28" s="1688"/>
      <c r="GPH28" s="1688"/>
      <c r="GPI28" s="1688"/>
      <c r="GPJ28" s="1688"/>
      <c r="GPK28" s="1688"/>
      <c r="GPL28" s="1688"/>
      <c r="GPM28" s="1688"/>
      <c r="GPN28" s="1688"/>
      <c r="GPO28" s="1688"/>
      <c r="GPP28" s="1688"/>
      <c r="GPQ28" s="1688"/>
      <c r="GPR28" s="1688"/>
      <c r="GPS28" s="1688"/>
      <c r="GPT28" s="1688"/>
      <c r="GPU28" s="1688"/>
      <c r="GPV28" s="1688"/>
      <c r="GPW28" s="1688"/>
      <c r="GPX28" s="1688"/>
      <c r="GPY28" s="1688"/>
      <c r="GPZ28" s="1688"/>
      <c r="GQA28" s="1688"/>
      <c r="GQB28" s="1688"/>
      <c r="GQC28" s="1688"/>
      <c r="GQD28" s="1688"/>
      <c r="GQE28" s="1688"/>
      <c r="GQF28" s="1688"/>
      <c r="GQG28" s="1688"/>
      <c r="GQH28" s="1688"/>
      <c r="GQI28" s="1688"/>
      <c r="GQJ28" s="1688"/>
      <c r="GQK28" s="1688"/>
      <c r="GQL28" s="1688"/>
      <c r="GQM28" s="1688"/>
      <c r="GQN28" s="1688"/>
      <c r="GQO28" s="1688"/>
      <c r="GQP28" s="1688"/>
      <c r="GQQ28" s="1688"/>
      <c r="GQR28" s="1688"/>
      <c r="GQS28" s="1688"/>
      <c r="GQT28" s="1688"/>
      <c r="GQU28" s="1688"/>
      <c r="GQV28" s="1688"/>
      <c r="GQW28" s="1688"/>
      <c r="GQX28" s="1688"/>
      <c r="GQY28" s="1688"/>
      <c r="GQZ28" s="1688"/>
      <c r="GRA28" s="1688"/>
      <c r="GRB28" s="1688"/>
      <c r="GRC28" s="1688"/>
      <c r="GRD28" s="1688"/>
      <c r="GRE28" s="1688"/>
      <c r="GRF28" s="1688"/>
      <c r="GRG28" s="1688"/>
      <c r="GRH28" s="1688"/>
      <c r="GRI28" s="1688"/>
      <c r="GRJ28" s="1688"/>
      <c r="GRK28" s="1688"/>
      <c r="GRL28" s="1688"/>
      <c r="GRM28" s="1688"/>
      <c r="GRN28" s="1688"/>
      <c r="GRO28" s="1688"/>
      <c r="GRP28" s="1688"/>
      <c r="GRQ28" s="1688"/>
      <c r="GRR28" s="1688"/>
      <c r="GRS28" s="1688"/>
      <c r="GRT28" s="1688"/>
      <c r="GRU28" s="1688"/>
      <c r="GRV28" s="1688"/>
      <c r="GRW28" s="1688"/>
      <c r="GRX28" s="1688"/>
      <c r="GRY28" s="1688"/>
      <c r="GRZ28" s="1688"/>
      <c r="GSA28" s="1688"/>
      <c r="GSB28" s="1688"/>
      <c r="GSC28" s="1688"/>
      <c r="GSD28" s="1688"/>
      <c r="GSE28" s="1688"/>
      <c r="GSF28" s="1688"/>
      <c r="GSG28" s="1688"/>
      <c r="GSH28" s="1688"/>
      <c r="GSI28" s="1688"/>
      <c r="GSJ28" s="1688"/>
      <c r="GSK28" s="1688"/>
      <c r="GSL28" s="1688"/>
      <c r="GSM28" s="1688"/>
      <c r="GSN28" s="1688"/>
      <c r="GSO28" s="1688"/>
      <c r="GSP28" s="1688"/>
      <c r="GSQ28" s="1688"/>
      <c r="GSR28" s="1688"/>
      <c r="GSS28" s="1688"/>
      <c r="GST28" s="1688"/>
      <c r="GSU28" s="1688"/>
      <c r="GSV28" s="1688"/>
      <c r="GSW28" s="1688"/>
      <c r="GSX28" s="1688"/>
      <c r="GSY28" s="1688"/>
      <c r="GSZ28" s="1688"/>
      <c r="GTA28" s="1688"/>
      <c r="GTB28" s="1688"/>
      <c r="GTC28" s="1688"/>
      <c r="GTD28" s="1688"/>
      <c r="GTE28" s="1688"/>
      <c r="GTF28" s="1688"/>
      <c r="GTG28" s="1688"/>
      <c r="GTH28" s="1688"/>
      <c r="GTI28" s="1688"/>
      <c r="GTJ28" s="1688"/>
      <c r="GTK28" s="1688"/>
      <c r="GTL28" s="1688"/>
      <c r="GTM28" s="1688"/>
      <c r="GTN28" s="1688"/>
      <c r="GTO28" s="1688"/>
      <c r="GTP28" s="1688"/>
      <c r="GTQ28" s="1688"/>
      <c r="GTR28" s="1688"/>
      <c r="GTS28" s="1688"/>
      <c r="GTT28" s="1688"/>
      <c r="GTU28" s="1688"/>
      <c r="GTV28" s="1688"/>
      <c r="GTW28" s="1688"/>
      <c r="GTX28" s="1688"/>
      <c r="GTY28" s="1688"/>
      <c r="GTZ28" s="1688"/>
      <c r="GUA28" s="1688"/>
      <c r="GUB28" s="1688"/>
      <c r="GUC28" s="1688"/>
      <c r="GUD28" s="1688"/>
      <c r="GUE28" s="1688"/>
      <c r="GUF28" s="1688"/>
      <c r="GUG28" s="1688"/>
      <c r="GUH28" s="1688"/>
      <c r="GUI28" s="1688"/>
      <c r="GUJ28" s="1688"/>
      <c r="GUK28" s="1688"/>
      <c r="GUL28" s="1688"/>
      <c r="GUM28" s="1688"/>
      <c r="GUN28" s="1688"/>
      <c r="GUO28" s="1688"/>
      <c r="GUP28" s="1688"/>
      <c r="GUQ28" s="1688"/>
      <c r="GUR28" s="1688"/>
      <c r="GUS28" s="1688"/>
      <c r="GUT28" s="1688"/>
      <c r="GUU28" s="1688"/>
      <c r="GUV28" s="1688"/>
      <c r="GUW28" s="1688"/>
      <c r="GUX28" s="1688"/>
      <c r="GUY28" s="1688"/>
      <c r="GUZ28" s="1688"/>
      <c r="GVA28" s="1688"/>
      <c r="GVB28" s="1688"/>
      <c r="GVC28" s="1688"/>
      <c r="GVD28" s="1688"/>
      <c r="GVE28" s="1688"/>
      <c r="GVF28" s="1688"/>
      <c r="GVG28" s="1688"/>
      <c r="GVH28" s="1688"/>
      <c r="GVI28" s="1688"/>
      <c r="GVJ28" s="1688"/>
      <c r="GVK28" s="1688"/>
      <c r="GVL28" s="1688"/>
      <c r="GVM28" s="1688"/>
      <c r="GVN28" s="1688"/>
      <c r="GVO28" s="1688"/>
      <c r="GVP28" s="1688"/>
      <c r="GVQ28" s="1688"/>
      <c r="GVR28" s="1688"/>
      <c r="GVS28" s="1688"/>
      <c r="GVT28" s="1688"/>
      <c r="GVU28" s="1688"/>
      <c r="GVV28" s="1688"/>
      <c r="GVW28" s="1688"/>
      <c r="GVX28" s="1688"/>
      <c r="GVY28" s="1688"/>
      <c r="GVZ28" s="1688"/>
      <c r="GWA28" s="1688"/>
      <c r="GWB28" s="1688"/>
      <c r="GWC28" s="1688"/>
      <c r="GWD28" s="1688"/>
      <c r="GWE28" s="1688"/>
      <c r="GWF28" s="1688"/>
      <c r="GWG28" s="1688"/>
      <c r="GWH28" s="1688"/>
      <c r="GWI28" s="1688"/>
      <c r="GWJ28" s="1688"/>
      <c r="GWK28" s="1688"/>
      <c r="GWL28" s="1688"/>
      <c r="GWM28" s="1688"/>
      <c r="GWN28" s="1688"/>
      <c r="GWO28" s="1688"/>
      <c r="GWP28" s="1688"/>
      <c r="GWQ28" s="1688"/>
      <c r="GWR28" s="1688"/>
      <c r="GWS28" s="1688"/>
      <c r="GWT28" s="1688"/>
      <c r="GWU28" s="1688"/>
      <c r="GWV28" s="1688"/>
      <c r="GWW28" s="1688"/>
      <c r="GWX28" s="1688"/>
      <c r="GWY28" s="1688"/>
      <c r="GWZ28" s="1688"/>
      <c r="GXA28" s="1688"/>
      <c r="GXB28" s="1688"/>
      <c r="GXC28" s="1688"/>
      <c r="GXD28" s="1688"/>
      <c r="GXE28" s="1688"/>
      <c r="GXF28" s="1688"/>
      <c r="GXG28" s="1688"/>
      <c r="GXH28" s="1688"/>
      <c r="GXI28" s="1688"/>
      <c r="GXJ28" s="1688"/>
      <c r="GXK28" s="1688"/>
      <c r="GXL28" s="1688"/>
      <c r="GXM28" s="1688"/>
      <c r="GXN28" s="1688"/>
      <c r="GXO28" s="1688"/>
      <c r="GXP28" s="1688"/>
      <c r="GXQ28" s="1688"/>
      <c r="GXR28" s="1688"/>
      <c r="GXS28" s="1688"/>
      <c r="GXT28" s="1688"/>
      <c r="GXU28" s="1688"/>
      <c r="GXV28" s="1688"/>
      <c r="GXW28" s="1688"/>
      <c r="GXX28" s="1688"/>
      <c r="GXY28" s="1688"/>
      <c r="GXZ28" s="1688"/>
      <c r="GYA28" s="1688"/>
      <c r="GYB28" s="1688"/>
      <c r="GYC28" s="1688"/>
      <c r="GYD28" s="1688"/>
      <c r="GYE28" s="1688"/>
      <c r="GYF28" s="1688"/>
      <c r="GYG28" s="1688"/>
      <c r="GYH28" s="1688"/>
      <c r="GYI28" s="1688"/>
      <c r="GYJ28" s="1688"/>
      <c r="GYK28" s="1688"/>
      <c r="GYL28" s="1688"/>
      <c r="GYM28" s="1688"/>
      <c r="GYN28" s="1688"/>
      <c r="GYO28" s="1688"/>
      <c r="GYP28" s="1688"/>
      <c r="GYQ28" s="1688"/>
      <c r="GYR28" s="1688"/>
      <c r="GYS28" s="1688"/>
      <c r="GYT28" s="1688"/>
      <c r="GYU28" s="1688"/>
      <c r="GYV28" s="1688"/>
      <c r="GYW28" s="1688"/>
      <c r="GYX28" s="1688"/>
      <c r="GYY28" s="1688"/>
      <c r="GYZ28" s="1688"/>
      <c r="GZA28" s="1688"/>
      <c r="GZB28" s="1688"/>
      <c r="GZC28" s="1688"/>
      <c r="GZD28" s="1688"/>
      <c r="GZE28" s="1688"/>
      <c r="GZF28" s="1688"/>
      <c r="GZG28" s="1688"/>
      <c r="GZH28" s="1688"/>
      <c r="GZI28" s="1688"/>
      <c r="GZJ28" s="1688"/>
      <c r="GZK28" s="1688"/>
      <c r="GZL28" s="1688"/>
      <c r="GZM28" s="1688"/>
      <c r="GZN28" s="1688"/>
      <c r="GZO28" s="1688"/>
      <c r="GZP28" s="1688"/>
      <c r="GZQ28" s="1688"/>
      <c r="GZR28" s="1688"/>
      <c r="GZS28" s="1688"/>
      <c r="GZT28" s="1688"/>
      <c r="GZU28" s="1688"/>
      <c r="GZV28" s="1688"/>
      <c r="GZW28" s="1688"/>
      <c r="GZX28" s="1688"/>
      <c r="GZY28" s="1688"/>
      <c r="GZZ28" s="1688"/>
      <c r="HAA28" s="1688"/>
      <c r="HAB28" s="1688"/>
      <c r="HAC28" s="1688"/>
      <c r="HAD28" s="1688"/>
      <c r="HAE28" s="1688"/>
      <c r="HAF28" s="1688"/>
      <c r="HAG28" s="1688"/>
      <c r="HAH28" s="1688"/>
      <c r="HAI28" s="1688"/>
      <c r="HAJ28" s="1688"/>
      <c r="HAK28" s="1688"/>
      <c r="HAL28" s="1688"/>
      <c r="HAM28" s="1688"/>
      <c r="HAN28" s="1688"/>
      <c r="HAO28" s="1688"/>
      <c r="HAP28" s="1688"/>
      <c r="HAQ28" s="1688"/>
      <c r="HAR28" s="1688"/>
      <c r="HAS28" s="1688"/>
      <c r="HAT28" s="1688"/>
      <c r="HAU28" s="1688"/>
      <c r="HAV28" s="1688"/>
      <c r="HAW28" s="1688"/>
      <c r="HAX28" s="1688"/>
      <c r="HAY28" s="1688"/>
      <c r="HAZ28" s="1688"/>
      <c r="HBA28" s="1688"/>
      <c r="HBB28" s="1688"/>
      <c r="HBC28" s="1688"/>
      <c r="HBD28" s="1688"/>
      <c r="HBE28" s="1688"/>
      <c r="HBF28" s="1688"/>
      <c r="HBG28" s="1688"/>
      <c r="HBH28" s="1688"/>
      <c r="HBI28" s="1688"/>
      <c r="HBJ28" s="1688"/>
      <c r="HBK28" s="1688"/>
      <c r="HBL28" s="1688"/>
      <c r="HBM28" s="1688"/>
      <c r="HBN28" s="1688"/>
      <c r="HBO28" s="1688"/>
      <c r="HBP28" s="1688"/>
      <c r="HBQ28" s="1688"/>
      <c r="HBR28" s="1688"/>
      <c r="HBS28" s="1688"/>
      <c r="HBT28" s="1688"/>
      <c r="HBU28" s="1688"/>
      <c r="HBV28" s="1688"/>
      <c r="HBW28" s="1688"/>
      <c r="HBX28" s="1688"/>
      <c r="HBY28" s="1688"/>
      <c r="HBZ28" s="1688"/>
      <c r="HCA28" s="1688"/>
      <c r="HCB28" s="1688"/>
      <c r="HCC28" s="1688"/>
      <c r="HCD28" s="1688"/>
      <c r="HCE28" s="1688"/>
      <c r="HCF28" s="1688"/>
      <c r="HCG28" s="1688"/>
      <c r="HCH28" s="1688"/>
      <c r="HCI28" s="1688"/>
      <c r="HCJ28" s="1688"/>
      <c r="HCK28" s="1688"/>
      <c r="HCL28" s="1688"/>
      <c r="HCM28" s="1688"/>
      <c r="HCN28" s="1688"/>
      <c r="HCO28" s="1688"/>
      <c r="HCP28" s="1688"/>
      <c r="HCQ28" s="1688"/>
      <c r="HCR28" s="1688"/>
      <c r="HCS28" s="1688"/>
      <c r="HCT28" s="1688"/>
      <c r="HCU28" s="1688"/>
      <c r="HCV28" s="1688"/>
      <c r="HCW28" s="1688"/>
      <c r="HCX28" s="1688"/>
      <c r="HCY28" s="1688"/>
      <c r="HCZ28" s="1688"/>
      <c r="HDA28" s="1688"/>
      <c r="HDB28" s="1688"/>
      <c r="HDC28" s="1688"/>
      <c r="HDD28" s="1688"/>
      <c r="HDE28" s="1688"/>
      <c r="HDF28" s="1688"/>
      <c r="HDG28" s="1688"/>
      <c r="HDH28" s="1688"/>
      <c r="HDI28" s="1688"/>
      <c r="HDJ28" s="1688"/>
      <c r="HDK28" s="1688"/>
      <c r="HDL28" s="1688"/>
      <c r="HDM28" s="1688"/>
      <c r="HDN28" s="1688"/>
      <c r="HDO28" s="1688"/>
      <c r="HDP28" s="1688"/>
      <c r="HDQ28" s="1688"/>
      <c r="HDR28" s="1688"/>
      <c r="HDS28" s="1688"/>
      <c r="HDT28" s="1688"/>
      <c r="HDU28" s="1688"/>
      <c r="HDV28" s="1688"/>
      <c r="HDW28" s="1688"/>
      <c r="HDX28" s="1688"/>
      <c r="HDY28" s="1688"/>
      <c r="HDZ28" s="1688"/>
      <c r="HEA28" s="1688"/>
      <c r="HEB28" s="1688"/>
      <c r="HEC28" s="1688"/>
      <c r="HED28" s="1688"/>
      <c r="HEE28" s="1688"/>
      <c r="HEF28" s="1688"/>
      <c r="HEG28" s="1688"/>
      <c r="HEH28" s="1688"/>
      <c r="HEI28" s="1688"/>
      <c r="HEJ28" s="1688"/>
      <c r="HEK28" s="1688"/>
      <c r="HEL28" s="1688"/>
      <c r="HEM28" s="1688"/>
      <c r="HEN28" s="1688"/>
      <c r="HEO28" s="1688"/>
      <c r="HEP28" s="1688"/>
      <c r="HEQ28" s="1688"/>
      <c r="HER28" s="1688"/>
      <c r="HES28" s="1688"/>
      <c r="HET28" s="1688"/>
      <c r="HEU28" s="1688"/>
      <c r="HEV28" s="1688"/>
      <c r="HEW28" s="1688"/>
      <c r="HEX28" s="1688"/>
      <c r="HEY28" s="1688"/>
      <c r="HEZ28" s="1688"/>
      <c r="HFA28" s="1688"/>
      <c r="HFB28" s="1688"/>
      <c r="HFC28" s="1688"/>
      <c r="HFD28" s="1688"/>
      <c r="HFE28" s="1688"/>
      <c r="HFF28" s="1688"/>
      <c r="HFG28" s="1688"/>
      <c r="HFH28" s="1688"/>
      <c r="HFI28" s="1688"/>
      <c r="HFJ28" s="1688"/>
      <c r="HFK28" s="1688"/>
      <c r="HFL28" s="1688"/>
      <c r="HFM28" s="1688"/>
      <c r="HFN28" s="1688"/>
      <c r="HFO28" s="1688"/>
      <c r="HFP28" s="1688"/>
      <c r="HFQ28" s="1688"/>
      <c r="HFR28" s="1688"/>
      <c r="HFS28" s="1688"/>
      <c r="HFT28" s="1688"/>
      <c r="HFU28" s="1688"/>
      <c r="HFV28" s="1688"/>
      <c r="HFW28" s="1688"/>
      <c r="HFX28" s="1688"/>
      <c r="HFY28" s="1688"/>
      <c r="HFZ28" s="1688"/>
      <c r="HGA28" s="1688"/>
      <c r="HGB28" s="1688"/>
      <c r="HGC28" s="1688"/>
      <c r="HGD28" s="1688"/>
      <c r="HGE28" s="1688"/>
      <c r="HGF28" s="1688"/>
      <c r="HGG28" s="1688"/>
      <c r="HGH28" s="1688"/>
      <c r="HGI28" s="1688"/>
      <c r="HGJ28" s="1688"/>
      <c r="HGK28" s="1688"/>
      <c r="HGL28" s="1688"/>
      <c r="HGM28" s="1688"/>
      <c r="HGN28" s="1688"/>
      <c r="HGO28" s="1688"/>
      <c r="HGP28" s="1688"/>
      <c r="HGQ28" s="1688"/>
      <c r="HGR28" s="1688"/>
      <c r="HGS28" s="1688"/>
      <c r="HGT28" s="1688"/>
      <c r="HGU28" s="1688"/>
      <c r="HGV28" s="1688"/>
      <c r="HGW28" s="1688"/>
      <c r="HGX28" s="1688"/>
      <c r="HGY28" s="1688"/>
      <c r="HGZ28" s="1688"/>
      <c r="HHA28" s="1688"/>
      <c r="HHB28" s="1688"/>
      <c r="HHC28" s="1688"/>
      <c r="HHD28" s="1688"/>
      <c r="HHE28" s="1688"/>
      <c r="HHF28" s="1688"/>
      <c r="HHG28" s="1688"/>
      <c r="HHH28" s="1688"/>
      <c r="HHI28" s="1688"/>
      <c r="HHJ28" s="1688"/>
      <c r="HHK28" s="1688"/>
      <c r="HHL28" s="1688"/>
      <c r="HHM28" s="1688"/>
      <c r="HHN28" s="1688"/>
      <c r="HHO28" s="1688"/>
      <c r="HHP28" s="1688"/>
      <c r="HHQ28" s="1688"/>
      <c r="HHR28" s="1688"/>
      <c r="HHS28" s="1688"/>
      <c r="HHT28" s="1688"/>
      <c r="HHU28" s="1688"/>
      <c r="HHV28" s="1688"/>
      <c r="HHW28" s="1688"/>
      <c r="HHX28" s="1688"/>
      <c r="HHY28" s="1688"/>
      <c r="HHZ28" s="1688"/>
      <c r="HIA28" s="1688"/>
      <c r="HIB28" s="1688"/>
      <c r="HIC28" s="1688"/>
      <c r="HID28" s="1688"/>
      <c r="HIE28" s="1688"/>
      <c r="HIF28" s="1688"/>
      <c r="HIG28" s="1688"/>
      <c r="HIH28" s="1688"/>
      <c r="HII28" s="1688"/>
      <c r="HIJ28" s="1688"/>
      <c r="HIK28" s="1688"/>
      <c r="HIL28" s="1688"/>
      <c r="HIM28" s="1688"/>
      <c r="HIN28" s="1688"/>
      <c r="HIO28" s="1688"/>
      <c r="HIP28" s="1688"/>
      <c r="HIQ28" s="1688"/>
      <c r="HIR28" s="1688"/>
      <c r="HIS28" s="1688"/>
      <c r="HIT28" s="1688"/>
      <c r="HIU28" s="1688"/>
      <c r="HIV28" s="1688"/>
      <c r="HIW28" s="1688"/>
      <c r="HIX28" s="1688"/>
      <c r="HIY28" s="1688"/>
      <c r="HIZ28" s="1688"/>
      <c r="HJA28" s="1688"/>
      <c r="HJB28" s="1688"/>
      <c r="HJC28" s="1688"/>
      <c r="HJD28" s="1688"/>
      <c r="HJE28" s="1688"/>
      <c r="HJF28" s="1688"/>
      <c r="HJG28" s="1688"/>
      <c r="HJH28" s="1688"/>
      <c r="HJI28" s="1688"/>
      <c r="HJJ28" s="1688"/>
      <c r="HJK28" s="1688"/>
      <c r="HJL28" s="1688"/>
      <c r="HJM28" s="1688"/>
      <c r="HJN28" s="1688"/>
      <c r="HJO28" s="1688"/>
      <c r="HJP28" s="1688"/>
      <c r="HJQ28" s="1688"/>
      <c r="HJR28" s="1688"/>
      <c r="HJS28" s="1688"/>
      <c r="HJT28" s="1688"/>
      <c r="HJU28" s="1688"/>
      <c r="HJV28" s="1688"/>
      <c r="HJW28" s="1688"/>
      <c r="HJX28" s="1688"/>
      <c r="HJY28" s="1688"/>
      <c r="HJZ28" s="1688"/>
      <c r="HKA28" s="1688"/>
      <c r="HKB28" s="1688"/>
      <c r="HKC28" s="1688"/>
      <c r="HKD28" s="1688"/>
      <c r="HKE28" s="1688"/>
      <c r="HKF28" s="1688"/>
      <c r="HKG28" s="1688"/>
      <c r="HKH28" s="1688"/>
      <c r="HKI28" s="1688"/>
      <c r="HKJ28" s="1688"/>
      <c r="HKK28" s="1688"/>
      <c r="HKL28" s="1688"/>
      <c r="HKM28" s="1688"/>
      <c r="HKN28" s="1688"/>
      <c r="HKO28" s="1688"/>
      <c r="HKP28" s="1688"/>
      <c r="HKQ28" s="1688"/>
      <c r="HKR28" s="1688"/>
      <c r="HKS28" s="1688"/>
      <c r="HKT28" s="1688"/>
      <c r="HKU28" s="1688"/>
      <c r="HKV28" s="1688"/>
      <c r="HKW28" s="1688"/>
      <c r="HKX28" s="1688"/>
      <c r="HKY28" s="1688"/>
      <c r="HKZ28" s="1688"/>
      <c r="HLA28" s="1688"/>
      <c r="HLB28" s="1688"/>
      <c r="HLC28" s="1688"/>
      <c r="HLD28" s="1688"/>
      <c r="HLE28" s="1688"/>
      <c r="HLF28" s="1688"/>
      <c r="HLG28" s="1688"/>
      <c r="HLH28" s="1688"/>
      <c r="HLI28" s="1688"/>
      <c r="HLJ28" s="1688"/>
      <c r="HLK28" s="1688"/>
      <c r="HLL28" s="1688"/>
      <c r="HLM28" s="1688"/>
      <c r="HLN28" s="1688"/>
      <c r="HLO28" s="1688"/>
      <c r="HLP28" s="1688"/>
      <c r="HLQ28" s="1688"/>
      <c r="HLR28" s="1688"/>
      <c r="HLS28" s="1688"/>
      <c r="HLT28" s="1688"/>
      <c r="HLU28" s="1688"/>
      <c r="HLV28" s="1688"/>
      <c r="HLW28" s="1688"/>
      <c r="HLX28" s="1688"/>
      <c r="HLY28" s="1688"/>
      <c r="HLZ28" s="1688"/>
      <c r="HMA28" s="1688"/>
      <c r="HMB28" s="1688"/>
      <c r="HMC28" s="1688"/>
      <c r="HMD28" s="1688"/>
      <c r="HME28" s="1688"/>
      <c r="HMF28" s="1688"/>
      <c r="HMG28" s="1688"/>
      <c r="HMH28" s="1688"/>
      <c r="HMI28" s="1688"/>
      <c r="HMJ28" s="1688"/>
      <c r="HMK28" s="1688"/>
      <c r="HML28" s="1688"/>
      <c r="HMM28" s="1688"/>
      <c r="HMN28" s="1688"/>
      <c r="HMO28" s="1688"/>
      <c r="HMP28" s="1688"/>
      <c r="HMQ28" s="1688"/>
      <c r="HMR28" s="1688"/>
      <c r="HMS28" s="1688"/>
      <c r="HMT28" s="1688"/>
      <c r="HMU28" s="1688"/>
      <c r="HMV28" s="1688"/>
      <c r="HMW28" s="1688"/>
      <c r="HMX28" s="1688"/>
      <c r="HMY28" s="1688"/>
      <c r="HMZ28" s="1688"/>
      <c r="HNA28" s="1688"/>
      <c r="HNB28" s="1688"/>
      <c r="HNC28" s="1688"/>
      <c r="HND28" s="1688"/>
      <c r="HNE28" s="1688"/>
      <c r="HNF28" s="1688"/>
      <c r="HNG28" s="1688"/>
      <c r="HNH28" s="1688"/>
      <c r="HNI28" s="1688"/>
      <c r="HNJ28" s="1688"/>
      <c r="HNK28" s="1688"/>
      <c r="HNL28" s="1688"/>
      <c r="HNM28" s="1688"/>
      <c r="HNN28" s="1688"/>
      <c r="HNO28" s="1688"/>
      <c r="HNP28" s="1688"/>
      <c r="HNQ28" s="1688"/>
      <c r="HNR28" s="1688"/>
      <c r="HNS28" s="1688"/>
      <c r="HNT28" s="1688"/>
      <c r="HNU28" s="1688"/>
      <c r="HNV28" s="1688"/>
      <c r="HNW28" s="1688"/>
      <c r="HNX28" s="1688"/>
      <c r="HNY28" s="1688"/>
      <c r="HNZ28" s="1688"/>
      <c r="HOA28" s="1688"/>
      <c r="HOB28" s="1688"/>
      <c r="HOC28" s="1688"/>
      <c r="HOD28" s="1688"/>
      <c r="HOE28" s="1688"/>
      <c r="HOF28" s="1688"/>
      <c r="HOG28" s="1688"/>
      <c r="HOH28" s="1688"/>
      <c r="HOI28" s="1688"/>
      <c r="HOJ28" s="1688"/>
      <c r="HOK28" s="1688"/>
      <c r="HOL28" s="1688"/>
      <c r="HOM28" s="1688"/>
      <c r="HON28" s="1688"/>
      <c r="HOO28" s="1688"/>
      <c r="HOP28" s="1688"/>
      <c r="HOQ28" s="1688"/>
      <c r="HOR28" s="1688"/>
      <c r="HOS28" s="1688"/>
      <c r="HOT28" s="1688"/>
      <c r="HOU28" s="1688"/>
      <c r="HOV28" s="1688"/>
      <c r="HOW28" s="1688"/>
      <c r="HOX28" s="1688"/>
      <c r="HOY28" s="1688"/>
      <c r="HOZ28" s="1688"/>
      <c r="HPA28" s="1688"/>
      <c r="HPB28" s="1688"/>
      <c r="HPC28" s="1688"/>
      <c r="HPD28" s="1688"/>
      <c r="HPE28" s="1688"/>
      <c r="HPF28" s="1688"/>
      <c r="HPG28" s="1688"/>
      <c r="HPH28" s="1688"/>
      <c r="HPI28" s="1688"/>
      <c r="HPJ28" s="1688"/>
      <c r="HPK28" s="1688"/>
      <c r="HPL28" s="1688"/>
      <c r="HPM28" s="1688"/>
      <c r="HPN28" s="1688"/>
      <c r="HPO28" s="1688"/>
      <c r="HPP28" s="1688"/>
      <c r="HPQ28" s="1688"/>
      <c r="HPR28" s="1688"/>
      <c r="HPS28" s="1688"/>
      <c r="HPT28" s="1688"/>
      <c r="HPU28" s="1688"/>
      <c r="HPV28" s="1688"/>
      <c r="HPW28" s="1688"/>
      <c r="HPX28" s="1688"/>
      <c r="HPY28" s="1688"/>
      <c r="HPZ28" s="1688"/>
      <c r="HQA28" s="1688"/>
      <c r="HQB28" s="1688"/>
      <c r="HQC28" s="1688"/>
      <c r="HQD28" s="1688"/>
      <c r="HQE28" s="1688"/>
      <c r="HQF28" s="1688"/>
      <c r="HQG28" s="1688"/>
      <c r="HQH28" s="1688"/>
      <c r="HQI28" s="1688"/>
      <c r="HQJ28" s="1688"/>
      <c r="HQK28" s="1688"/>
      <c r="HQL28" s="1688"/>
      <c r="HQM28" s="1688"/>
      <c r="HQN28" s="1688"/>
      <c r="HQO28" s="1688"/>
      <c r="HQP28" s="1688"/>
      <c r="HQQ28" s="1688"/>
      <c r="HQR28" s="1688"/>
      <c r="HQS28" s="1688"/>
      <c r="HQT28" s="1688"/>
      <c r="HQU28" s="1688"/>
      <c r="HQV28" s="1688"/>
      <c r="HQW28" s="1688"/>
      <c r="HQX28" s="1688"/>
      <c r="HQY28" s="1688"/>
      <c r="HQZ28" s="1688"/>
      <c r="HRA28" s="1688"/>
      <c r="HRB28" s="1688"/>
      <c r="HRC28" s="1688"/>
      <c r="HRD28" s="1688"/>
      <c r="HRE28" s="1688"/>
      <c r="HRF28" s="1688"/>
      <c r="HRG28" s="1688"/>
      <c r="HRH28" s="1688"/>
      <c r="HRI28" s="1688"/>
      <c r="HRJ28" s="1688"/>
      <c r="HRK28" s="1688"/>
      <c r="HRL28" s="1688"/>
      <c r="HRM28" s="1688"/>
      <c r="HRN28" s="1688"/>
      <c r="HRO28" s="1688"/>
      <c r="HRP28" s="1688"/>
      <c r="HRQ28" s="1688"/>
      <c r="HRR28" s="1688"/>
      <c r="HRS28" s="1688"/>
      <c r="HRT28" s="1688"/>
      <c r="HRU28" s="1688"/>
      <c r="HRV28" s="1688"/>
      <c r="HRW28" s="1688"/>
      <c r="HRX28" s="1688"/>
      <c r="HRY28" s="1688"/>
      <c r="HRZ28" s="1688"/>
      <c r="HSA28" s="1688"/>
      <c r="HSB28" s="1688"/>
      <c r="HSC28" s="1688"/>
      <c r="HSD28" s="1688"/>
      <c r="HSE28" s="1688"/>
      <c r="HSF28" s="1688"/>
      <c r="HSG28" s="1688"/>
      <c r="HSH28" s="1688"/>
      <c r="HSI28" s="1688"/>
      <c r="HSJ28" s="1688"/>
      <c r="HSK28" s="1688"/>
      <c r="HSL28" s="1688"/>
      <c r="HSM28" s="1688"/>
      <c r="HSN28" s="1688"/>
      <c r="HSO28" s="1688"/>
      <c r="HSP28" s="1688"/>
      <c r="HSQ28" s="1688"/>
      <c r="HSR28" s="1688"/>
      <c r="HSS28" s="1688"/>
      <c r="HST28" s="1688"/>
      <c r="HSU28" s="1688"/>
      <c r="HSV28" s="1688"/>
      <c r="HSW28" s="1688"/>
      <c r="HSX28" s="1688"/>
      <c r="HSY28" s="1688"/>
      <c r="HSZ28" s="1688"/>
      <c r="HTA28" s="1688"/>
      <c r="HTB28" s="1688"/>
      <c r="HTC28" s="1688"/>
      <c r="HTD28" s="1688"/>
      <c r="HTE28" s="1688"/>
      <c r="HTF28" s="1688"/>
      <c r="HTG28" s="1688"/>
      <c r="HTH28" s="1688"/>
      <c r="HTI28" s="1688"/>
      <c r="HTJ28" s="1688"/>
      <c r="HTK28" s="1688"/>
      <c r="HTL28" s="1688"/>
      <c r="HTM28" s="1688"/>
      <c r="HTN28" s="1688"/>
      <c r="HTO28" s="1688"/>
      <c r="HTP28" s="1688"/>
      <c r="HTQ28" s="1688"/>
      <c r="HTR28" s="1688"/>
      <c r="HTS28" s="1688"/>
      <c r="HTT28" s="1688"/>
      <c r="HTU28" s="1688"/>
      <c r="HTV28" s="1688"/>
      <c r="HTW28" s="1688"/>
      <c r="HTX28" s="1688"/>
      <c r="HTY28" s="1688"/>
      <c r="HTZ28" s="1688"/>
      <c r="HUA28" s="1688"/>
      <c r="HUB28" s="1688"/>
      <c r="HUC28" s="1688"/>
      <c r="HUD28" s="1688"/>
      <c r="HUE28" s="1688"/>
      <c r="HUF28" s="1688"/>
      <c r="HUG28" s="1688"/>
      <c r="HUH28" s="1688"/>
      <c r="HUI28" s="1688"/>
      <c r="HUJ28" s="1688"/>
      <c r="HUK28" s="1688"/>
      <c r="HUL28" s="1688"/>
      <c r="HUM28" s="1688"/>
      <c r="HUN28" s="1688"/>
      <c r="HUO28" s="1688"/>
      <c r="HUP28" s="1688"/>
      <c r="HUQ28" s="1688"/>
      <c r="HUR28" s="1688"/>
      <c r="HUS28" s="1688"/>
      <c r="HUT28" s="1688"/>
      <c r="HUU28" s="1688"/>
      <c r="HUV28" s="1688"/>
      <c r="HUW28" s="1688"/>
      <c r="HUX28" s="1688"/>
      <c r="HUY28" s="1688"/>
      <c r="HUZ28" s="1688"/>
      <c r="HVA28" s="1688"/>
      <c r="HVB28" s="1688"/>
      <c r="HVC28" s="1688"/>
      <c r="HVD28" s="1688"/>
      <c r="HVE28" s="1688"/>
      <c r="HVF28" s="1688"/>
      <c r="HVG28" s="1688"/>
      <c r="HVH28" s="1688"/>
      <c r="HVI28" s="1688"/>
      <c r="HVJ28" s="1688"/>
      <c r="HVK28" s="1688"/>
      <c r="HVL28" s="1688"/>
      <c r="HVM28" s="1688"/>
      <c r="HVN28" s="1688"/>
      <c r="HVO28" s="1688"/>
      <c r="HVP28" s="1688"/>
      <c r="HVQ28" s="1688"/>
      <c r="HVR28" s="1688"/>
      <c r="HVS28" s="1688"/>
      <c r="HVT28" s="1688"/>
      <c r="HVU28" s="1688"/>
      <c r="HVV28" s="1688"/>
      <c r="HVW28" s="1688"/>
      <c r="HVX28" s="1688"/>
      <c r="HVY28" s="1688"/>
      <c r="HVZ28" s="1688"/>
      <c r="HWA28" s="1688"/>
      <c r="HWB28" s="1688"/>
      <c r="HWC28" s="1688"/>
      <c r="HWD28" s="1688"/>
      <c r="HWE28" s="1688"/>
      <c r="HWF28" s="1688"/>
      <c r="HWG28" s="1688"/>
      <c r="HWH28" s="1688"/>
      <c r="HWI28" s="1688"/>
      <c r="HWJ28" s="1688"/>
      <c r="HWK28" s="1688"/>
      <c r="HWL28" s="1688"/>
      <c r="HWM28" s="1688"/>
      <c r="HWN28" s="1688"/>
      <c r="HWO28" s="1688"/>
      <c r="HWP28" s="1688"/>
      <c r="HWQ28" s="1688"/>
      <c r="HWR28" s="1688"/>
      <c r="HWS28" s="1688"/>
      <c r="HWT28" s="1688"/>
      <c r="HWU28" s="1688"/>
      <c r="HWV28" s="1688"/>
      <c r="HWW28" s="1688"/>
      <c r="HWX28" s="1688"/>
      <c r="HWY28" s="1688"/>
      <c r="HWZ28" s="1688"/>
      <c r="HXA28" s="1688"/>
      <c r="HXB28" s="1688"/>
      <c r="HXC28" s="1688"/>
      <c r="HXD28" s="1688"/>
      <c r="HXE28" s="1688"/>
      <c r="HXF28" s="1688"/>
      <c r="HXG28" s="1688"/>
      <c r="HXH28" s="1688"/>
      <c r="HXI28" s="1688"/>
      <c r="HXJ28" s="1688"/>
      <c r="HXK28" s="1688"/>
      <c r="HXL28" s="1688"/>
      <c r="HXM28" s="1688"/>
      <c r="HXN28" s="1688"/>
      <c r="HXO28" s="1688"/>
      <c r="HXP28" s="1688"/>
      <c r="HXQ28" s="1688"/>
      <c r="HXR28" s="1688"/>
      <c r="HXS28" s="1688"/>
      <c r="HXT28" s="1688"/>
      <c r="HXU28" s="1688"/>
      <c r="HXV28" s="1688"/>
      <c r="HXW28" s="1688"/>
      <c r="HXX28" s="1688"/>
      <c r="HXY28" s="1688"/>
      <c r="HXZ28" s="1688"/>
      <c r="HYA28" s="1688"/>
      <c r="HYB28" s="1688"/>
      <c r="HYC28" s="1688"/>
      <c r="HYD28" s="1688"/>
      <c r="HYE28" s="1688"/>
      <c r="HYF28" s="1688"/>
      <c r="HYG28" s="1688"/>
      <c r="HYH28" s="1688"/>
      <c r="HYI28" s="1688"/>
      <c r="HYJ28" s="1688"/>
      <c r="HYK28" s="1688"/>
      <c r="HYL28" s="1688"/>
      <c r="HYM28" s="1688"/>
      <c r="HYN28" s="1688"/>
      <c r="HYO28" s="1688"/>
      <c r="HYP28" s="1688"/>
      <c r="HYQ28" s="1688"/>
      <c r="HYR28" s="1688"/>
      <c r="HYS28" s="1688"/>
      <c r="HYT28" s="1688"/>
      <c r="HYU28" s="1688"/>
      <c r="HYV28" s="1688"/>
      <c r="HYW28" s="1688"/>
      <c r="HYX28" s="1688"/>
      <c r="HYY28" s="1688"/>
      <c r="HYZ28" s="1688"/>
      <c r="HZA28" s="1688"/>
      <c r="HZB28" s="1688"/>
      <c r="HZC28" s="1688"/>
      <c r="HZD28" s="1688"/>
      <c r="HZE28" s="1688"/>
      <c r="HZF28" s="1688"/>
      <c r="HZG28" s="1688"/>
      <c r="HZH28" s="1688"/>
      <c r="HZI28" s="1688"/>
      <c r="HZJ28" s="1688"/>
      <c r="HZK28" s="1688"/>
      <c r="HZL28" s="1688"/>
      <c r="HZM28" s="1688"/>
      <c r="HZN28" s="1688"/>
      <c r="HZO28" s="1688"/>
      <c r="HZP28" s="1688"/>
      <c r="HZQ28" s="1688"/>
      <c r="HZR28" s="1688"/>
      <c r="HZS28" s="1688"/>
      <c r="HZT28" s="1688"/>
      <c r="HZU28" s="1688"/>
      <c r="HZV28" s="1688"/>
      <c r="HZW28" s="1688"/>
      <c r="HZX28" s="1688"/>
      <c r="HZY28" s="1688"/>
      <c r="HZZ28" s="1688"/>
      <c r="IAA28" s="1688"/>
      <c r="IAB28" s="1688"/>
      <c r="IAC28" s="1688"/>
      <c r="IAD28" s="1688"/>
      <c r="IAE28" s="1688"/>
      <c r="IAF28" s="1688"/>
      <c r="IAG28" s="1688"/>
      <c r="IAH28" s="1688"/>
      <c r="IAI28" s="1688"/>
      <c r="IAJ28" s="1688"/>
      <c r="IAK28" s="1688"/>
      <c r="IAL28" s="1688"/>
      <c r="IAM28" s="1688"/>
      <c r="IAN28" s="1688"/>
      <c r="IAO28" s="1688"/>
      <c r="IAP28" s="1688"/>
      <c r="IAQ28" s="1688"/>
      <c r="IAR28" s="1688"/>
      <c r="IAS28" s="1688"/>
      <c r="IAT28" s="1688"/>
      <c r="IAU28" s="1688"/>
      <c r="IAV28" s="1688"/>
      <c r="IAW28" s="1688"/>
      <c r="IAX28" s="1688"/>
      <c r="IAY28" s="1688"/>
      <c r="IAZ28" s="1688"/>
      <c r="IBA28" s="1688"/>
      <c r="IBB28" s="1688"/>
      <c r="IBC28" s="1688"/>
      <c r="IBD28" s="1688"/>
      <c r="IBE28" s="1688"/>
      <c r="IBF28" s="1688"/>
      <c r="IBG28" s="1688"/>
      <c r="IBH28" s="1688"/>
      <c r="IBI28" s="1688"/>
      <c r="IBJ28" s="1688"/>
      <c r="IBK28" s="1688"/>
      <c r="IBL28" s="1688"/>
      <c r="IBM28" s="1688"/>
      <c r="IBN28" s="1688"/>
      <c r="IBO28" s="1688"/>
      <c r="IBP28" s="1688"/>
      <c r="IBQ28" s="1688"/>
      <c r="IBR28" s="1688"/>
      <c r="IBS28" s="1688"/>
      <c r="IBT28" s="1688"/>
      <c r="IBU28" s="1688"/>
      <c r="IBV28" s="1688"/>
      <c r="IBW28" s="1688"/>
      <c r="IBX28" s="1688"/>
      <c r="IBY28" s="1688"/>
      <c r="IBZ28" s="1688"/>
      <c r="ICA28" s="1688"/>
      <c r="ICB28" s="1688"/>
      <c r="ICC28" s="1688"/>
      <c r="ICD28" s="1688"/>
      <c r="ICE28" s="1688"/>
      <c r="ICF28" s="1688"/>
      <c r="ICG28" s="1688"/>
      <c r="ICH28" s="1688"/>
      <c r="ICI28" s="1688"/>
      <c r="ICJ28" s="1688"/>
      <c r="ICK28" s="1688"/>
      <c r="ICL28" s="1688"/>
      <c r="ICM28" s="1688"/>
      <c r="ICN28" s="1688"/>
      <c r="ICO28" s="1688"/>
      <c r="ICP28" s="1688"/>
      <c r="ICQ28" s="1688"/>
      <c r="ICR28" s="1688"/>
      <c r="ICS28" s="1688"/>
      <c r="ICT28" s="1688"/>
      <c r="ICU28" s="1688"/>
      <c r="ICV28" s="1688"/>
      <c r="ICW28" s="1688"/>
      <c r="ICX28" s="1688"/>
      <c r="ICY28" s="1688"/>
      <c r="ICZ28" s="1688"/>
      <c r="IDA28" s="1688"/>
      <c r="IDB28" s="1688"/>
      <c r="IDC28" s="1688"/>
      <c r="IDD28" s="1688"/>
      <c r="IDE28" s="1688"/>
      <c r="IDF28" s="1688"/>
      <c r="IDG28" s="1688"/>
      <c r="IDH28" s="1688"/>
      <c r="IDI28" s="1688"/>
      <c r="IDJ28" s="1688"/>
      <c r="IDK28" s="1688"/>
      <c r="IDL28" s="1688"/>
      <c r="IDM28" s="1688"/>
      <c r="IDN28" s="1688"/>
      <c r="IDO28" s="1688"/>
      <c r="IDP28" s="1688"/>
      <c r="IDQ28" s="1688"/>
      <c r="IDR28" s="1688"/>
      <c r="IDS28" s="1688"/>
      <c r="IDT28" s="1688"/>
      <c r="IDU28" s="1688"/>
      <c r="IDV28" s="1688"/>
      <c r="IDW28" s="1688"/>
      <c r="IDX28" s="1688"/>
      <c r="IDY28" s="1688"/>
      <c r="IDZ28" s="1688"/>
      <c r="IEA28" s="1688"/>
      <c r="IEB28" s="1688"/>
      <c r="IEC28" s="1688"/>
      <c r="IED28" s="1688"/>
      <c r="IEE28" s="1688"/>
      <c r="IEF28" s="1688"/>
      <c r="IEG28" s="1688"/>
      <c r="IEH28" s="1688"/>
      <c r="IEI28" s="1688"/>
      <c r="IEJ28" s="1688"/>
      <c r="IEK28" s="1688"/>
      <c r="IEL28" s="1688"/>
      <c r="IEM28" s="1688"/>
      <c r="IEN28" s="1688"/>
      <c r="IEO28" s="1688"/>
      <c r="IEP28" s="1688"/>
      <c r="IEQ28" s="1688"/>
      <c r="IER28" s="1688"/>
      <c r="IES28" s="1688"/>
      <c r="IET28" s="1688"/>
      <c r="IEU28" s="1688"/>
      <c r="IEV28" s="1688"/>
      <c r="IEW28" s="1688"/>
      <c r="IEX28" s="1688"/>
      <c r="IEY28" s="1688"/>
      <c r="IEZ28" s="1688"/>
      <c r="IFA28" s="1688"/>
      <c r="IFB28" s="1688"/>
      <c r="IFC28" s="1688"/>
      <c r="IFD28" s="1688"/>
      <c r="IFE28" s="1688"/>
      <c r="IFF28" s="1688"/>
      <c r="IFG28" s="1688"/>
      <c r="IFH28" s="1688"/>
      <c r="IFI28" s="1688"/>
      <c r="IFJ28" s="1688"/>
      <c r="IFK28" s="1688"/>
      <c r="IFL28" s="1688"/>
      <c r="IFM28" s="1688"/>
      <c r="IFN28" s="1688"/>
      <c r="IFO28" s="1688"/>
      <c r="IFP28" s="1688"/>
      <c r="IFQ28" s="1688"/>
      <c r="IFR28" s="1688"/>
      <c r="IFS28" s="1688"/>
      <c r="IFT28" s="1688"/>
      <c r="IFU28" s="1688"/>
      <c r="IFV28" s="1688"/>
      <c r="IFW28" s="1688"/>
      <c r="IFX28" s="1688"/>
      <c r="IFY28" s="1688"/>
      <c r="IFZ28" s="1688"/>
      <c r="IGA28" s="1688"/>
      <c r="IGB28" s="1688"/>
      <c r="IGC28" s="1688"/>
      <c r="IGD28" s="1688"/>
      <c r="IGE28" s="1688"/>
      <c r="IGF28" s="1688"/>
      <c r="IGG28" s="1688"/>
      <c r="IGH28" s="1688"/>
      <c r="IGI28" s="1688"/>
      <c r="IGJ28" s="1688"/>
      <c r="IGK28" s="1688"/>
      <c r="IGL28" s="1688"/>
      <c r="IGM28" s="1688"/>
      <c r="IGN28" s="1688"/>
      <c r="IGO28" s="1688"/>
      <c r="IGP28" s="1688"/>
      <c r="IGQ28" s="1688"/>
      <c r="IGR28" s="1688"/>
      <c r="IGS28" s="1688"/>
      <c r="IGT28" s="1688"/>
      <c r="IGU28" s="1688"/>
      <c r="IGV28" s="1688"/>
      <c r="IGW28" s="1688"/>
      <c r="IGX28" s="1688"/>
      <c r="IGY28" s="1688"/>
      <c r="IGZ28" s="1688"/>
      <c r="IHA28" s="1688"/>
      <c r="IHB28" s="1688"/>
      <c r="IHC28" s="1688"/>
      <c r="IHD28" s="1688"/>
      <c r="IHE28" s="1688"/>
      <c r="IHF28" s="1688"/>
      <c r="IHG28" s="1688"/>
      <c r="IHH28" s="1688"/>
      <c r="IHI28" s="1688"/>
      <c r="IHJ28" s="1688"/>
      <c r="IHK28" s="1688"/>
      <c r="IHL28" s="1688"/>
      <c r="IHM28" s="1688"/>
      <c r="IHN28" s="1688"/>
      <c r="IHO28" s="1688"/>
      <c r="IHP28" s="1688"/>
      <c r="IHQ28" s="1688"/>
      <c r="IHR28" s="1688"/>
      <c r="IHS28" s="1688"/>
      <c r="IHT28" s="1688"/>
      <c r="IHU28" s="1688"/>
      <c r="IHV28" s="1688"/>
      <c r="IHW28" s="1688"/>
      <c r="IHX28" s="1688"/>
      <c r="IHY28" s="1688"/>
      <c r="IHZ28" s="1688"/>
      <c r="IIA28" s="1688"/>
      <c r="IIB28" s="1688"/>
      <c r="IIC28" s="1688"/>
      <c r="IID28" s="1688"/>
      <c r="IIE28" s="1688"/>
      <c r="IIF28" s="1688"/>
      <c r="IIG28" s="1688"/>
      <c r="IIH28" s="1688"/>
      <c r="III28" s="1688"/>
      <c r="IIJ28" s="1688"/>
      <c r="IIK28" s="1688"/>
      <c r="IIL28" s="1688"/>
      <c r="IIM28" s="1688"/>
      <c r="IIN28" s="1688"/>
      <c r="IIO28" s="1688"/>
      <c r="IIP28" s="1688"/>
      <c r="IIQ28" s="1688"/>
      <c r="IIR28" s="1688"/>
      <c r="IIS28" s="1688"/>
      <c r="IIT28" s="1688"/>
      <c r="IIU28" s="1688"/>
      <c r="IIV28" s="1688"/>
      <c r="IIW28" s="1688"/>
      <c r="IIX28" s="1688"/>
      <c r="IIY28" s="1688"/>
      <c r="IIZ28" s="1688"/>
      <c r="IJA28" s="1688"/>
      <c r="IJB28" s="1688"/>
      <c r="IJC28" s="1688"/>
      <c r="IJD28" s="1688"/>
      <c r="IJE28" s="1688"/>
      <c r="IJF28" s="1688"/>
      <c r="IJG28" s="1688"/>
      <c r="IJH28" s="1688"/>
      <c r="IJI28" s="1688"/>
      <c r="IJJ28" s="1688"/>
      <c r="IJK28" s="1688"/>
      <c r="IJL28" s="1688"/>
      <c r="IJM28" s="1688"/>
      <c r="IJN28" s="1688"/>
      <c r="IJO28" s="1688"/>
      <c r="IJP28" s="1688"/>
      <c r="IJQ28" s="1688"/>
      <c r="IJR28" s="1688"/>
      <c r="IJS28" s="1688"/>
      <c r="IJT28" s="1688"/>
      <c r="IJU28" s="1688"/>
      <c r="IJV28" s="1688"/>
      <c r="IJW28" s="1688"/>
      <c r="IJX28" s="1688"/>
      <c r="IJY28" s="1688"/>
      <c r="IJZ28" s="1688"/>
      <c r="IKA28" s="1688"/>
      <c r="IKB28" s="1688"/>
      <c r="IKC28" s="1688"/>
      <c r="IKD28" s="1688"/>
      <c r="IKE28" s="1688"/>
      <c r="IKF28" s="1688"/>
      <c r="IKG28" s="1688"/>
      <c r="IKH28" s="1688"/>
      <c r="IKI28" s="1688"/>
      <c r="IKJ28" s="1688"/>
      <c r="IKK28" s="1688"/>
      <c r="IKL28" s="1688"/>
      <c r="IKM28" s="1688"/>
      <c r="IKN28" s="1688"/>
      <c r="IKO28" s="1688"/>
      <c r="IKP28" s="1688"/>
      <c r="IKQ28" s="1688"/>
      <c r="IKR28" s="1688"/>
      <c r="IKS28" s="1688"/>
      <c r="IKT28" s="1688"/>
      <c r="IKU28" s="1688"/>
      <c r="IKV28" s="1688"/>
      <c r="IKW28" s="1688"/>
      <c r="IKX28" s="1688"/>
      <c r="IKY28" s="1688"/>
      <c r="IKZ28" s="1688"/>
      <c r="ILA28" s="1688"/>
      <c r="ILB28" s="1688"/>
      <c r="ILC28" s="1688"/>
      <c r="ILD28" s="1688"/>
      <c r="ILE28" s="1688"/>
      <c r="ILF28" s="1688"/>
      <c r="ILG28" s="1688"/>
      <c r="ILH28" s="1688"/>
      <c r="ILI28" s="1688"/>
      <c r="ILJ28" s="1688"/>
      <c r="ILK28" s="1688"/>
      <c r="ILL28" s="1688"/>
      <c r="ILM28" s="1688"/>
      <c r="ILN28" s="1688"/>
      <c r="ILO28" s="1688"/>
      <c r="ILP28" s="1688"/>
      <c r="ILQ28" s="1688"/>
      <c r="ILR28" s="1688"/>
      <c r="ILS28" s="1688"/>
      <c r="ILT28" s="1688"/>
      <c r="ILU28" s="1688"/>
      <c r="ILV28" s="1688"/>
      <c r="ILW28" s="1688"/>
      <c r="ILX28" s="1688"/>
      <c r="ILY28" s="1688"/>
      <c r="ILZ28" s="1688"/>
      <c r="IMA28" s="1688"/>
      <c r="IMB28" s="1688"/>
      <c r="IMC28" s="1688"/>
      <c r="IMD28" s="1688"/>
      <c r="IME28" s="1688"/>
      <c r="IMF28" s="1688"/>
      <c r="IMG28" s="1688"/>
      <c r="IMH28" s="1688"/>
      <c r="IMI28" s="1688"/>
      <c r="IMJ28" s="1688"/>
      <c r="IMK28" s="1688"/>
      <c r="IML28" s="1688"/>
      <c r="IMM28" s="1688"/>
      <c r="IMN28" s="1688"/>
      <c r="IMO28" s="1688"/>
      <c r="IMP28" s="1688"/>
      <c r="IMQ28" s="1688"/>
      <c r="IMR28" s="1688"/>
      <c r="IMS28" s="1688"/>
      <c r="IMT28" s="1688"/>
      <c r="IMU28" s="1688"/>
      <c r="IMV28" s="1688"/>
      <c r="IMW28" s="1688"/>
      <c r="IMX28" s="1688"/>
      <c r="IMY28" s="1688"/>
      <c r="IMZ28" s="1688"/>
      <c r="INA28" s="1688"/>
      <c r="INB28" s="1688"/>
      <c r="INC28" s="1688"/>
      <c r="IND28" s="1688"/>
      <c r="INE28" s="1688"/>
      <c r="INF28" s="1688"/>
      <c r="ING28" s="1688"/>
      <c r="INH28" s="1688"/>
      <c r="INI28" s="1688"/>
      <c r="INJ28" s="1688"/>
      <c r="INK28" s="1688"/>
      <c r="INL28" s="1688"/>
      <c r="INM28" s="1688"/>
      <c r="INN28" s="1688"/>
      <c r="INO28" s="1688"/>
      <c r="INP28" s="1688"/>
      <c r="INQ28" s="1688"/>
      <c r="INR28" s="1688"/>
      <c r="INS28" s="1688"/>
      <c r="INT28" s="1688"/>
      <c r="INU28" s="1688"/>
      <c r="INV28" s="1688"/>
      <c r="INW28" s="1688"/>
      <c r="INX28" s="1688"/>
      <c r="INY28" s="1688"/>
      <c r="INZ28" s="1688"/>
      <c r="IOA28" s="1688"/>
      <c r="IOB28" s="1688"/>
      <c r="IOC28" s="1688"/>
      <c r="IOD28" s="1688"/>
      <c r="IOE28" s="1688"/>
      <c r="IOF28" s="1688"/>
      <c r="IOG28" s="1688"/>
      <c r="IOH28" s="1688"/>
      <c r="IOI28" s="1688"/>
      <c r="IOJ28" s="1688"/>
      <c r="IOK28" s="1688"/>
      <c r="IOL28" s="1688"/>
      <c r="IOM28" s="1688"/>
      <c r="ION28" s="1688"/>
      <c r="IOO28" s="1688"/>
      <c r="IOP28" s="1688"/>
      <c r="IOQ28" s="1688"/>
      <c r="IOR28" s="1688"/>
      <c r="IOS28" s="1688"/>
      <c r="IOT28" s="1688"/>
      <c r="IOU28" s="1688"/>
      <c r="IOV28" s="1688"/>
      <c r="IOW28" s="1688"/>
      <c r="IOX28" s="1688"/>
      <c r="IOY28" s="1688"/>
      <c r="IOZ28" s="1688"/>
      <c r="IPA28" s="1688"/>
      <c r="IPB28" s="1688"/>
      <c r="IPC28" s="1688"/>
      <c r="IPD28" s="1688"/>
      <c r="IPE28" s="1688"/>
      <c r="IPF28" s="1688"/>
      <c r="IPG28" s="1688"/>
      <c r="IPH28" s="1688"/>
      <c r="IPI28" s="1688"/>
      <c r="IPJ28" s="1688"/>
      <c r="IPK28" s="1688"/>
      <c r="IPL28" s="1688"/>
      <c r="IPM28" s="1688"/>
      <c r="IPN28" s="1688"/>
      <c r="IPO28" s="1688"/>
      <c r="IPP28" s="1688"/>
      <c r="IPQ28" s="1688"/>
      <c r="IPR28" s="1688"/>
      <c r="IPS28" s="1688"/>
      <c r="IPT28" s="1688"/>
      <c r="IPU28" s="1688"/>
      <c r="IPV28" s="1688"/>
      <c r="IPW28" s="1688"/>
      <c r="IPX28" s="1688"/>
      <c r="IPY28" s="1688"/>
      <c r="IPZ28" s="1688"/>
      <c r="IQA28" s="1688"/>
      <c r="IQB28" s="1688"/>
      <c r="IQC28" s="1688"/>
      <c r="IQD28" s="1688"/>
      <c r="IQE28" s="1688"/>
      <c r="IQF28" s="1688"/>
      <c r="IQG28" s="1688"/>
      <c r="IQH28" s="1688"/>
      <c r="IQI28" s="1688"/>
      <c r="IQJ28" s="1688"/>
      <c r="IQK28" s="1688"/>
      <c r="IQL28" s="1688"/>
      <c r="IQM28" s="1688"/>
      <c r="IQN28" s="1688"/>
      <c r="IQO28" s="1688"/>
      <c r="IQP28" s="1688"/>
      <c r="IQQ28" s="1688"/>
      <c r="IQR28" s="1688"/>
      <c r="IQS28" s="1688"/>
      <c r="IQT28" s="1688"/>
      <c r="IQU28" s="1688"/>
      <c r="IQV28" s="1688"/>
      <c r="IQW28" s="1688"/>
      <c r="IQX28" s="1688"/>
      <c r="IQY28" s="1688"/>
      <c r="IQZ28" s="1688"/>
      <c r="IRA28" s="1688"/>
      <c r="IRB28" s="1688"/>
      <c r="IRC28" s="1688"/>
      <c r="IRD28" s="1688"/>
      <c r="IRE28" s="1688"/>
      <c r="IRF28" s="1688"/>
      <c r="IRG28" s="1688"/>
      <c r="IRH28" s="1688"/>
      <c r="IRI28" s="1688"/>
      <c r="IRJ28" s="1688"/>
      <c r="IRK28" s="1688"/>
      <c r="IRL28" s="1688"/>
      <c r="IRM28" s="1688"/>
      <c r="IRN28" s="1688"/>
      <c r="IRO28" s="1688"/>
      <c r="IRP28" s="1688"/>
      <c r="IRQ28" s="1688"/>
      <c r="IRR28" s="1688"/>
      <c r="IRS28" s="1688"/>
      <c r="IRT28" s="1688"/>
      <c r="IRU28" s="1688"/>
      <c r="IRV28" s="1688"/>
      <c r="IRW28" s="1688"/>
      <c r="IRX28" s="1688"/>
      <c r="IRY28" s="1688"/>
      <c r="IRZ28" s="1688"/>
      <c r="ISA28" s="1688"/>
      <c r="ISB28" s="1688"/>
      <c r="ISC28" s="1688"/>
      <c r="ISD28" s="1688"/>
      <c r="ISE28" s="1688"/>
      <c r="ISF28" s="1688"/>
      <c r="ISG28" s="1688"/>
      <c r="ISH28" s="1688"/>
      <c r="ISI28" s="1688"/>
      <c r="ISJ28" s="1688"/>
      <c r="ISK28" s="1688"/>
      <c r="ISL28" s="1688"/>
      <c r="ISM28" s="1688"/>
      <c r="ISN28" s="1688"/>
      <c r="ISO28" s="1688"/>
      <c r="ISP28" s="1688"/>
      <c r="ISQ28" s="1688"/>
      <c r="ISR28" s="1688"/>
      <c r="ISS28" s="1688"/>
      <c r="IST28" s="1688"/>
      <c r="ISU28" s="1688"/>
      <c r="ISV28" s="1688"/>
      <c r="ISW28" s="1688"/>
      <c r="ISX28" s="1688"/>
      <c r="ISY28" s="1688"/>
      <c r="ISZ28" s="1688"/>
      <c r="ITA28" s="1688"/>
      <c r="ITB28" s="1688"/>
      <c r="ITC28" s="1688"/>
      <c r="ITD28" s="1688"/>
      <c r="ITE28" s="1688"/>
      <c r="ITF28" s="1688"/>
      <c r="ITG28" s="1688"/>
      <c r="ITH28" s="1688"/>
      <c r="ITI28" s="1688"/>
      <c r="ITJ28" s="1688"/>
      <c r="ITK28" s="1688"/>
      <c r="ITL28" s="1688"/>
      <c r="ITM28" s="1688"/>
      <c r="ITN28" s="1688"/>
      <c r="ITO28" s="1688"/>
      <c r="ITP28" s="1688"/>
      <c r="ITQ28" s="1688"/>
      <c r="ITR28" s="1688"/>
      <c r="ITS28" s="1688"/>
      <c r="ITT28" s="1688"/>
      <c r="ITU28" s="1688"/>
      <c r="ITV28" s="1688"/>
      <c r="ITW28" s="1688"/>
      <c r="ITX28" s="1688"/>
      <c r="ITY28" s="1688"/>
      <c r="ITZ28" s="1688"/>
      <c r="IUA28" s="1688"/>
      <c r="IUB28" s="1688"/>
      <c r="IUC28" s="1688"/>
      <c r="IUD28" s="1688"/>
      <c r="IUE28" s="1688"/>
      <c r="IUF28" s="1688"/>
      <c r="IUG28" s="1688"/>
      <c r="IUH28" s="1688"/>
      <c r="IUI28" s="1688"/>
      <c r="IUJ28" s="1688"/>
      <c r="IUK28" s="1688"/>
      <c r="IUL28" s="1688"/>
      <c r="IUM28" s="1688"/>
      <c r="IUN28" s="1688"/>
      <c r="IUO28" s="1688"/>
      <c r="IUP28" s="1688"/>
      <c r="IUQ28" s="1688"/>
      <c r="IUR28" s="1688"/>
      <c r="IUS28" s="1688"/>
      <c r="IUT28" s="1688"/>
      <c r="IUU28" s="1688"/>
      <c r="IUV28" s="1688"/>
      <c r="IUW28" s="1688"/>
      <c r="IUX28" s="1688"/>
      <c r="IUY28" s="1688"/>
      <c r="IUZ28" s="1688"/>
      <c r="IVA28" s="1688"/>
      <c r="IVB28" s="1688"/>
      <c r="IVC28" s="1688"/>
      <c r="IVD28" s="1688"/>
      <c r="IVE28" s="1688"/>
      <c r="IVF28" s="1688"/>
      <c r="IVG28" s="1688"/>
      <c r="IVH28" s="1688"/>
      <c r="IVI28" s="1688"/>
      <c r="IVJ28" s="1688"/>
      <c r="IVK28" s="1688"/>
      <c r="IVL28" s="1688"/>
      <c r="IVM28" s="1688"/>
      <c r="IVN28" s="1688"/>
      <c r="IVO28" s="1688"/>
      <c r="IVP28" s="1688"/>
      <c r="IVQ28" s="1688"/>
      <c r="IVR28" s="1688"/>
      <c r="IVS28" s="1688"/>
      <c r="IVT28" s="1688"/>
      <c r="IVU28" s="1688"/>
      <c r="IVV28" s="1688"/>
      <c r="IVW28" s="1688"/>
      <c r="IVX28" s="1688"/>
      <c r="IVY28" s="1688"/>
      <c r="IVZ28" s="1688"/>
      <c r="IWA28" s="1688"/>
      <c r="IWB28" s="1688"/>
      <c r="IWC28" s="1688"/>
      <c r="IWD28" s="1688"/>
      <c r="IWE28" s="1688"/>
      <c r="IWF28" s="1688"/>
      <c r="IWG28" s="1688"/>
      <c r="IWH28" s="1688"/>
      <c r="IWI28" s="1688"/>
      <c r="IWJ28" s="1688"/>
      <c r="IWK28" s="1688"/>
      <c r="IWL28" s="1688"/>
      <c r="IWM28" s="1688"/>
      <c r="IWN28" s="1688"/>
      <c r="IWO28" s="1688"/>
      <c r="IWP28" s="1688"/>
      <c r="IWQ28" s="1688"/>
      <c r="IWR28" s="1688"/>
      <c r="IWS28" s="1688"/>
      <c r="IWT28" s="1688"/>
      <c r="IWU28" s="1688"/>
      <c r="IWV28" s="1688"/>
      <c r="IWW28" s="1688"/>
      <c r="IWX28" s="1688"/>
      <c r="IWY28" s="1688"/>
      <c r="IWZ28" s="1688"/>
      <c r="IXA28" s="1688"/>
      <c r="IXB28" s="1688"/>
      <c r="IXC28" s="1688"/>
      <c r="IXD28" s="1688"/>
      <c r="IXE28" s="1688"/>
      <c r="IXF28" s="1688"/>
      <c r="IXG28" s="1688"/>
      <c r="IXH28" s="1688"/>
      <c r="IXI28" s="1688"/>
      <c r="IXJ28" s="1688"/>
      <c r="IXK28" s="1688"/>
      <c r="IXL28" s="1688"/>
      <c r="IXM28" s="1688"/>
      <c r="IXN28" s="1688"/>
      <c r="IXO28" s="1688"/>
      <c r="IXP28" s="1688"/>
      <c r="IXQ28" s="1688"/>
      <c r="IXR28" s="1688"/>
      <c r="IXS28" s="1688"/>
      <c r="IXT28" s="1688"/>
      <c r="IXU28" s="1688"/>
      <c r="IXV28" s="1688"/>
      <c r="IXW28" s="1688"/>
      <c r="IXX28" s="1688"/>
      <c r="IXY28" s="1688"/>
      <c r="IXZ28" s="1688"/>
      <c r="IYA28" s="1688"/>
      <c r="IYB28" s="1688"/>
      <c r="IYC28" s="1688"/>
      <c r="IYD28" s="1688"/>
      <c r="IYE28" s="1688"/>
      <c r="IYF28" s="1688"/>
      <c r="IYG28" s="1688"/>
      <c r="IYH28" s="1688"/>
      <c r="IYI28" s="1688"/>
      <c r="IYJ28" s="1688"/>
      <c r="IYK28" s="1688"/>
      <c r="IYL28" s="1688"/>
      <c r="IYM28" s="1688"/>
      <c r="IYN28" s="1688"/>
      <c r="IYO28" s="1688"/>
      <c r="IYP28" s="1688"/>
      <c r="IYQ28" s="1688"/>
      <c r="IYR28" s="1688"/>
      <c r="IYS28" s="1688"/>
      <c r="IYT28" s="1688"/>
      <c r="IYU28" s="1688"/>
      <c r="IYV28" s="1688"/>
      <c r="IYW28" s="1688"/>
      <c r="IYX28" s="1688"/>
      <c r="IYY28" s="1688"/>
      <c r="IYZ28" s="1688"/>
      <c r="IZA28" s="1688"/>
      <c r="IZB28" s="1688"/>
      <c r="IZC28" s="1688"/>
      <c r="IZD28" s="1688"/>
      <c r="IZE28" s="1688"/>
      <c r="IZF28" s="1688"/>
      <c r="IZG28" s="1688"/>
      <c r="IZH28" s="1688"/>
      <c r="IZI28" s="1688"/>
      <c r="IZJ28" s="1688"/>
      <c r="IZK28" s="1688"/>
      <c r="IZL28" s="1688"/>
      <c r="IZM28" s="1688"/>
      <c r="IZN28" s="1688"/>
      <c r="IZO28" s="1688"/>
      <c r="IZP28" s="1688"/>
      <c r="IZQ28" s="1688"/>
      <c r="IZR28" s="1688"/>
      <c r="IZS28" s="1688"/>
      <c r="IZT28" s="1688"/>
      <c r="IZU28" s="1688"/>
      <c r="IZV28" s="1688"/>
      <c r="IZW28" s="1688"/>
      <c r="IZX28" s="1688"/>
      <c r="IZY28" s="1688"/>
      <c r="IZZ28" s="1688"/>
      <c r="JAA28" s="1688"/>
      <c r="JAB28" s="1688"/>
      <c r="JAC28" s="1688"/>
      <c r="JAD28" s="1688"/>
      <c r="JAE28" s="1688"/>
      <c r="JAF28" s="1688"/>
      <c r="JAG28" s="1688"/>
      <c r="JAH28" s="1688"/>
      <c r="JAI28" s="1688"/>
      <c r="JAJ28" s="1688"/>
      <c r="JAK28" s="1688"/>
      <c r="JAL28" s="1688"/>
      <c r="JAM28" s="1688"/>
      <c r="JAN28" s="1688"/>
      <c r="JAO28" s="1688"/>
      <c r="JAP28" s="1688"/>
      <c r="JAQ28" s="1688"/>
      <c r="JAR28" s="1688"/>
      <c r="JAS28" s="1688"/>
      <c r="JAT28" s="1688"/>
      <c r="JAU28" s="1688"/>
      <c r="JAV28" s="1688"/>
      <c r="JAW28" s="1688"/>
      <c r="JAX28" s="1688"/>
      <c r="JAY28" s="1688"/>
      <c r="JAZ28" s="1688"/>
      <c r="JBA28" s="1688"/>
      <c r="JBB28" s="1688"/>
      <c r="JBC28" s="1688"/>
      <c r="JBD28" s="1688"/>
      <c r="JBE28" s="1688"/>
      <c r="JBF28" s="1688"/>
      <c r="JBG28" s="1688"/>
      <c r="JBH28" s="1688"/>
      <c r="JBI28" s="1688"/>
      <c r="JBJ28" s="1688"/>
      <c r="JBK28" s="1688"/>
      <c r="JBL28" s="1688"/>
      <c r="JBM28" s="1688"/>
      <c r="JBN28" s="1688"/>
      <c r="JBO28" s="1688"/>
      <c r="JBP28" s="1688"/>
      <c r="JBQ28" s="1688"/>
      <c r="JBR28" s="1688"/>
      <c r="JBS28" s="1688"/>
      <c r="JBT28" s="1688"/>
      <c r="JBU28" s="1688"/>
      <c r="JBV28" s="1688"/>
      <c r="JBW28" s="1688"/>
      <c r="JBX28" s="1688"/>
      <c r="JBY28" s="1688"/>
      <c r="JBZ28" s="1688"/>
      <c r="JCA28" s="1688"/>
      <c r="JCB28" s="1688"/>
      <c r="JCC28" s="1688"/>
      <c r="JCD28" s="1688"/>
      <c r="JCE28" s="1688"/>
      <c r="JCF28" s="1688"/>
      <c r="JCG28" s="1688"/>
      <c r="JCH28" s="1688"/>
      <c r="JCI28" s="1688"/>
      <c r="JCJ28" s="1688"/>
      <c r="JCK28" s="1688"/>
      <c r="JCL28" s="1688"/>
      <c r="JCM28" s="1688"/>
      <c r="JCN28" s="1688"/>
      <c r="JCO28" s="1688"/>
      <c r="JCP28" s="1688"/>
      <c r="JCQ28" s="1688"/>
      <c r="JCR28" s="1688"/>
      <c r="JCS28" s="1688"/>
      <c r="JCT28" s="1688"/>
      <c r="JCU28" s="1688"/>
      <c r="JCV28" s="1688"/>
      <c r="JCW28" s="1688"/>
      <c r="JCX28" s="1688"/>
      <c r="JCY28" s="1688"/>
      <c r="JCZ28" s="1688"/>
      <c r="JDA28" s="1688"/>
      <c r="JDB28" s="1688"/>
      <c r="JDC28" s="1688"/>
      <c r="JDD28" s="1688"/>
      <c r="JDE28" s="1688"/>
      <c r="JDF28" s="1688"/>
      <c r="JDG28" s="1688"/>
      <c r="JDH28" s="1688"/>
      <c r="JDI28" s="1688"/>
      <c r="JDJ28" s="1688"/>
      <c r="JDK28" s="1688"/>
      <c r="JDL28" s="1688"/>
      <c r="JDM28" s="1688"/>
      <c r="JDN28" s="1688"/>
      <c r="JDO28" s="1688"/>
      <c r="JDP28" s="1688"/>
      <c r="JDQ28" s="1688"/>
      <c r="JDR28" s="1688"/>
      <c r="JDS28" s="1688"/>
      <c r="JDT28" s="1688"/>
      <c r="JDU28" s="1688"/>
      <c r="JDV28" s="1688"/>
      <c r="JDW28" s="1688"/>
      <c r="JDX28" s="1688"/>
      <c r="JDY28" s="1688"/>
      <c r="JDZ28" s="1688"/>
      <c r="JEA28" s="1688"/>
      <c r="JEB28" s="1688"/>
      <c r="JEC28" s="1688"/>
      <c r="JED28" s="1688"/>
      <c r="JEE28" s="1688"/>
      <c r="JEF28" s="1688"/>
      <c r="JEG28" s="1688"/>
      <c r="JEH28" s="1688"/>
      <c r="JEI28" s="1688"/>
      <c r="JEJ28" s="1688"/>
      <c r="JEK28" s="1688"/>
      <c r="JEL28" s="1688"/>
      <c r="JEM28" s="1688"/>
      <c r="JEN28" s="1688"/>
      <c r="JEO28" s="1688"/>
      <c r="JEP28" s="1688"/>
      <c r="JEQ28" s="1688"/>
      <c r="JER28" s="1688"/>
      <c r="JES28" s="1688"/>
      <c r="JET28" s="1688"/>
      <c r="JEU28" s="1688"/>
      <c r="JEV28" s="1688"/>
      <c r="JEW28" s="1688"/>
      <c r="JEX28" s="1688"/>
      <c r="JEY28" s="1688"/>
      <c r="JEZ28" s="1688"/>
      <c r="JFA28" s="1688"/>
      <c r="JFB28" s="1688"/>
      <c r="JFC28" s="1688"/>
      <c r="JFD28" s="1688"/>
      <c r="JFE28" s="1688"/>
      <c r="JFF28" s="1688"/>
      <c r="JFG28" s="1688"/>
      <c r="JFH28" s="1688"/>
      <c r="JFI28" s="1688"/>
      <c r="JFJ28" s="1688"/>
      <c r="JFK28" s="1688"/>
      <c r="JFL28" s="1688"/>
      <c r="JFM28" s="1688"/>
      <c r="JFN28" s="1688"/>
      <c r="JFO28" s="1688"/>
      <c r="JFP28" s="1688"/>
      <c r="JFQ28" s="1688"/>
      <c r="JFR28" s="1688"/>
      <c r="JFS28" s="1688"/>
      <c r="JFT28" s="1688"/>
      <c r="JFU28" s="1688"/>
      <c r="JFV28" s="1688"/>
      <c r="JFW28" s="1688"/>
      <c r="JFX28" s="1688"/>
      <c r="JFY28" s="1688"/>
      <c r="JFZ28" s="1688"/>
      <c r="JGA28" s="1688"/>
      <c r="JGB28" s="1688"/>
      <c r="JGC28" s="1688"/>
      <c r="JGD28" s="1688"/>
      <c r="JGE28" s="1688"/>
      <c r="JGF28" s="1688"/>
      <c r="JGG28" s="1688"/>
      <c r="JGH28" s="1688"/>
      <c r="JGI28" s="1688"/>
      <c r="JGJ28" s="1688"/>
      <c r="JGK28" s="1688"/>
      <c r="JGL28" s="1688"/>
      <c r="JGM28" s="1688"/>
      <c r="JGN28" s="1688"/>
      <c r="JGO28" s="1688"/>
      <c r="JGP28" s="1688"/>
      <c r="JGQ28" s="1688"/>
      <c r="JGR28" s="1688"/>
      <c r="JGS28" s="1688"/>
      <c r="JGT28" s="1688"/>
      <c r="JGU28" s="1688"/>
      <c r="JGV28" s="1688"/>
      <c r="JGW28" s="1688"/>
      <c r="JGX28" s="1688"/>
      <c r="JGY28" s="1688"/>
      <c r="JGZ28" s="1688"/>
      <c r="JHA28" s="1688"/>
      <c r="JHB28" s="1688"/>
      <c r="JHC28" s="1688"/>
      <c r="JHD28" s="1688"/>
      <c r="JHE28" s="1688"/>
      <c r="JHF28" s="1688"/>
      <c r="JHG28" s="1688"/>
      <c r="JHH28" s="1688"/>
      <c r="JHI28" s="1688"/>
      <c r="JHJ28" s="1688"/>
      <c r="JHK28" s="1688"/>
      <c r="JHL28" s="1688"/>
      <c r="JHM28" s="1688"/>
      <c r="JHN28" s="1688"/>
      <c r="JHO28" s="1688"/>
      <c r="JHP28" s="1688"/>
      <c r="JHQ28" s="1688"/>
      <c r="JHR28" s="1688"/>
      <c r="JHS28" s="1688"/>
      <c r="JHT28" s="1688"/>
      <c r="JHU28" s="1688"/>
      <c r="JHV28" s="1688"/>
      <c r="JHW28" s="1688"/>
      <c r="JHX28" s="1688"/>
      <c r="JHY28" s="1688"/>
      <c r="JHZ28" s="1688"/>
      <c r="JIA28" s="1688"/>
      <c r="JIB28" s="1688"/>
      <c r="JIC28" s="1688"/>
      <c r="JID28" s="1688"/>
      <c r="JIE28" s="1688"/>
      <c r="JIF28" s="1688"/>
      <c r="JIG28" s="1688"/>
      <c r="JIH28" s="1688"/>
      <c r="JII28" s="1688"/>
      <c r="JIJ28" s="1688"/>
      <c r="JIK28" s="1688"/>
      <c r="JIL28" s="1688"/>
      <c r="JIM28" s="1688"/>
      <c r="JIN28" s="1688"/>
      <c r="JIO28" s="1688"/>
      <c r="JIP28" s="1688"/>
      <c r="JIQ28" s="1688"/>
      <c r="JIR28" s="1688"/>
      <c r="JIS28" s="1688"/>
      <c r="JIT28" s="1688"/>
      <c r="JIU28" s="1688"/>
      <c r="JIV28" s="1688"/>
      <c r="JIW28" s="1688"/>
      <c r="JIX28" s="1688"/>
      <c r="JIY28" s="1688"/>
      <c r="JIZ28" s="1688"/>
      <c r="JJA28" s="1688"/>
      <c r="JJB28" s="1688"/>
      <c r="JJC28" s="1688"/>
      <c r="JJD28" s="1688"/>
      <c r="JJE28" s="1688"/>
      <c r="JJF28" s="1688"/>
      <c r="JJG28" s="1688"/>
      <c r="JJH28" s="1688"/>
      <c r="JJI28" s="1688"/>
      <c r="JJJ28" s="1688"/>
      <c r="JJK28" s="1688"/>
      <c r="JJL28" s="1688"/>
      <c r="JJM28" s="1688"/>
      <c r="JJN28" s="1688"/>
      <c r="JJO28" s="1688"/>
      <c r="JJP28" s="1688"/>
      <c r="JJQ28" s="1688"/>
      <c r="JJR28" s="1688"/>
      <c r="JJS28" s="1688"/>
      <c r="JJT28" s="1688"/>
      <c r="JJU28" s="1688"/>
      <c r="JJV28" s="1688"/>
      <c r="JJW28" s="1688"/>
      <c r="JJX28" s="1688"/>
      <c r="JJY28" s="1688"/>
      <c r="JJZ28" s="1688"/>
      <c r="JKA28" s="1688"/>
      <c r="JKB28" s="1688"/>
      <c r="JKC28" s="1688"/>
      <c r="JKD28" s="1688"/>
      <c r="JKE28" s="1688"/>
      <c r="JKF28" s="1688"/>
      <c r="JKG28" s="1688"/>
      <c r="JKH28" s="1688"/>
      <c r="JKI28" s="1688"/>
      <c r="JKJ28" s="1688"/>
      <c r="JKK28" s="1688"/>
      <c r="JKL28" s="1688"/>
      <c r="JKM28" s="1688"/>
      <c r="JKN28" s="1688"/>
      <c r="JKO28" s="1688"/>
      <c r="JKP28" s="1688"/>
      <c r="JKQ28" s="1688"/>
      <c r="JKR28" s="1688"/>
      <c r="JKS28" s="1688"/>
      <c r="JKT28" s="1688"/>
      <c r="JKU28" s="1688"/>
      <c r="JKV28" s="1688"/>
      <c r="JKW28" s="1688"/>
      <c r="JKX28" s="1688"/>
      <c r="JKY28" s="1688"/>
      <c r="JKZ28" s="1688"/>
      <c r="JLA28" s="1688"/>
      <c r="JLB28" s="1688"/>
      <c r="JLC28" s="1688"/>
      <c r="JLD28" s="1688"/>
      <c r="JLE28" s="1688"/>
      <c r="JLF28" s="1688"/>
      <c r="JLG28" s="1688"/>
      <c r="JLH28" s="1688"/>
      <c r="JLI28" s="1688"/>
      <c r="JLJ28" s="1688"/>
      <c r="JLK28" s="1688"/>
      <c r="JLL28" s="1688"/>
      <c r="JLM28" s="1688"/>
      <c r="JLN28" s="1688"/>
      <c r="JLO28" s="1688"/>
      <c r="JLP28" s="1688"/>
      <c r="JLQ28" s="1688"/>
      <c r="JLR28" s="1688"/>
      <c r="JLS28" s="1688"/>
      <c r="JLT28" s="1688"/>
      <c r="JLU28" s="1688"/>
      <c r="JLV28" s="1688"/>
      <c r="JLW28" s="1688"/>
      <c r="JLX28" s="1688"/>
      <c r="JLY28" s="1688"/>
      <c r="JLZ28" s="1688"/>
      <c r="JMA28" s="1688"/>
      <c r="JMB28" s="1688"/>
      <c r="JMC28" s="1688"/>
      <c r="JMD28" s="1688"/>
      <c r="JME28" s="1688"/>
      <c r="JMF28" s="1688"/>
      <c r="JMG28" s="1688"/>
      <c r="JMH28" s="1688"/>
      <c r="JMI28" s="1688"/>
      <c r="JMJ28" s="1688"/>
      <c r="JMK28" s="1688"/>
      <c r="JML28" s="1688"/>
      <c r="JMM28" s="1688"/>
      <c r="JMN28" s="1688"/>
      <c r="JMO28" s="1688"/>
      <c r="JMP28" s="1688"/>
      <c r="JMQ28" s="1688"/>
      <c r="JMR28" s="1688"/>
      <c r="JMS28" s="1688"/>
      <c r="JMT28" s="1688"/>
      <c r="JMU28" s="1688"/>
      <c r="JMV28" s="1688"/>
      <c r="JMW28" s="1688"/>
      <c r="JMX28" s="1688"/>
      <c r="JMY28" s="1688"/>
      <c r="JMZ28" s="1688"/>
      <c r="JNA28" s="1688"/>
      <c r="JNB28" s="1688"/>
      <c r="JNC28" s="1688"/>
      <c r="JND28" s="1688"/>
      <c r="JNE28" s="1688"/>
      <c r="JNF28" s="1688"/>
      <c r="JNG28" s="1688"/>
      <c r="JNH28" s="1688"/>
      <c r="JNI28" s="1688"/>
      <c r="JNJ28" s="1688"/>
      <c r="JNK28" s="1688"/>
      <c r="JNL28" s="1688"/>
      <c r="JNM28" s="1688"/>
      <c r="JNN28" s="1688"/>
      <c r="JNO28" s="1688"/>
      <c r="JNP28" s="1688"/>
      <c r="JNQ28" s="1688"/>
      <c r="JNR28" s="1688"/>
      <c r="JNS28" s="1688"/>
      <c r="JNT28" s="1688"/>
      <c r="JNU28" s="1688"/>
      <c r="JNV28" s="1688"/>
      <c r="JNW28" s="1688"/>
      <c r="JNX28" s="1688"/>
      <c r="JNY28" s="1688"/>
      <c r="JNZ28" s="1688"/>
      <c r="JOA28" s="1688"/>
      <c r="JOB28" s="1688"/>
      <c r="JOC28" s="1688"/>
      <c r="JOD28" s="1688"/>
      <c r="JOE28" s="1688"/>
      <c r="JOF28" s="1688"/>
      <c r="JOG28" s="1688"/>
      <c r="JOH28" s="1688"/>
      <c r="JOI28" s="1688"/>
      <c r="JOJ28" s="1688"/>
      <c r="JOK28" s="1688"/>
      <c r="JOL28" s="1688"/>
      <c r="JOM28" s="1688"/>
      <c r="JON28" s="1688"/>
      <c r="JOO28" s="1688"/>
      <c r="JOP28" s="1688"/>
      <c r="JOQ28" s="1688"/>
      <c r="JOR28" s="1688"/>
      <c r="JOS28" s="1688"/>
      <c r="JOT28" s="1688"/>
      <c r="JOU28" s="1688"/>
      <c r="JOV28" s="1688"/>
      <c r="JOW28" s="1688"/>
      <c r="JOX28" s="1688"/>
      <c r="JOY28" s="1688"/>
      <c r="JOZ28" s="1688"/>
      <c r="JPA28" s="1688"/>
      <c r="JPB28" s="1688"/>
      <c r="JPC28" s="1688"/>
      <c r="JPD28" s="1688"/>
      <c r="JPE28" s="1688"/>
      <c r="JPF28" s="1688"/>
      <c r="JPG28" s="1688"/>
      <c r="JPH28" s="1688"/>
      <c r="JPI28" s="1688"/>
      <c r="JPJ28" s="1688"/>
      <c r="JPK28" s="1688"/>
      <c r="JPL28" s="1688"/>
      <c r="JPM28" s="1688"/>
      <c r="JPN28" s="1688"/>
      <c r="JPO28" s="1688"/>
      <c r="JPP28" s="1688"/>
      <c r="JPQ28" s="1688"/>
      <c r="JPR28" s="1688"/>
      <c r="JPS28" s="1688"/>
      <c r="JPT28" s="1688"/>
      <c r="JPU28" s="1688"/>
      <c r="JPV28" s="1688"/>
      <c r="JPW28" s="1688"/>
      <c r="JPX28" s="1688"/>
      <c r="JPY28" s="1688"/>
      <c r="JPZ28" s="1688"/>
      <c r="JQA28" s="1688"/>
      <c r="JQB28" s="1688"/>
      <c r="JQC28" s="1688"/>
      <c r="JQD28" s="1688"/>
      <c r="JQE28" s="1688"/>
      <c r="JQF28" s="1688"/>
      <c r="JQG28" s="1688"/>
      <c r="JQH28" s="1688"/>
      <c r="JQI28" s="1688"/>
      <c r="JQJ28" s="1688"/>
      <c r="JQK28" s="1688"/>
      <c r="JQL28" s="1688"/>
      <c r="JQM28" s="1688"/>
      <c r="JQN28" s="1688"/>
      <c r="JQO28" s="1688"/>
      <c r="JQP28" s="1688"/>
      <c r="JQQ28" s="1688"/>
      <c r="JQR28" s="1688"/>
      <c r="JQS28" s="1688"/>
      <c r="JQT28" s="1688"/>
      <c r="JQU28" s="1688"/>
      <c r="JQV28" s="1688"/>
      <c r="JQW28" s="1688"/>
      <c r="JQX28" s="1688"/>
      <c r="JQY28" s="1688"/>
      <c r="JQZ28" s="1688"/>
      <c r="JRA28" s="1688"/>
      <c r="JRB28" s="1688"/>
      <c r="JRC28" s="1688"/>
      <c r="JRD28" s="1688"/>
      <c r="JRE28" s="1688"/>
      <c r="JRF28" s="1688"/>
      <c r="JRG28" s="1688"/>
      <c r="JRH28" s="1688"/>
      <c r="JRI28" s="1688"/>
      <c r="JRJ28" s="1688"/>
      <c r="JRK28" s="1688"/>
      <c r="JRL28" s="1688"/>
      <c r="JRM28" s="1688"/>
      <c r="JRN28" s="1688"/>
      <c r="JRO28" s="1688"/>
      <c r="JRP28" s="1688"/>
      <c r="JRQ28" s="1688"/>
      <c r="JRR28" s="1688"/>
      <c r="JRS28" s="1688"/>
      <c r="JRT28" s="1688"/>
      <c r="JRU28" s="1688"/>
      <c r="JRV28" s="1688"/>
      <c r="JRW28" s="1688"/>
      <c r="JRX28" s="1688"/>
      <c r="JRY28" s="1688"/>
      <c r="JRZ28" s="1688"/>
      <c r="JSA28" s="1688"/>
      <c r="JSB28" s="1688"/>
      <c r="JSC28" s="1688"/>
      <c r="JSD28" s="1688"/>
      <c r="JSE28" s="1688"/>
      <c r="JSF28" s="1688"/>
      <c r="JSG28" s="1688"/>
      <c r="JSH28" s="1688"/>
      <c r="JSI28" s="1688"/>
      <c r="JSJ28" s="1688"/>
      <c r="JSK28" s="1688"/>
      <c r="JSL28" s="1688"/>
      <c r="JSM28" s="1688"/>
      <c r="JSN28" s="1688"/>
      <c r="JSO28" s="1688"/>
      <c r="JSP28" s="1688"/>
      <c r="JSQ28" s="1688"/>
      <c r="JSR28" s="1688"/>
      <c r="JSS28" s="1688"/>
      <c r="JST28" s="1688"/>
      <c r="JSU28" s="1688"/>
      <c r="JSV28" s="1688"/>
      <c r="JSW28" s="1688"/>
      <c r="JSX28" s="1688"/>
      <c r="JSY28" s="1688"/>
      <c r="JSZ28" s="1688"/>
      <c r="JTA28" s="1688"/>
      <c r="JTB28" s="1688"/>
      <c r="JTC28" s="1688"/>
      <c r="JTD28" s="1688"/>
      <c r="JTE28" s="1688"/>
      <c r="JTF28" s="1688"/>
      <c r="JTG28" s="1688"/>
      <c r="JTH28" s="1688"/>
      <c r="JTI28" s="1688"/>
      <c r="JTJ28" s="1688"/>
      <c r="JTK28" s="1688"/>
      <c r="JTL28" s="1688"/>
      <c r="JTM28" s="1688"/>
      <c r="JTN28" s="1688"/>
      <c r="JTO28" s="1688"/>
      <c r="JTP28" s="1688"/>
      <c r="JTQ28" s="1688"/>
      <c r="JTR28" s="1688"/>
      <c r="JTS28" s="1688"/>
      <c r="JTT28" s="1688"/>
      <c r="JTU28" s="1688"/>
      <c r="JTV28" s="1688"/>
      <c r="JTW28" s="1688"/>
      <c r="JTX28" s="1688"/>
      <c r="JTY28" s="1688"/>
      <c r="JTZ28" s="1688"/>
      <c r="JUA28" s="1688"/>
      <c r="JUB28" s="1688"/>
      <c r="JUC28" s="1688"/>
      <c r="JUD28" s="1688"/>
      <c r="JUE28" s="1688"/>
      <c r="JUF28" s="1688"/>
      <c r="JUG28" s="1688"/>
      <c r="JUH28" s="1688"/>
      <c r="JUI28" s="1688"/>
      <c r="JUJ28" s="1688"/>
      <c r="JUK28" s="1688"/>
      <c r="JUL28" s="1688"/>
      <c r="JUM28" s="1688"/>
      <c r="JUN28" s="1688"/>
      <c r="JUO28" s="1688"/>
      <c r="JUP28" s="1688"/>
      <c r="JUQ28" s="1688"/>
      <c r="JUR28" s="1688"/>
      <c r="JUS28" s="1688"/>
      <c r="JUT28" s="1688"/>
      <c r="JUU28" s="1688"/>
      <c r="JUV28" s="1688"/>
      <c r="JUW28" s="1688"/>
      <c r="JUX28" s="1688"/>
      <c r="JUY28" s="1688"/>
      <c r="JUZ28" s="1688"/>
      <c r="JVA28" s="1688"/>
      <c r="JVB28" s="1688"/>
      <c r="JVC28" s="1688"/>
      <c r="JVD28" s="1688"/>
      <c r="JVE28" s="1688"/>
      <c r="JVF28" s="1688"/>
      <c r="JVG28" s="1688"/>
      <c r="JVH28" s="1688"/>
      <c r="JVI28" s="1688"/>
      <c r="JVJ28" s="1688"/>
      <c r="JVK28" s="1688"/>
      <c r="JVL28" s="1688"/>
      <c r="JVM28" s="1688"/>
      <c r="JVN28" s="1688"/>
      <c r="JVO28" s="1688"/>
      <c r="JVP28" s="1688"/>
      <c r="JVQ28" s="1688"/>
      <c r="JVR28" s="1688"/>
      <c r="JVS28" s="1688"/>
      <c r="JVT28" s="1688"/>
      <c r="JVU28" s="1688"/>
      <c r="JVV28" s="1688"/>
      <c r="JVW28" s="1688"/>
      <c r="JVX28" s="1688"/>
      <c r="JVY28" s="1688"/>
      <c r="JVZ28" s="1688"/>
      <c r="JWA28" s="1688"/>
      <c r="JWB28" s="1688"/>
      <c r="JWC28" s="1688"/>
      <c r="JWD28" s="1688"/>
      <c r="JWE28" s="1688"/>
      <c r="JWF28" s="1688"/>
      <c r="JWG28" s="1688"/>
      <c r="JWH28" s="1688"/>
      <c r="JWI28" s="1688"/>
      <c r="JWJ28" s="1688"/>
      <c r="JWK28" s="1688"/>
      <c r="JWL28" s="1688"/>
      <c r="JWM28" s="1688"/>
      <c r="JWN28" s="1688"/>
      <c r="JWO28" s="1688"/>
      <c r="JWP28" s="1688"/>
      <c r="JWQ28" s="1688"/>
      <c r="JWR28" s="1688"/>
      <c r="JWS28" s="1688"/>
      <c r="JWT28" s="1688"/>
      <c r="JWU28" s="1688"/>
      <c r="JWV28" s="1688"/>
      <c r="JWW28" s="1688"/>
      <c r="JWX28" s="1688"/>
      <c r="JWY28" s="1688"/>
      <c r="JWZ28" s="1688"/>
      <c r="JXA28" s="1688"/>
      <c r="JXB28" s="1688"/>
      <c r="JXC28" s="1688"/>
      <c r="JXD28" s="1688"/>
      <c r="JXE28" s="1688"/>
      <c r="JXF28" s="1688"/>
      <c r="JXG28" s="1688"/>
      <c r="JXH28" s="1688"/>
      <c r="JXI28" s="1688"/>
      <c r="JXJ28" s="1688"/>
      <c r="JXK28" s="1688"/>
      <c r="JXL28" s="1688"/>
      <c r="JXM28" s="1688"/>
      <c r="JXN28" s="1688"/>
      <c r="JXO28" s="1688"/>
      <c r="JXP28" s="1688"/>
      <c r="JXQ28" s="1688"/>
      <c r="JXR28" s="1688"/>
      <c r="JXS28" s="1688"/>
      <c r="JXT28" s="1688"/>
      <c r="JXU28" s="1688"/>
      <c r="JXV28" s="1688"/>
      <c r="JXW28" s="1688"/>
      <c r="JXX28" s="1688"/>
      <c r="JXY28" s="1688"/>
      <c r="JXZ28" s="1688"/>
      <c r="JYA28" s="1688"/>
      <c r="JYB28" s="1688"/>
      <c r="JYC28" s="1688"/>
      <c r="JYD28" s="1688"/>
      <c r="JYE28" s="1688"/>
      <c r="JYF28" s="1688"/>
      <c r="JYG28" s="1688"/>
      <c r="JYH28" s="1688"/>
      <c r="JYI28" s="1688"/>
      <c r="JYJ28" s="1688"/>
      <c r="JYK28" s="1688"/>
      <c r="JYL28" s="1688"/>
      <c r="JYM28" s="1688"/>
      <c r="JYN28" s="1688"/>
      <c r="JYO28" s="1688"/>
      <c r="JYP28" s="1688"/>
      <c r="JYQ28" s="1688"/>
      <c r="JYR28" s="1688"/>
      <c r="JYS28" s="1688"/>
      <c r="JYT28" s="1688"/>
      <c r="JYU28" s="1688"/>
      <c r="JYV28" s="1688"/>
      <c r="JYW28" s="1688"/>
      <c r="JYX28" s="1688"/>
      <c r="JYY28" s="1688"/>
      <c r="JYZ28" s="1688"/>
      <c r="JZA28" s="1688"/>
      <c r="JZB28" s="1688"/>
      <c r="JZC28" s="1688"/>
      <c r="JZD28" s="1688"/>
      <c r="JZE28" s="1688"/>
      <c r="JZF28" s="1688"/>
      <c r="JZG28" s="1688"/>
      <c r="JZH28" s="1688"/>
      <c r="JZI28" s="1688"/>
      <c r="JZJ28" s="1688"/>
      <c r="JZK28" s="1688"/>
      <c r="JZL28" s="1688"/>
      <c r="JZM28" s="1688"/>
      <c r="JZN28" s="1688"/>
      <c r="JZO28" s="1688"/>
      <c r="JZP28" s="1688"/>
      <c r="JZQ28" s="1688"/>
      <c r="JZR28" s="1688"/>
      <c r="JZS28" s="1688"/>
      <c r="JZT28" s="1688"/>
      <c r="JZU28" s="1688"/>
      <c r="JZV28" s="1688"/>
      <c r="JZW28" s="1688"/>
      <c r="JZX28" s="1688"/>
      <c r="JZY28" s="1688"/>
      <c r="JZZ28" s="1688"/>
      <c r="KAA28" s="1688"/>
      <c r="KAB28" s="1688"/>
      <c r="KAC28" s="1688"/>
      <c r="KAD28" s="1688"/>
      <c r="KAE28" s="1688"/>
      <c r="KAF28" s="1688"/>
      <c r="KAG28" s="1688"/>
      <c r="KAH28" s="1688"/>
      <c r="KAI28" s="1688"/>
      <c r="KAJ28" s="1688"/>
      <c r="KAK28" s="1688"/>
      <c r="KAL28" s="1688"/>
      <c r="KAM28" s="1688"/>
      <c r="KAN28" s="1688"/>
      <c r="KAO28" s="1688"/>
      <c r="KAP28" s="1688"/>
      <c r="KAQ28" s="1688"/>
      <c r="KAR28" s="1688"/>
      <c r="KAS28" s="1688"/>
      <c r="KAT28" s="1688"/>
      <c r="KAU28" s="1688"/>
      <c r="KAV28" s="1688"/>
      <c r="KAW28" s="1688"/>
      <c r="KAX28" s="1688"/>
      <c r="KAY28" s="1688"/>
      <c r="KAZ28" s="1688"/>
      <c r="KBA28" s="1688"/>
      <c r="KBB28" s="1688"/>
      <c r="KBC28" s="1688"/>
      <c r="KBD28" s="1688"/>
      <c r="KBE28" s="1688"/>
      <c r="KBF28" s="1688"/>
      <c r="KBG28" s="1688"/>
      <c r="KBH28" s="1688"/>
      <c r="KBI28" s="1688"/>
      <c r="KBJ28" s="1688"/>
      <c r="KBK28" s="1688"/>
      <c r="KBL28" s="1688"/>
      <c r="KBM28" s="1688"/>
      <c r="KBN28" s="1688"/>
      <c r="KBO28" s="1688"/>
      <c r="KBP28" s="1688"/>
      <c r="KBQ28" s="1688"/>
      <c r="KBR28" s="1688"/>
      <c r="KBS28" s="1688"/>
      <c r="KBT28" s="1688"/>
      <c r="KBU28" s="1688"/>
      <c r="KBV28" s="1688"/>
      <c r="KBW28" s="1688"/>
      <c r="KBX28" s="1688"/>
      <c r="KBY28" s="1688"/>
      <c r="KBZ28" s="1688"/>
      <c r="KCA28" s="1688"/>
      <c r="KCB28" s="1688"/>
      <c r="KCC28" s="1688"/>
      <c r="KCD28" s="1688"/>
      <c r="KCE28" s="1688"/>
      <c r="KCF28" s="1688"/>
      <c r="KCG28" s="1688"/>
      <c r="KCH28" s="1688"/>
      <c r="KCI28" s="1688"/>
      <c r="KCJ28" s="1688"/>
      <c r="KCK28" s="1688"/>
      <c r="KCL28" s="1688"/>
      <c r="KCM28" s="1688"/>
      <c r="KCN28" s="1688"/>
      <c r="KCO28" s="1688"/>
      <c r="KCP28" s="1688"/>
      <c r="KCQ28" s="1688"/>
      <c r="KCR28" s="1688"/>
      <c r="KCS28" s="1688"/>
      <c r="KCT28" s="1688"/>
      <c r="KCU28" s="1688"/>
      <c r="KCV28" s="1688"/>
      <c r="KCW28" s="1688"/>
      <c r="KCX28" s="1688"/>
      <c r="KCY28" s="1688"/>
      <c r="KCZ28" s="1688"/>
      <c r="KDA28" s="1688"/>
      <c r="KDB28" s="1688"/>
      <c r="KDC28" s="1688"/>
      <c r="KDD28" s="1688"/>
      <c r="KDE28" s="1688"/>
      <c r="KDF28" s="1688"/>
      <c r="KDG28" s="1688"/>
      <c r="KDH28" s="1688"/>
      <c r="KDI28" s="1688"/>
      <c r="KDJ28" s="1688"/>
      <c r="KDK28" s="1688"/>
      <c r="KDL28" s="1688"/>
      <c r="KDM28" s="1688"/>
      <c r="KDN28" s="1688"/>
      <c r="KDO28" s="1688"/>
      <c r="KDP28" s="1688"/>
      <c r="KDQ28" s="1688"/>
      <c r="KDR28" s="1688"/>
      <c r="KDS28" s="1688"/>
      <c r="KDT28" s="1688"/>
      <c r="KDU28" s="1688"/>
      <c r="KDV28" s="1688"/>
      <c r="KDW28" s="1688"/>
      <c r="KDX28" s="1688"/>
      <c r="KDY28" s="1688"/>
      <c r="KDZ28" s="1688"/>
      <c r="KEA28" s="1688"/>
      <c r="KEB28" s="1688"/>
      <c r="KEC28" s="1688"/>
      <c r="KED28" s="1688"/>
      <c r="KEE28" s="1688"/>
      <c r="KEF28" s="1688"/>
      <c r="KEG28" s="1688"/>
      <c r="KEH28" s="1688"/>
      <c r="KEI28" s="1688"/>
      <c r="KEJ28" s="1688"/>
      <c r="KEK28" s="1688"/>
      <c r="KEL28" s="1688"/>
      <c r="KEM28" s="1688"/>
      <c r="KEN28" s="1688"/>
      <c r="KEO28" s="1688"/>
      <c r="KEP28" s="1688"/>
      <c r="KEQ28" s="1688"/>
      <c r="KER28" s="1688"/>
      <c r="KES28" s="1688"/>
      <c r="KET28" s="1688"/>
      <c r="KEU28" s="1688"/>
      <c r="KEV28" s="1688"/>
      <c r="KEW28" s="1688"/>
      <c r="KEX28" s="1688"/>
      <c r="KEY28" s="1688"/>
      <c r="KEZ28" s="1688"/>
      <c r="KFA28" s="1688"/>
      <c r="KFB28" s="1688"/>
      <c r="KFC28" s="1688"/>
      <c r="KFD28" s="1688"/>
      <c r="KFE28" s="1688"/>
      <c r="KFF28" s="1688"/>
      <c r="KFG28" s="1688"/>
      <c r="KFH28" s="1688"/>
      <c r="KFI28" s="1688"/>
      <c r="KFJ28" s="1688"/>
      <c r="KFK28" s="1688"/>
      <c r="KFL28" s="1688"/>
      <c r="KFM28" s="1688"/>
      <c r="KFN28" s="1688"/>
      <c r="KFO28" s="1688"/>
      <c r="KFP28" s="1688"/>
      <c r="KFQ28" s="1688"/>
      <c r="KFR28" s="1688"/>
      <c r="KFS28" s="1688"/>
      <c r="KFT28" s="1688"/>
      <c r="KFU28" s="1688"/>
      <c r="KFV28" s="1688"/>
      <c r="KFW28" s="1688"/>
      <c r="KFX28" s="1688"/>
      <c r="KFY28" s="1688"/>
      <c r="KFZ28" s="1688"/>
      <c r="KGA28" s="1688"/>
      <c r="KGB28" s="1688"/>
      <c r="KGC28" s="1688"/>
      <c r="KGD28" s="1688"/>
      <c r="KGE28" s="1688"/>
      <c r="KGF28" s="1688"/>
      <c r="KGG28" s="1688"/>
      <c r="KGH28" s="1688"/>
      <c r="KGI28" s="1688"/>
      <c r="KGJ28" s="1688"/>
      <c r="KGK28" s="1688"/>
      <c r="KGL28" s="1688"/>
      <c r="KGM28" s="1688"/>
      <c r="KGN28" s="1688"/>
      <c r="KGO28" s="1688"/>
      <c r="KGP28" s="1688"/>
      <c r="KGQ28" s="1688"/>
      <c r="KGR28" s="1688"/>
      <c r="KGS28" s="1688"/>
      <c r="KGT28" s="1688"/>
      <c r="KGU28" s="1688"/>
      <c r="KGV28" s="1688"/>
      <c r="KGW28" s="1688"/>
      <c r="KGX28" s="1688"/>
      <c r="KGY28" s="1688"/>
      <c r="KGZ28" s="1688"/>
      <c r="KHA28" s="1688"/>
      <c r="KHB28" s="1688"/>
      <c r="KHC28" s="1688"/>
      <c r="KHD28" s="1688"/>
      <c r="KHE28" s="1688"/>
      <c r="KHF28" s="1688"/>
      <c r="KHG28" s="1688"/>
      <c r="KHH28" s="1688"/>
      <c r="KHI28" s="1688"/>
      <c r="KHJ28" s="1688"/>
      <c r="KHK28" s="1688"/>
      <c r="KHL28" s="1688"/>
      <c r="KHM28" s="1688"/>
      <c r="KHN28" s="1688"/>
      <c r="KHO28" s="1688"/>
      <c r="KHP28" s="1688"/>
      <c r="KHQ28" s="1688"/>
      <c r="KHR28" s="1688"/>
      <c r="KHS28" s="1688"/>
      <c r="KHT28" s="1688"/>
      <c r="KHU28" s="1688"/>
      <c r="KHV28" s="1688"/>
      <c r="KHW28" s="1688"/>
      <c r="KHX28" s="1688"/>
      <c r="KHY28" s="1688"/>
      <c r="KHZ28" s="1688"/>
      <c r="KIA28" s="1688"/>
      <c r="KIB28" s="1688"/>
      <c r="KIC28" s="1688"/>
      <c r="KID28" s="1688"/>
      <c r="KIE28" s="1688"/>
      <c r="KIF28" s="1688"/>
      <c r="KIG28" s="1688"/>
      <c r="KIH28" s="1688"/>
      <c r="KII28" s="1688"/>
      <c r="KIJ28" s="1688"/>
      <c r="KIK28" s="1688"/>
      <c r="KIL28" s="1688"/>
      <c r="KIM28" s="1688"/>
      <c r="KIN28" s="1688"/>
      <c r="KIO28" s="1688"/>
      <c r="KIP28" s="1688"/>
      <c r="KIQ28" s="1688"/>
      <c r="KIR28" s="1688"/>
      <c r="KIS28" s="1688"/>
      <c r="KIT28" s="1688"/>
      <c r="KIU28" s="1688"/>
      <c r="KIV28" s="1688"/>
      <c r="KIW28" s="1688"/>
      <c r="KIX28" s="1688"/>
      <c r="KIY28" s="1688"/>
      <c r="KIZ28" s="1688"/>
      <c r="KJA28" s="1688"/>
      <c r="KJB28" s="1688"/>
      <c r="KJC28" s="1688"/>
      <c r="KJD28" s="1688"/>
      <c r="KJE28" s="1688"/>
      <c r="KJF28" s="1688"/>
      <c r="KJG28" s="1688"/>
      <c r="KJH28" s="1688"/>
      <c r="KJI28" s="1688"/>
      <c r="KJJ28" s="1688"/>
      <c r="KJK28" s="1688"/>
      <c r="KJL28" s="1688"/>
      <c r="KJM28" s="1688"/>
      <c r="KJN28" s="1688"/>
      <c r="KJO28" s="1688"/>
      <c r="KJP28" s="1688"/>
      <c r="KJQ28" s="1688"/>
      <c r="KJR28" s="1688"/>
      <c r="KJS28" s="1688"/>
      <c r="KJT28" s="1688"/>
      <c r="KJU28" s="1688"/>
      <c r="KJV28" s="1688"/>
      <c r="KJW28" s="1688"/>
      <c r="KJX28" s="1688"/>
      <c r="KJY28" s="1688"/>
      <c r="KJZ28" s="1688"/>
      <c r="KKA28" s="1688"/>
      <c r="KKB28" s="1688"/>
      <c r="KKC28" s="1688"/>
      <c r="KKD28" s="1688"/>
      <c r="KKE28" s="1688"/>
      <c r="KKF28" s="1688"/>
      <c r="KKG28" s="1688"/>
      <c r="KKH28" s="1688"/>
      <c r="KKI28" s="1688"/>
      <c r="KKJ28" s="1688"/>
      <c r="KKK28" s="1688"/>
      <c r="KKL28" s="1688"/>
      <c r="KKM28" s="1688"/>
      <c r="KKN28" s="1688"/>
      <c r="KKO28" s="1688"/>
      <c r="KKP28" s="1688"/>
      <c r="KKQ28" s="1688"/>
      <c r="KKR28" s="1688"/>
      <c r="KKS28" s="1688"/>
      <c r="KKT28" s="1688"/>
      <c r="KKU28" s="1688"/>
      <c r="KKV28" s="1688"/>
      <c r="KKW28" s="1688"/>
      <c r="KKX28" s="1688"/>
      <c r="KKY28" s="1688"/>
      <c r="KKZ28" s="1688"/>
      <c r="KLA28" s="1688"/>
      <c r="KLB28" s="1688"/>
      <c r="KLC28" s="1688"/>
      <c r="KLD28" s="1688"/>
      <c r="KLE28" s="1688"/>
      <c r="KLF28" s="1688"/>
      <c r="KLG28" s="1688"/>
      <c r="KLH28" s="1688"/>
      <c r="KLI28" s="1688"/>
      <c r="KLJ28" s="1688"/>
      <c r="KLK28" s="1688"/>
      <c r="KLL28" s="1688"/>
      <c r="KLM28" s="1688"/>
      <c r="KLN28" s="1688"/>
      <c r="KLO28" s="1688"/>
      <c r="KLP28" s="1688"/>
      <c r="KLQ28" s="1688"/>
      <c r="KLR28" s="1688"/>
      <c r="KLS28" s="1688"/>
      <c r="KLT28" s="1688"/>
      <c r="KLU28" s="1688"/>
      <c r="KLV28" s="1688"/>
      <c r="KLW28" s="1688"/>
      <c r="KLX28" s="1688"/>
      <c r="KLY28" s="1688"/>
      <c r="KLZ28" s="1688"/>
      <c r="KMA28" s="1688"/>
      <c r="KMB28" s="1688"/>
      <c r="KMC28" s="1688"/>
      <c r="KMD28" s="1688"/>
      <c r="KME28" s="1688"/>
      <c r="KMF28" s="1688"/>
      <c r="KMG28" s="1688"/>
      <c r="KMH28" s="1688"/>
      <c r="KMI28" s="1688"/>
      <c r="KMJ28" s="1688"/>
      <c r="KMK28" s="1688"/>
      <c r="KML28" s="1688"/>
      <c r="KMM28" s="1688"/>
      <c r="KMN28" s="1688"/>
      <c r="KMO28" s="1688"/>
      <c r="KMP28" s="1688"/>
      <c r="KMQ28" s="1688"/>
      <c r="KMR28" s="1688"/>
      <c r="KMS28" s="1688"/>
      <c r="KMT28" s="1688"/>
      <c r="KMU28" s="1688"/>
      <c r="KMV28" s="1688"/>
      <c r="KMW28" s="1688"/>
      <c r="KMX28" s="1688"/>
      <c r="KMY28" s="1688"/>
      <c r="KMZ28" s="1688"/>
      <c r="KNA28" s="1688"/>
      <c r="KNB28" s="1688"/>
      <c r="KNC28" s="1688"/>
      <c r="KND28" s="1688"/>
      <c r="KNE28" s="1688"/>
      <c r="KNF28" s="1688"/>
      <c r="KNG28" s="1688"/>
      <c r="KNH28" s="1688"/>
      <c r="KNI28" s="1688"/>
      <c r="KNJ28" s="1688"/>
      <c r="KNK28" s="1688"/>
      <c r="KNL28" s="1688"/>
      <c r="KNM28" s="1688"/>
      <c r="KNN28" s="1688"/>
      <c r="KNO28" s="1688"/>
      <c r="KNP28" s="1688"/>
      <c r="KNQ28" s="1688"/>
      <c r="KNR28" s="1688"/>
      <c r="KNS28" s="1688"/>
      <c r="KNT28" s="1688"/>
      <c r="KNU28" s="1688"/>
      <c r="KNV28" s="1688"/>
      <c r="KNW28" s="1688"/>
      <c r="KNX28" s="1688"/>
      <c r="KNY28" s="1688"/>
      <c r="KNZ28" s="1688"/>
      <c r="KOA28" s="1688"/>
      <c r="KOB28" s="1688"/>
      <c r="KOC28" s="1688"/>
      <c r="KOD28" s="1688"/>
      <c r="KOE28" s="1688"/>
      <c r="KOF28" s="1688"/>
      <c r="KOG28" s="1688"/>
      <c r="KOH28" s="1688"/>
      <c r="KOI28" s="1688"/>
      <c r="KOJ28" s="1688"/>
      <c r="KOK28" s="1688"/>
      <c r="KOL28" s="1688"/>
      <c r="KOM28" s="1688"/>
      <c r="KON28" s="1688"/>
      <c r="KOO28" s="1688"/>
      <c r="KOP28" s="1688"/>
      <c r="KOQ28" s="1688"/>
      <c r="KOR28" s="1688"/>
      <c r="KOS28" s="1688"/>
      <c r="KOT28" s="1688"/>
      <c r="KOU28" s="1688"/>
      <c r="KOV28" s="1688"/>
      <c r="KOW28" s="1688"/>
      <c r="KOX28" s="1688"/>
      <c r="KOY28" s="1688"/>
      <c r="KOZ28" s="1688"/>
      <c r="KPA28" s="1688"/>
      <c r="KPB28" s="1688"/>
      <c r="KPC28" s="1688"/>
      <c r="KPD28" s="1688"/>
      <c r="KPE28" s="1688"/>
      <c r="KPF28" s="1688"/>
      <c r="KPG28" s="1688"/>
      <c r="KPH28" s="1688"/>
      <c r="KPI28" s="1688"/>
      <c r="KPJ28" s="1688"/>
      <c r="KPK28" s="1688"/>
      <c r="KPL28" s="1688"/>
      <c r="KPM28" s="1688"/>
      <c r="KPN28" s="1688"/>
      <c r="KPO28" s="1688"/>
      <c r="KPP28" s="1688"/>
      <c r="KPQ28" s="1688"/>
      <c r="KPR28" s="1688"/>
      <c r="KPS28" s="1688"/>
      <c r="KPT28" s="1688"/>
      <c r="KPU28" s="1688"/>
      <c r="KPV28" s="1688"/>
      <c r="KPW28" s="1688"/>
      <c r="KPX28" s="1688"/>
      <c r="KPY28" s="1688"/>
      <c r="KPZ28" s="1688"/>
      <c r="KQA28" s="1688"/>
      <c r="KQB28" s="1688"/>
      <c r="KQC28" s="1688"/>
      <c r="KQD28" s="1688"/>
      <c r="KQE28" s="1688"/>
      <c r="KQF28" s="1688"/>
      <c r="KQG28" s="1688"/>
      <c r="KQH28" s="1688"/>
      <c r="KQI28" s="1688"/>
      <c r="KQJ28" s="1688"/>
      <c r="KQK28" s="1688"/>
      <c r="KQL28" s="1688"/>
      <c r="KQM28" s="1688"/>
      <c r="KQN28" s="1688"/>
      <c r="KQO28" s="1688"/>
      <c r="KQP28" s="1688"/>
      <c r="KQQ28" s="1688"/>
      <c r="KQR28" s="1688"/>
      <c r="KQS28" s="1688"/>
      <c r="KQT28" s="1688"/>
      <c r="KQU28" s="1688"/>
      <c r="KQV28" s="1688"/>
      <c r="KQW28" s="1688"/>
      <c r="KQX28" s="1688"/>
      <c r="KQY28" s="1688"/>
      <c r="KQZ28" s="1688"/>
      <c r="KRA28" s="1688"/>
      <c r="KRB28" s="1688"/>
      <c r="KRC28" s="1688"/>
      <c r="KRD28" s="1688"/>
      <c r="KRE28" s="1688"/>
      <c r="KRF28" s="1688"/>
      <c r="KRG28" s="1688"/>
      <c r="KRH28" s="1688"/>
      <c r="KRI28" s="1688"/>
      <c r="KRJ28" s="1688"/>
      <c r="KRK28" s="1688"/>
      <c r="KRL28" s="1688"/>
      <c r="KRM28" s="1688"/>
      <c r="KRN28" s="1688"/>
      <c r="KRO28" s="1688"/>
      <c r="KRP28" s="1688"/>
      <c r="KRQ28" s="1688"/>
      <c r="KRR28" s="1688"/>
      <c r="KRS28" s="1688"/>
      <c r="KRT28" s="1688"/>
      <c r="KRU28" s="1688"/>
      <c r="KRV28" s="1688"/>
      <c r="KRW28" s="1688"/>
      <c r="KRX28" s="1688"/>
      <c r="KRY28" s="1688"/>
      <c r="KRZ28" s="1688"/>
      <c r="KSA28" s="1688"/>
      <c r="KSB28" s="1688"/>
      <c r="KSC28" s="1688"/>
      <c r="KSD28" s="1688"/>
      <c r="KSE28" s="1688"/>
      <c r="KSF28" s="1688"/>
      <c r="KSG28" s="1688"/>
      <c r="KSH28" s="1688"/>
      <c r="KSI28" s="1688"/>
      <c r="KSJ28" s="1688"/>
      <c r="KSK28" s="1688"/>
      <c r="KSL28" s="1688"/>
      <c r="KSM28" s="1688"/>
      <c r="KSN28" s="1688"/>
      <c r="KSO28" s="1688"/>
      <c r="KSP28" s="1688"/>
      <c r="KSQ28" s="1688"/>
      <c r="KSR28" s="1688"/>
      <c r="KSS28" s="1688"/>
      <c r="KST28" s="1688"/>
      <c r="KSU28" s="1688"/>
      <c r="KSV28" s="1688"/>
      <c r="KSW28" s="1688"/>
      <c r="KSX28" s="1688"/>
      <c r="KSY28" s="1688"/>
      <c r="KSZ28" s="1688"/>
      <c r="KTA28" s="1688"/>
      <c r="KTB28" s="1688"/>
      <c r="KTC28" s="1688"/>
      <c r="KTD28" s="1688"/>
      <c r="KTE28" s="1688"/>
      <c r="KTF28" s="1688"/>
      <c r="KTG28" s="1688"/>
      <c r="KTH28" s="1688"/>
      <c r="KTI28" s="1688"/>
      <c r="KTJ28" s="1688"/>
      <c r="KTK28" s="1688"/>
      <c r="KTL28" s="1688"/>
      <c r="KTM28" s="1688"/>
      <c r="KTN28" s="1688"/>
      <c r="KTO28" s="1688"/>
      <c r="KTP28" s="1688"/>
      <c r="KTQ28" s="1688"/>
      <c r="KTR28" s="1688"/>
      <c r="KTS28" s="1688"/>
      <c r="KTT28" s="1688"/>
      <c r="KTU28" s="1688"/>
      <c r="KTV28" s="1688"/>
      <c r="KTW28" s="1688"/>
      <c r="KTX28" s="1688"/>
      <c r="KTY28" s="1688"/>
      <c r="KTZ28" s="1688"/>
      <c r="KUA28" s="1688"/>
      <c r="KUB28" s="1688"/>
      <c r="KUC28" s="1688"/>
      <c r="KUD28" s="1688"/>
      <c r="KUE28" s="1688"/>
      <c r="KUF28" s="1688"/>
      <c r="KUG28" s="1688"/>
      <c r="KUH28" s="1688"/>
      <c r="KUI28" s="1688"/>
      <c r="KUJ28" s="1688"/>
      <c r="KUK28" s="1688"/>
      <c r="KUL28" s="1688"/>
      <c r="KUM28" s="1688"/>
      <c r="KUN28" s="1688"/>
      <c r="KUO28" s="1688"/>
      <c r="KUP28" s="1688"/>
      <c r="KUQ28" s="1688"/>
      <c r="KUR28" s="1688"/>
      <c r="KUS28" s="1688"/>
      <c r="KUT28" s="1688"/>
      <c r="KUU28" s="1688"/>
      <c r="KUV28" s="1688"/>
      <c r="KUW28" s="1688"/>
      <c r="KUX28" s="1688"/>
      <c r="KUY28" s="1688"/>
      <c r="KUZ28" s="1688"/>
      <c r="KVA28" s="1688"/>
      <c r="KVB28" s="1688"/>
      <c r="KVC28" s="1688"/>
      <c r="KVD28" s="1688"/>
      <c r="KVE28" s="1688"/>
      <c r="KVF28" s="1688"/>
      <c r="KVG28" s="1688"/>
      <c r="KVH28" s="1688"/>
      <c r="KVI28" s="1688"/>
      <c r="KVJ28" s="1688"/>
      <c r="KVK28" s="1688"/>
      <c r="KVL28" s="1688"/>
      <c r="KVM28" s="1688"/>
      <c r="KVN28" s="1688"/>
      <c r="KVO28" s="1688"/>
      <c r="KVP28" s="1688"/>
      <c r="KVQ28" s="1688"/>
      <c r="KVR28" s="1688"/>
      <c r="KVS28" s="1688"/>
      <c r="KVT28" s="1688"/>
      <c r="KVU28" s="1688"/>
      <c r="KVV28" s="1688"/>
      <c r="KVW28" s="1688"/>
      <c r="KVX28" s="1688"/>
      <c r="KVY28" s="1688"/>
      <c r="KVZ28" s="1688"/>
      <c r="KWA28" s="1688"/>
      <c r="KWB28" s="1688"/>
      <c r="KWC28" s="1688"/>
      <c r="KWD28" s="1688"/>
      <c r="KWE28" s="1688"/>
      <c r="KWF28" s="1688"/>
      <c r="KWG28" s="1688"/>
      <c r="KWH28" s="1688"/>
      <c r="KWI28" s="1688"/>
      <c r="KWJ28" s="1688"/>
      <c r="KWK28" s="1688"/>
      <c r="KWL28" s="1688"/>
      <c r="KWM28" s="1688"/>
      <c r="KWN28" s="1688"/>
      <c r="KWO28" s="1688"/>
      <c r="KWP28" s="1688"/>
      <c r="KWQ28" s="1688"/>
      <c r="KWR28" s="1688"/>
      <c r="KWS28" s="1688"/>
      <c r="KWT28" s="1688"/>
      <c r="KWU28" s="1688"/>
      <c r="KWV28" s="1688"/>
      <c r="KWW28" s="1688"/>
      <c r="KWX28" s="1688"/>
      <c r="KWY28" s="1688"/>
      <c r="KWZ28" s="1688"/>
      <c r="KXA28" s="1688"/>
      <c r="KXB28" s="1688"/>
      <c r="KXC28" s="1688"/>
      <c r="KXD28" s="1688"/>
      <c r="KXE28" s="1688"/>
      <c r="KXF28" s="1688"/>
      <c r="KXG28" s="1688"/>
      <c r="KXH28" s="1688"/>
      <c r="KXI28" s="1688"/>
      <c r="KXJ28" s="1688"/>
      <c r="KXK28" s="1688"/>
      <c r="KXL28" s="1688"/>
      <c r="KXM28" s="1688"/>
      <c r="KXN28" s="1688"/>
      <c r="KXO28" s="1688"/>
      <c r="KXP28" s="1688"/>
      <c r="KXQ28" s="1688"/>
      <c r="KXR28" s="1688"/>
      <c r="KXS28" s="1688"/>
      <c r="KXT28" s="1688"/>
      <c r="KXU28" s="1688"/>
      <c r="KXV28" s="1688"/>
      <c r="KXW28" s="1688"/>
      <c r="KXX28" s="1688"/>
      <c r="KXY28" s="1688"/>
      <c r="KXZ28" s="1688"/>
      <c r="KYA28" s="1688"/>
      <c r="KYB28" s="1688"/>
      <c r="KYC28" s="1688"/>
      <c r="KYD28" s="1688"/>
      <c r="KYE28" s="1688"/>
      <c r="KYF28" s="1688"/>
      <c r="KYG28" s="1688"/>
      <c r="KYH28" s="1688"/>
      <c r="KYI28" s="1688"/>
      <c r="KYJ28" s="1688"/>
      <c r="KYK28" s="1688"/>
      <c r="KYL28" s="1688"/>
      <c r="KYM28" s="1688"/>
      <c r="KYN28" s="1688"/>
      <c r="KYO28" s="1688"/>
      <c r="KYP28" s="1688"/>
      <c r="KYQ28" s="1688"/>
      <c r="KYR28" s="1688"/>
      <c r="KYS28" s="1688"/>
      <c r="KYT28" s="1688"/>
      <c r="KYU28" s="1688"/>
      <c r="KYV28" s="1688"/>
      <c r="KYW28" s="1688"/>
      <c r="KYX28" s="1688"/>
      <c r="KYY28" s="1688"/>
      <c r="KYZ28" s="1688"/>
      <c r="KZA28" s="1688"/>
      <c r="KZB28" s="1688"/>
      <c r="KZC28" s="1688"/>
      <c r="KZD28" s="1688"/>
      <c r="KZE28" s="1688"/>
      <c r="KZF28" s="1688"/>
      <c r="KZG28" s="1688"/>
      <c r="KZH28" s="1688"/>
      <c r="KZI28" s="1688"/>
      <c r="KZJ28" s="1688"/>
      <c r="KZK28" s="1688"/>
      <c r="KZL28" s="1688"/>
      <c r="KZM28" s="1688"/>
      <c r="KZN28" s="1688"/>
      <c r="KZO28" s="1688"/>
      <c r="KZP28" s="1688"/>
      <c r="KZQ28" s="1688"/>
      <c r="KZR28" s="1688"/>
      <c r="KZS28" s="1688"/>
      <c r="KZT28" s="1688"/>
      <c r="KZU28" s="1688"/>
      <c r="KZV28" s="1688"/>
      <c r="KZW28" s="1688"/>
      <c r="KZX28" s="1688"/>
      <c r="KZY28" s="1688"/>
      <c r="KZZ28" s="1688"/>
      <c r="LAA28" s="1688"/>
      <c r="LAB28" s="1688"/>
      <c r="LAC28" s="1688"/>
      <c r="LAD28" s="1688"/>
      <c r="LAE28" s="1688"/>
      <c r="LAF28" s="1688"/>
      <c r="LAG28" s="1688"/>
      <c r="LAH28" s="1688"/>
      <c r="LAI28" s="1688"/>
      <c r="LAJ28" s="1688"/>
      <c r="LAK28" s="1688"/>
      <c r="LAL28" s="1688"/>
      <c r="LAM28" s="1688"/>
      <c r="LAN28" s="1688"/>
      <c r="LAO28" s="1688"/>
      <c r="LAP28" s="1688"/>
      <c r="LAQ28" s="1688"/>
      <c r="LAR28" s="1688"/>
      <c r="LAS28" s="1688"/>
      <c r="LAT28" s="1688"/>
      <c r="LAU28" s="1688"/>
      <c r="LAV28" s="1688"/>
      <c r="LAW28" s="1688"/>
      <c r="LAX28" s="1688"/>
      <c r="LAY28" s="1688"/>
      <c r="LAZ28" s="1688"/>
      <c r="LBA28" s="1688"/>
      <c r="LBB28" s="1688"/>
      <c r="LBC28" s="1688"/>
      <c r="LBD28" s="1688"/>
      <c r="LBE28" s="1688"/>
      <c r="LBF28" s="1688"/>
      <c r="LBG28" s="1688"/>
      <c r="LBH28" s="1688"/>
      <c r="LBI28" s="1688"/>
      <c r="LBJ28" s="1688"/>
      <c r="LBK28" s="1688"/>
      <c r="LBL28" s="1688"/>
      <c r="LBM28" s="1688"/>
      <c r="LBN28" s="1688"/>
      <c r="LBO28" s="1688"/>
      <c r="LBP28" s="1688"/>
      <c r="LBQ28" s="1688"/>
      <c r="LBR28" s="1688"/>
      <c r="LBS28" s="1688"/>
      <c r="LBT28" s="1688"/>
      <c r="LBU28" s="1688"/>
      <c r="LBV28" s="1688"/>
      <c r="LBW28" s="1688"/>
      <c r="LBX28" s="1688"/>
      <c r="LBY28" s="1688"/>
      <c r="LBZ28" s="1688"/>
      <c r="LCA28" s="1688"/>
      <c r="LCB28" s="1688"/>
      <c r="LCC28" s="1688"/>
      <c r="LCD28" s="1688"/>
      <c r="LCE28" s="1688"/>
      <c r="LCF28" s="1688"/>
      <c r="LCG28" s="1688"/>
      <c r="LCH28" s="1688"/>
      <c r="LCI28" s="1688"/>
      <c r="LCJ28" s="1688"/>
      <c r="LCK28" s="1688"/>
      <c r="LCL28" s="1688"/>
      <c r="LCM28" s="1688"/>
      <c r="LCN28" s="1688"/>
      <c r="LCO28" s="1688"/>
      <c r="LCP28" s="1688"/>
      <c r="LCQ28" s="1688"/>
      <c r="LCR28" s="1688"/>
      <c r="LCS28" s="1688"/>
      <c r="LCT28" s="1688"/>
      <c r="LCU28" s="1688"/>
      <c r="LCV28" s="1688"/>
      <c r="LCW28" s="1688"/>
      <c r="LCX28" s="1688"/>
      <c r="LCY28" s="1688"/>
      <c r="LCZ28" s="1688"/>
      <c r="LDA28" s="1688"/>
      <c r="LDB28" s="1688"/>
      <c r="LDC28" s="1688"/>
      <c r="LDD28" s="1688"/>
      <c r="LDE28" s="1688"/>
      <c r="LDF28" s="1688"/>
      <c r="LDG28" s="1688"/>
      <c r="LDH28" s="1688"/>
      <c r="LDI28" s="1688"/>
      <c r="LDJ28" s="1688"/>
      <c r="LDK28" s="1688"/>
      <c r="LDL28" s="1688"/>
      <c r="LDM28" s="1688"/>
      <c r="LDN28" s="1688"/>
      <c r="LDO28" s="1688"/>
      <c r="LDP28" s="1688"/>
      <c r="LDQ28" s="1688"/>
      <c r="LDR28" s="1688"/>
      <c r="LDS28" s="1688"/>
      <c r="LDT28" s="1688"/>
      <c r="LDU28" s="1688"/>
      <c r="LDV28" s="1688"/>
      <c r="LDW28" s="1688"/>
      <c r="LDX28" s="1688"/>
      <c r="LDY28" s="1688"/>
      <c r="LDZ28" s="1688"/>
      <c r="LEA28" s="1688"/>
      <c r="LEB28" s="1688"/>
      <c r="LEC28" s="1688"/>
      <c r="LED28" s="1688"/>
      <c r="LEE28" s="1688"/>
      <c r="LEF28" s="1688"/>
      <c r="LEG28" s="1688"/>
      <c r="LEH28" s="1688"/>
      <c r="LEI28" s="1688"/>
      <c r="LEJ28" s="1688"/>
      <c r="LEK28" s="1688"/>
      <c r="LEL28" s="1688"/>
      <c r="LEM28" s="1688"/>
      <c r="LEN28" s="1688"/>
      <c r="LEO28" s="1688"/>
      <c r="LEP28" s="1688"/>
      <c r="LEQ28" s="1688"/>
      <c r="LER28" s="1688"/>
      <c r="LES28" s="1688"/>
      <c r="LET28" s="1688"/>
      <c r="LEU28" s="1688"/>
      <c r="LEV28" s="1688"/>
      <c r="LEW28" s="1688"/>
      <c r="LEX28" s="1688"/>
      <c r="LEY28" s="1688"/>
      <c r="LEZ28" s="1688"/>
      <c r="LFA28" s="1688"/>
      <c r="LFB28" s="1688"/>
      <c r="LFC28" s="1688"/>
      <c r="LFD28" s="1688"/>
      <c r="LFE28" s="1688"/>
      <c r="LFF28" s="1688"/>
      <c r="LFG28" s="1688"/>
      <c r="LFH28" s="1688"/>
      <c r="LFI28" s="1688"/>
      <c r="LFJ28" s="1688"/>
      <c r="LFK28" s="1688"/>
      <c r="LFL28" s="1688"/>
      <c r="LFM28" s="1688"/>
      <c r="LFN28" s="1688"/>
      <c r="LFO28" s="1688"/>
      <c r="LFP28" s="1688"/>
      <c r="LFQ28" s="1688"/>
      <c r="LFR28" s="1688"/>
      <c r="LFS28" s="1688"/>
      <c r="LFT28" s="1688"/>
      <c r="LFU28" s="1688"/>
      <c r="LFV28" s="1688"/>
      <c r="LFW28" s="1688"/>
      <c r="LFX28" s="1688"/>
      <c r="LFY28" s="1688"/>
      <c r="LFZ28" s="1688"/>
      <c r="LGA28" s="1688"/>
      <c r="LGB28" s="1688"/>
      <c r="LGC28" s="1688"/>
      <c r="LGD28" s="1688"/>
      <c r="LGE28" s="1688"/>
      <c r="LGF28" s="1688"/>
      <c r="LGG28" s="1688"/>
      <c r="LGH28" s="1688"/>
      <c r="LGI28" s="1688"/>
      <c r="LGJ28" s="1688"/>
      <c r="LGK28" s="1688"/>
      <c r="LGL28" s="1688"/>
      <c r="LGM28" s="1688"/>
      <c r="LGN28" s="1688"/>
      <c r="LGO28" s="1688"/>
      <c r="LGP28" s="1688"/>
      <c r="LGQ28" s="1688"/>
      <c r="LGR28" s="1688"/>
      <c r="LGS28" s="1688"/>
      <c r="LGT28" s="1688"/>
      <c r="LGU28" s="1688"/>
      <c r="LGV28" s="1688"/>
      <c r="LGW28" s="1688"/>
      <c r="LGX28" s="1688"/>
      <c r="LGY28" s="1688"/>
      <c r="LGZ28" s="1688"/>
      <c r="LHA28" s="1688"/>
      <c r="LHB28" s="1688"/>
      <c r="LHC28" s="1688"/>
      <c r="LHD28" s="1688"/>
      <c r="LHE28" s="1688"/>
      <c r="LHF28" s="1688"/>
      <c r="LHG28" s="1688"/>
      <c r="LHH28" s="1688"/>
      <c r="LHI28" s="1688"/>
      <c r="LHJ28" s="1688"/>
      <c r="LHK28" s="1688"/>
      <c r="LHL28" s="1688"/>
      <c r="LHM28" s="1688"/>
      <c r="LHN28" s="1688"/>
      <c r="LHO28" s="1688"/>
      <c r="LHP28" s="1688"/>
      <c r="LHQ28" s="1688"/>
      <c r="LHR28" s="1688"/>
      <c r="LHS28" s="1688"/>
      <c r="LHT28" s="1688"/>
      <c r="LHU28" s="1688"/>
      <c r="LHV28" s="1688"/>
      <c r="LHW28" s="1688"/>
      <c r="LHX28" s="1688"/>
      <c r="LHY28" s="1688"/>
      <c r="LHZ28" s="1688"/>
      <c r="LIA28" s="1688"/>
      <c r="LIB28" s="1688"/>
      <c r="LIC28" s="1688"/>
      <c r="LID28" s="1688"/>
      <c r="LIE28" s="1688"/>
      <c r="LIF28" s="1688"/>
      <c r="LIG28" s="1688"/>
      <c r="LIH28" s="1688"/>
      <c r="LII28" s="1688"/>
      <c r="LIJ28" s="1688"/>
      <c r="LIK28" s="1688"/>
      <c r="LIL28" s="1688"/>
      <c r="LIM28" s="1688"/>
      <c r="LIN28" s="1688"/>
      <c r="LIO28" s="1688"/>
      <c r="LIP28" s="1688"/>
      <c r="LIQ28" s="1688"/>
      <c r="LIR28" s="1688"/>
      <c r="LIS28" s="1688"/>
      <c r="LIT28" s="1688"/>
      <c r="LIU28" s="1688"/>
      <c r="LIV28" s="1688"/>
      <c r="LIW28" s="1688"/>
      <c r="LIX28" s="1688"/>
      <c r="LIY28" s="1688"/>
      <c r="LIZ28" s="1688"/>
      <c r="LJA28" s="1688"/>
      <c r="LJB28" s="1688"/>
      <c r="LJC28" s="1688"/>
      <c r="LJD28" s="1688"/>
      <c r="LJE28" s="1688"/>
      <c r="LJF28" s="1688"/>
      <c r="LJG28" s="1688"/>
      <c r="LJH28" s="1688"/>
      <c r="LJI28" s="1688"/>
      <c r="LJJ28" s="1688"/>
      <c r="LJK28" s="1688"/>
      <c r="LJL28" s="1688"/>
      <c r="LJM28" s="1688"/>
      <c r="LJN28" s="1688"/>
      <c r="LJO28" s="1688"/>
      <c r="LJP28" s="1688"/>
      <c r="LJQ28" s="1688"/>
      <c r="LJR28" s="1688"/>
      <c r="LJS28" s="1688"/>
      <c r="LJT28" s="1688"/>
      <c r="LJU28" s="1688"/>
      <c r="LJV28" s="1688"/>
      <c r="LJW28" s="1688"/>
      <c r="LJX28" s="1688"/>
      <c r="LJY28" s="1688"/>
      <c r="LJZ28" s="1688"/>
      <c r="LKA28" s="1688"/>
      <c r="LKB28" s="1688"/>
      <c r="LKC28" s="1688"/>
      <c r="LKD28" s="1688"/>
      <c r="LKE28" s="1688"/>
      <c r="LKF28" s="1688"/>
      <c r="LKG28" s="1688"/>
      <c r="LKH28" s="1688"/>
      <c r="LKI28" s="1688"/>
      <c r="LKJ28" s="1688"/>
      <c r="LKK28" s="1688"/>
      <c r="LKL28" s="1688"/>
      <c r="LKM28" s="1688"/>
      <c r="LKN28" s="1688"/>
      <c r="LKO28" s="1688"/>
      <c r="LKP28" s="1688"/>
      <c r="LKQ28" s="1688"/>
      <c r="LKR28" s="1688"/>
      <c r="LKS28" s="1688"/>
      <c r="LKT28" s="1688"/>
      <c r="LKU28" s="1688"/>
      <c r="LKV28" s="1688"/>
      <c r="LKW28" s="1688"/>
      <c r="LKX28" s="1688"/>
      <c r="LKY28" s="1688"/>
      <c r="LKZ28" s="1688"/>
      <c r="LLA28" s="1688"/>
      <c r="LLB28" s="1688"/>
      <c r="LLC28" s="1688"/>
      <c r="LLD28" s="1688"/>
      <c r="LLE28" s="1688"/>
      <c r="LLF28" s="1688"/>
      <c r="LLG28" s="1688"/>
      <c r="LLH28" s="1688"/>
      <c r="LLI28" s="1688"/>
      <c r="LLJ28" s="1688"/>
      <c r="LLK28" s="1688"/>
      <c r="LLL28" s="1688"/>
      <c r="LLM28" s="1688"/>
      <c r="LLN28" s="1688"/>
      <c r="LLO28" s="1688"/>
      <c r="LLP28" s="1688"/>
      <c r="LLQ28" s="1688"/>
      <c r="LLR28" s="1688"/>
      <c r="LLS28" s="1688"/>
      <c r="LLT28" s="1688"/>
      <c r="LLU28" s="1688"/>
      <c r="LLV28" s="1688"/>
      <c r="LLW28" s="1688"/>
      <c r="LLX28" s="1688"/>
      <c r="LLY28" s="1688"/>
      <c r="LLZ28" s="1688"/>
      <c r="LMA28" s="1688"/>
      <c r="LMB28" s="1688"/>
      <c r="LMC28" s="1688"/>
      <c r="LMD28" s="1688"/>
      <c r="LME28" s="1688"/>
      <c r="LMF28" s="1688"/>
      <c r="LMG28" s="1688"/>
      <c r="LMH28" s="1688"/>
      <c r="LMI28" s="1688"/>
      <c r="LMJ28" s="1688"/>
      <c r="LMK28" s="1688"/>
      <c r="LML28" s="1688"/>
      <c r="LMM28" s="1688"/>
      <c r="LMN28" s="1688"/>
      <c r="LMO28" s="1688"/>
      <c r="LMP28" s="1688"/>
      <c r="LMQ28" s="1688"/>
      <c r="LMR28" s="1688"/>
      <c r="LMS28" s="1688"/>
      <c r="LMT28" s="1688"/>
      <c r="LMU28" s="1688"/>
      <c r="LMV28" s="1688"/>
      <c r="LMW28" s="1688"/>
      <c r="LMX28" s="1688"/>
      <c r="LMY28" s="1688"/>
      <c r="LMZ28" s="1688"/>
      <c r="LNA28" s="1688"/>
      <c r="LNB28" s="1688"/>
      <c r="LNC28" s="1688"/>
      <c r="LND28" s="1688"/>
      <c r="LNE28" s="1688"/>
      <c r="LNF28" s="1688"/>
      <c r="LNG28" s="1688"/>
      <c r="LNH28" s="1688"/>
      <c r="LNI28" s="1688"/>
      <c r="LNJ28" s="1688"/>
      <c r="LNK28" s="1688"/>
      <c r="LNL28" s="1688"/>
      <c r="LNM28" s="1688"/>
      <c r="LNN28" s="1688"/>
      <c r="LNO28" s="1688"/>
      <c r="LNP28" s="1688"/>
      <c r="LNQ28" s="1688"/>
      <c r="LNR28" s="1688"/>
      <c r="LNS28" s="1688"/>
      <c r="LNT28" s="1688"/>
      <c r="LNU28" s="1688"/>
      <c r="LNV28" s="1688"/>
      <c r="LNW28" s="1688"/>
      <c r="LNX28" s="1688"/>
      <c r="LNY28" s="1688"/>
      <c r="LNZ28" s="1688"/>
      <c r="LOA28" s="1688"/>
      <c r="LOB28" s="1688"/>
      <c r="LOC28" s="1688"/>
      <c r="LOD28" s="1688"/>
      <c r="LOE28" s="1688"/>
      <c r="LOF28" s="1688"/>
      <c r="LOG28" s="1688"/>
      <c r="LOH28" s="1688"/>
      <c r="LOI28" s="1688"/>
      <c r="LOJ28" s="1688"/>
      <c r="LOK28" s="1688"/>
      <c r="LOL28" s="1688"/>
      <c r="LOM28" s="1688"/>
      <c r="LON28" s="1688"/>
      <c r="LOO28" s="1688"/>
      <c r="LOP28" s="1688"/>
      <c r="LOQ28" s="1688"/>
      <c r="LOR28" s="1688"/>
      <c r="LOS28" s="1688"/>
      <c r="LOT28" s="1688"/>
      <c r="LOU28" s="1688"/>
      <c r="LOV28" s="1688"/>
      <c r="LOW28" s="1688"/>
      <c r="LOX28" s="1688"/>
      <c r="LOY28" s="1688"/>
      <c r="LOZ28" s="1688"/>
      <c r="LPA28" s="1688"/>
      <c r="LPB28" s="1688"/>
      <c r="LPC28" s="1688"/>
      <c r="LPD28" s="1688"/>
      <c r="LPE28" s="1688"/>
      <c r="LPF28" s="1688"/>
      <c r="LPG28" s="1688"/>
      <c r="LPH28" s="1688"/>
      <c r="LPI28" s="1688"/>
      <c r="LPJ28" s="1688"/>
      <c r="LPK28" s="1688"/>
      <c r="LPL28" s="1688"/>
      <c r="LPM28" s="1688"/>
      <c r="LPN28" s="1688"/>
      <c r="LPO28" s="1688"/>
      <c r="LPP28" s="1688"/>
      <c r="LPQ28" s="1688"/>
      <c r="LPR28" s="1688"/>
      <c r="LPS28" s="1688"/>
      <c r="LPT28" s="1688"/>
      <c r="LPU28" s="1688"/>
      <c r="LPV28" s="1688"/>
      <c r="LPW28" s="1688"/>
      <c r="LPX28" s="1688"/>
      <c r="LPY28" s="1688"/>
      <c r="LPZ28" s="1688"/>
      <c r="LQA28" s="1688"/>
      <c r="LQB28" s="1688"/>
      <c r="LQC28" s="1688"/>
      <c r="LQD28" s="1688"/>
      <c r="LQE28" s="1688"/>
      <c r="LQF28" s="1688"/>
      <c r="LQG28" s="1688"/>
      <c r="LQH28" s="1688"/>
      <c r="LQI28" s="1688"/>
      <c r="LQJ28" s="1688"/>
      <c r="LQK28" s="1688"/>
      <c r="LQL28" s="1688"/>
      <c r="LQM28" s="1688"/>
      <c r="LQN28" s="1688"/>
      <c r="LQO28" s="1688"/>
      <c r="LQP28" s="1688"/>
      <c r="LQQ28" s="1688"/>
      <c r="LQR28" s="1688"/>
      <c r="LQS28" s="1688"/>
      <c r="LQT28" s="1688"/>
      <c r="LQU28" s="1688"/>
      <c r="LQV28" s="1688"/>
      <c r="LQW28" s="1688"/>
      <c r="LQX28" s="1688"/>
      <c r="LQY28" s="1688"/>
      <c r="LQZ28" s="1688"/>
      <c r="LRA28" s="1688"/>
      <c r="LRB28" s="1688"/>
      <c r="LRC28" s="1688"/>
      <c r="LRD28" s="1688"/>
      <c r="LRE28" s="1688"/>
      <c r="LRF28" s="1688"/>
      <c r="LRG28" s="1688"/>
      <c r="LRH28" s="1688"/>
      <c r="LRI28" s="1688"/>
      <c r="LRJ28" s="1688"/>
      <c r="LRK28" s="1688"/>
      <c r="LRL28" s="1688"/>
      <c r="LRM28" s="1688"/>
      <c r="LRN28" s="1688"/>
      <c r="LRO28" s="1688"/>
      <c r="LRP28" s="1688"/>
      <c r="LRQ28" s="1688"/>
      <c r="LRR28" s="1688"/>
      <c r="LRS28" s="1688"/>
      <c r="LRT28" s="1688"/>
      <c r="LRU28" s="1688"/>
      <c r="LRV28" s="1688"/>
      <c r="LRW28" s="1688"/>
      <c r="LRX28" s="1688"/>
      <c r="LRY28" s="1688"/>
      <c r="LRZ28" s="1688"/>
      <c r="LSA28" s="1688"/>
      <c r="LSB28" s="1688"/>
      <c r="LSC28" s="1688"/>
      <c r="LSD28" s="1688"/>
      <c r="LSE28" s="1688"/>
      <c r="LSF28" s="1688"/>
      <c r="LSG28" s="1688"/>
      <c r="LSH28" s="1688"/>
      <c r="LSI28" s="1688"/>
      <c r="LSJ28" s="1688"/>
      <c r="LSK28" s="1688"/>
      <c r="LSL28" s="1688"/>
      <c r="LSM28" s="1688"/>
      <c r="LSN28" s="1688"/>
      <c r="LSO28" s="1688"/>
      <c r="LSP28" s="1688"/>
      <c r="LSQ28" s="1688"/>
      <c r="LSR28" s="1688"/>
      <c r="LSS28" s="1688"/>
      <c r="LST28" s="1688"/>
      <c r="LSU28" s="1688"/>
      <c r="LSV28" s="1688"/>
      <c r="LSW28" s="1688"/>
      <c r="LSX28" s="1688"/>
      <c r="LSY28" s="1688"/>
      <c r="LSZ28" s="1688"/>
      <c r="LTA28" s="1688"/>
      <c r="LTB28" s="1688"/>
      <c r="LTC28" s="1688"/>
      <c r="LTD28" s="1688"/>
      <c r="LTE28" s="1688"/>
      <c r="LTF28" s="1688"/>
      <c r="LTG28" s="1688"/>
      <c r="LTH28" s="1688"/>
      <c r="LTI28" s="1688"/>
      <c r="LTJ28" s="1688"/>
      <c r="LTK28" s="1688"/>
      <c r="LTL28" s="1688"/>
      <c r="LTM28" s="1688"/>
      <c r="LTN28" s="1688"/>
      <c r="LTO28" s="1688"/>
      <c r="LTP28" s="1688"/>
      <c r="LTQ28" s="1688"/>
      <c r="LTR28" s="1688"/>
      <c r="LTS28" s="1688"/>
      <c r="LTT28" s="1688"/>
      <c r="LTU28" s="1688"/>
      <c r="LTV28" s="1688"/>
      <c r="LTW28" s="1688"/>
      <c r="LTX28" s="1688"/>
      <c r="LTY28" s="1688"/>
      <c r="LTZ28" s="1688"/>
      <c r="LUA28" s="1688"/>
      <c r="LUB28" s="1688"/>
      <c r="LUC28" s="1688"/>
      <c r="LUD28" s="1688"/>
      <c r="LUE28" s="1688"/>
      <c r="LUF28" s="1688"/>
      <c r="LUG28" s="1688"/>
      <c r="LUH28" s="1688"/>
      <c r="LUI28" s="1688"/>
      <c r="LUJ28" s="1688"/>
      <c r="LUK28" s="1688"/>
      <c r="LUL28" s="1688"/>
      <c r="LUM28" s="1688"/>
      <c r="LUN28" s="1688"/>
      <c r="LUO28" s="1688"/>
      <c r="LUP28" s="1688"/>
      <c r="LUQ28" s="1688"/>
      <c r="LUR28" s="1688"/>
      <c r="LUS28" s="1688"/>
      <c r="LUT28" s="1688"/>
      <c r="LUU28" s="1688"/>
      <c r="LUV28" s="1688"/>
      <c r="LUW28" s="1688"/>
      <c r="LUX28" s="1688"/>
      <c r="LUY28" s="1688"/>
      <c r="LUZ28" s="1688"/>
      <c r="LVA28" s="1688"/>
      <c r="LVB28" s="1688"/>
      <c r="LVC28" s="1688"/>
      <c r="LVD28" s="1688"/>
      <c r="LVE28" s="1688"/>
      <c r="LVF28" s="1688"/>
      <c r="LVG28" s="1688"/>
      <c r="LVH28" s="1688"/>
      <c r="LVI28" s="1688"/>
      <c r="LVJ28" s="1688"/>
      <c r="LVK28" s="1688"/>
      <c r="LVL28" s="1688"/>
      <c r="LVM28" s="1688"/>
      <c r="LVN28" s="1688"/>
      <c r="LVO28" s="1688"/>
      <c r="LVP28" s="1688"/>
      <c r="LVQ28" s="1688"/>
      <c r="LVR28" s="1688"/>
      <c r="LVS28" s="1688"/>
      <c r="LVT28" s="1688"/>
      <c r="LVU28" s="1688"/>
      <c r="LVV28" s="1688"/>
      <c r="LVW28" s="1688"/>
      <c r="LVX28" s="1688"/>
      <c r="LVY28" s="1688"/>
      <c r="LVZ28" s="1688"/>
      <c r="LWA28" s="1688"/>
      <c r="LWB28" s="1688"/>
      <c r="LWC28" s="1688"/>
      <c r="LWD28" s="1688"/>
      <c r="LWE28" s="1688"/>
      <c r="LWF28" s="1688"/>
      <c r="LWG28" s="1688"/>
      <c r="LWH28" s="1688"/>
      <c r="LWI28" s="1688"/>
      <c r="LWJ28" s="1688"/>
      <c r="LWK28" s="1688"/>
      <c r="LWL28" s="1688"/>
      <c r="LWM28" s="1688"/>
      <c r="LWN28" s="1688"/>
      <c r="LWO28" s="1688"/>
      <c r="LWP28" s="1688"/>
      <c r="LWQ28" s="1688"/>
      <c r="LWR28" s="1688"/>
      <c r="LWS28" s="1688"/>
      <c r="LWT28" s="1688"/>
      <c r="LWU28" s="1688"/>
      <c r="LWV28" s="1688"/>
      <c r="LWW28" s="1688"/>
      <c r="LWX28" s="1688"/>
      <c r="LWY28" s="1688"/>
      <c r="LWZ28" s="1688"/>
      <c r="LXA28" s="1688"/>
      <c r="LXB28" s="1688"/>
      <c r="LXC28" s="1688"/>
      <c r="LXD28" s="1688"/>
      <c r="LXE28" s="1688"/>
      <c r="LXF28" s="1688"/>
      <c r="LXG28" s="1688"/>
      <c r="LXH28" s="1688"/>
      <c r="LXI28" s="1688"/>
      <c r="LXJ28" s="1688"/>
      <c r="LXK28" s="1688"/>
      <c r="LXL28" s="1688"/>
      <c r="LXM28" s="1688"/>
      <c r="LXN28" s="1688"/>
      <c r="LXO28" s="1688"/>
      <c r="LXP28" s="1688"/>
      <c r="LXQ28" s="1688"/>
      <c r="LXR28" s="1688"/>
      <c r="LXS28" s="1688"/>
      <c r="LXT28" s="1688"/>
      <c r="LXU28" s="1688"/>
      <c r="LXV28" s="1688"/>
      <c r="LXW28" s="1688"/>
      <c r="LXX28" s="1688"/>
      <c r="LXY28" s="1688"/>
      <c r="LXZ28" s="1688"/>
      <c r="LYA28" s="1688"/>
      <c r="LYB28" s="1688"/>
      <c r="LYC28" s="1688"/>
      <c r="LYD28" s="1688"/>
      <c r="LYE28" s="1688"/>
      <c r="LYF28" s="1688"/>
      <c r="LYG28" s="1688"/>
      <c r="LYH28" s="1688"/>
      <c r="LYI28" s="1688"/>
      <c r="LYJ28" s="1688"/>
      <c r="LYK28" s="1688"/>
      <c r="LYL28" s="1688"/>
      <c r="LYM28" s="1688"/>
      <c r="LYN28" s="1688"/>
      <c r="LYO28" s="1688"/>
      <c r="LYP28" s="1688"/>
      <c r="LYQ28" s="1688"/>
      <c r="LYR28" s="1688"/>
      <c r="LYS28" s="1688"/>
      <c r="LYT28" s="1688"/>
      <c r="LYU28" s="1688"/>
      <c r="LYV28" s="1688"/>
      <c r="LYW28" s="1688"/>
      <c r="LYX28" s="1688"/>
      <c r="LYY28" s="1688"/>
      <c r="LYZ28" s="1688"/>
      <c r="LZA28" s="1688"/>
      <c r="LZB28" s="1688"/>
      <c r="LZC28" s="1688"/>
      <c r="LZD28" s="1688"/>
      <c r="LZE28" s="1688"/>
      <c r="LZF28" s="1688"/>
      <c r="LZG28" s="1688"/>
      <c r="LZH28" s="1688"/>
      <c r="LZI28" s="1688"/>
      <c r="LZJ28" s="1688"/>
      <c r="LZK28" s="1688"/>
      <c r="LZL28" s="1688"/>
      <c r="LZM28" s="1688"/>
      <c r="LZN28" s="1688"/>
      <c r="LZO28" s="1688"/>
      <c r="LZP28" s="1688"/>
      <c r="LZQ28" s="1688"/>
      <c r="LZR28" s="1688"/>
      <c r="LZS28" s="1688"/>
      <c r="LZT28" s="1688"/>
      <c r="LZU28" s="1688"/>
      <c r="LZV28" s="1688"/>
      <c r="LZW28" s="1688"/>
      <c r="LZX28" s="1688"/>
      <c r="LZY28" s="1688"/>
      <c r="LZZ28" s="1688"/>
      <c r="MAA28" s="1688"/>
      <c r="MAB28" s="1688"/>
      <c r="MAC28" s="1688"/>
      <c r="MAD28" s="1688"/>
      <c r="MAE28" s="1688"/>
      <c r="MAF28" s="1688"/>
      <c r="MAG28" s="1688"/>
      <c r="MAH28" s="1688"/>
      <c r="MAI28" s="1688"/>
      <c r="MAJ28" s="1688"/>
      <c r="MAK28" s="1688"/>
      <c r="MAL28" s="1688"/>
      <c r="MAM28" s="1688"/>
      <c r="MAN28" s="1688"/>
      <c r="MAO28" s="1688"/>
      <c r="MAP28" s="1688"/>
      <c r="MAQ28" s="1688"/>
      <c r="MAR28" s="1688"/>
      <c r="MAS28" s="1688"/>
      <c r="MAT28" s="1688"/>
      <c r="MAU28" s="1688"/>
      <c r="MAV28" s="1688"/>
      <c r="MAW28" s="1688"/>
      <c r="MAX28" s="1688"/>
      <c r="MAY28" s="1688"/>
      <c r="MAZ28" s="1688"/>
      <c r="MBA28" s="1688"/>
      <c r="MBB28" s="1688"/>
      <c r="MBC28" s="1688"/>
      <c r="MBD28" s="1688"/>
      <c r="MBE28" s="1688"/>
      <c r="MBF28" s="1688"/>
      <c r="MBG28" s="1688"/>
      <c r="MBH28" s="1688"/>
      <c r="MBI28" s="1688"/>
      <c r="MBJ28" s="1688"/>
      <c r="MBK28" s="1688"/>
      <c r="MBL28" s="1688"/>
      <c r="MBM28" s="1688"/>
      <c r="MBN28" s="1688"/>
      <c r="MBO28" s="1688"/>
      <c r="MBP28" s="1688"/>
      <c r="MBQ28" s="1688"/>
      <c r="MBR28" s="1688"/>
      <c r="MBS28" s="1688"/>
      <c r="MBT28" s="1688"/>
      <c r="MBU28" s="1688"/>
      <c r="MBV28" s="1688"/>
      <c r="MBW28" s="1688"/>
      <c r="MBX28" s="1688"/>
      <c r="MBY28" s="1688"/>
      <c r="MBZ28" s="1688"/>
      <c r="MCA28" s="1688"/>
      <c r="MCB28" s="1688"/>
      <c r="MCC28" s="1688"/>
      <c r="MCD28" s="1688"/>
      <c r="MCE28" s="1688"/>
      <c r="MCF28" s="1688"/>
      <c r="MCG28" s="1688"/>
      <c r="MCH28" s="1688"/>
      <c r="MCI28" s="1688"/>
      <c r="MCJ28" s="1688"/>
      <c r="MCK28" s="1688"/>
      <c r="MCL28" s="1688"/>
      <c r="MCM28" s="1688"/>
      <c r="MCN28" s="1688"/>
      <c r="MCO28" s="1688"/>
      <c r="MCP28" s="1688"/>
      <c r="MCQ28" s="1688"/>
      <c r="MCR28" s="1688"/>
      <c r="MCS28" s="1688"/>
      <c r="MCT28" s="1688"/>
      <c r="MCU28" s="1688"/>
      <c r="MCV28" s="1688"/>
      <c r="MCW28" s="1688"/>
      <c r="MCX28" s="1688"/>
      <c r="MCY28" s="1688"/>
      <c r="MCZ28" s="1688"/>
      <c r="MDA28" s="1688"/>
      <c r="MDB28" s="1688"/>
      <c r="MDC28" s="1688"/>
      <c r="MDD28" s="1688"/>
      <c r="MDE28" s="1688"/>
      <c r="MDF28" s="1688"/>
      <c r="MDG28" s="1688"/>
      <c r="MDH28" s="1688"/>
      <c r="MDI28" s="1688"/>
      <c r="MDJ28" s="1688"/>
      <c r="MDK28" s="1688"/>
      <c r="MDL28" s="1688"/>
      <c r="MDM28" s="1688"/>
      <c r="MDN28" s="1688"/>
      <c r="MDO28" s="1688"/>
      <c r="MDP28" s="1688"/>
      <c r="MDQ28" s="1688"/>
      <c r="MDR28" s="1688"/>
      <c r="MDS28" s="1688"/>
      <c r="MDT28" s="1688"/>
      <c r="MDU28" s="1688"/>
      <c r="MDV28" s="1688"/>
      <c r="MDW28" s="1688"/>
      <c r="MDX28" s="1688"/>
      <c r="MDY28" s="1688"/>
      <c r="MDZ28" s="1688"/>
      <c r="MEA28" s="1688"/>
      <c r="MEB28" s="1688"/>
      <c r="MEC28" s="1688"/>
      <c r="MED28" s="1688"/>
      <c r="MEE28" s="1688"/>
      <c r="MEF28" s="1688"/>
      <c r="MEG28" s="1688"/>
      <c r="MEH28" s="1688"/>
      <c r="MEI28" s="1688"/>
      <c r="MEJ28" s="1688"/>
      <c r="MEK28" s="1688"/>
      <c r="MEL28" s="1688"/>
      <c r="MEM28" s="1688"/>
      <c r="MEN28" s="1688"/>
      <c r="MEO28" s="1688"/>
      <c r="MEP28" s="1688"/>
      <c r="MEQ28" s="1688"/>
      <c r="MER28" s="1688"/>
      <c r="MES28" s="1688"/>
      <c r="MET28" s="1688"/>
      <c r="MEU28" s="1688"/>
      <c r="MEV28" s="1688"/>
      <c r="MEW28" s="1688"/>
      <c r="MEX28" s="1688"/>
      <c r="MEY28" s="1688"/>
      <c r="MEZ28" s="1688"/>
      <c r="MFA28" s="1688"/>
      <c r="MFB28" s="1688"/>
      <c r="MFC28" s="1688"/>
      <c r="MFD28" s="1688"/>
      <c r="MFE28" s="1688"/>
      <c r="MFF28" s="1688"/>
      <c r="MFG28" s="1688"/>
      <c r="MFH28" s="1688"/>
      <c r="MFI28" s="1688"/>
      <c r="MFJ28" s="1688"/>
      <c r="MFK28" s="1688"/>
      <c r="MFL28" s="1688"/>
      <c r="MFM28" s="1688"/>
      <c r="MFN28" s="1688"/>
      <c r="MFO28" s="1688"/>
      <c r="MFP28" s="1688"/>
      <c r="MFQ28" s="1688"/>
      <c r="MFR28" s="1688"/>
      <c r="MFS28" s="1688"/>
      <c r="MFT28" s="1688"/>
      <c r="MFU28" s="1688"/>
      <c r="MFV28" s="1688"/>
      <c r="MFW28" s="1688"/>
      <c r="MFX28" s="1688"/>
      <c r="MFY28" s="1688"/>
      <c r="MFZ28" s="1688"/>
      <c r="MGA28" s="1688"/>
      <c r="MGB28" s="1688"/>
      <c r="MGC28" s="1688"/>
      <c r="MGD28" s="1688"/>
      <c r="MGE28" s="1688"/>
      <c r="MGF28" s="1688"/>
      <c r="MGG28" s="1688"/>
      <c r="MGH28" s="1688"/>
      <c r="MGI28" s="1688"/>
      <c r="MGJ28" s="1688"/>
      <c r="MGK28" s="1688"/>
      <c r="MGL28" s="1688"/>
      <c r="MGM28" s="1688"/>
      <c r="MGN28" s="1688"/>
      <c r="MGO28" s="1688"/>
      <c r="MGP28" s="1688"/>
      <c r="MGQ28" s="1688"/>
      <c r="MGR28" s="1688"/>
      <c r="MGS28" s="1688"/>
      <c r="MGT28" s="1688"/>
      <c r="MGU28" s="1688"/>
      <c r="MGV28" s="1688"/>
      <c r="MGW28" s="1688"/>
      <c r="MGX28" s="1688"/>
      <c r="MGY28" s="1688"/>
      <c r="MGZ28" s="1688"/>
      <c r="MHA28" s="1688"/>
      <c r="MHB28" s="1688"/>
      <c r="MHC28" s="1688"/>
      <c r="MHD28" s="1688"/>
      <c r="MHE28" s="1688"/>
      <c r="MHF28" s="1688"/>
      <c r="MHG28" s="1688"/>
      <c r="MHH28" s="1688"/>
      <c r="MHI28" s="1688"/>
      <c r="MHJ28" s="1688"/>
      <c r="MHK28" s="1688"/>
      <c r="MHL28" s="1688"/>
      <c r="MHM28" s="1688"/>
      <c r="MHN28" s="1688"/>
      <c r="MHO28" s="1688"/>
      <c r="MHP28" s="1688"/>
      <c r="MHQ28" s="1688"/>
      <c r="MHR28" s="1688"/>
      <c r="MHS28" s="1688"/>
      <c r="MHT28" s="1688"/>
      <c r="MHU28" s="1688"/>
      <c r="MHV28" s="1688"/>
      <c r="MHW28" s="1688"/>
      <c r="MHX28" s="1688"/>
      <c r="MHY28" s="1688"/>
      <c r="MHZ28" s="1688"/>
      <c r="MIA28" s="1688"/>
      <c r="MIB28" s="1688"/>
      <c r="MIC28" s="1688"/>
      <c r="MID28" s="1688"/>
      <c r="MIE28" s="1688"/>
      <c r="MIF28" s="1688"/>
      <c r="MIG28" s="1688"/>
      <c r="MIH28" s="1688"/>
      <c r="MII28" s="1688"/>
      <c r="MIJ28" s="1688"/>
      <c r="MIK28" s="1688"/>
      <c r="MIL28" s="1688"/>
      <c r="MIM28" s="1688"/>
      <c r="MIN28" s="1688"/>
      <c r="MIO28" s="1688"/>
      <c r="MIP28" s="1688"/>
      <c r="MIQ28" s="1688"/>
      <c r="MIR28" s="1688"/>
      <c r="MIS28" s="1688"/>
      <c r="MIT28" s="1688"/>
      <c r="MIU28" s="1688"/>
      <c r="MIV28" s="1688"/>
      <c r="MIW28" s="1688"/>
      <c r="MIX28" s="1688"/>
      <c r="MIY28" s="1688"/>
      <c r="MIZ28" s="1688"/>
      <c r="MJA28" s="1688"/>
      <c r="MJB28" s="1688"/>
      <c r="MJC28" s="1688"/>
      <c r="MJD28" s="1688"/>
      <c r="MJE28" s="1688"/>
      <c r="MJF28" s="1688"/>
      <c r="MJG28" s="1688"/>
      <c r="MJH28" s="1688"/>
      <c r="MJI28" s="1688"/>
      <c r="MJJ28" s="1688"/>
      <c r="MJK28" s="1688"/>
      <c r="MJL28" s="1688"/>
      <c r="MJM28" s="1688"/>
      <c r="MJN28" s="1688"/>
      <c r="MJO28" s="1688"/>
      <c r="MJP28" s="1688"/>
      <c r="MJQ28" s="1688"/>
      <c r="MJR28" s="1688"/>
      <c r="MJS28" s="1688"/>
      <c r="MJT28" s="1688"/>
      <c r="MJU28" s="1688"/>
      <c r="MJV28" s="1688"/>
      <c r="MJW28" s="1688"/>
      <c r="MJX28" s="1688"/>
      <c r="MJY28" s="1688"/>
      <c r="MJZ28" s="1688"/>
      <c r="MKA28" s="1688"/>
      <c r="MKB28" s="1688"/>
      <c r="MKC28" s="1688"/>
      <c r="MKD28" s="1688"/>
      <c r="MKE28" s="1688"/>
      <c r="MKF28" s="1688"/>
      <c r="MKG28" s="1688"/>
      <c r="MKH28" s="1688"/>
      <c r="MKI28" s="1688"/>
      <c r="MKJ28" s="1688"/>
      <c r="MKK28" s="1688"/>
      <c r="MKL28" s="1688"/>
      <c r="MKM28" s="1688"/>
      <c r="MKN28" s="1688"/>
      <c r="MKO28" s="1688"/>
      <c r="MKP28" s="1688"/>
      <c r="MKQ28" s="1688"/>
      <c r="MKR28" s="1688"/>
      <c r="MKS28" s="1688"/>
      <c r="MKT28" s="1688"/>
      <c r="MKU28" s="1688"/>
      <c r="MKV28" s="1688"/>
      <c r="MKW28" s="1688"/>
      <c r="MKX28" s="1688"/>
      <c r="MKY28" s="1688"/>
      <c r="MKZ28" s="1688"/>
      <c r="MLA28" s="1688"/>
      <c r="MLB28" s="1688"/>
      <c r="MLC28" s="1688"/>
      <c r="MLD28" s="1688"/>
      <c r="MLE28" s="1688"/>
      <c r="MLF28" s="1688"/>
      <c r="MLG28" s="1688"/>
      <c r="MLH28" s="1688"/>
      <c r="MLI28" s="1688"/>
      <c r="MLJ28" s="1688"/>
      <c r="MLK28" s="1688"/>
      <c r="MLL28" s="1688"/>
      <c r="MLM28" s="1688"/>
      <c r="MLN28" s="1688"/>
      <c r="MLO28" s="1688"/>
      <c r="MLP28" s="1688"/>
      <c r="MLQ28" s="1688"/>
      <c r="MLR28" s="1688"/>
      <c r="MLS28" s="1688"/>
      <c r="MLT28" s="1688"/>
      <c r="MLU28" s="1688"/>
      <c r="MLV28" s="1688"/>
      <c r="MLW28" s="1688"/>
      <c r="MLX28" s="1688"/>
      <c r="MLY28" s="1688"/>
      <c r="MLZ28" s="1688"/>
      <c r="MMA28" s="1688"/>
      <c r="MMB28" s="1688"/>
      <c r="MMC28" s="1688"/>
      <c r="MMD28" s="1688"/>
      <c r="MME28" s="1688"/>
      <c r="MMF28" s="1688"/>
      <c r="MMG28" s="1688"/>
      <c r="MMH28" s="1688"/>
      <c r="MMI28" s="1688"/>
      <c r="MMJ28" s="1688"/>
      <c r="MMK28" s="1688"/>
      <c r="MML28" s="1688"/>
      <c r="MMM28" s="1688"/>
      <c r="MMN28" s="1688"/>
      <c r="MMO28" s="1688"/>
      <c r="MMP28" s="1688"/>
      <c r="MMQ28" s="1688"/>
      <c r="MMR28" s="1688"/>
      <c r="MMS28" s="1688"/>
      <c r="MMT28" s="1688"/>
      <c r="MMU28" s="1688"/>
      <c r="MMV28" s="1688"/>
      <c r="MMW28" s="1688"/>
      <c r="MMX28" s="1688"/>
      <c r="MMY28" s="1688"/>
      <c r="MMZ28" s="1688"/>
      <c r="MNA28" s="1688"/>
      <c r="MNB28" s="1688"/>
      <c r="MNC28" s="1688"/>
      <c r="MND28" s="1688"/>
      <c r="MNE28" s="1688"/>
      <c r="MNF28" s="1688"/>
      <c r="MNG28" s="1688"/>
      <c r="MNH28" s="1688"/>
      <c r="MNI28" s="1688"/>
      <c r="MNJ28" s="1688"/>
      <c r="MNK28" s="1688"/>
      <c r="MNL28" s="1688"/>
      <c r="MNM28" s="1688"/>
      <c r="MNN28" s="1688"/>
      <c r="MNO28" s="1688"/>
      <c r="MNP28" s="1688"/>
      <c r="MNQ28" s="1688"/>
      <c r="MNR28" s="1688"/>
      <c r="MNS28" s="1688"/>
      <c r="MNT28" s="1688"/>
      <c r="MNU28" s="1688"/>
      <c r="MNV28" s="1688"/>
      <c r="MNW28" s="1688"/>
      <c r="MNX28" s="1688"/>
      <c r="MNY28" s="1688"/>
      <c r="MNZ28" s="1688"/>
      <c r="MOA28" s="1688"/>
      <c r="MOB28" s="1688"/>
      <c r="MOC28" s="1688"/>
      <c r="MOD28" s="1688"/>
      <c r="MOE28" s="1688"/>
      <c r="MOF28" s="1688"/>
      <c r="MOG28" s="1688"/>
      <c r="MOH28" s="1688"/>
      <c r="MOI28" s="1688"/>
      <c r="MOJ28" s="1688"/>
      <c r="MOK28" s="1688"/>
      <c r="MOL28" s="1688"/>
      <c r="MOM28" s="1688"/>
      <c r="MON28" s="1688"/>
      <c r="MOO28" s="1688"/>
      <c r="MOP28" s="1688"/>
      <c r="MOQ28" s="1688"/>
      <c r="MOR28" s="1688"/>
      <c r="MOS28" s="1688"/>
      <c r="MOT28" s="1688"/>
      <c r="MOU28" s="1688"/>
      <c r="MOV28" s="1688"/>
      <c r="MOW28" s="1688"/>
      <c r="MOX28" s="1688"/>
      <c r="MOY28" s="1688"/>
      <c r="MOZ28" s="1688"/>
      <c r="MPA28" s="1688"/>
      <c r="MPB28" s="1688"/>
      <c r="MPC28" s="1688"/>
      <c r="MPD28" s="1688"/>
      <c r="MPE28" s="1688"/>
      <c r="MPF28" s="1688"/>
      <c r="MPG28" s="1688"/>
      <c r="MPH28" s="1688"/>
      <c r="MPI28" s="1688"/>
      <c r="MPJ28" s="1688"/>
      <c r="MPK28" s="1688"/>
      <c r="MPL28" s="1688"/>
      <c r="MPM28" s="1688"/>
      <c r="MPN28" s="1688"/>
      <c r="MPO28" s="1688"/>
      <c r="MPP28" s="1688"/>
      <c r="MPQ28" s="1688"/>
      <c r="MPR28" s="1688"/>
      <c r="MPS28" s="1688"/>
      <c r="MPT28" s="1688"/>
      <c r="MPU28" s="1688"/>
      <c r="MPV28" s="1688"/>
      <c r="MPW28" s="1688"/>
      <c r="MPX28" s="1688"/>
      <c r="MPY28" s="1688"/>
      <c r="MPZ28" s="1688"/>
      <c r="MQA28" s="1688"/>
      <c r="MQB28" s="1688"/>
      <c r="MQC28" s="1688"/>
      <c r="MQD28" s="1688"/>
      <c r="MQE28" s="1688"/>
      <c r="MQF28" s="1688"/>
      <c r="MQG28" s="1688"/>
      <c r="MQH28" s="1688"/>
      <c r="MQI28" s="1688"/>
      <c r="MQJ28" s="1688"/>
      <c r="MQK28" s="1688"/>
      <c r="MQL28" s="1688"/>
      <c r="MQM28" s="1688"/>
      <c r="MQN28" s="1688"/>
      <c r="MQO28" s="1688"/>
      <c r="MQP28" s="1688"/>
      <c r="MQQ28" s="1688"/>
      <c r="MQR28" s="1688"/>
      <c r="MQS28" s="1688"/>
      <c r="MQT28" s="1688"/>
      <c r="MQU28" s="1688"/>
      <c r="MQV28" s="1688"/>
      <c r="MQW28" s="1688"/>
      <c r="MQX28" s="1688"/>
      <c r="MQY28" s="1688"/>
      <c r="MQZ28" s="1688"/>
      <c r="MRA28" s="1688"/>
      <c r="MRB28" s="1688"/>
      <c r="MRC28" s="1688"/>
      <c r="MRD28" s="1688"/>
      <c r="MRE28" s="1688"/>
      <c r="MRF28" s="1688"/>
      <c r="MRG28" s="1688"/>
      <c r="MRH28" s="1688"/>
      <c r="MRI28" s="1688"/>
      <c r="MRJ28" s="1688"/>
      <c r="MRK28" s="1688"/>
      <c r="MRL28" s="1688"/>
      <c r="MRM28" s="1688"/>
      <c r="MRN28" s="1688"/>
      <c r="MRO28" s="1688"/>
      <c r="MRP28" s="1688"/>
      <c r="MRQ28" s="1688"/>
      <c r="MRR28" s="1688"/>
      <c r="MRS28" s="1688"/>
      <c r="MRT28" s="1688"/>
      <c r="MRU28" s="1688"/>
      <c r="MRV28" s="1688"/>
      <c r="MRW28" s="1688"/>
      <c r="MRX28" s="1688"/>
      <c r="MRY28" s="1688"/>
      <c r="MRZ28" s="1688"/>
      <c r="MSA28" s="1688"/>
      <c r="MSB28" s="1688"/>
      <c r="MSC28" s="1688"/>
      <c r="MSD28" s="1688"/>
      <c r="MSE28" s="1688"/>
      <c r="MSF28" s="1688"/>
      <c r="MSG28" s="1688"/>
      <c r="MSH28" s="1688"/>
      <c r="MSI28" s="1688"/>
      <c r="MSJ28" s="1688"/>
      <c r="MSK28" s="1688"/>
      <c r="MSL28" s="1688"/>
      <c r="MSM28" s="1688"/>
      <c r="MSN28" s="1688"/>
      <c r="MSO28" s="1688"/>
      <c r="MSP28" s="1688"/>
      <c r="MSQ28" s="1688"/>
      <c r="MSR28" s="1688"/>
      <c r="MSS28" s="1688"/>
      <c r="MST28" s="1688"/>
      <c r="MSU28" s="1688"/>
      <c r="MSV28" s="1688"/>
      <c r="MSW28" s="1688"/>
      <c r="MSX28" s="1688"/>
      <c r="MSY28" s="1688"/>
      <c r="MSZ28" s="1688"/>
      <c r="MTA28" s="1688"/>
      <c r="MTB28" s="1688"/>
      <c r="MTC28" s="1688"/>
      <c r="MTD28" s="1688"/>
      <c r="MTE28" s="1688"/>
      <c r="MTF28" s="1688"/>
      <c r="MTG28" s="1688"/>
      <c r="MTH28" s="1688"/>
      <c r="MTI28" s="1688"/>
      <c r="MTJ28" s="1688"/>
      <c r="MTK28" s="1688"/>
      <c r="MTL28" s="1688"/>
      <c r="MTM28" s="1688"/>
      <c r="MTN28" s="1688"/>
      <c r="MTO28" s="1688"/>
      <c r="MTP28" s="1688"/>
      <c r="MTQ28" s="1688"/>
      <c r="MTR28" s="1688"/>
      <c r="MTS28" s="1688"/>
      <c r="MTT28" s="1688"/>
      <c r="MTU28" s="1688"/>
      <c r="MTV28" s="1688"/>
      <c r="MTW28" s="1688"/>
      <c r="MTX28" s="1688"/>
      <c r="MTY28" s="1688"/>
      <c r="MTZ28" s="1688"/>
      <c r="MUA28" s="1688"/>
      <c r="MUB28" s="1688"/>
      <c r="MUC28" s="1688"/>
      <c r="MUD28" s="1688"/>
      <c r="MUE28" s="1688"/>
      <c r="MUF28" s="1688"/>
      <c r="MUG28" s="1688"/>
      <c r="MUH28" s="1688"/>
      <c r="MUI28" s="1688"/>
      <c r="MUJ28" s="1688"/>
      <c r="MUK28" s="1688"/>
      <c r="MUL28" s="1688"/>
      <c r="MUM28" s="1688"/>
      <c r="MUN28" s="1688"/>
      <c r="MUO28" s="1688"/>
      <c r="MUP28" s="1688"/>
      <c r="MUQ28" s="1688"/>
      <c r="MUR28" s="1688"/>
      <c r="MUS28" s="1688"/>
      <c r="MUT28" s="1688"/>
      <c r="MUU28" s="1688"/>
      <c r="MUV28" s="1688"/>
      <c r="MUW28" s="1688"/>
      <c r="MUX28" s="1688"/>
      <c r="MUY28" s="1688"/>
      <c r="MUZ28" s="1688"/>
      <c r="MVA28" s="1688"/>
      <c r="MVB28" s="1688"/>
      <c r="MVC28" s="1688"/>
      <c r="MVD28" s="1688"/>
      <c r="MVE28" s="1688"/>
      <c r="MVF28" s="1688"/>
      <c r="MVG28" s="1688"/>
      <c r="MVH28" s="1688"/>
      <c r="MVI28" s="1688"/>
      <c r="MVJ28" s="1688"/>
      <c r="MVK28" s="1688"/>
      <c r="MVL28" s="1688"/>
      <c r="MVM28" s="1688"/>
      <c r="MVN28" s="1688"/>
      <c r="MVO28" s="1688"/>
      <c r="MVP28" s="1688"/>
      <c r="MVQ28" s="1688"/>
      <c r="MVR28" s="1688"/>
      <c r="MVS28" s="1688"/>
      <c r="MVT28" s="1688"/>
      <c r="MVU28" s="1688"/>
      <c r="MVV28" s="1688"/>
      <c r="MVW28" s="1688"/>
      <c r="MVX28" s="1688"/>
      <c r="MVY28" s="1688"/>
      <c r="MVZ28" s="1688"/>
      <c r="MWA28" s="1688"/>
      <c r="MWB28" s="1688"/>
      <c r="MWC28" s="1688"/>
      <c r="MWD28" s="1688"/>
      <c r="MWE28" s="1688"/>
      <c r="MWF28" s="1688"/>
      <c r="MWG28" s="1688"/>
      <c r="MWH28" s="1688"/>
      <c r="MWI28" s="1688"/>
      <c r="MWJ28" s="1688"/>
      <c r="MWK28" s="1688"/>
      <c r="MWL28" s="1688"/>
      <c r="MWM28" s="1688"/>
      <c r="MWN28" s="1688"/>
      <c r="MWO28" s="1688"/>
      <c r="MWP28" s="1688"/>
      <c r="MWQ28" s="1688"/>
      <c r="MWR28" s="1688"/>
      <c r="MWS28" s="1688"/>
      <c r="MWT28" s="1688"/>
      <c r="MWU28" s="1688"/>
      <c r="MWV28" s="1688"/>
      <c r="MWW28" s="1688"/>
      <c r="MWX28" s="1688"/>
      <c r="MWY28" s="1688"/>
      <c r="MWZ28" s="1688"/>
      <c r="MXA28" s="1688"/>
      <c r="MXB28" s="1688"/>
      <c r="MXC28" s="1688"/>
      <c r="MXD28" s="1688"/>
      <c r="MXE28" s="1688"/>
      <c r="MXF28" s="1688"/>
      <c r="MXG28" s="1688"/>
      <c r="MXH28" s="1688"/>
      <c r="MXI28" s="1688"/>
      <c r="MXJ28" s="1688"/>
      <c r="MXK28" s="1688"/>
      <c r="MXL28" s="1688"/>
      <c r="MXM28" s="1688"/>
      <c r="MXN28" s="1688"/>
      <c r="MXO28" s="1688"/>
      <c r="MXP28" s="1688"/>
      <c r="MXQ28" s="1688"/>
      <c r="MXR28" s="1688"/>
      <c r="MXS28" s="1688"/>
      <c r="MXT28" s="1688"/>
      <c r="MXU28" s="1688"/>
      <c r="MXV28" s="1688"/>
      <c r="MXW28" s="1688"/>
      <c r="MXX28" s="1688"/>
      <c r="MXY28" s="1688"/>
      <c r="MXZ28" s="1688"/>
      <c r="MYA28" s="1688"/>
      <c r="MYB28" s="1688"/>
      <c r="MYC28" s="1688"/>
      <c r="MYD28" s="1688"/>
      <c r="MYE28" s="1688"/>
      <c r="MYF28" s="1688"/>
      <c r="MYG28" s="1688"/>
      <c r="MYH28" s="1688"/>
      <c r="MYI28" s="1688"/>
      <c r="MYJ28" s="1688"/>
      <c r="MYK28" s="1688"/>
      <c r="MYL28" s="1688"/>
      <c r="MYM28" s="1688"/>
      <c r="MYN28" s="1688"/>
      <c r="MYO28" s="1688"/>
      <c r="MYP28" s="1688"/>
      <c r="MYQ28" s="1688"/>
      <c r="MYR28" s="1688"/>
      <c r="MYS28" s="1688"/>
      <c r="MYT28" s="1688"/>
      <c r="MYU28" s="1688"/>
      <c r="MYV28" s="1688"/>
      <c r="MYW28" s="1688"/>
      <c r="MYX28" s="1688"/>
      <c r="MYY28" s="1688"/>
      <c r="MYZ28" s="1688"/>
      <c r="MZA28" s="1688"/>
      <c r="MZB28" s="1688"/>
      <c r="MZC28" s="1688"/>
      <c r="MZD28" s="1688"/>
      <c r="MZE28" s="1688"/>
      <c r="MZF28" s="1688"/>
      <c r="MZG28" s="1688"/>
      <c r="MZH28" s="1688"/>
      <c r="MZI28" s="1688"/>
      <c r="MZJ28" s="1688"/>
      <c r="MZK28" s="1688"/>
      <c r="MZL28" s="1688"/>
      <c r="MZM28" s="1688"/>
      <c r="MZN28" s="1688"/>
      <c r="MZO28" s="1688"/>
      <c r="MZP28" s="1688"/>
      <c r="MZQ28" s="1688"/>
      <c r="MZR28" s="1688"/>
      <c r="MZS28" s="1688"/>
      <c r="MZT28" s="1688"/>
      <c r="MZU28" s="1688"/>
      <c r="MZV28" s="1688"/>
      <c r="MZW28" s="1688"/>
      <c r="MZX28" s="1688"/>
      <c r="MZY28" s="1688"/>
      <c r="MZZ28" s="1688"/>
      <c r="NAA28" s="1688"/>
      <c r="NAB28" s="1688"/>
      <c r="NAC28" s="1688"/>
      <c r="NAD28" s="1688"/>
      <c r="NAE28" s="1688"/>
      <c r="NAF28" s="1688"/>
      <c r="NAG28" s="1688"/>
      <c r="NAH28" s="1688"/>
      <c r="NAI28" s="1688"/>
      <c r="NAJ28" s="1688"/>
      <c r="NAK28" s="1688"/>
      <c r="NAL28" s="1688"/>
      <c r="NAM28" s="1688"/>
      <c r="NAN28" s="1688"/>
      <c r="NAO28" s="1688"/>
      <c r="NAP28" s="1688"/>
      <c r="NAQ28" s="1688"/>
      <c r="NAR28" s="1688"/>
      <c r="NAS28" s="1688"/>
      <c r="NAT28" s="1688"/>
      <c r="NAU28" s="1688"/>
      <c r="NAV28" s="1688"/>
      <c r="NAW28" s="1688"/>
      <c r="NAX28" s="1688"/>
      <c r="NAY28" s="1688"/>
      <c r="NAZ28" s="1688"/>
      <c r="NBA28" s="1688"/>
      <c r="NBB28" s="1688"/>
      <c r="NBC28" s="1688"/>
      <c r="NBD28" s="1688"/>
      <c r="NBE28" s="1688"/>
      <c r="NBF28" s="1688"/>
      <c r="NBG28" s="1688"/>
      <c r="NBH28" s="1688"/>
      <c r="NBI28" s="1688"/>
      <c r="NBJ28" s="1688"/>
      <c r="NBK28" s="1688"/>
      <c r="NBL28" s="1688"/>
      <c r="NBM28" s="1688"/>
      <c r="NBN28" s="1688"/>
      <c r="NBO28" s="1688"/>
      <c r="NBP28" s="1688"/>
      <c r="NBQ28" s="1688"/>
      <c r="NBR28" s="1688"/>
      <c r="NBS28" s="1688"/>
      <c r="NBT28" s="1688"/>
      <c r="NBU28" s="1688"/>
      <c r="NBV28" s="1688"/>
      <c r="NBW28" s="1688"/>
      <c r="NBX28" s="1688"/>
      <c r="NBY28" s="1688"/>
      <c r="NBZ28" s="1688"/>
      <c r="NCA28" s="1688"/>
      <c r="NCB28" s="1688"/>
      <c r="NCC28" s="1688"/>
      <c r="NCD28" s="1688"/>
      <c r="NCE28" s="1688"/>
      <c r="NCF28" s="1688"/>
      <c r="NCG28" s="1688"/>
      <c r="NCH28" s="1688"/>
      <c r="NCI28" s="1688"/>
      <c r="NCJ28" s="1688"/>
      <c r="NCK28" s="1688"/>
      <c r="NCL28" s="1688"/>
      <c r="NCM28" s="1688"/>
      <c r="NCN28" s="1688"/>
      <c r="NCO28" s="1688"/>
      <c r="NCP28" s="1688"/>
      <c r="NCQ28" s="1688"/>
      <c r="NCR28" s="1688"/>
      <c r="NCS28" s="1688"/>
      <c r="NCT28" s="1688"/>
      <c r="NCU28" s="1688"/>
      <c r="NCV28" s="1688"/>
      <c r="NCW28" s="1688"/>
      <c r="NCX28" s="1688"/>
      <c r="NCY28" s="1688"/>
      <c r="NCZ28" s="1688"/>
      <c r="NDA28" s="1688"/>
      <c r="NDB28" s="1688"/>
      <c r="NDC28" s="1688"/>
      <c r="NDD28" s="1688"/>
      <c r="NDE28" s="1688"/>
      <c r="NDF28" s="1688"/>
      <c r="NDG28" s="1688"/>
      <c r="NDH28" s="1688"/>
      <c r="NDI28" s="1688"/>
      <c r="NDJ28" s="1688"/>
      <c r="NDK28" s="1688"/>
      <c r="NDL28" s="1688"/>
      <c r="NDM28" s="1688"/>
      <c r="NDN28" s="1688"/>
      <c r="NDO28" s="1688"/>
      <c r="NDP28" s="1688"/>
      <c r="NDQ28" s="1688"/>
      <c r="NDR28" s="1688"/>
      <c r="NDS28" s="1688"/>
      <c r="NDT28" s="1688"/>
      <c r="NDU28" s="1688"/>
      <c r="NDV28" s="1688"/>
      <c r="NDW28" s="1688"/>
      <c r="NDX28" s="1688"/>
      <c r="NDY28" s="1688"/>
      <c r="NDZ28" s="1688"/>
      <c r="NEA28" s="1688"/>
      <c r="NEB28" s="1688"/>
      <c r="NEC28" s="1688"/>
      <c r="NED28" s="1688"/>
      <c r="NEE28" s="1688"/>
      <c r="NEF28" s="1688"/>
      <c r="NEG28" s="1688"/>
      <c r="NEH28" s="1688"/>
      <c r="NEI28" s="1688"/>
      <c r="NEJ28" s="1688"/>
      <c r="NEK28" s="1688"/>
      <c r="NEL28" s="1688"/>
      <c r="NEM28" s="1688"/>
      <c r="NEN28" s="1688"/>
      <c r="NEO28" s="1688"/>
      <c r="NEP28" s="1688"/>
      <c r="NEQ28" s="1688"/>
      <c r="NER28" s="1688"/>
      <c r="NES28" s="1688"/>
      <c r="NET28" s="1688"/>
      <c r="NEU28" s="1688"/>
      <c r="NEV28" s="1688"/>
      <c r="NEW28" s="1688"/>
      <c r="NEX28" s="1688"/>
      <c r="NEY28" s="1688"/>
      <c r="NEZ28" s="1688"/>
      <c r="NFA28" s="1688"/>
      <c r="NFB28" s="1688"/>
      <c r="NFC28" s="1688"/>
      <c r="NFD28" s="1688"/>
      <c r="NFE28" s="1688"/>
      <c r="NFF28" s="1688"/>
      <c r="NFG28" s="1688"/>
      <c r="NFH28" s="1688"/>
      <c r="NFI28" s="1688"/>
      <c r="NFJ28" s="1688"/>
      <c r="NFK28" s="1688"/>
      <c r="NFL28" s="1688"/>
      <c r="NFM28" s="1688"/>
      <c r="NFN28" s="1688"/>
      <c r="NFO28" s="1688"/>
      <c r="NFP28" s="1688"/>
      <c r="NFQ28" s="1688"/>
      <c r="NFR28" s="1688"/>
      <c r="NFS28" s="1688"/>
      <c r="NFT28" s="1688"/>
      <c r="NFU28" s="1688"/>
      <c r="NFV28" s="1688"/>
      <c r="NFW28" s="1688"/>
      <c r="NFX28" s="1688"/>
      <c r="NFY28" s="1688"/>
      <c r="NFZ28" s="1688"/>
      <c r="NGA28" s="1688"/>
      <c r="NGB28" s="1688"/>
      <c r="NGC28" s="1688"/>
      <c r="NGD28" s="1688"/>
      <c r="NGE28" s="1688"/>
      <c r="NGF28" s="1688"/>
      <c r="NGG28" s="1688"/>
      <c r="NGH28" s="1688"/>
      <c r="NGI28" s="1688"/>
      <c r="NGJ28" s="1688"/>
      <c r="NGK28" s="1688"/>
      <c r="NGL28" s="1688"/>
      <c r="NGM28" s="1688"/>
      <c r="NGN28" s="1688"/>
      <c r="NGO28" s="1688"/>
      <c r="NGP28" s="1688"/>
      <c r="NGQ28" s="1688"/>
      <c r="NGR28" s="1688"/>
      <c r="NGS28" s="1688"/>
      <c r="NGT28" s="1688"/>
      <c r="NGU28" s="1688"/>
      <c r="NGV28" s="1688"/>
      <c r="NGW28" s="1688"/>
      <c r="NGX28" s="1688"/>
      <c r="NGY28" s="1688"/>
      <c r="NGZ28" s="1688"/>
      <c r="NHA28" s="1688"/>
      <c r="NHB28" s="1688"/>
      <c r="NHC28" s="1688"/>
      <c r="NHD28" s="1688"/>
      <c r="NHE28" s="1688"/>
      <c r="NHF28" s="1688"/>
      <c r="NHG28" s="1688"/>
      <c r="NHH28" s="1688"/>
      <c r="NHI28" s="1688"/>
      <c r="NHJ28" s="1688"/>
      <c r="NHK28" s="1688"/>
      <c r="NHL28" s="1688"/>
      <c r="NHM28" s="1688"/>
      <c r="NHN28" s="1688"/>
      <c r="NHO28" s="1688"/>
      <c r="NHP28" s="1688"/>
      <c r="NHQ28" s="1688"/>
      <c r="NHR28" s="1688"/>
      <c r="NHS28" s="1688"/>
      <c r="NHT28" s="1688"/>
      <c r="NHU28" s="1688"/>
      <c r="NHV28" s="1688"/>
      <c r="NHW28" s="1688"/>
      <c r="NHX28" s="1688"/>
      <c r="NHY28" s="1688"/>
      <c r="NHZ28" s="1688"/>
      <c r="NIA28" s="1688"/>
      <c r="NIB28" s="1688"/>
      <c r="NIC28" s="1688"/>
      <c r="NID28" s="1688"/>
      <c r="NIE28" s="1688"/>
      <c r="NIF28" s="1688"/>
      <c r="NIG28" s="1688"/>
      <c r="NIH28" s="1688"/>
      <c r="NII28" s="1688"/>
      <c r="NIJ28" s="1688"/>
      <c r="NIK28" s="1688"/>
      <c r="NIL28" s="1688"/>
      <c r="NIM28" s="1688"/>
      <c r="NIN28" s="1688"/>
      <c r="NIO28" s="1688"/>
      <c r="NIP28" s="1688"/>
      <c r="NIQ28" s="1688"/>
      <c r="NIR28" s="1688"/>
      <c r="NIS28" s="1688"/>
      <c r="NIT28" s="1688"/>
      <c r="NIU28" s="1688"/>
      <c r="NIV28" s="1688"/>
      <c r="NIW28" s="1688"/>
      <c r="NIX28" s="1688"/>
      <c r="NIY28" s="1688"/>
      <c r="NIZ28" s="1688"/>
      <c r="NJA28" s="1688"/>
      <c r="NJB28" s="1688"/>
      <c r="NJC28" s="1688"/>
      <c r="NJD28" s="1688"/>
      <c r="NJE28" s="1688"/>
      <c r="NJF28" s="1688"/>
      <c r="NJG28" s="1688"/>
      <c r="NJH28" s="1688"/>
      <c r="NJI28" s="1688"/>
      <c r="NJJ28" s="1688"/>
      <c r="NJK28" s="1688"/>
      <c r="NJL28" s="1688"/>
      <c r="NJM28" s="1688"/>
      <c r="NJN28" s="1688"/>
      <c r="NJO28" s="1688"/>
      <c r="NJP28" s="1688"/>
      <c r="NJQ28" s="1688"/>
      <c r="NJR28" s="1688"/>
      <c r="NJS28" s="1688"/>
      <c r="NJT28" s="1688"/>
      <c r="NJU28" s="1688"/>
      <c r="NJV28" s="1688"/>
      <c r="NJW28" s="1688"/>
      <c r="NJX28" s="1688"/>
      <c r="NJY28" s="1688"/>
      <c r="NJZ28" s="1688"/>
      <c r="NKA28" s="1688"/>
      <c r="NKB28" s="1688"/>
      <c r="NKC28" s="1688"/>
      <c r="NKD28" s="1688"/>
      <c r="NKE28" s="1688"/>
      <c r="NKF28" s="1688"/>
      <c r="NKG28" s="1688"/>
      <c r="NKH28" s="1688"/>
      <c r="NKI28" s="1688"/>
      <c r="NKJ28" s="1688"/>
      <c r="NKK28" s="1688"/>
      <c r="NKL28" s="1688"/>
      <c r="NKM28" s="1688"/>
      <c r="NKN28" s="1688"/>
      <c r="NKO28" s="1688"/>
      <c r="NKP28" s="1688"/>
      <c r="NKQ28" s="1688"/>
      <c r="NKR28" s="1688"/>
      <c r="NKS28" s="1688"/>
      <c r="NKT28" s="1688"/>
      <c r="NKU28" s="1688"/>
      <c r="NKV28" s="1688"/>
      <c r="NKW28" s="1688"/>
      <c r="NKX28" s="1688"/>
      <c r="NKY28" s="1688"/>
      <c r="NKZ28" s="1688"/>
      <c r="NLA28" s="1688"/>
      <c r="NLB28" s="1688"/>
      <c r="NLC28" s="1688"/>
      <c r="NLD28" s="1688"/>
      <c r="NLE28" s="1688"/>
      <c r="NLF28" s="1688"/>
      <c r="NLG28" s="1688"/>
      <c r="NLH28" s="1688"/>
      <c r="NLI28" s="1688"/>
      <c r="NLJ28" s="1688"/>
      <c r="NLK28" s="1688"/>
      <c r="NLL28" s="1688"/>
      <c r="NLM28" s="1688"/>
      <c r="NLN28" s="1688"/>
      <c r="NLO28" s="1688"/>
      <c r="NLP28" s="1688"/>
      <c r="NLQ28" s="1688"/>
      <c r="NLR28" s="1688"/>
      <c r="NLS28" s="1688"/>
      <c r="NLT28" s="1688"/>
      <c r="NLU28" s="1688"/>
      <c r="NLV28" s="1688"/>
      <c r="NLW28" s="1688"/>
      <c r="NLX28" s="1688"/>
      <c r="NLY28" s="1688"/>
      <c r="NLZ28" s="1688"/>
      <c r="NMA28" s="1688"/>
      <c r="NMB28" s="1688"/>
      <c r="NMC28" s="1688"/>
      <c r="NMD28" s="1688"/>
      <c r="NME28" s="1688"/>
      <c r="NMF28" s="1688"/>
      <c r="NMG28" s="1688"/>
      <c r="NMH28" s="1688"/>
      <c r="NMI28" s="1688"/>
      <c r="NMJ28" s="1688"/>
      <c r="NMK28" s="1688"/>
      <c r="NML28" s="1688"/>
      <c r="NMM28" s="1688"/>
      <c r="NMN28" s="1688"/>
      <c r="NMO28" s="1688"/>
      <c r="NMP28" s="1688"/>
      <c r="NMQ28" s="1688"/>
      <c r="NMR28" s="1688"/>
      <c r="NMS28" s="1688"/>
      <c r="NMT28" s="1688"/>
      <c r="NMU28" s="1688"/>
      <c r="NMV28" s="1688"/>
      <c r="NMW28" s="1688"/>
      <c r="NMX28" s="1688"/>
      <c r="NMY28" s="1688"/>
      <c r="NMZ28" s="1688"/>
      <c r="NNA28" s="1688"/>
      <c r="NNB28" s="1688"/>
      <c r="NNC28" s="1688"/>
      <c r="NND28" s="1688"/>
      <c r="NNE28" s="1688"/>
      <c r="NNF28" s="1688"/>
      <c r="NNG28" s="1688"/>
      <c r="NNH28" s="1688"/>
      <c r="NNI28" s="1688"/>
      <c r="NNJ28" s="1688"/>
      <c r="NNK28" s="1688"/>
      <c r="NNL28" s="1688"/>
      <c r="NNM28" s="1688"/>
      <c r="NNN28" s="1688"/>
      <c r="NNO28" s="1688"/>
      <c r="NNP28" s="1688"/>
      <c r="NNQ28" s="1688"/>
      <c r="NNR28" s="1688"/>
      <c r="NNS28" s="1688"/>
      <c r="NNT28" s="1688"/>
      <c r="NNU28" s="1688"/>
      <c r="NNV28" s="1688"/>
      <c r="NNW28" s="1688"/>
      <c r="NNX28" s="1688"/>
      <c r="NNY28" s="1688"/>
      <c r="NNZ28" s="1688"/>
      <c r="NOA28" s="1688"/>
      <c r="NOB28" s="1688"/>
      <c r="NOC28" s="1688"/>
      <c r="NOD28" s="1688"/>
      <c r="NOE28" s="1688"/>
      <c r="NOF28" s="1688"/>
      <c r="NOG28" s="1688"/>
      <c r="NOH28" s="1688"/>
      <c r="NOI28" s="1688"/>
      <c r="NOJ28" s="1688"/>
      <c r="NOK28" s="1688"/>
      <c r="NOL28" s="1688"/>
      <c r="NOM28" s="1688"/>
      <c r="NON28" s="1688"/>
      <c r="NOO28" s="1688"/>
      <c r="NOP28" s="1688"/>
      <c r="NOQ28" s="1688"/>
      <c r="NOR28" s="1688"/>
      <c r="NOS28" s="1688"/>
      <c r="NOT28" s="1688"/>
      <c r="NOU28" s="1688"/>
      <c r="NOV28" s="1688"/>
      <c r="NOW28" s="1688"/>
      <c r="NOX28" s="1688"/>
      <c r="NOY28" s="1688"/>
      <c r="NOZ28" s="1688"/>
      <c r="NPA28" s="1688"/>
      <c r="NPB28" s="1688"/>
      <c r="NPC28" s="1688"/>
      <c r="NPD28" s="1688"/>
      <c r="NPE28" s="1688"/>
      <c r="NPF28" s="1688"/>
      <c r="NPG28" s="1688"/>
      <c r="NPH28" s="1688"/>
      <c r="NPI28" s="1688"/>
      <c r="NPJ28" s="1688"/>
      <c r="NPK28" s="1688"/>
      <c r="NPL28" s="1688"/>
      <c r="NPM28" s="1688"/>
      <c r="NPN28" s="1688"/>
      <c r="NPO28" s="1688"/>
      <c r="NPP28" s="1688"/>
      <c r="NPQ28" s="1688"/>
      <c r="NPR28" s="1688"/>
      <c r="NPS28" s="1688"/>
      <c r="NPT28" s="1688"/>
      <c r="NPU28" s="1688"/>
      <c r="NPV28" s="1688"/>
      <c r="NPW28" s="1688"/>
      <c r="NPX28" s="1688"/>
      <c r="NPY28" s="1688"/>
      <c r="NPZ28" s="1688"/>
      <c r="NQA28" s="1688"/>
      <c r="NQB28" s="1688"/>
      <c r="NQC28" s="1688"/>
      <c r="NQD28" s="1688"/>
      <c r="NQE28" s="1688"/>
      <c r="NQF28" s="1688"/>
      <c r="NQG28" s="1688"/>
      <c r="NQH28" s="1688"/>
      <c r="NQI28" s="1688"/>
      <c r="NQJ28" s="1688"/>
      <c r="NQK28" s="1688"/>
      <c r="NQL28" s="1688"/>
      <c r="NQM28" s="1688"/>
      <c r="NQN28" s="1688"/>
      <c r="NQO28" s="1688"/>
      <c r="NQP28" s="1688"/>
      <c r="NQQ28" s="1688"/>
      <c r="NQR28" s="1688"/>
      <c r="NQS28" s="1688"/>
      <c r="NQT28" s="1688"/>
      <c r="NQU28" s="1688"/>
      <c r="NQV28" s="1688"/>
      <c r="NQW28" s="1688"/>
      <c r="NQX28" s="1688"/>
      <c r="NQY28" s="1688"/>
      <c r="NQZ28" s="1688"/>
      <c r="NRA28" s="1688"/>
      <c r="NRB28" s="1688"/>
      <c r="NRC28" s="1688"/>
      <c r="NRD28" s="1688"/>
      <c r="NRE28" s="1688"/>
      <c r="NRF28" s="1688"/>
      <c r="NRG28" s="1688"/>
      <c r="NRH28" s="1688"/>
      <c r="NRI28" s="1688"/>
      <c r="NRJ28" s="1688"/>
      <c r="NRK28" s="1688"/>
      <c r="NRL28" s="1688"/>
      <c r="NRM28" s="1688"/>
      <c r="NRN28" s="1688"/>
      <c r="NRO28" s="1688"/>
      <c r="NRP28" s="1688"/>
      <c r="NRQ28" s="1688"/>
      <c r="NRR28" s="1688"/>
      <c r="NRS28" s="1688"/>
      <c r="NRT28" s="1688"/>
      <c r="NRU28" s="1688"/>
      <c r="NRV28" s="1688"/>
      <c r="NRW28" s="1688"/>
      <c r="NRX28" s="1688"/>
      <c r="NRY28" s="1688"/>
      <c r="NRZ28" s="1688"/>
      <c r="NSA28" s="1688"/>
      <c r="NSB28" s="1688"/>
      <c r="NSC28" s="1688"/>
      <c r="NSD28" s="1688"/>
      <c r="NSE28" s="1688"/>
      <c r="NSF28" s="1688"/>
      <c r="NSG28" s="1688"/>
      <c r="NSH28" s="1688"/>
      <c r="NSI28" s="1688"/>
      <c r="NSJ28" s="1688"/>
      <c r="NSK28" s="1688"/>
      <c r="NSL28" s="1688"/>
      <c r="NSM28" s="1688"/>
      <c r="NSN28" s="1688"/>
      <c r="NSO28" s="1688"/>
      <c r="NSP28" s="1688"/>
      <c r="NSQ28" s="1688"/>
      <c r="NSR28" s="1688"/>
      <c r="NSS28" s="1688"/>
      <c r="NST28" s="1688"/>
      <c r="NSU28" s="1688"/>
      <c r="NSV28" s="1688"/>
      <c r="NSW28" s="1688"/>
      <c r="NSX28" s="1688"/>
      <c r="NSY28" s="1688"/>
      <c r="NSZ28" s="1688"/>
      <c r="NTA28" s="1688"/>
      <c r="NTB28" s="1688"/>
      <c r="NTC28" s="1688"/>
      <c r="NTD28" s="1688"/>
      <c r="NTE28" s="1688"/>
      <c r="NTF28" s="1688"/>
      <c r="NTG28" s="1688"/>
      <c r="NTH28" s="1688"/>
      <c r="NTI28" s="1688"/>
      <c r="NTJ28" s="1688"/>
      <c r="NTK28" s="1688"/>
      <c r="NTL28" s="1688"/>
      <c r="NTM28" s="1688"/>
      <c r="NTN28" s="1688"/>
      <c r="NTO28" s="1688"/>
      <c r="NTP28" s="1688"/>
      <c r="NTQ28" s="1688"/>
      <c r="NTR28" s="1688"/>
      <c r="NTS28" s="1688"/>
      <c r="NTT28" s="1688"/>
      <c r="NTU28" s="1688"/>
      <c r="NTV28" s="1688"/>
      <c r="NTW28" s="1688"/>
      <c r="NTX28" s="1688"/>
      <c r="NTY28" s="1688"/>
      <c r="NTZ28" s="1688"/>
      <c r="NUA28" s="1688"/>
      <c r="NUB28" s="1688"/>
      <c r="NUC28" s="1688"/>
      <c r="NUD28" s="1688"/>
      <c r="NUE28" s="1688"/>
      <c r="NUF28" s="1688"/>
      <c r="NUG28" s="1688"/>
      <c r="NUH28" s="1688"/>
      <c r="NUI28" s="1688"/>
      <c r="NUJ28" s="1688"/>
      <c r="NUK28" s="1688"/>
      <c r="NUL28" s="1688"/>
      <c r="NUM28" s="1688"/>
      <c r="NUN28" s="1688"/>
      <c r="NUO28" s="1688"/>
      <c r="NUP28" s="1688"/>
      <c r="NUQ28" s="1688"/>
      <c r="NUR28" s="1688"/>
      <c r="NUS28" s="1688"/>
      <c r="NUT28" s="1688"/>
      <c r="NUU28" s="1688"/>
      <c r="NUV28" s="1688"/>
      <c r="NUW28" s="1688"/>
      <c r="NUX28" s="1688"/>
      <c r="NUY28" s="1688"/>
      <c r="NUZ28" s="1688"/>
      <c r="NVA28" s="1688"/>
      <c r="NVB28" s="1688"/>
      <c r="NVC28" s="1688"/>
      <c r="NVD28" s="1688"/>
      <c r="NVE28" s="1688"/>
      <c r="NVF28" s="1688"/>
      <c r="NVG28" s="1688"/>
      <c r="NVH28" s="1688"/>
      <c r="NVI28" s="1688"/>
      <c r="NVJ28" s="1688"/>
      <c r="NVK28" s="1688"/>
      <c r="NVL28" s="1688"/>
      <c r="NVM28" s="1688"/>
      <c r="NVN28" s="1688"/>
      <c r="NVO28" s="1688"/>
      <c r="NVP28" s="1688"/>
      <c r="NVQ28" s="1688"/>
      <c r="NVR28" s="1688"/>
      <c r="NVS28" s="1688"/>
      <c r="NVT28" s="1688"/>
      <c r="NVU28" s="1688"/>
      <c r="NVV28" s="1688"/>
      <c r="NVW28" s="1688"/>
      <c r="NVX28" s="1688"/>
      <c r="NVY28" s="1688"/>
      <c r="NVZ28" s="1688"/>
      <c r="NWA28" s="1688"/>
      <c r="NWB28" s="1688"/>
      <c r="NWC28" s="1688"/>
      <c r="NWD28" s="1688"/>
      <c r="NWE28" s="1688"/>
      <c r="NWF28" s="1688"/>
      <c r="NWG28" s="1688"/>
      <c r="NWH28" s="1688"/>
      <c r="NWI28" s="1688"/>
      <c r="NWJ28" s="1688"/>
      <c r="NWK28" s="1688"/>
      <c r="NWL28" s="1688"/>
      <c r="NWM28" s="1688"/>
      <c r="NWN28" s="1688"/>
      <c r="NWO28" s="1688"/>
      <c r="NWP28" s="1688"/>
      <c r="NWQ28" s="1688"/>
      <c r="NWR28" s="1688"/>
      <c r="NWS28" s="1688"/>
      <c r="NWT28" s="1688"/>
      <c r="NWU28" s="1688"/>
      <c r="NWV28" s="1688"/>
      <c r="NWW28" s="1688"/>
      <c r="NWX28" s="1688"/>
      <c r="NWY28" s="1688"/>
      <c r="NWZ28" s="1688"/>
      <c r="NXA28" s="1688"/>
      <c r="NXB28" s="1688"/>
      <c r="NXC28" s="1688"/>
      <c r="NXD28" s="1688"/>
      <c r="NXE28" s="1688"/>
      <c r="NXF28" s="1688"/>
      <c r="NXG28" s="1688"/>
      <c r="NXH28" s="1688"/>
      <c r="NXI28" s="1688"/>
      <c r="NXJ28" s="1688"/>
      <c r="NXK28" s="1688"/>
      <c r="NXL28" s="1688"/>
      <c r="NXM28" s="1688"/>
      <c r="NXN28" s="1688"/>
      <c r="NXO28" s="1688"/>
      <c r="NXP28" s="1688"/>
      <c r="NXQ28" s="1688"/>
      <c r="NXR28" s="1688"/>
      <c r="NXS28" s="1688"/>
      <c r="NXT28" s="1688"/>
      <c r="NXU28" s="1688"/>
      <c r="NXV28" s="1688"/>
      <c r="NXW28" s="1688"/>
      <c r="NXX28" s="1688"/>
      <c r="NXY28" s="1688"/>
      <c r="NXZ28" s="1688"/>
      <c r="NYA28" s="1688"/>
      <c r="NYB28" s="1688"/>
      <c r="NYC28" s="1688"/>
      <c r="NYD28" s="1688"/>
      <c r="NYE28" s="1688"/>
      <c r="NYF28" s="1688"/>
      <c r="NYG28" s="1688"/>
      <c r="NYH28" s="1688"/>
      <c r="NYI28" s="1688"/>
      <c r="NYJ28" s="1688"/>
      <c r="NYK28" s="1688"/>
      <c r="NYL28" s="1688"/>
      <c r="NYM28" s="1688"/>
      <c r="NYN28" s="1688"/>
      <c r="NYO28" s="1688"/>
      <c r="NYP28" s="1688"/>
      <c r="NYQ28" s="1688"/>
      <c r="NYR28" s="1688"/>
      <c r="NYS28" s="1688"/>
      <c r="NYT28" s="1688"/>
      <c r="NYU28" s="1688"/>
      <c r="NYV28" s="1688"/>
      <c r="NYW28" s="1688"/>
      <c r="NYX28" s="1688"/>
      <c r="NYY28" s="1688"/>
      <c r="NYZ28" s="1688"/>
      <c r="NZA28" s="1688"/>
      <c r="NZB28" s="1688"/>
      <c r="NZC28" s="1688"/>
      <c r="NZD28" s="1688"/>
      <c r="NZE28" s="1688"/>
      <c r="NZF28" s="1688"/>
      <c r="NZG28" s="1688"/>
      <c r="NZH28" s="1688"/>
      <c r="NZI28" s="1688"/>
      <c r="NZJ28" s="1688"/>
      <c r="NZK28" s="1688"/>
      <c r="NZL28" s="1688"/>
      <c r="NZM28" s="1688"/>
      <c r="NZN28" s="1688"/>
      <c r="NZO28" s="1688"/>
      <c r="NZP28" s="1688"/>
      <c r="NZQ28" s="1688"/>
      <c r="NZR28" s="1688"/>
      <c r="NZS28" s="1688"/>
      <c r="NZT28" s="1688"/>
      <c r="NZU28" s="1688"/>
      <c r="NZV28" s="1688"/>
      <c r="NZW28" s="1688"/>
      <c r="NZX28" s="1688"/>
      <c r="NZY28" s="1688"/>
      <c r="NZZ28" s="1688"/>
      <c r="OAA28" s="1688"/>
      <c r="OAB28" s="1688"/>
      <c r="OAC28" s="1688"/>
      <c r="OAD28" s="1688"/>
      <c r="OAE28" s="1688"/>
      <c r="OAF28" s="1688"/>
      <c r="OAG28" s="1688"/>
      <c r="OAH28" s="1688"/>
      <c r="OAI28" s="1688"/>
      <c r="OAJ28" s="1688"/>
      <c r="OAK28" s="1688"/>
      <c r="OAL28" s="1688"/>
      <c r="OAM28" s="1688"/>
      <c r="OAN28" s="1688"/>
      <c r="OAO28" s="1688"/>
      <c r="OAP28" s="1688"/>
      <c r="OAQ28" s="1688"/>
      <c r="OAR28" s="1688"/>
      <c r="OAS28" s="1688"/>
      <c r="OAT28" s="1688"/>
      <c r="OAU28" s="1688"/>
      <c r="OAV28" s="1688"/>
      <c r="OAW28" s="1688"/>
      <c r="OAX28" s="1688"/>
      <c r="OAY28" s="1688"/>
      <c r="OAZ28" s="1688"/>
      <c r="OBA28" s="1688"/>
      <c r="OBB28" s="1688"/>
      <c r="OBC28" s="1688"/>
      <c r="OBD28" s="1688"/>
      <c r="OBE28" s="1688"/>
      <c r="OBF28" s="1688"/>
      <c r="OBG28" s="1688"/>
      <c r="OBH28" s="1688"/>
      <c r="OBI28" s="1688"/>
      <c r="OBJ28" s="1688"/>
      <c r="OBK28" s="1688"/>
      <c r="OBL28" s="1688"/>
      <c r="OBM28" s="1688"/>
      <c r="OBN28" s="1688"/>
      <c r="OBO28" s="1688"/>
      <c r="OBP28" s="1688"/>
      <c r="OBQ28" s="1688"/>
      <c r="OBR28" s="1688"/>
      <c r="OBS28" s="1688"/>
      <c r="OBT28" s="1688"/>
      <c r="OBU28" s="1688"/>
      <c r="OBV28" s="1688"/>
      <c r="OBW28" s="1688"/>
      <c r="OBX28" s="1688"/>
      <c r="OBY28" s="1688"/>
      <c r="OBZ28" s="1688"/>
      <c r="OCA28" s="1688"/>
      <c r="OCB28" s="1688"/>
      <c r="OCC28" s="1688"/>
      <c r="OCD28" s="1688"/>
      <c r="OCE28" s="1688"/>
      <c r="OCF28" s="1688"/>
      <c r="OCG28" s="1688"/>
      <c r="OCH28" s="1688"/>
      <c r="OCI28" s="1688"/>
      <c r="OCJ28" s="1688"/>
      <c r="OCK28" s="1688"/>
      <c r="OCL28" s="1688"/>
      <c r="OCM28" s="1688"/>
      <c r="OCN28" s="1688"/>
      <c r="OCO28" s="1688"/>
      <c r="OCP28" s="1688"/>
      <c r="OCQ28" s="1688"/>
      <c r="OCR28" s="1688"/>
      <c r="OCS28" s="1688"/>
      <c r="OCT28" s="1688"/>
      <c r="OCU28" s="1688"/>
      <c r="OCV28" s="1688"/>
      <c r="OCW28" s="1688"/>
      <c r="OCX28" s="1688"/>
      <c r="OCY28" s="1688"/>
      <c r="OCZ28" s="1688"/>
      <c r="ODA28" s="1688"/>
      <c r="ODB28" s="1688"/>
      <c r="ODC28" s="1688"/>
      <c r="ODD28" s="1688"/>
      <c r="ODE28" s="1688"/>
      <c r="ODF28" s="1688"/>
      <c r="ODG28" s="1688"/>
      <c r="ODH28" s="1688"/>
      <c r="ODI28" s="1688"/>
      <c r="ODJ28" s="1688"/>
      <c r="ODK28" s="1688"/>
      <c r="ODL28" s="1688"/>
      <c r="ODM28" s="1688"/>
      <c r="ODN28" s="1688"/>
      <c r="ODO28" s="1688"/>
      <c r="ODP28" s="1688"/>
      <c r="ODQ28" s="1688"/>
      <c r="ODR28" s="1688"/>
      <c r="ODS28" s="1688"/>
      <c r="ODT28" s="1688"/>
      <c r="ODU28" s="1688"/>
      <c r="ODV28" s="1688"/>
      <c r="ODW28" s="1688"/>
      <c r="ODX28" s="1688"/>
      <c r="ODY28" s="1688"/>
      <c r="ODZ28" s="1688"/>
      <c r="OEA28" s="1688"/>
      <c r="OEB28" s="1688"/>
      <c r="OEC28" s="1688"/>
      <c r="OED28" s="1688"/>
      <c r="OEE28" s="1688"/>
      <c r="OEF28" s="1688"/>
      <c r="OEG28" s="1688"/>
      <c r="OEH28" s="1688"/>
      <c r="OEI28" s="1688"/>
      <c r="OEJ28" s="1688"/>
      <c r="OEK28" s="1688"/>
      <c r="OEL28" s="1688"/>
      <c r="OEM28" s="1688"/>
      <c r="OEN28" s="1688"/>
      <c r="OEO28" s="1688"/>
      <c r="OEP28" s="1688"/>
      <c r="OEQ28" s="1688"/>
      <c r="OER28" s="1688"/>
      <c r="OES28" s="1688"/>
      <c r="OET28" s="1688"/>
      <c r="OEU28" s="1688"/>
      <c r="OEV28" s="1688"/>
      <c r="OEW28" s="1688"/>
      <c r="OEX28" s="1688"/>
      <c r="OEY28" s="1688"/>
      <c r="OEZ28" s="1688"/>
      <c r="OFA28" s="1688"/>
      <c r="OFB28" s="1688"/>
      <c r="OFC28" s="1688"/>
      <c r="OFD28" s="1688"/>
      <c r="OFE28" s="1688"/>
      <c r="OFF28" s="1688"/>
      <c r="OFG28" s="1688"/>
      <c r="OFH28" s="1688"/>
      <c r="OFI28" s="1688"/>
      <c r="OFJ28" s="1688"/>
      <c r="OFK28" s="1688"/>
      <c r="OFL28" s="1688"/>
      <c r="OFM28" s="1688"/>
      <c r="OFN28" s="1688"/>
      <c r="OFO28" s="1688"/>
      <c r="OFP28" s="1688"/>
      <c r="OFQ28" s="1688"/>
      <c r="OFR28" s="1688"/>
      <c r="OFS28" s="1688"/>
      <c r="OFT28" s="1688"/>
      <c r="OFU28" s="1688"/>
      <c r="OFV28" s="1688"/>
      <c r="OFW28" s="1688"/>
      <c r="OFX28" s="1688"/>
      <c r="OFY28" s="1688"/>
      <c r="OFZ28" s="1688"/>
      <c r="OGA28" s="1688"/>
      <c r="OGB28" s="1688"/>
      <c r="OGC28" s="1688"/>
      <c r="OGD28" s="1688"/>
      <c r="OGE28" s="1688"/>
      <c r="OGF28" s="1688"/>
      <c r="OGG28" s="1688"/>
      <c r="OGH28" s="1688"/>
      <c r="OGI28" s="1688"/>
      <c r="OGJ28" s="1688"/>
      <c r="OGK28" s="1688"/>
      <c r="OGL28" s="1688"/>
      <c r="OGM28" s="1688"/>
      <c r="OGN28" s="1688"/>
      <c r="OGO28" s="1688"/>
      <c r="OGP28" s="1688"/>
      <c r="OGQ28" s="1688"/>
      <c r="OGR28" s="1688"/>
      <c r="OGS28" s="1688"/>
      <c r="OGT28" s="1688"/>
      <c r="OGU28" s="1688"/>
      <c r="OGV28" s="1688"/>
      <c r="OGW28" s="1688"/>
      <c r="OGX28" s="1688"/>
      <c r="OGY28" s="1688"/>
      <c r="OGZ28" s="1688"/>
      <c r="OHA28" s="1688"/>
      <c r="OHB28" s="1688"/>
      <c r="OHC28" s="1688"/>
      <c r="OHD28" s="1688"/>
      <c r="OHE28" s="1688"/>
      <c r="OHF28" s="1688"/>
      <c r="OHG28" s="1688"/>
      <c r="OHH28" s="1688"/>
      <c r="OHI28" s="1688"/>
      <c r="OHJ28" s="1688"/>
      <c r="OHK28" s="1688"/>
      <c r="OHL28" s="1688"/>
      <c r="OHM28" s="1688"/>
      <c r="OHN28" s="1688"/>
      <c r="OHO28" s="1688"/>
      <c r="OHP28" s="1688"/>
      <c r="OHQ28" s="1688"/>
      <c r="OHR28" s="1688"/>
      <c r="OHS28" s="1688"/>
      <c r="OHT28" s="1688"/>
      <c r="OHU28" s="1688"/>
      <c r="OHV28" s="1688"/>
      <c r="OHW28" s="1688"/>
      <c r="OHX28" s="1688"/>
      <c r="OHY28" s="1688"/>
      <c r="OHZ28" s="1688"/>
      <c r="OIA28" s="1688"/>
      <c r="OIB28" s="1688"/>
      <c r="OIC28" s="1688"/>
      <c r="OID28" s="1688"/>
      <c r="OIE28" s="1688"/>
      <c r="OIF28" s="1688"/>
      <c r="OIG28" s="1688"/>
      <c r="OIH28" s="1688"/>
      <c r="OII28" s="1688"/>
      <c r="OIJ28" s="1688"/>
      <c r="OIK28" s="1688"/>
      <c r="OIL28" s="1688"/>
      <c r="OIM28" s="1688"/>
      <c r="OIN28" s="1688"/>
      <c r="OIO28" s="1688"/>
      <c r="OIP28" s="1688"/>
      <c r="OIQ28" s="1688"/>
      <c r="OIR28" s="1688"/>
      <c r="OIS28" s="1688"/>
      <c r="OIT28" s="1688"/>
      <c r="OIU28" s="1688"/>
      <c r="OIV28" s="1688"/>
      <c r="OIW28" s="1688"/>
      <c r="OIX28" s="1688"/>
      <c r="OIY28" s="1688"/>
      <c r="OIZ28" s="1688"/>
      <c r="OJA28" s="1688"/>
      <c r="OJB28" s="1688"/>
      <c r="OJC28" s="1688"/>
      <c r="OJD28" s="1688"/>
      <c r="OJE28" s="1688"/>
      <c r="OJF28" s="1688"/>
      <c r="OJG28" s="1688"/>
      <c r="OJH28" s="1688"/>
      <c r="OJI28" s="1688"/>
      <c r="OJJ28" s="1688"/>
      <c r="OJK28" s="1688"/>
      <c r="OJL28" s="1688"/>
      <c r="OJM28" s="1688"/>
      <c r="OJN28" s="1688"/>
      <c r="OJO28" s="1688"/>
      <c r="OJP28" s="1688"/>
      <c r="OJQ28" s="1688"/>
      <c r="OJR28" s="1688"/>
      <c r="OJS28" s="1688"/>
      <c r="OJT28" s="1688"/>
      <c r="OJU28" s="1688"/>
      <c r="OJV28" s="1688"/>
      <c r="OJW28" s="1688"/>
      <c r="OJX28" s="1688"/>
      <c r="OJY28" s="1688"/>
      <c r="OJZ28" s="1688"/>
      <c r="OKA28" s="1688"/>
      <c r="OKB28" s="1688"/>
      <c r="OKC28" s="1688"/>
      <c r="OKD28" s="1688"/>
      <c r="OKE28" s="1688"/>
      <c r="OKF28" s="1688"/>
      <c r="OKG28" s="1688"/>
      <c r="OKH28" s="1688"/>
      <c r="OKI28" s="1688"/>
      <c r="OKJ28" s="1688"/>
      <c r="OKK28" s="1688"/>
      <c r="OKL28" s="1688"/>
      <c r="OKM28" s="1688"/>
      <c r="OKN28" s="1688"/>
      <c r="OKO28" s="1688"/>
      <c r="OKP28" s="1688"/>
      <c r="OKQ28" s="1688"/>
      <c r="OKR28" s="1688"/>
      <c r="OKS28" s="1688"/>
      <c r="OKT28" s="1688"/>
      <c r="OKU28" s="1688"/>
      <c r="OKV28" s="1688"/>
      <c r="OKW28" s="1688"/>
      <c r="OKX28" s="1688"/>
      <c r="OKY28" s="1688"/>
      <c r="OKZ28" s="1688"/>
      <c r="OLA28" s="1688"/>
      <c r="OLB28" s="1688"/>
      <c r="OLC28" s="1688"/>
      <c r="OLD28" s="1688"/>
      <c r="OLE28" s="1688"/>
      <c r="OLF28" s="1688"/>
      <c r="OLG28" s="1688"/>
      <c r="OLH28" s="1688"/>
      <c r="OLI28" s="1688"/>
      <c r="OLJ28" s="1688"/>
      <c r="OLK28" s="1688"/>
      <c r="OLL28" s="1688"/>
      <c r="OLM28" s="1688"/>
      <c r="OLN28" s="1688"/>
      <c r="OLO28" s="1688"/>
      <c r="OLP28" s="1688"/>
      <c r="OLQ28" s="1688"/>
      <c r="OLR28" s="1688"/>
      <c r="OLS28" s="1688"/>
      <c r="OLT28" s="1688"/>
      <c r="OLU28" s="1688"/>
      <c r="OLV28" s="1688"/>
      <c r="OLW28" s="1688"/>
      <c r="OLX28" s="1688"/>
      <c r="OLY28" s="1688"/>
      <c r="OLZ28" s="1688"/>
      <c r="OMA28" s="1688"/>
      <c r="OMB28" s="1688"/>
      <c r="OMC28" s="1688"/>
      <c r="OMD28" s="1688"/>
      <c r="OME28" s="1688"/>
      <c r="OMF28" s="1688"/>
      <c r="OMG28" s="1688"/>
      <c r="OMH28" s="1688"/>
      <c r="OMI28" s="1688"/>
      <c r="OMJ28" s="1688"/>
      <c r="OMK28" s="1688"/>
      <c r="OML28" s="1688"/>
      <c r="OMM28" s="1688"/>
      <c r="OMN28" s="1688"/>
      <c r="OMO28" s="1688"/>
      <c r="OMP28" s="1688"/>
      <c r="OMQ28" s="1688"/>
      <c r="OMR28" s="1688"/>
      <c r="OMS28" s="1688"/>
      <c r="OMT28" s="1688"/>
      <c r="OMU28" s="1688"/>
      <c r="OMV28" s="1688"/>
      <c r="OMW28" s="1688"/>
      <c r="OMX28" s="1688"/>
      <c r="OMY28" s="1688"/>
      <c r="OMZ28" s="1688"/>
      <c r="ONA28" s="1688"/>
      <c r="ONB28" s="1688"/>
      <c r="ONC28" s="1688"/>
      <c r="OND28" s="1688"/>
      <c r="ONE28" s="1688"/>
      <c r="ONF28" s="1688"/>
      <c r="ONG28" s="1688"/>
      <c r="ONH28" s="1688"/>
      <c r="ONI28" s="1688"/>
      <c r="ONJ28" s="1688"/>
      <c r="ONK28" s="1688"/>
      <c r="ONL28" s="1688"/>
      <c r="ONM28" s="1688"/>
      <c r="ONN28" s="1688"/>
      <c r="ONO28" s="1688"/>
      <c r="ONP28" s="1688"/>
      <c r="ONQ28" s="1688"/>
      <c r="ONR28" s="1688"/>
      <c r="ONS28" s="1688"/>
      <c r="ONT28" s="1688"/>
      <c r="ONU28" s="1688"/>
      <c r="ONV28" s="1688"/>
      <c r="ONW28" s="1688"/>
      <c r="ONX28" s="1688"/>
      <c r="ONY28" s="1688"/>
      <c r="ONZ28" s="1688"/>
      <c r="OOA28" s="1688"/>
      <c r="OOB28" s="1688"/>
      <c r="OOC28" s="1688"/>
      <c r="OOD28" s="1688"/>
      <c r="OOE28" s="1688"/>
      <c r="OOF28" s="1688"/>
      <c r="OOG28" s="1688"/>
      <c r="OOH28" s="1688"/>
      <c r="OOI28" s="1688"/>
      <c r="OOJ28" s="1688"/>
      <c r="OOK28" s="1688"/>
      <c r="OOL28" s="1688"/>
      <c r="OOM28" s="1688"/>
      <c r="OON28" s="1688"/>
      <c r="OOO28" s="1688"/>
      <c r="OOP28" s="1688"/>
      <c r="OOQ28" s="1688"/>
      <c r="OOR28" s="1688"/>
      <c r="OOS28" s="1688"/>
      <c r="OOT28" s="1688"/>
      <c r="OOU28" s="1688"/>
      <c r="OOV28" s="1688"/>
      <c r="OOW28" s="1688"/>
      <c r="OOX28" s="1688"/>
      <c r="OOY28" s="1688"/>
      <c r="OOZ28" s="1688"/>
      <c r="OPA28" s="1688"/>
      <c r="OPB28" s="1688"/>
      <c r="OPC28" s="1688"/>
      <c r="OPD28" s="1688"/>
      <c r="OPE28" s="1688"/>
      <c r="OPF28" s="1688"/>
      <c r="OPG28" s="1688"/>
      <c r="OPH28" s="1688"/>
      <c r="OPI28" s="1688"/>
      <c r="OPJ28" s="1688"/>
      <c r="OPK28" s="1688"/>
      <c r="OPL28" s="1688"/>
      <c r="OPM28" s="1688"/>
      <c r="OPN28" s="1688"/>
      <c r="OPO28" s="1688"/>
      <c r="OPP28" s="1688"/>
      <c r="OPQ28" s="1688"/>
      <c r="OPR28" s="1688"/>
      <c r="OPS28" s="1688"/>
      <c r="OPT28" s="1688"/>
      <c r="OPU28" s="1688"/>
      <c r="OPV28" s="1688"/>
      <c r="OPW28" s="1688"/>
      <c r="OPX28" s="1688"/>
      <c r="OPY28" s="1688"/>
      <c r="OPZ28" s="1688"/>
      <c r="OQA28" s="1688"/>
      <c r="OQB28" s="1688"/>
      <c r="OQC28" s="1688"/>
      <c r="OQD28" s="1688"/>
      <c r="OQE28" s="1688"/>
      <c r="OQF28" s="1688"/>
      <c r="OQG28" s="1688"/>
      <c r="OQH28" s="1688"/>
      <c r="OQI28" s="1688"/>
      <c r="OQJ28" s="1688"/>
      <c r="OQK28" s="1688"/>
      <c r="OQL28" s="1688"/>
      <c r="OQM28" s="1688"/>
      <c r="OQN28" s="1688"/>
      <c r="OQO28" s="1688"/>
      <c r="OQP28" s="1688"/>
      <c r="OQQ28" s="1688"/>
      <c r="OQR28" s="1688"/>
      <c r="OQS28" s="1688"/>
      <c r="OQT28" s="1688"/>
      <c r="OQU28" s="1688"/>
      <c r="OQV28" s="1688"/>
      <c r="OQW28" s="1688"/>
      <c r="OQX28" s="1688"/>
      <c r="OQY28" s="1688"/>
      <c r="OQZ28" s="1688"/>
      <c r="ORA28" s="1688"/>
      <c r="ORB28" s="1688"/>
      <c r="ORC28" s="1688"/>
      <c r="ORD28" s="1688"/>
      <c r="ORE28" s="1688"/>
      <c r="ORF28" s="1688"/>
      <c r="ORG28" s="1688"/>
      <c r="ORH28" s="1688"/>
      <c r="ORI28" s="1688"/>
      <c r="ORJ28" s="1688"/>
      <c r="ORK28" s="1688"/>
      <c r="ORL28" s="1688"/>
      <c r="ORM28" s="1688"/>
      <c r="ORN28" s="1688"/>
      <c r="ORO28" s="1688"/>
      <c r="ORP28" s="1688"/>
      <c r="ORQ28" s="1688"/>
      <c r="ORR28" s="1688"/>
      <c r="ORS28" s="1688"/>
      <c r="ORT28" s="1688"/>
      <c r="ORU28" s="1688"/>
      <c r="ORV28" s="1688"/>
      <c r="ORW28" s="1688"/>
      <c r="ORX28" s="1688"/>
      <c r="ORY28" s="1688"/>
      <c r="ORZ28" s="1688"/>
      <c r="OSA28" s="1688"/>
      <c r="OSB28" s="1688"/>
      <c r="OSC28" s="1688"/>
      <c r="OSD28" s="1688"/>
      <c r="OSE28" s="1688"/>
      <c r="OSF28" s="1688"/>
      <c r="OSG28" s="1688"/>
      <c r="OSH28" s="1688"/>
      <c r="OSI28" s="1688"/>
      <c r="OSJ28" s="1688"/>
      <c r="OSK28" s="1688"/>
      <c r="OSL28" s="1688"/>
      <c r="OSM28" s="1688"/>
      <c r="OSN28" s="1688"/>
      <c r="OSO28" s="1688"/>
      <c r="OSP28" s="1688"/>
      <c r="OSQ28" s="1688"/>
      <c r="OSR28" s="1688"/>
      <c r="OSS28" s="1688"/>
      <c r="OST28" s="1688"/>
      <c r="OSU28" s="1688"/>
      <c r="OSV28" s="1688"/>
      <c r="OSW28" s="1688"/>
      <c r="OSX28" s="1688"/>
      <c r="OSY28" s="1688"/>
      <c r="OSZ28" s="1688"/>
      <c r="OTA28" s="1688"/>
      <c r="OTB28" s="1688"/>
      <c r="OTC28" s="1688"/>
      <c r="OTD28" s="1688"/>
      <c r="OTE28" s="1688"/>
      <c r="OTF28" s="1688"/>
      <c r="OTG28" s="1688"/>
      <c r="OTH28" s="1688"/>
      <c r="OTI28" s="1688"/>
      <c r="OTJ28" s="1688"/>
      <c r="OTK28" s="1688"/>
      <c r="OTL28" s="1688"/>
      <c r="OTM28" s="1688"/>
      <c r="OTN28" s="1688"/>
      <c r="OTO28" s="1688"/>
      <c r="OTP28" s="1688"/>
      <c r="OTQ28" s="1688"/>
      <c r="OTR28" s="1688"/>
      <c r="OTS28" s="1688"/>
      <c r="OTT28" s="1688"/>
      <c r="OTU28" s="1688"/>
      <c r="OTV28" s="1688"/>
      <c r="OTW28" s="1688"/>
      <c r="OTX28" s="1688"/>
      <c r="OTY28" s="1688"/>
      <c r="OTZ28" s="1688"/>
      <c r="OUA28" s="1688"/>
      <c r="OUB28" s="1688"/>
      <c r="OUC28" s="1688"/>
      <c r="OUD28" s="1688"/>
      <c r="OUE28" s="1688"/>
      <c r="OUF28" s="1688"/>
      <c r="OUG28" s="1688"/>
      <c r="OUH28" s="1688"/>
      <c r="OUI28" s="1688"/>
      <c r="OUJ28" s="1688"/>
      <c r="OUK28" s="1688"/>
      <c r="OUL28" s="1688"/>
      <c r="OUM28" s="1688"/>
      <c r="OUN28" s="1688"/>
      <c r="OUO28" s="1688"/>
      <c r="OUP28" s="1688"/>
      <c r="OUQ28" s="1688"/>
      <c r="OUR28" s="1688"/>
      <c r="OUS28" s="1688"/>
      <c r="OUT28" s="1688"/>
      <c r="OUU28" s="1688"/>
      <c r="OUV28" s="1688"/>
      <c r="OUW28" s="1688"/>
      <c r="OUX28" s="1688"/>
      <c r="OUY28" s="1688"/>
      <c r="OUZ28" s="1688"/>
      <c r="OVA28" s="1688"/>
      <c r="OVB28" s="1688"/>
      <c r="OVC28" s="1688"/>
      <c r="OVD28" s="1688"/>
      <c r="OVE28" s="1688"/>
      <c r="OVF28" s="1688"/>
      <c r="OVG28" s="1688"/>
      <c r="OVH28" s="1688"/>
      <c r="OVI28" s="1688"/>
      <c r="OVJ28" s="1688"/>
      <c r="OVK28" s="1688"/>
      <c r="OVL28" s="1688"/>
      <c r="OVM28" s="1688"/>
      <c r="OVN28" s="1688"/>
      <c r="OVO28" s="1688"/>
      <c r="OVP28" s="1688"/>
      <c r="OVQ28" s="1688"/>
      <c r="OVR28" s="1688"/>
      <c r="OVS28" s="1688"/>
      <c r="OVT28" s="1688"/>
      <c r="OVU28" s="1688"/>
      <c r="OVV28" s="1688"/>
      <c r="OVW28" s="1688"/>
      <c r="OVX28" s="1688"/>
      <c r="OVY28" s="1688"/>
      <c r="OVZ28" s="1688"/>
      <c r="OWA28" s="1688"/>
      <c r="OWB28" s="1688"/>
      <c r="OWC28" s="1688"/>
      <c r="OWD28" s="1688"/>
      <c r="OWE28" s="1688"/>
      <c r="OWF28" s="1688"/>
      <c r="OWG28" s="1688"/>
      <c r="OWH28" s="1688"/>
      <c r="OWI28" s="1688"/>
      <c r="OWJ28" s="1688"/>
      <c r="OWK28" s="1688"/>
      <c r="OWL28" s="1688"/>
      <c r="OWM28" s="1688"/>
      <c r="OWN28" s="1688"/>
      <c r="OWO28" s="1688"/>
      <c r="OWP28" s="1688"/>
      <c r="OWQ28" s="1688"/>
      <c r="OWR28" s="1688"/>
      <c r="OWS28" s="1688"/>
      <c r="OWT28" s="1688"/>
      <c r="OWU28" s="1688"/>
      <c r="OWV28" s="1688"/>
      <c r="OWW28" s="1688"/>
      <c r="OWX28" s="1688"/>
      <c r="OWY28" s="1688"/>
      <c r="OWZ28" s="1688"/>
      <c r="OXA28" s="1688"/>
      <c r="OXB28" s="1688"/>
      <c r="OXC28" s="1688"/>
      <c r="OXD28" s="1688"/>
      <c r="OXE28" s="1688"/>
      <c r="OXF28" s="1688"/>
      <c r="OXG28" s="1688"/>
      <c r="OXH28" s="1688"/>
      <c r="OXI28" s="1688"/>
      <c r="OXJ28" s="1688"/>
      <c r="OXK28" s="1688"/>
      <c r="OXL28" s="1688"/>
      <c r="OXM28" s="1688"/>
      <c r="OXN28" s="1688"/>
      <c r="OXO28" s="1688"/>
      <c r="OXP28" s="1688"/>
      <c r="OXQ28" s="1688"/>
      <c r="OXR28" s="1688"/>
      <c r="OXS28" s="1688"/>
      <c r="OXT28" s="1688"/>
      <c r="OXU28" s="1688"/>
      <c r="OXV28" s="1688"/>
      <c r="OXW28" s="1688"/>
      <c r="OXX28" s="1688"/>
      <c r="OXY28" s="1688"/>
      <c r="OXZ28" s="1688"/>
      <c r="OYA28" s="1688"/>
      <c r="OYB28" s="1688"/>
      <c r="OYC28" s="1688"/>
      <c r="OYD28" s="1688"/>
      <c r="OYE28" s="1688"/>
      <c r="OYF28" s="1688"/>
      <c r="OYG28" s="1688"/>
      <c r="OYH28" s="1688"/>
      <c r="OYI28" s="1688"/>
      <c r="OYJ28" s="1688"/>
      <c r="OYK28" s="1688"/>
      <c r="OYL28" s="1688"/>
      <c r="OYM28" s="1688"/>
      <c r="OYN28" s="1688"/>
      <c r="OYO28" s="1688"/>
      <c r="OYP28" s="1688"/>
      <c r="OYQ28" s="1688"/>
      <c r="OYR28" s="1688"/>
      <c r="OYS28" s="1688"/>
      <c r="OYT28" s="1688"/>
      <c r="OYU28" s="1688"/>
      <c r="OYV28" s="1688"/>
      <c r="OYW28" s="1688"/>
      <c r="OYX28" s="1688"/>
      <c r="OYY28" s="1688"/>
      <c r="OYZ28" s="1688"/>
      <c r="OZA28" s="1688"/>
      <c r="OZB28" s="1688"/>
      <c r="OZC28" s="1688"/>
      <c r="OZD28" s="1688"/>
      <c r="OZE28" s="1688"/>
      <c r="OZF28" s="1688"/>
      <c r="OZG28" s="1688"/>
      <c r="OZH28" s="1688"/>
      <c r="OZI28" s="1688"/>
      <c r="OZJ28" s="1688"/>
      <c r="OZK28" s="1688"/>
      <c r="OZL28" s="1688"/>
      <c r="OZM28" s="1688"/>
      <c r="OZN28" s="1688"/>
      <c r="OZO28" s="1688"/>
      <c r="OZP28" s="1688"/>
      <c r="OZQ28" s="1688"/>
      <c r="OZR28" s="1688"/>
      <c r="OZS28" s="1688"/>
      <c r="OZT28" s="1688"/>
      <c r="OZU28" s="1688"/>
      <c r="OZV28" s="1688"/>
      <c r="OZW28" s="1688"/>
      <c r="OZX28" s="1688"/>
      <c r="OZY28" s="1688"/>
      <c r="OZZ28" s="1688"/>
      <c r="PAA28" s="1688"/>
      <c r="PAB28" s="1688"/>
      <c r="PAC28" s="1688"/>
      <c r="PAD28" s="1688"/>
      <c r="PAE28" s="1688"/>
      <c r="PAF28" s="1688"/>
      <c r="PAG28" s="1688"/>
      <c r="PAH28" s="1688"/>
      <c r="PAI28" s="1688"/>
      <c r="PAJ28" s="1688"/>
      <c r="PAK28" s="1688"/>
      <c r="PAL28" s="1688"/>
      <c r="PAM28" s="1688"/>
      <c r="PAN28" s="1688"/>
      <c r="PAO28" s="1688"/>
      <c r="PAP28" s="1688"/>
      <c r="PAQ28" s="1688"/>
      <c r="PAR28" s="1688"/>
      <c r="PAS28" s="1688"/>
      <c r="PAT28" s="1688"/>
      <c r="PAU28" s="1688"/>
      <c r="PAV28" s="1688"/>
      <c r="PAW28" s="1688"/>
      <c r="PAX28" s="1688"/>
      <c r="PAY28" s="1688"/>
      <c r="PAZ28" s="1688"/>
      <c r="PBA28" s="1688"/>
      <c r="PBB28" s="1688"/>
      <c r="PBC28" s="1688"/>
      <c r="PBD28" s="1688"/>
      <c r="PBE28" s="1688"/>
      <c r="PBF28" s="1688"/>
      <c r="PBG28" s="1688"/>
      <c r="PBH28" s="1688"/>
      <c r="PBI28" s="1688"/>
      <c r="PBJ28" s="1688"/>
      <c r="PBK28" s="1688"/>
      <c r="PBL28" s="1688"/>
      <c r="PBM28" s="1688"/>
      <c r="PBN28" s="1688"/>
      <c r="PBO28" s="1688"/>
      <c r="PBP28" s="1688"/>
      <c r="PBQ28" s="1688"/>
      <c r="PBR28" s="1688"/>
      <c r="PBS28" s="1688"/>
      <c r="PBT28" s="1688"/>
      <c r="PBU28" s="1688"/>
      <c r="PBV28" s="1688"/>
      <c r="PBW28" s="1688"/>
      <c r="PBX28" s="1688"/>
      <c r="PBY28" s="1688"/>
      <c r="PBZ28" s="1688"/>
      <c r="PCA28" s="1688"/>
      <c r="PCB28" s="1688"/>
      <c r="PCC28" s="1688"/>
      <c r="PCD28" s="1688"/>
      <c r="PCE28" s="1688"/>
      <c r="PCF28" s="1688"/>
      <c r="PCG28" s="1688"/>
      <c r="PCH28" s="1688"/>
      <c r="PCI28" s="1688"/>
      <c r="PCJ28" s="1688"/>
      <c r="PCK28" s="1688"/>
      <c r="PCL28" s="1688"/>
      <c r="PCM28" s="1688"/>
      <c r="PCN28" s="1688"/>
      <c r="PCO28" s="1688"/>
      <c r="PCP28" s="1688"/>
      <c r="PCQ28" s="1688"/>
      <c r="PCR28" s="1688"/>
      <c r="PCS28" s="1688"/>
      <c r="PCT28" s="1688"/>
      <c r="PCU28" s="1688"/>
      <c r="PCV28" s="1688"/>
      <c r="PCW28" s="1688"/>
      <c r="PCX28" s="1688"/>
      <c r="PCY28" s="1688"/>
      <c r="PCZ28" s="1688"/>
      <c r="PDA28" s="1688"/>
      <c r="PDB28" s="1688"/>
      <c r="PDC28" s="1688"/>
      <c r="PDD28" s="1688"/>
      <c r="PDE28" s="1688"/>
      <c r="PDF28" s="1688"/>
      <c r="PDG28" s="1688"/>
      <c r="PDH28" s="1688"/>
      <c r="PDI28" s="1688"/>
      <c r="PDJ28" s="1688"/>
      <c r="PDK28" s="1688"/>
      <c r="PDL28" s="1688"/>
      <c r="PDM28" s="1688"/>
      <c r="PDN28" s="1688"/>
      <c r="PDO28" s="1688"/>
      <c r="PDP28" s="1688"/>
      <c r="PDQ28" s="1688"/>
      <c r="PDR28" s="1688"/>
      <c r="PDS28" s="1688"/>
      <c r="PDT28" s="1688"/>
      <c r="PDU28" s="1688"/>
      <c r="PDV28" s="1688"/>
      <c r="PDW28" s="1688"/>
      <c r="PDX28" s="1688"/>
      <c r="PDY28" s="1688"/>
      <c r="PDZ28" s="1688"/>
      <c r="PEA28" s="1688"/>
      <c r="PEB28" s="1688"/>
      <c r="PEC28" s="1688"/>
      <c r="PED28" s="1688"/>
      <c r="PEE28" s="1688"/>
      <c r="PEF28" s="1688"/>
      <c r="PEG28" s="1688"/>
      <c r="PEH28" s="1688"/>
      <c r="PEI28" s="1688"/>
      <c r="PEJ28" s="1688"/>
      <c r="PEK28" s="1688"/>
      <c r="PEL28" s="1688"/>
      <c r="PEM28" s="1688"/>
      <c r="PEN28" s="1688"/>
      <c r="PEO28" s="1688"/>
      <c r="PEP28" s="1688"/>
      <c r="PEQ28" s="1688"/>
      <c r="PER28" s="1688"/>
      <c r="PES28" s="1688"/>
      <c r="PET28" s="1688"/>
      <c r="PEU28" s="1688"/>
      <c r="PEV28" s="1688"/>
      <c r="PEW28" s="1688"/>
      <c r="PEX28" s="1688"/>
      <c r="PEY28" s="1688"/>
      <c r="PEZ28" s="1688"/>
      <c r="PFA28" s="1688"/>
      <c r="PFB28" s="1688"/>
      <c r="PFC28" s="1688"/>
      <c r="PFD28" s="1688"/>
      <c r="PFE28" s="1688"/>
      <c r="PFF28" s="1688"/>
      <c r="PFG28" s="1688"/>
      <c r="PFH28" s="1688"/>
      <c r="PFI28" s="1688"/>
      <c r="PFJ28" s="1688"/>
      <c r="PFK28" s="1688"/>
      <c r="PFL28" s="1688"/>
      <c r="PFM28" s="1688"/>
      <c r="PFN28" s="1688"/>
      <c r="PFO28" s="1688"/>
      <c r="PFP28" s="1688"/>
      <c r="PFQ28" s="1688"/>
      <c r="PFR28" s="1688"/>
      <c r="PFS28" s="1688"/>
      <c r="PFT28" s="1688"/>
      <c r="PFU28" s="1688"/>
      <c r="PFV28" s="1688"/>
      <c r="PFW28" s="1688"/>
      <c r="PFX28" s="1688"/>
      <c r="PFY28" s="1688"/>
      <c r="PFZ28" s="1688"/>
      <c r="PGA28" s="1688"/>
      <c r="PGB28" s="1688"/>
      <c r="PGC28" s="1688"/>
      <c r="PGD28" s="1688"/>
      <c r="PGE28" s="1688"/>
      <c r="PGF28" s="1688"/>
      <c r="PGG28" s="1688"/>
      <c r="PGH28" s="1688"/>
      <c r="PGI28" s="1688"/>
      <c r="PGJ28" s="1688"/>
      <c r="PGK28" s="1688"/>
      <c r="PGL28" s="1688"/>
      <c r="PGM28" s="1688"/>
      <c r="PGN28" s="1688"/>
      <c r="PGO28" s="1688"/>
      <c r="PGP28" s="1688"/>
      <c r="PGQ28" s="1688"/>
      <c r="PGR28" s="1688"/>
      <c r="PGS28" s="1688"/>
      <c r="PGT28" s="1688"/>
      <c r="PGU28" s="1688"/>
      <c r="PGV28" s="1688"/>
      <c r="PGW28" s="1688"/>
      <c r="PGX28" s="1688"/>
      <c r="PGY28" s="1688"/>
      <c r="PGZ28" s="1688"/>
      <c r="PHA28" s="1688"/>
      <c r="PHB28" s="1688"/>
      <c r="PHC28" s="1688"/>
      <c r="PHD28" s="1688"/>
      <c r="PHE28" s="1688"/>
      <c r="PHF28" s="1688"/>
      <c r="PHG28" s="1688"/>
      <c r="PHH28" s="1688"/>
      <c r="PHI28" s="1688"/>
      <c r="PHJ28" s="1688"/>
      <c r="PHK28" s="1688"/>
      <c r="PHL28" s="1688"/>
      <c r="PHM28" s="1688"/>
      <c r="PHN28" s="1688"/>
      <c r="PHO28" s="1688"/>
      <c r="PHP28" s="1688"/>
      <c r="PHQ28" s="1688"/>
      <c r="PHR28" s="1688"/>
      <c r="PHS28" s="1688"/>
      <c r="PHT28" s="1688"/>
      <c r="PHU28" s="1688"/>
      <c r="PHV28" s="1688"/>
      <c r="PHW28" s="1688"/>
      <c r="PHX28" s="1688"/>
      <c r="PHY28" s="1688"/>
      <c r="PHZ28" s="1688"/>
      <c r="PIA28" s="1688"/>
      <c r="PIB28" s="1688"/>
      <c r="PIC28" s="1688"/>
      <c r="PID28" s="1688"/>
      <c r="PIE28" s="1688"/>
      <c r="PIF28" s="1688"/>
      <c r="PIG28" s="1688"/>
      <c r="PIH28" s="1688"/>
      <c r="PII28" s="1688"/>
      <c r="PIJ28" s="1688"/>
      <c r="PIK28" s="1688"/>
      <c r="PIL28" s="1688"/>
      <c r="PIM28" s="1688"/>
      <c r="PIN28" s="1688"/>
      <c r="PIO28" s="1688"/>
      <c r="PIP28" s="1688"/>
      <c r="PIQ28" s="1688"/>
      <c r="PIR28" s="1688"/>
      <c r="PIS28" s="1688"/>
      <c r="PIT28" s="1688"/>
      <c r="PIU28" s="1688"/>
      <c r="PIV28" s="1688"/>
      <c r="PIW28" s="1688"/>
      <c r="PIX28" s="1688"/>
      <c r="PIY28" s="1688"/>
      <c r="PIZ28" s="1688"/>
      <c r="PJA28" s="1688"/>
      <c r="PJB28" s="1688"/>
      <c r="PJC28" s="1688"/>
      <c r="PJD28" s="1688"/>
      <c r="PJE28" s="1688"/>
      <c r="PJF28" s="1688"/>
      <c r="PJG28" s="1688"/>
      <c r="PJH28" s="1688"/>
      <c r="PJI28" s="1688"/>
      <c r="PJJ28" s="1688"/>
      <c r="PJK28" s="1688"/>
      <c r="PJL28" s="1688"/>
      <c r="PJM28" s="1688"/>
      <c r="PJN28" s="1688"/>
      <c r="PJO28" s="1688"/>
      <c r="PJP28" s="1688"/>
      <c r="PJQ28" s="1688"/>
      <c r="PJR28" s="1688"/>
      <c r="PJS28" s="1688"/>
      <c r="PJT28" s="1688"/>
      <c r="PJU28" s="1688"/>
      <c r="PJV28" s="1688"/>
      <c r="PJW28" s="1688"/>
      <c r="PJX28" s="1688"/>
      <c r="PJY28" s="1688"/>
      <c r="PJZ28" s="1688"/>
      <c r="PKA28" s="1688"/>
      <c r="PKB28" s="1688"/>
      <c r="PKC28" s="1688"/>
      <c r="PKD28" s="1688"/>
      <c r="PKE28" s="1688"/>
      <c r="PKF28" s="1688"/>
      <c r="PKG28" s="1688"/>
      <c r="PKH28" s="1688"/>
      <c r="PKI28" s="1688"/>
      <c r="PKJ28" s="1688"/>
      <c r="PKK28" s="1688"/>
      <c r="PKL28" s="1688"/>
      <c r="PKM28" s="1688"/>
      <c r="PKN28" s="1688"/>
      <c r="PKO28" s="1688"/>
      <c r="PKP28" s="1688"/>
      <c r="PKQ28" s="1688"/>
      <c r="PKR28" s="1688"/>
      <c r="PKS28" s="1688"/>
      <c r="PKT28" s="1688"/>
      <c r="PKU28" s="1688"/>
      <c r="PKV28" s="1688"/>
      <c r="PKW28" s="1688"/>
      <c r="PKX28" s="1688"/>
      <c r="PKY28" s="1688"/>
      <c r="PKZ28" s="1688"/>
      <c r="PLA28" s="1688"/>
      <c r="PLB28" s="1688"/>
      <c r="PLC28" s="1688"/>
      <c r="PLD28" s="1688"/>
      <c r="PLE28" s="1688"/>
      <c r="PLF28" s="1688"/>
      <c r="PLG28" s="1688"/>
      <c r="PLH28" s="1688"/>
      <c r="PLI28" s="1688"/>
      <c r="PLJ28" s="1688"/>
      <c r="PLK28" s="1688"/>
      <c r="PLL28" s="1688"/>
      <c r="PLM28" s="1688"/>
      <c r="PLN28" s="1688"/>
      <c r="PLO28" s="1688"/>
      <c r="PLP28" s="1688"/>
      <c r="PLQ28" s="1688"/>
      <c r="PLR28" s="1688"/>
      <c r="PLS28" s="1688"/>
      <c r="PLT28" s="1688"/>
      <c r="PLU28" s="1688"/>
      <c r="PLV28" s="1688"/>
      <c r="PLW28" s="1688"/>
      <c r="PLX28" s="1688"/>
      <c r="PLY28" s="1688"/>
      <c r="PLZ28" s="1688"/>
      <c r="PMA28" s="1688"/>
      <c r="PMB28" s="1688"/>
      <c r="PMC28" s="1688"/>
      <c r="PMD28" s="1688"/>
      <c r="PME28" s="1688"/>
      <c r="PMF28" s="1688"/>
      <c r="PMG28" s="1688"/>
      <c r="PMH28" s="1688"/>
      <c r="PMI28" s="1688"/>
      <c r="PMJ28" s="1688"/>
      <c r="PMK28" s="1688"/>
      <c r="PML28" s="1688"/>
      <c r="PMM28" s="1688"/>
      <c r="PMN28" s="1688"/>
      <c r="PMO28" s="1688"/>
      <c r="PMP28" s="1688"/>
      <c r="PMQ28" s="1688"/>
      <c r="PMR28" s="1688"/>
      <c r="PMS28" s="1688"/>
      <c r="PMT28" s="1688"/>
      <c r="PMU28" s="1688"/>
      <c r="PMV28" s="1688"/>
      <c r="PMW28" s="1688"/>
      <c r="PMX28" s="1688"/>
      <c r="PMY28" s="1688"/>
      <c r="PMZ28" s="1688"/>
      <c r="PNA28" s="1688"/>
      <c r="PNB28" s="1688"/>
      <c r="PNC28" s="1688"/>
      <c r="PND28" s="1688"/>
      <c r="PNE28" s="1688"/>
      <c r="PNF28" s="1688"/>
      <c r="PNG28" s="1688"/>
      <c r="PNH28" s="1688"/>
      <c r="PNI28" s="1688"/>
      <c r="PNJ28" s="1688"/>
      <c r="PNK28" s="1688"/>
      <c r="PNL28" s="1688"/>
      <c r="PNM28" s="1688"/>
      <c r="PNN28" s="1688"/>
      <c r="PNO28" s="1688"/>
      <c r="PNP28" s="1688"/>
      <c r="PNQ28" s="1688"/>
      <c r="PNR28" s="1688"/>
      <c r="PNS28" s="1688"/>
      <c r="PNT28" s="1688"/>
      <c r="PNU28" s="1688"/>
      <c r="PNV28" s="1688"/>
      <c r="PNW28" s="1688"/>
      <c r="PNX28" s="1688"/>
      <c r="PNY28" s="1688"/>
      <c r="PNZ28" s="1688"/>
      <c r="POA28" s="1688"/>
      <c r="POB28" s="1688"/>
      <c r="POC28" s="1688"/>
      <c r="POD28" s="1688"/>
      <c r="POE28" s="1688"/>
      <c r="POF28" s="1688"/>
      <c r="POG28" s="1688"/>
      <c r="POH28" s="1688"/>
      <c r="POI28" s="1688"/>
      <c r="POJ28" s="1688"/>
      <c r="POK28" s="1688"/>
      <c r="POL28" s="1688"/>
      <c r="POM28" s="1688"/>
      <c r="PON28" s="1688"/>
      <c r="POO28" s="1688"/>
      <c r="POP28" s="1688"/>
      <c r="POQ28" s="1688"/>
      <c r="POR28" s="1688"/>
      <c r="POS28" s="1688"/>
      <c r="POT28" s="1688"/>
      <c r="POU28" s="1688"/>
      <c r="POV28" s="1688"/>
      <c r="POW28" s="1688"/>
      <c r="POX28" s="1688"/>
      <c r="POY28" s="1688"/>
      <c r="POZ28" s="1688"/>
      <c r="PPA28" s="1688"/>
      <c r="PPB28" s="1688"/>
      <c r="PPC28" s="1688"/>
      <c r="PPD28" s="1688"/>
      <c r="PPE28" s="1688"/>
      <c r="PPF28" s="1688"/>
      <c r="PPG28" s="1688"/>
      <c r="PPH28" s="1688"/>
      <c r="PPI28" s="1688"/>
      <c r="PPJ28" s="1688"/>
      <c r="PPK28" s="1688"/>
      <c r="PPL28" s="1688"/>
      <c r="PPM28" s="1688"/>
      <c r="PPN28" s="1688"/>
      <c r="PPO28" s="1688"/>
      <c r="PPP28" s="1688"/>
      <c r="PPQ28" s="1688"/>
      <c r="PPR28" s="1688"/>
      <c r="PPS28" s="1688"/>
      <c r="PPT28" s="1688"/>
      <c r="PPU28" s="1688"/>
      <c r="PPV28" s="1688"/>
      <c r="PPW28" s="1688"/>
      <c r="PPX28" s="1688"/>
      <c r="PPY28" s="1688"/>
      <c r="PPZ28" s="1688"/>
      <c r="PQA28" s="1688"/>
      <c r="PQB28" s="1688"/>
      <c r="PQC28" s="1688"/>
      <c r="PQD28" s="1688"/>
      <c r="PQE28" s="1688"/>
      <c r="PQF28" s="1688"/>
      <c r="PQG28" s="1688"/>
      <c r="PQH28" s="1688"/>
      <c r="PQI28" s="1688"/>
      <c r="PQJ28" s="1688"/>
      <c r="PQK28" s="1688"/>
      <c r="PQL28" s="1688"/>
      <c r="PQM28" s="1688"/>
      <c r="PQN28" s="1688"/>
      <c r="PQO28" s="1688"/>
      <c r="PQP28" s="1688"/>
      <c r="PQQ28" s="1688"/>
      <c r="PQR28" s="1688"/>
      <c r="PQS28" s="1688"/>
      <c r="PQT28" s="1688"/>
      <c r="PQU28" s="1688"/>
      <c r="PQV28" s="1688"/>
      <c r="PQW28" s="1688"/>
      <c r="PQX28" s="1688"/>
      <c r="PQY28" s="1688"/>
      <c r="PQZ28" s="1688"/>
      <c r="PRA28" s="1688"/>
      <c r="PRB28" s="1688"/>
      <c r="PRC28" s="1688"/>
      <c r="PRD28" s="1688"/>
      <c r="PRE28" s="1688"/>
      <c r="PRF28" s="1688"/>
      <c r="PRG28" s="1688"/>
      <c r="PRH28" s="1688"/>
      <c r="PRI28" s="1688"/>
      <c r="PRJ28" s="1688"/>
      <c r="PRK28" s="1688"/>
      <c r="PRL28" s="1688"/>
      <c r="PRM28" s="1688"/>
      <c r="PRN28" s="1688"/>
      <c r="PRO28" s="1688"/>
      <c r="PRP28" s="1688"/>
      <c r="PRQ28" s="1688"/>
      <c r="PRR28" s="1688"/>
      <c r="PRS28" s="1688"/>
      <c r="PRT28" s="1688"/>
      <c r="PRU28" s="1688"/>
      <c r="PRV28" s="1688"/>
      <c r="PRW28" s="1688"/>
      <c r="PRX28" s="1688"/>
      <c r="PRY28" s="1688"/>
      <c r="PRZ28" s="1688"/>
      <c r="PSA28" s="1688"/>
      <c r="PSB28" s="1688"/>
      <c r="PSC28" s="1688"/>
      <c r="PSD28" s="1688"/>
      <c r="PSE28" s="1688"/>
      <c r="PSF28" s="1688"/>
      <c r="PSG28" s="1688"/>
      <c r="PSH28" s="1688"/>
      <c r="PSI28" s="1688"/>
      <c r="PSJ28" s="1688"/>
      <c r="PSK28" s="1688"/>
      <c r="PSL28" s="1688"/>
      <c r="PSM28" s="1688"/>
      <c r="PSN28" s="1688"/>
      <c r="PSO28" s="1688"/>
      <c r="PSP28" s="1688"/>
      <c r="PSQ28" s="1688"/>
      <c r="PSR28" s="1688"/>
      <c r="PSS28" s="1688"/>
      <c r="PST28" s="1688"/>
      <c r="PSU28" s="1688"/>
      <c r="PSV28" s="1688"/>
      <c r="PSW28" s="1688"/>
      <c r="PSX28" s="1688"/>
      <c r="PSY28" s="1688"/>
      <c r="PSZ28" s="1688"/>
      <c r="PTA28" s="1688"/>
      <c r="PTB28" s="1688"/>
      <c r="PTC28" s="1688"/>
      <c r="PTD28" s="1688"/>
      <c r="PTE28" s="1688"/>
      <c r="PTF28" s="1688"/>
      <c r="PTG28" s="1688"/>
      <c r="PTH28" s="1688"/>
      <c r="PTI28" s="1688"/>
      <c r="PTJ28" s="1688"/>
      <c r="PTK28" s="1688"/>
      <c r="PTL28" s="1688"/>
      <c r="PTM28" s="1688"/>
      <c r="PTN28" s="1688"/>
      <c r="PTO28" s="1688"/>
      <c r="PTP28" s="1688"/>
      <c r="PTQ28" s="1688"/>
      <c r="PTR28" s="1688"/>
      <c r="PTS28" s="1688"/>
      <c r="PTT28" s="1688"/>
      <c r="PTU28" s="1688"/>
      <c r="PTV28" s="1688"/>
      <c r="PTW28" s="1688"/>
      <c r="PTX28" s="1688"/>
      <c r="PTY28" s="1688"/>
      <c r="PTZ28" s="1688"/>
      <c r="PUA28" s="1688"/>
      <c r="PUB28" s="1688"/>
      <c r="PUC28" s="1688"/>
      <c r="PUD28" s="1688"/>
      <c r="PUE28" s="1688"/>
      <c r="PUF28" s="1688"/>
      <c r="PUG28" s="1688"/>
      <c r="PUH28" s="1688"/>
      <c r="PUI28" s="1688"/>
      <c r="PUJ28" s="1688"/>
      <c r="PUK28" s="1688"/>
      <c r="PUL28" s="1688"/>
      <c r="PUM28" s="1688"/>
      <c r="PUN28" s="1688"/>
      <c r="PUO28" s="1688"/>
      <c r="PUP28" s="1688"/>
      <c r="PUQ28" s="1688"/>
      <c r="PUR28" s="1688"/>
      <c r="PUS28" s="1688"/>
      <c r="PUT28" s="1688"/>
      <c r="PUU28" s="1688"/>
      <c r="PUV28" s="1688"/>
      <c r="PUW28" s="1688"/>
      <c r="PUX28" s="1688"/>
      <c r="PUY28" s="1688"/>
      <c r="PUZ28" s="1688"/>
      <c r="PVA28" s="1688"/>
      <c r="PVB28" s="1688"/>
      <c r="PVC28" s="1688"/>
      <c r="PVD28" s="1688"/>
      <c r="PVE28" s="1688"/>
      <c r="PVF28" s="1688"/>
      <c r="PVG28" s="1688"/>
      <c r="PVH28" s="1688"/>
      <c r="PVI28" s="1688"/>
      <c r="PVJ28" s="1688"/>
      <c r="PVK28" s="1688"/>
      <c r="PVL28" s="1688"/>
      <c r="PVM28" s="1688"/>
      <c r="PVN28" s="1688"/>
      <c r="PVO28" s="1688"/>
      <c r="PVP28" s="1688"/>
      <c r="PVQ28" s="1688"/>
      <c r="PVR28" s="1688"/>
      <c r="PVS28" s="1688"/>
      <c r="PVT28" s="1688"/>
      <c r="PVU28" s="1688"/>
      <c r="PVV28" s="1688"/>
      <c r="PVW28" s="1688"/>
      <c r="PVX28" s="1688"/>
      <c r="PVY28" s="1688"/>
      <c r="PVZ28" s="1688"/>
      <c r="PWA28" s="1688"/>
      <c r="PWB28" s="1688"/>
      <c r="PWC28" s="1688"/>
      <c r="PWD28" s="1688"/>
      <c r="PWE28" s="1688"/>
      <c r="PWF28" s="1688"/>
      <c r="PWG28" s="1688"/>
      <c r="PWH28" s="1688"/>
      <c r="PWI28" s="1688"/>
      <c r="PWJ28" s="1688"/>
      <c r="PWK28" s="1688"/>
      <c r="PWL28" s="1688"/>
      <c r="PWM28" s="1688"/>
      <c r="PWN28" s="1688"/>
      <c r="PWO28" s="1688"/>
      <c r="PWP28" s="1688"/>
      <c r="PWQ28" s="1688"/>
      <c r="PWR28" s="1688"/>
      <c r="PWS28" s="1688"/>
      <c r="PWT28" s="1688"/>
      <c r="PWU28" s="1688"/>
      <c r="PWV28" s="1688"/>
      <c r="PWW28" s="1688"/>
      <c r="PWX28" s="1688"/>
      <c r="PWY28" s="1688"/>
      <c r="PWZ28" s="1688"/>
      <c r="PXA28" s="1688"/>
      <c r="PXB28" s="1688"/>
      <c r="PXC28" s="1688"/>
      <c r="PXD28" s="1688"/>
      <c r="PXE28" s="1688"/>
      <c r="PXF28" s="1688"/>
      <c r="PXG28" s="1688"/>
      <c r="PXH28" s="1688"/>
      <c r="PXI28" s="1688"/>
      <c r="PXJ28" s="1688"/>
      <c r="PXK28" s="1688"/>
      <c r="PXL28" s="1688"/>
      <c r="PXM28" s="1688"/>
      <c r="PXN28" s="1688"/>
      <c r="PXO28" s="1688"/>
      <c r="PXP28" s="1688"/>
      <c r="PXQ28" s="1688"/>
      <c r="PXR28" s="1688"/>
      <c r="PXS28" s="1688"/>
      <c r="PXT28" s="1688"/>
      <c r="PXU28" s="1688"/>
      <c r="PXV28" s="1688"/>
      <c r="PXW28" s="1688"/>
      <c r="PXX28" s="1688"/>
      <c r="PXY28" s="1688"/>
      <c r="PXZ28" s="1688"/>
      <c r="PYA28" s="1688"/>
      <c r="PYB28" s="1688"/>
      <c r="PYC28" s="1688"/>
      <c r="PYD28" s="1688"/>
      <c r="PYE28" s="1688"/>
      <c r="PYF28" s="1688"/>
      <c r="PYG28" s="1688"/>
      <c r="PYH28" s="1688"/>
      <c r="PYI28" s="1688"/>
      <c r="PYJ28" s="1688"/>
      <c r="PYK28" s="1688"/>
      <c r="PYL28" s="1688"/>
      <c r="PYM28" s="1688"/>
      <c r="PYN28" s="1688"/>
      <c r="PYO28" s="1688"/>
      <c r="PYP28" s="1688"/>
      <c r="PYQ28" s="1688"/>
      <c r="PYR28" s="1688"/>
      <c r="PYS28" s="1688"/>
      <c r="PYT28" s="1688"/>
      <c r="PYU28" s="1688"/>
      <c r="PYV28" s="1688"/>
      <c r="PYW28" s="1688"/>
      <c r="PYX28" s="1688"/>
      <c r="PYY28" s="1688"/>
      <c r="PYZ28" s="1688"/>
      <c r="PZA28" s="1688"/>
      <c r="PZB28" s="1688"/>
      <c r="PZC28" s="1688"/>
      <c r="PZD28" s="1688"/>
      <c r="PZE28" s="1688"/>
      <c r="PZF28" s="1688"/>
      <c r="PZG28" s="1688"/>
      <c r="PZH28" s="1688"/>
      <c r="PZI28" s="1688"/>
      <c r="PZJ28" s="1688"/>
      <c r="PZK28" s="1688"/>
      <c r="PZL28" s="1688"/>
      <c r="PZM28" s="1688"/>
      <c r="PZN28" s="1688"/>
      <c r="PZO28" s="1688"/>
      <c r="PZP28" s="1688"/>
      <c r="PZQ28" s="1688"/>
      <c r="PZR28" s="1688"/>
      <c r="PZS28" s="1688"/>
      <c r="PZT28" s="1688"/>
      <c r="PZU28" s="1688"/>
      <c r="PZV28" s="1688"/>
      <c r="PZW28" s="1688"/>
      <c r="PZX28" s="1688"/>
      <c r="PZY28" s="1688"/>
      <c r="PZZ28" s="1688"/>
      <c r="QAA28" s="1688"/>
      <c r="QAB28" s="1688"/>
      <c r="QAC28" s="1688"/>
      <c r="QAD28" s="1688"/>
      <c r="QAE28" s="1688"/>
      <c r="QAF28" s="1688"/>
      <c r="QAG28" s="1688"/>
      <c r="QAH28" s="1688"/>
      <c r="QAI28" s="1688"/>
      <c r="QAJ28" s="1688"/>
      <c r="QAK28" s="1688"/>
      <c r="QAL28" s="1688"/>
      <c r="QAM28" s="1688"/>
      <c r="QAN28" s="1688"/>
      <c r="QAO28" s="1688"/>
      <c r="QAP28" s="1688"/>
      <c r="QAQ28" s="1688"/>
      <c r="QAR28" s="1688"/>
      <c r="QAS28" s="1688"/>
      <c r="QAT28" s="1688"/>
      <c r="QAU28" s="1688"/>
      <c r="QAV28" s="1688"/>
      <c r="QAW28" s="1688"/>
      <c r="QAX28" s="1688"/>
      <c r="QAY28" s="1688"/>
      <c r="QAZ28" s="1688"/>
      <c r="QBA28" s="1688"/>
      <c r="QBB28" s="1688"/>
      <c r="QBC28" s="1688"/>
      <c r="QBD28" s="1688"/>
      <c r="QBE28" s="1688"/>
      <c r="QBF28" s="1688"/>
      <c r="QBG28" s="1688"/>
      <c r="QBH28" s="1688"/>
      <c r="QBI28" s="1688"/>
      <c r="QBJ28" s="1688"/>
      <c r="QBK28" s="1688"/>
      <c r="QBL28" s="1688"/>
      <c r="QBM28" s="1688"/>
      <c r="QBN28" s="1688"/>
      <c r="QBO28" s="1688"/>
      <c r="QBP28" s="1688"/>
      <c r="QBQ28" s="1688"/>
      <c r="QBR28" s="1688"/>
      <c r="QBS28" s="1688"/>
      <c r="QBT28" s="1688"/>
      <c r="QBU28" s="1688"/>
      <c r="QBV28" s="1688"/>
      <c r="QBW28" s="1688"/>
      <c r="QBX28" s="1688"/>
      <c r="QBY28" s="1688"/>
      <c r="QBZ28" s="1688"/>
      <c r="QCA28" s="1688"/>
      <c r="QCB28" s="1688"/>
      <c r="QCC28" s="1688"/>
      <c r="QCD28" s="1688"/>
      <c r="QCE28" s="1688"/>
      <c r="QCF28" s="1688"/>
      <c r="QCG28" s="1688"/>
      <c r="QCH28" s="1688"/>
      <c r="QCI28" s="1688"/>
      <c r="QCJ28" s="1688"/>
      <c r="QCK28" s="1688"/>
      <c r="QCL28" s="1688"/>
      <c r="QCM28" s="1688"/>
      <c r="QCN28" s="1688"/>
      <c r="QCO28" s="1688"/>
      <c r="QCP28" s="1688"/>
      <c r="QCQ28" s="1688"/>
      <c r="QCR28" s="1688"/>
      <c r="QCS28" s="1688"/>
      <c r="QCT28" s="1688"/>
      <c r="QCU28" s="1688"/>
      <c r="QCV28" s="1688"/>
      <c r="QCW28" s="1688"/>
      <c r="QCX28" s="1688"/>
      <c r="QCY28" s="1688"/>
      <c r="QCZ28" s="1688"/>
      <c r="QDA28" s="1688"/>
      <c r="QDB28" s="1688"/>
      <c r="QDC28" s="1688"/>
      <c r="QDD28" s="1688"/>
      <c r="QDE28" s="1688"/>
      <c r="QDF28" s="1688"/>
      <c r="QDG28" s="1688"/>
      <c r="QDH28" s="1688"/>
      <c r="QDI28" s="1688"/>
      <c r="QDJ28" s="1688"/>
      <c r="QDK28" s="1688"/>
      <c r="QDL28" s="1688"/>
      <c r="QDM28" s="1688"/>
      <c r="QDN28" s="1688"/>
      <c r="QDO28" s="1688"/>
      <c r="QDP28" s="1688"/>
      <c r="QDQ28" s="1688"/>
      <c r="QDR28" s="1688"/>
      <c r="QDS28" s="1688"/>
      <c r="QDT28" s="1688"/>
      <c r="QDU28" s="1688"/>
      <c r="QDV28" s="1688"/>
      <c r="QDW28" s="1688"/>
      <c r="QDX28" s="1688"/>
      <c r="QDY28" s="1688"/>
      <c r="QDZ28" s="1688"/>
      <c r="QEA28" s="1688"/>
      <c r="QEB28" s="1688"/>
      <c r="QEC28" s="1688"/>
      <c r="QED28" s="1688"/>
      <c r="QEE28" s="1688"/>
      <c r="QEF28" s="1688"/>
      <c r="QEG28" s="1688"/>
      <c r="QEH28" s="1688"/>
      <c r="QEI28" s="1688"/>
      <c r="QEJ28" s="1688"/>
      <c r="QEK28" s="1688"/>
      <c r="QEL28" s="1688"/>
      <c r="QEM28" s="1688"/>
      <c r="QEN28" s="1688"/>
      <c r="QEO28" s="1688"/>
      <c r="QEP28" s="1688"/>
      <c r="QEQ28" s="1688"/>
      <c r="QER28" s="1688"/>
      <c r="QES28" s="1688"/>
      <c r="QET28" s="1688"/>
      <c r="QEU28" s="1688"/>
      <c r="QEV28" s="1688"/>
      <c r="QEW28" s="1688"/>
      <c r="QEX28" s="1688"/>
      <c r="QEY28" s="1688"/>
      <c r="QEZ28" s="1688"/>
      <c r="QFA28" s="1688"/>
      <c r="QFB28" s="1688"/>
      <c r="QFC28" s="1688"/>
      <c r="QFD28" s="1688"/>
      <c r="QFE28" s="1688"/>
      <c r="QFF28" s="1688"/>
      <c r="QFG28" s="1688"/>
      <c r="QFH28" s="1688"/>
      <c r="QFI28" s="1688"/>
      <c r="QFJ28" s="1688"/>
      <c r="QFK28" s="1688"/>
      <c r="QFL28" s="1688"/>
      <c r="QFM28" s="1688"/>
      <c r="QFN28" s="1688"/>
      <c r="QFO28" s="1688"/>
      <c r="QFP28" s="1688"/>
      <c r="QFQ28" s="1688"/>
      <c r="QFR28" s="1688"/>
      <c r="QFS28" s="1688"/>
      <c r="QFT28" s="1688"/>
      <c r="QFU28" s="1688"/>
      <c r="QFV28" s="1688"/>
      <c r="QFW28" s="1688"/>
      <c r="QFX28" s="1688"/>
      <c r="QFY28" s="1688"/>
      <c r="QFZ28" s="1688"/>
      <c r="QGA28" s="1688"/>
      <c r="QGB28" s="1688"/>
      <c r="QGC28" s="1688"/>
      <c r="QGD28" s="1688"/>
      <c r="QGE28" s="1688"/>
      <c r="QGF28" s="1688"/>
      <c r="QGG28" s="1688"/>
      <c r="QGH28" s="1688"/>
      <c r="QGI28" s="1688"/>
      <c r="QGJ28" s="1688"/>
      <c r="QGK28" s="1688"/>
      <c r="QGL28" s="1688"/>
      <c r="QGM28" s="1688"/>
      <c r="QGN28" s="1688"/>
      <c r="QGO28" s="1688"/>
      <c r="QGP28" s="1688"/>
      <c r="QGQ28" s="1688"/>
      <c r="QGR28" s="1688"/>
      <c r="QGS28" s="1688"/>
      <c r="QGT28" s="1688"/>
      <c r="QGU28" s="1688"/>
      <c r="QGV28" s="1688"/>
      <c r="QGW28" s="1688"/>
      <c r="QGX28" s="1688"/>
      <c r="QGY28" s="1688"/>
      <c r="QGZ28" s="1688"/>
      <c r="QHA28" s="1688"/>
      <c r="QHB28" s="1688"/>
      <c r="QHC28" s="1688"/>
      <c r="QHD28" s="1688"/>
      <c r="QHE28" s="1688"/>
      <c r="QHF28" s="1688"/>
      <c r="QHG28" s="1688"/>
      <c r="QHH28" s="1688"/>
      <c r="QHI28" s="1688"/>
      <c r="QHJ28" s="1688"/>
      <c r="QHK28" s="1688"/>
      <c r="QHL28" s="1688"/>
      <c r="QHM28" s="1688"/>
      <c r="QHN28" s="1688"/>
      <c r="QHO28" s="1688"/>
      <c r="QHP28" s="1688"/>
      <c r="QHQ28" s="1688"/>
      <c r="QHR28" s="1688"/>
      <c r="QHS28" s="1688"/>
      <c r="QHT28" s="1688"/>
      <c r="QHU28" s="1688"/>
      <c r="QHV28" s="1688"/>
      <c r="QHW28" s="1688"/>
      <c r="QHX28" s="1688"/>
      <c r="QHY28" s="1688"/>
      <c r="QHZ28" s="1688"/>
      <c r="QIA28" s="1688"/>
      <c r="QIB28" s="1688"/>
      <c r="QIC28" s="1688"/>
      <c r="QID28" s="1688"/>
      <c r="QIE28" s="1688"/>
      <c r="QIF28" s="1688"/>
      <c r="QIG28" s="1688"/>
      <c r="QIH28" s="1688"/>
      <c r="QII28" s="1688"/>
      <c r="QIJ28" s="1688"/>
      <c r="QIK28" s="1688"/>
      <c r="QIL28" s="1688"/>
      <c r="QIM28" s="1688"/>
      <c r="QIN28" s="1688"/>
      <c r="QIO28" s="1688"/>
      <c r="QIP28" s="1688"/>
      <c r="QIQ28" s="1688"/>
      <c r="QIR28" s="1688"/>
      <c r="QIS28" s="1688"/>
      <c r="QIT28" s="1688"/>
      <c r="QIU28" s="1688"/>
      <c r="QIV28" s="1688"/>
      <c r="QIW28" s="1688"/>
      <c r="QIX28" s="1688"/>
      <c r="QIY28" s="1688"/>
      <c r="QIZ28" s="1688"/>
      <c r="QJA28" s="1688"/>
      <c r="QJB28" s="1688"/>
      <c r="QJC28" s="1688"/>
      <c r="QJD28" s="1688"/>
      <c r="QJE28" s="1688"/>
      <c r="QJF28" s="1688"/>
      <c r="QJG28" s="1688"/>
      <c r="QJH28" s="1688"/>
      <c r="QJI28" s="1688"/>
      <c r="QJJ28" s="1688"/>
      <c r="QJK28" s="1688"/>
      <c r="QJL28" s="1688"/>
      <c r="QJM28" s="1688"/>
      <c r="QJN28" s="1688"/>
      <c r="QJO28" s="1688"/>
      <c r="QJP28" s="1688"/>
      <c r="QJQ28" s="1688"/>
      <c r="QJR28" s="1688"/>
      <c r="QJS28" s="1688"/>
      <c r="QJT28" s="1688"/>
      <c r="QJU28" s="1688"/>
      <c r="QJV28" s="1688"/>
      <c r="QJW28" s="1688"/>
      <c r="QJX28" s="1688"/>
      <c r="QJY28" s="1688"/>
      <c r="QJZ28" s="1688"/>
      <c r="QKA28" s="1688"/>
      <c r="QKB28" s="1688"/>
      <c r="QKC28" s="1688"/>
      <c r="QKD28" s="1688"/>
      <c r="QKE28" s="1688"/>
      <c r="QKF28" s="1688"/>
      <c r="QKG28" s="1688"/>
      <c r="QKH28" s="1688"/>
      <c r="QKI28" s="1688"/>
      <c r="QKJ28" s="1688"/>
      <c r="QKK28" s="1688"/>
      <c r="QKL28" s="1688"/>
      <c r="QKM28" s="1688"/>
      <c r="QKN28" s="1688"/>
      <c r="QKO28" s="1688"/>
      <c r="QKP28" s="1688"/>
      <c r="QKQ28" s="1688"/>
      <c r="QKR28" s="1688"/>
      <c r="QKS28" s="1688"/>
      <c r="QKT28" s="1688"/>
      <c r="QKU28" s="1688"/>
      <c r="QKV28" s="1688"/>
      <c r="QKW28" s="1688"/>
      <c r="QKX28" s="1688"/>
      <c r="QKY28" s="1688"/>
      <c r="QKZ28" s="1688"/>
      <c r="QLA28" s="1688"/>
      <c r="QLB28" s="1688"/>
      <c r="QLC28" s="1688"/>
      <c r="QLD28" s="1688"/>
      <c r="QLE28" s="1688"/>
      <c r="QLF28" s="1688"/>
      <c r="QLG28" s="1688"/>
      <c r="QLH28" s="1688"/>
      <c r="QLI28" s="1688"/>
      <c r="QLJ28" s="1688"/>
      <c r="QLK28" s="1688"/>
      <c r="QLL28" s="1688"/>
      <c r="QLM28" s="1688"/>
      <c r="QLN28" s="1688"/>
      <c r="QLO28" s="1688"/>
      <c r="QLP28" s="1688"/>
      <c r="QLQ28" s="1688"/>
      <c r="QLR28" s="1688"/>
      <c r="QLS28" s="1688"/>
      <c r="QLT28" s="1688"/>
      <c r="QLU28" s="1688"/>
      <c r="QLV28" s="1688"/>
      <c r="QLW28" s="1688"/>
      <c r="QLX28" s="1688"/>
      <c r="QLY28" s="1688"/>
      <c r="QLZ28" s="1688"/>
      <c r="QMA28" s="1688"/>
      <c r="QMB28" s="1688"/>
      <c r="QMC28" s="1688"/>
      <c r="QMD28" s="1688"/>
      <c r="QME28" s="1688"/>
      <c r="QMF28" s="1688"/>
      <c r="QMG28" s="1688"/>
      <c r="QMH28" s="1688"/>
      <c r="QMI28" s="1688"/>
      <c r="QMJ28" s="1688"/>
      <c r="QMK28" s="1688"/>
      <c r="QML28" s="1688"/>
      <c r="QMM28" s="1688"/>
      <c r="QMN28" s="1688"/>
      <c r="QMO28" s="1688"/>
      <c r="QMP28" s="1688"/>
      <c r="QMQ28" s="1688"/>
      <c r="QMR28" s="1688"/>
      <c r="QMS28" s="1688"/>
      <c r="QMT28" s="1688"/>
      <c r="QMU28" s="1688"/>
      <c r="QMV28" s="1688"/>
      <c r="QMW28" s="1688"/>
      <c r="QMX28" s="1688"/>
      <c r="QMY28" s="1688"/>
      <c r="QMZ28" s="1688"/>
      <c r="QNA28" s="1688"/>
      <c r="QNB28" s="1688"/>
      <c r="QNC28" s="1688"/>
      <c r="QND28" s="1688"/>
      <c r="QNE28" s="1688"/>
      <c r="QNF28" s="1688"/>
      <c r="QNG28" s="1688"/>
      <c r="QNH28" s="1688"/>
      <c r="QNI28" s="1688"/>
      <c r="QNJ28" s="1688"/>
      <c r="QNK28" s="1688"/>
      <c r="QNL28" s="1688"/>
      <c r="QNM28" s="1688"/>
      <c r="QNN28" s="1688"/>
      <c r="QNO28" s="1688"/>
      <c r="QNP28" s="1688"/>
      <c r="QNQ28" s="1688"/>
      <c r="QNR28" s="1688"/>
      <c r="QNS28" s="1688"/>
      <c r="QNT28" s="1688"/>
      <c r="QNU28" s="1688"/>
      <c r="QNV28" s="1688"/>
      <c r="QNW28" s="1688"/>
      <c r="QNX28" s="1688"/>
      <c r="QNY28" s="1688"/>
      <c r="QNZ28" s="1688"/>
      <c r="QOA28" s="1688"/>
      <c r="QOB28" s="1688"/>
      <c r="QOC28" s="1688"/>
      <c r="QOD28" s="1688"/>
      <c r="QOE28" s="1688"/>
      <c r="QOF28" s="1688"/>
      <c r="QOG28" s="1688"/>
      <c r="QOH28" s="1688"/>
      <c r="QOI28" s="1688"/>
      <c r="QOJ28" s="1688"/>
      <c r="QOK28" s="1688"/>
      <c r="QOL28" s="1688"/>
      <c r="QOM28" s="1688"/>
      <c r="QON28" s="1688"/>
      <c r="QOO28" s="1688"/>
      <c r="QOP28" s="1688"/>
      <c r="QOQ28" s="1688"/>
      <c r="QOR28" s="1688"/>
      <c r="QOS28" s="1688"/>
      <c r="QOT28" s="1688"/>
      <c r="QOU28" s="1688"/>
      <c r="QOV28" s="1688"/>
      <c r="QOW28" s="1688"/>
      <c r="QOX28" s="1688"/>
      <c r="QOY28" s="1688"/>
      <c r="QOZ28" s="1688"/>
      <c r="QPA28" s="1688"/>
      <c r="QPB28" s="1688"/>
      <c r="QPC28" s="1688"/>
      <c r="QPD28" s="1688"/>
      <c r="QPE28" s="1688"/>
      <c r="QPF28" s="1688"/>
      <c r="QPG28" s="1688"/>
      <c r="QPH28" s="1688"/>
      <c r="QPI28" s="1688"/>
      <c r="QPJ28" s="1688"/>
      <c r="QPK28" s="1688"/>
      <c r="QPL28" s="1688"/>
      <c r="QPM28" s="1688"/>
      <c r="QPN28" s="1688"/>
      <c r="QPO28" s="1688"/>
      <c r="QPP28" s="1688"/>
      <c r="QPQ28" s="1688"/>
      <c r="QPR28" s="1688"/>
      <c r="QPS28" s="1688"/>
      <c r="QPT28" s="1688"/>
      <c r="QPU28" s="1688"/>
      <c r="QPV28" s="1688"/>
      <c r="QPW28" s="1688"/>
      <c r="QPX28" s="1688"/>
      <c r="QPY28" s="1688"/>
      <c r="QPZ28" s="1688"/>
      <c r="QQA28" s="1688"/>
      <c r="QQB28" s="1688"/>
      <c r="QQC28" s="1688"/>
      <c r="QQD28" s="1688"/>
      <c r="QQE28" s="1688"/>
      <c r="QQF28" s="1688"/>
      <c r="QQG28" s="1688"/>
      <c r="QQH28" s="1688"/>
      <c r="QQI28" s="1688"/>
      <c r="QQJ28" s="1688"/>
      <c r="QQK28" s="1688"/>
      <c r="QQL28" s="1688"/>
      <c r="QQM28" s="1688"/>
      <c r="QQN28" s="1688"/>
      <c r="QQO28" s="1688"/>
      <c r="QQP28" s="1688"/>
      <c r="QQQ28" s="1688"/>
      <c r="QQR28" s="1688"/>
      <c r="QQS28" s="1688"/>
      <c r="QQT28" s="1688"/>
      <c r="QQU28" s="1688"/>
      <c r="QQV28" s="1688"/>
      <c r="QQW28" s="1688"/>
      <c r="QQX28" s="1688"/>
      <c r="QQY28" s="1688"/>
      <c r="QQZ28" s="1688"/>
      <c r="QRA28" s="1688"/>
      <c r="QRB28" s="1688"/>
      <c r="QRC28" s="1688"/>
      <c r="QRD28" s="1688"/>
      <c r="QRE28" s="1688"/>
      <c r="QRF28" s="1688"/>
      <c r="QRG28" s="1688"/>
      <c r="QRH28" s="1688"/>
      <c r="QRI28" s="1688"/>
      <c r="QRJ28" s="1688"/>
      <c r="QRK28" s="1688"/>
      <c r="QRL28" s="1688"/>
      <c r="QRM28" s="1688"/>
      <c r="QRN28" s="1688"/>
      <c r="QRO28" s="1688"/>
      <c r="QRP28" s="1688"/>
      <c r="QRQ28" s="1688"/>
      <c r="QRR28" s="1688"/>
      <c r="QRS28" s="1688"/>
      <c r="QRT28" s="1688"/>
      <c r="QRU28" s="1688"/>
      <c r="QRV28" s="1688"/>
      <c r="QRW28" s="1688"/>
      <c r="QRX28" s="1688"/>
      <c r="QRY28" s="1688"/>
      <c r="QRZ28" s="1688"/>
      <c r="QSA28" s="1688"/>
      <c r="QSB28" s="1688"/>
      <c r="QSC28" s="1688"/>
      <c r="QSD28" s="1688"/>
      <c r="QSE28" s="1688"/>
      <c r="QSF28" s="1688"/>
      <c r="QSG28" s="1688"/>
      <c r="QSH28" s="1688"/>
      <c r="QSI28" s="1688"/>
      <c r="QSJ28" s="1688"/>
      <c r="QSK28" s="1688"/>
      <c r="QSL28" s="1688"/>
      <c r="QSM28" s="1688"/>
      <c r="QSN28" s="1688"/>
      <c r="QSO28" s="1688"/>
      <c r="QSP28" s="1688"/>
      <c r="QSQ28" s="1688"/>
      <c r="QSR28" s="1688"/>
      <c r="QSS28" s="1688"/>
      <c r="QST28" s="1688"/>
      <c r="QSU28" s="1688"/>
      <c r="QSV28" s="1688"/>
      <c r="QSW28" s="1688"/>
      <c r="QSX28" s="1688"/>
      <c r="QSY28" s="1688"/>
      <c r="QSZ28" s="1688"/>
      <c r="QTA28" s="1688"/>
      <c r="QTB28" s="1688"/>
      <c r="QTC28" s="1688"/>
      <c r="QTD28" s="1688"/>
      <c r="QTE28" s="1688"/>
      <c r="QTF28" s="1688"/>
      <c r="QTG28" s="1688"/>
      <c r="QTH28" s="1688"/>
      <c r="QTI28" s="1688"/>
      <c r="QTJ28" s="1688"/>
      <c r="QTK28" s="1688"/>
      <c r="QTL28" s="1688"/>
      <c r="QTM28" s="1688"/>
      <c r="QTN28" s="1688"/>
      <c r="QTO28" s="1688"/>
      <c r="QTP28" s="1688"/>
      <c r="QTQ28" s="1688"/>
      <c r="QTR28" s="1688"/>
      <c r="QTS28" s="1688"/>
      <c r="QTT28" s="1688"/>
      <c r="QTU28" s="1688"/>
      <c r="QTV28" s="1688"/>
      <c r="QTW28" s="1688"/>
      <c r="QTX28" s="1688"/>
      <c r="QTY28" s="1688"/>
      <c r="QTZ28" s="1688"/>
      <c r="QUA28" s="1688"/>
      <c r="QUB28" s="1688"/>
      <c r="QUC28" s="1688"/>
      <c r="QUD28" s="1688"/>
      <c r="QUE28" s="1688"/>
      <c r="QUF28" s="1688"/>
      <c r="QUG28" s="1688"/>
      <c r="QUH28" s="1688"/>
      <c r="QUI28" s="1688"/>
      <c r="QUJ28" s="1688"/>
      <c r="QUK28" s="1688"/>
      <c r="QUL28" s="1688"/>
      <c r="QUM28" s="1688"/>
      <c r="QUN28" s="1688"/>
      <c r="QUO28" s="1688"/>
      <c r="QUP28" s="1688"/>
      <c r="QUQ28" s="1688"/>
      <c r="QUR28" s="1688"/>
      <c r="QUS28" s="1688"/>
      <c r="QUT28" s="1688"/>
      <c r="QUU28" s="1688"/>
      <c r="QUV28" s="1688"/>
      <c r="QUW28" s="1688"/>
      <c r="QUX28" s="1688"/>
      <c r="QUY28" s="1688"/>
      <c r="QUZ28" s="1688"/>
      <c r="QVA28" s="1688"/>
      <c r="QVB28" s="1688"/>
      <c r="QVC28" s="1688"/>
      <c r="QVD28" s="1688"/>
      <c r="QVE28" s="1688"/>
      <c r="QVF28" s="1688"/>
      <c r="QVG28" s="1688"/>
      <c r="QVH28" s="1688"/>
      <c r="QVI28" s="1688"/>
      <c r="QVJ28" s="1688"/>
      <c r="QVK28" s="1688"/>
      <c r="QVL28" s="1688"/>
      <c r="QVM28" s="1688"/>
      <c r="QVN28" s="1688"/>
      <c r="QVO28" s="1688"/>
      <c r="QVP28" s="1688"/>
      <c r="QVQ28" s="1688"/>
      <c r="QVR28" s="1688"/>
      <c r="QVS28" s="1688"/>
      <c r="QVT28" s="1688"/>
      <c r="QVU28" s="1688"/>
      <c r="QVV28" s="1688"/>
      <c r="QVW28" s="1688"/>
      <c r="QVX28" s="1688"/>
      <c r="QVY28" s="1688"/>
      <c r="QVZ28" s="1688"/>
      <c r="QWA28" s="1688"/>
      <c r="QWB28" s="1688"/>
      <c r="QWC28" s="1688"/>
      <c r="QWD28" s="1688"/>
      <c r="QWE28" s="1688"/>
      <c r="QWF28" s="1688"/>
      <c r="QWG28" s="1688"/>
      <c r="QWH28" s="1688"/>
      <c r="QWI28" s="1688"/>
      <c r="QWJ28" s="1688"/>
      <c r="QWK28" s="1688"/>
      <c r="QWL28" s="1688"/>
      <c r="QWM28" s="1688"/>
      <c r="QWN28" s="1688"/>
      <c r="QWO28" s="1688"/>
      <c r="QWP28" s="1688"/>
      <c r="QWQ28" s="1688"/>
      <c r="QWR28" s="1688"/>
      <c r="QWS28" s="1688"/>
      <c r="QWT28" s="1688"/>
      <c r="QWU28" s="1688"/>
      <c r="QWV28" s="1688"/>
      <c r="QWW28" s="1688"/>
      <c r="QWX28" s="1688"/>
      <c r="QWY28" s="1688"/>
      <c r="QWZ28" s="1688"/>
      <c r="QXA28" s="1688"/>
      <c r="QXB28" s="1688"/>
      <c r="QXC28" s="1688"/>
      <c r="QXD28" s="1688"/>
      <c r="QXE28" s="1688"/>
      <c r="QXF28" s="1688"/>
      <c r="QXG28" s="1688"/>
      <c r="QXH28" s="1688"/>
      <c r="QXI28" s="1688"/>
      <c r="QXJ28" s="1688"/>
      <c r="QXK28" s="1688"/>
      <c r="QXL28" s="1688"/>
      <c r="QXM28" s="1688"/>
      <c r="QXN28" s="1688"/>
      <c r="QXO28" s="1688"/>
      <c r="QXP28" s="1688"/>
      <c r="QXQ28" s="1688"/>
      <c r="QXR28" s="1688"/>
      <c r="QXS28" s="1688"/>
      <c r="QXT28" s="1688"/>
      <c r="QXU28" s="1688"/>
      <c r="QXV28" s="1688"/>
      <c r="QXW28" s="1688"/>
      <c r="QXX28" s="1688"/>
      <c r="QXY28" s="1688"/>
      <c r="QXZ28" s="1688"/>
      <c r="QYA28" s="1688"/>
      <c r="QYB28" s="1688"/>
      <c r="QYC28" s="1688"/>
      <c r="QYD28" s="1688"/>
      <c r="QYE28" s="1688"/>
      <c r="QYF28" s="1688"/>
      <c r="QYG28" s="1688"/>
      <c r="QYH28" s="1688"/>
      <c r="QYI28" s="1688"/>
      <c r="QYJ28" s="1688"/>
      <c r="QYK28" s="1688"/>
      <c r="QYL28" s="1688"/>
      <c r="QYM28" s="1688"/>
      <c r="QYN28" s="1688"/>
      <c r="QYO28" s="1688"/>
      <c r="QYP28" s="1688"/>
      <c r="QYQ28" s="1688"/>
      <c r="QYR28" s="1688"/>
      <c r="QYS28" s="1688"/>
      <c r="QYT28" s="1688"/>
      <c r="QYU28" s="1688"/>
      <c r="QYV28" s="1688"/>
      <c r="QYW28" s="1688"/>
      <c r="QYX28" s="1688"/>
      <c r="QYY28" s="1688"/>
      <c r="QYZ28" s="1688"/>
      <c r="QZA28" s="1688"/>
      <c r="QZB28" s="1688"/>
      <c r="QZC28" s="1688"/>
      <c r="QZD28" s="1688"/>
      <c r="QZE28" s="1688"/>
      <c r="QZF28" s="1688"/>
      <c r="QZG28" s="1688"/>
      <c r="QZH28" s="1688"/>
      <c r="QZI28" s="1688"/>
      <c r="QZJ28" s="1688"/>
      <c r="QZK28" s="1688"/>
      <c r="QZL28" s="1688"/>
      <c r="QZM28" s="1688"/>
      <c r="QZN28" s="1688"/>
      <c r="QZO28" s="1688"/>
      <c r="QZP28" s="1688"/>
      <c r="QZQ28" s="1688"/>
      <c r="QZR28" s="1688"/>
      <c r="QZS28" s="1688"/>
      <c r="QZT28" s="1688"/>
      <c r="QZU28" s="1688"/>
      <c r="QZV28" s="1688"/>
      <c r="QZW28" s="1688"/>
      <c r="QZX28" s="1688"/>
      <c r="QZY28" s="1688"/>
      <c r="QZZ28" s="1688"/>
      <c r="RAA28" s="1688"/>
      <c r="RAB28" s="1688"/>
      <c r="RAC28" s="1688"/>
      <c r="RAD28" s="1688"/>
      <c r="RAE28" s="1688"/>
      <c r="RAF28" s="1688"/>
      <c r="RAG28" s="1688"/>
      <c r="RAH28" s="1688"/>
      <c r="RAI28" s="1688"/>
      <c r="RAJ28" s="1688"/>
      <c r="RAK28" s="1688"/>
      <c r="RAL28" s="1688"/>
      <c r="RAM28" s="1688"/>
      <c r="RAN28" s="1688"/>
      <c r="RAO28" s="1688"/>
      <c r="RAP28" s="1688"/>
      <c r="RAQ28" s="1688"/>
      <c r="RAR28" s="1688"/>
      <c r="RAS28" s="1688"/>
      <c r="RAT28" s="1688"/>
      <c r="RAU28" s="1688"/>
      <c r="RAV28" s="1688"/>
      <c r="RAW28" s="1688"/>
      <c r="RAX28" s="1688"/>
      <c r="RAY28" s="1688"/>
      <c r="RAZ28" s="1688"/>
      <c r="RBA28" s="1688"/>
      <c r="RBB28" s="1688"/>
      <c r="RBC28" s="1688"/>
      <c r="RBD28" s="1688"/>
      <c r="RBE28" s="1688"/>
      <c r="RBF28" s="1688"/>
      <c r="RBG28" s="1688"/>
      <c r="RBH28" s="1688"/>
      <c r="RBI28" s="1688"/>
      <c r="RBJ28" s="1688"/>
      <c r="RBK28" s="1688"/>
      <c r="RBL28" s="1688"/>
      <c r="RBM28" s="1688"/>
      <c r="RBN28" s="1688"/>
      <c r="RBO28" s="1688"/>
      <c r="RBP28" s="1688"/>
      <c r="RBQ28" s="1688"/>
      <c r="RBR28" s="1688"/>
      <c r="RBS28" s="1688"/>
      <c r="RBT28" s="1688"/>
      <c r="RBU28" s="1688"/>
      <c r="RBV28" s="1688"/>
      <c r="RBW28" s="1688"/>
      <c r="RBX28" s="1688"/>
      <c r="RBY28" s="1688"/>
      <c r="RBZ28" s="1688"/>
      <c r="RCA28" s="1688"/>
      <c r="RCB28" s="1688"/>
      <c r="RCC28" s="1688"/>
      <c r="RCD28" s="1688"/>
      <c r="RCE28" s="1688"/>
      <c r="RCF28" s="1688"/>
      <c r="RCG28" s="1688"/>
      <c r="RCH28" s="1688"/>
      <c r="RCI28" s="1688"/>
      <c r="RCJ28" s="1688"/>
      <c r="RCK28" s="1688"/>
      <c r="RCL28" s="1688"/>
      <c r="RCM28" s="1688"/>
      <c r="RCN28" s="1688"/>
      <c r="RCO28" s="1688"/>
      <c r="RCP28" s="1688"/>
      <c r="RCQ28" s="1688"/>
      <c r="RCR28" s="1688"/>
      <c r="RCS28" s="1688"/>
      <c r="RCT28" s="1688"/>
      <c r="RCU28" s="1688"/>
      <c r="RCV28" s="1688"/>
      <c r="RCW28" s="1688"/>
      <c r="RCX28" s="1688"/>
      <c r="RCY28" s="1688"/>
      <c r="RCZ28" s="1688"/>
      <c r="RDA28" s="1688"/>
      <c r="RDB28" s="1688"/>
      <c r="RDC28" s="1688"/>
      <c r="RDD28" s="1688"/>
      <c r="RDE28" s="1688"/>
      <c r="RDF28" s="1688"/>
      <c r="RDG28" s="1688"/>
      <c r="RDH28" s="1688"/>
      <c r="RDI28" s="1688"/>
      <c r="RDJ28" s="1688"/>
      <c r="RDK28" s="1688"/>
      <c r="RDL28" s="1688"/>
      <c r="RDM28" s="1688"/>
      <c r="RDN28" s="1688"/>
      <c r="RDO28" s="1688"/>
      <c r="RDP28" s="1688"/>
      <c r="RDQ28" s="1688"/>
      <c r="RDR28" s="1688"/>
      <c r="RDS28" s="1688"/>
      <c r="RDT28" s="1688"/>
      <c r="RDU28" s="1688"/>
      <c r="RDV28" s="1688"/>
      <c r="RDW28" s="1688"/>
      <c r="RDX28" s="1688"/>
      <c r="RDY28" s="1688"/>
      <c r="RDZ28" s="1688"/>
      <c r="REA28" s="1688"/>
      <c r="REB28" s="1688"/>
      <c r="REC28" s="1688"/>
      <c r="RED28" s="1688"/>
      <c r="REE28" s="1688"/>
      <c r="REF28" s="1688"/>
      <c r="REG28" s="1688"/>
      <c r="REH28" s="1688"/>
      <c r="REI28" s="1688"/>
      <c r="REJ28" s="1688"/>
      <c r="REK28" s="1688"/>
      <c r="REL28" s="1688"/>
      <c r="REM28" s="1688"/>
      <c r="REN28" s="1688"/>
      <c r="REO28" s="1688"/>
      <c r="REP28" s="1688"/>
      <c r="REQ28" s="1688"/>
      <c r="RER28" s="1688"/>
      <c r="RES28" s="1688"/>
      <c r="RET28" s="1688"/>
      <c r="REU28" s="1688"/>
      <c r="REV28" s="1688"/>
      <c r="REW28" s="1688"/>
      <c r="REX28" s="1688"/>
      <c r="REY28" s="1688"/>
      <c r="REZ28" s="1688"/>
      <c r="RFA28" s="1688"/>
      <c r="RFB28" s="1688"/>
      <c r="RFC28" s="1688"/>
      <c r="RFD28" s="1688"/>
      <c r="RFE28" s="1688"/>
      <c r="RFF28" s="1688"/>
      <c r="RFG28" s="1688"/>
      <c r="RFH28" s="1688"/>
      <c r="RFI28" s="1688"/>
      <c r="RFJ28" s="1688"/>
      <c r="RFK28" s="1688"/>
      <c r="RFL28" s="1688"/>
      <c r="RFM28" s="1688"/>
      <c r="RFN28" s="1688"/>
      <c r="RFO28" s="1688"/>
      <c r="RFP28" s="1688"/>
      <c r="RFQ28" s="1688"/>
      <c r="RFR28" s="1688"/>
      <c r="RFS28" s="1688"/>
      <c r="RFT28" s="1688"/>
      <c r="RFU28" s="1688"/>
      <c r="RFV28" s="1688"/>
      <c r="RFW28" s="1688"/>
      <c r="RFX28" s="1688"/>
      <c r="RFY28" s="1688"/>
      <c r="RFZ28" s="1688"/>
      <c r="RGA28" s="1688"/>
      <c r="RGB28" s="1688"/>
      <c r="RGC28" s="1688"/>
      <c r="RGD28" s="1688"/>
      <c r="RGE28" s="1688"/>
      <c r="RGF28" s="1688"/>
      <c r="RGG28" s="1688"/>
      <c r="RGH28" s="1688"/>
      <c r="RGI28" s="1688"/>
      <c r="RGJ28" s="1688"/>
      <c r="RGK28" s="1688"/>
      <c r="RGL28" s="1688"/>
      <c r="RGM28" s="1688"/>
      <c r="RGN28" s="1688"/>
      <c r="RGO28" s="1688"/>
      <c r="RGP28" s="1688"/>
      <c r="RGQ28" s="1688"/>
      <c r="RGR28" s="1688"/>
      <c r="RGS28" s="1688"/>
      <c r="RGT28" s="1688"/>
      <c r="RGU28" s="1688"/>
      <c r="RGV28" s="1688"/>
      <c r="RGW28" s="1688"/>
      <c r="RGX28" s="1688"/>
      <c r="RGY28" s="1688"/>
      <c r="RGZ28" s="1688"/>
      <c r="RHA28" s="1688"/>
      <c r="RHB28" s="1688"/>
      <c r="RHC28" s="1688"/>
      <c r="RHD28" s="1688"/>
      <c r="RHE28" s="1688"/>
      <c r="RHF28" s="1688"/>
      <c r="RHG28" s="1688"/>
      <c r="RHH28" s="1688"/>
      <c r="RHI28" s="1688"/>
      <c r="RHJ28" s="1688"/>
      <c r="RHK28" s="1688"/>
      <c r="RHL28" s="1688"/>
      <c r="RHM28" s="1688"/>
      <c r="RHN28" s="1688"/>
      <c r="RHO28" s="1688"/>
      <c r="RHP28" s="1688"/>
      <c r="RHQ28" s="1688"/>
      <c r="RHR28" s="1688"/>
      <c r="RHS28" s="1688"/>
      <c r="RHT28" s="1688"/>
      <c r="RHU28" s="1688"/>
      <c r="RHV28" s="1688"/>
      <c r="RHW28" s="1688"/>
      <c r="RHX28" s="1688"/>
      <c r="RHY28" s="1688"/>
      <c r="RHZ28" s="1688"/>
      <c r="RIA28" s="1688"/>
      <c r="RIB28" s="1688"/>
      <c r="RIC28" s="1688"/>
      <c r="RID28" s="1688"/>
      <c r="RIE28" s="1688"/>
      <c r="RIF28" s="1688"/>
      <c r="RIG28" s="1688"/>
      <c r="RIH28" s="1688"/>
      <c r="RII28" s="1688"/>
      <c r="RIJ28" s="1688"/>
      <c r="RIK28" s="1688"/>
      <c r="RIL28" s="1688"/>
      <c r="RIM28" s="1688"/>
      <c r="RIN28" s="1688"/>
      <c r="RIO28" s="1688"/>
      <c r="RIP28" s="1688"/>
      <c r="RIQ28" s="1688"/>
      <c r="RIR28" s="1688"/>
      <c r="RIS28" s="1688"/>
      <c r="RIT28" s="1688"/>
      <c r="RIU28" s="1688"/>
      <c r="RIV28" s="1688"/>
      <c r="RIW28" s="1688"/>
      <c r="RIX28" s="1688"/>
      <c r="RIY28" s="1688"/>
      <c r="RIZ28" s="1688"/>
      <c r="RJA28" s="1688"/>
      <c r="RJB28" s="1688"/>
      <c r="RJC28" s="1688"/>
      <c r="RJD28" s="1688"/>
      <c r="RJE28" s="1688"/>
      <c r="RJF28" s="1688"/>
      <c r="RJG28" s="1688"/>
      <c r="RJH28" s="1688"/>
      <c r="RJI28" s="1688"/>
      <c r="RJJ28" s="1688"/>
      <c r="RJK28" s="1688"/>
      <c r="RJL28" s="1688"/>
      <c r="RJM28" s="1688"/>
      <c r="RJN28" s="1688"/>
      <c r="RJO28" s="1688"/>
      <c r="RJP28" s="1688"/>
      <c r="RJQ28" s="1688"/>
      <c r="RJR28" s="1688"/>
      <c r="RJS28" s="1688"/>
      <c r="RJT28" s="1688"/>
      <c r="RJU28" s="1688"/>
      <c r="RJV28" s="1688"/>
      <c r="RJW28" s="1688"/>
      <c r="RJX28" s="1688"/>
      <c r="RJY28" s="1688"/>
      <c r="RJZ28" s="1688"/>
      <c r="RKA28" s="1688"/>
      <c r="RKB28" s="1688"/>
      <c r="RKC28" s="1688"/>
      <c r="RKD28" s="1688"/>
      <c r="RKE28" s="1688"/>
      <c r="RKF28" s="1688"/>
      <c r="RKG28" s="1688"/>
      <c r="RKH28" s="1688"/>
      <c r="RKI28" s="1688"/>
      <c r="RKJ28" s="1688"/>
      <c r="RKK28" s="1688"/>
      <c r="RKL28" s="1688"/>
      <c r="RKM28" s="1688"/>
      <c r="RKN28" s="1688"/>
      <c r="RKO28" s="1688"/>
      <c r="RKP28" s="1688"/>
      <c r="RKQ28" s="1688"/>
      <c r="RKR28" s="1688"/>
      <c r="RKS28" s="1688"/>
      <c r="RKT28" s="1688"/>
      <c r="RKU28" s="1688"/>
      <c r="RKV28" s="1688"/>
      <c r="RKW28" s="1688"/>
      <c r="RKX28" s="1688"/>
      <c r="RKY28" s="1688"/>
      <c r="RKZ28" s="1688"/>
      <c r="RLA28" s="1688"/>
      <c r="RLB28" s="1688"/>
      <c r="RLC28" s="1688"/>
      <c r="RLD28" s="1688"/>
      <c r="RLE28" s="1688"/>
      <c r="RLF28" s="1688"/>
      <c r="RLG28" s="1688"/>
      <c r="RLH28" s="1688"/>
      <c r="RLI28" s="1688"/>
      <c r="RLJ28" s="1688"/>
      <c r="RLK28" s="1688"/>
      <c r="RLL28" s="1688"/>
      <c r="RLM28" s="1688"/>
      <c r="RLN28" s="1688"/>
      <c r="RLO28" s="1688"/>
      <c r="RLP28" s="1688"/>
      <c r="RLQ28" s="1688"/>
      <c r="RLR28" s="1688"/>
      <c r="RLS28" s="1688"/>
      <c r="RLT28" s="1688"/>
      <c r="RLU28" s="1688"/>
      <c r="RLV28" s="1688"/>
      <c r="RLW28" s="1688"/>
      <c r="RLX28" s="1688"/>
      <c r="RLY28" s="1688"/>
      <c r="RLZ28" s="1688"/>
      <c r="RMA28" s="1688"/>
      <c r="RMB28" s="1688"/>
      <c r="RMC28" s="1688"/>
      <c r="RMD28" s="1688"/>
      <c r="RME28" s="1688"/>
      <c r="RMF28" s="1688"/>
      <c r="RMG28" s="1688"/>
      <c r="RMH28" s="1688"/>
      <c r="RMI28" s="1688"/>
      <c r="RMJ28" s="1688"/>
      <c r="RMK28" s="1688"/>
      <c r="RML28" s="1688"/>
      <c r="RMM28" s="1688"/>
      <c r="RMN28" s="1688"/>
      <c r="RMO28" s="1688"/>
      <c r="RMP28" s="1688"/>
      <c r="RMQ28" s="1688"/>
      <c r="RMR28" s="1688"/>
      <c r="RMS28" s="1688"/>
      <c r="RMT28" s="1688"/>
      <c r="RMU28" s="1688"/>
      <c r="RMV28" s="1688"/>
      <c r="RMW28" s="1688"/>
      <c r="RMX28" s="1688"/>
      <c r="RMY28" s="1688"/>
      <c r="RMZ28" s="1688"/>
      <c r="RNA28" s="1688"/>
      <c r="RNB28" s="1688"/>
      <c r="RNC28" s="1688"/>
      <c r="RND28" s="1688"/>
      <c r="RNE28" s="1688"/>
      <c r="RNF28" s="1688"/>
      <c r="RNG28" s="1688"/>
      <c r="RNH28" s="1688"/>
      <c r="RNI28" s="1688"/>
      <c r="RNJ28" s="1688"/>
      <c r="RNK28" s="1688"/>
      <c r="RNL28" s="1688"/>
      <c r="RNM28" s="1688"/>
      <c r="RNN28" s="1688"/>
      <c r="RNO28" s="1688"/>
      <c r="RNP28" s="1688"/>
      <c r="RNQ28" s="1688"/>
      <c r="RNR28" s="1688"/>
      <c r="RNS28" s="1688"/>
      <c r="RNT28" s="1688"/>
      <c r="RNU28" s="1688"/>
      <c r="RNV28" s="1688"/>
      <c r="RNW28" s="1688"/>
      <c r="RNX28" s="1688"/>
      <c r="RNY28" s="1688"/>
      <c r="RNZ28" s="1688"/>
      <c r="ROA28" s="1688"/>
      <c r="ROB28" s="1688"/>
      <c r="ROC28" s="1688"/>
      <c r="ROD28" s="1688"/>
      <c r="ROE28" s="1688"/>
      <c r="ROF28" s="1688"/>
      <c r="ROG28" s="1688"/>
      <c r="ROH28" s="1688"/>
      <c r="ROI28" s="1688"/>
      <c r="ROJ28" s="1688"/>
      <c r="ROK28" s="1688"/>
      <c r="ROL28" s="1688"/>
      <c r="ROM28" s="1688"/>
      <c r="RON28" s="1688"/>
      <c r="ROO28" s="1688"/>
      <c r="ROP28" s="1688"/>
      <c r="ROQ28" s="1688"/>
      <c r="ROR28" s="1688"/>
      <c r="ROS28" s="1688"/>
      <c r="ROT28" s="1688"/>
      <c r="ROU28" s="1688"/>
      <c r="ROV28" s="1688"/>
      <c r="ROW28" s="1688"/>
      <c r="ROX28" s="1688"/>
      <c r="ROY28" s="1688"/>
      <c r="ROZ28" s="1688"/>
      <c r="RPA28" s="1688"/>
      <c r="RPB28" s="1688"/>
      <c r="RPC28" s="1688"/>
      <c r="RPD28" s="1688"/>
      <c r="RPE28" s="1688"/>
      <c r="RPF28" s="1688"/>
      <c r="RPG28" s="1688"/>
      <c r="RPH28" s="1688"/>
      <c r="RPI28" s="1688"/>
      <c r="RPJ28" s="1688"/>
      <c r="RPK28" s="1688"/>
      <c r="RPL28" s="1688"/>
      <c r="RPM28" s="1688"/>
      <c r="RPN28" s="1688"/>
      <c r="RPO28" s="1688"/>
      <c r="RPP28" s="1688"/>
      <c r="RPQ28" s="1688"/>
      <c r="RPR28" s="1688"/>
      <c r="RPS28" s="1688"/>
      <c r="RPT28" s="1688"/>
      <c r="RPU28" s="1688"/>
      <c r="RPV28" s="1688"/>
      <c r="RPW28" s="1688"/>
      <c r="RPX28" s="1688"/>
      <c r="RPY28" s="1688"/>
      <c r="RPZ28" s="1688"/>
      <c r="RQA28" s="1688"/>
      <c r="RQB28" s="1688"/>
      <c r="RQC28" s="1688"/>
      <c r="RQD28" s="1688"/>
      <c r="RQE28" s="1688"/>
      <c r="RQF28" s="1688"/>
      <c r="RQG28" s="1688"/>
      <c r="RQH28" s="1688"/>
      <c r="RQI28" s="1688"/>
      <c r="RQJ28" s="1688"/>
      <c r="RQK28" s="1688"/>
      <c r="RQL28" s="1688"/>
      <c r="RQM28" s="1688"/>
      <c r="RQN28" s="1688"/>
      <c r="RQO28" s="1688"/>
      <c r="RQP28" s="1688"/>
      <c r="RQQ28" s="1688"/>
      <c r="RQR28" s="1688"/>
      <c r="RQS28" s="1688"/>
      <c r="RQT28" s="1688"/>
      <c r="RQU28" s="1688"/>
      <c r="RQV28" s="1688"/>
      <c r="RQW28" s="1688"/>
      <c r="RQX28" s="1688"/>
      <c r="RQY28" s="1688"/>
      <c r="RQZ28" s="1688"/>
      <c r="RRA28" s="1688"/>
      <c r="RRB28" s="1688"/>
      <c r="RRC28" s="1688"/>
      <c r="RRD28" s="1688"/>
      <c r="RRE28" s="1688"/>
      <c r="RRF28" s="1688"/>
      <c r="RRG28" s="1688"/>
      <c r="RRH28" s="1688"/>
      <c r="RRI28" s="1688"/>
      <c r="RRJ28" s="1688"/>
      <c r="RRK28" s="1688"/>
      <c r="RRL28" s="1688"/>
      <c r="RRM28" s="1688"/>
      <c r="RRN28" s="1688"/>
      <c r="RRO28" s="1688"/>
      <c r="RRP28" s="1688"/>
      <c r="RRQ28" s="1688"/>
      <c r="RRR28" s="1688"/>
      <c r="RRS28" s="1688"/>
      <c r="RRT28" s="1688"/>
      <c r="RRU28" s="1688"/>
      <c r="RRV28" s="1688"/>
      <c r="RRW28" s="1688"/>
      <c r="RRX28" s="1688"/>
      <c r="RRY28" s="1688"/>
      <c r="RRZ28" s="1688"/>
      <c r="RSA28" s="1688"/>
      <c r="RSB28" s="1688"/>
      <c r="RSC28" s="1688"/>
      <c r="RSD28" s="1688"/>
      <c r="RSE28" s="1688"/>
      <c r="RSF28" s="1688"/>
      <c r="RSG28" s="1688"/>
      <c r="RSH28" s="1688"/>
      <c r="RSI28" s="1688"/>
      <c r="RSJ28" s="1688"/>
      <c r="RSK28" s="1688"/>
      <c r="RSL28" s="1688"/>
      <c r="RSM28" s="1688"/>
      <c r="RSN28" s="1688"/>
      <c r="RSO28" s="1688"/>
      <c r="RSP28" s="1688"/>
      <c r="RSQ28" s="1688"/>
      <c r="RSR28" s="1688"/>
      <c r="RSS28" s="1688"/>
      <c r="RST28" s="1688"/>
      <c r="RSU28" s="1688"/>
      <c r="RSV28" s="1688"/>
      <c r="RSW28" s="1688"/>
      <c r="RSX28" s="1688"/>
      <c r="RSY28" s="1688"/>
      <c r="RSZ28" s="1688"/>
      <c r="RTA28" s="1688"/>
      <c r="RTB28" s="1688"/>
      <c r="RTC28" s="1688"/>
      <c r="RTD28" s="1688"/>
      <c r="RTE28" s="1688"/>
      <c r="RTF28" s="1688"/>
      <c r="RTG28" s="1688"/>
      <c r="RTH28" s="1688"/>
      <c r="RTI28" s="1688"/>
      <c r="RTJ28" s="1688"/>
      <c r="RTK28" s="1688"/>
      <c r="RTL28" s="1688"/>
      <c r="RTM28" s="1688"/>
      <c r="RTN28" s="1688"/>
      <c r="RTO28" s="1688"/>
      <c r="RTP28" s="1688"/>
      <c r="RTQ28" s="1688"/>
      <c r="RTR28" s="1688"/>
      <c r="RTS28" s="1688"/>
      <c r="RTT28" s="1688"/>
      <c r="RTU28" s="1688"/>
      <c r="RTV28" s="1688"/>
      <c r="RTW28" s="1688"/>
      <c r="RTX28" s="1688"/>
      <c r="RTY28" s="1688"/>
      <c r="RTZ28" s="1688"/>
      <c r="RUA28" s="1688"/>
      <c r="RUB28" s="1688"/>
      <c r="RUC28" s="1688"/>
      <c r="RUD28" s="1688"/>
      <c r="RUE28" s="1688"/>
      <c r="RUF28" s="1688"/>
      <c r="RUG28" s="1688"/>
      <c r="RUH28" s="1688"/>
      <c r="RUI28" s="1688"/>
      <c r="RUJ28" s="1688"/>
      <c r="RUK28" s="1688"/>
      <c r="RUL28" s="1688"/>
      <c r="RUM28" s="1688"/>
      <c r="RUN28" s="1688"/>
      <c r="RUO28" s="1688"/>
      <c r="RUP28" s="1688"/>
      <c r="RUQ28" s="1688"/>
      <c r="RUR28" s="1688"/>
      <c r="RUS28" s="1688"/>
      <c r="RUT28" s="1688"/>
      <c r="RUU28" s="1688"/>
      <c r="RUV28" s="1688"/>
      <c r="RUW28" s="1688"/>
      <c r="RUX28" s="1688"/>
      <c r="RUY28" s="1688"/>
      <c r="RUZ28" s="1688"/>
      <c r="RVA28" s="1688"/>
      <c r="RVB28" s="1688"/>
      <c r="RVC28" s="1688"/>
      <c r="RVD28" s="1688"/>
      <c r="RVE28" s="1688"/>
      <c r="RVF28" s="1688"/>
      <c r="RVG28" s="1688"/>
      <c r="RVH28" s="1688"/>
      <c r="RVI28" s="1688"/>
      <c r="RVJ28" s="1688"/>
      <c r="RVK28" s="1688"/>
      <c r="RVL28" s="1688"/>
      <c r="RVM28" s="1688"/>
      <c r="RVN28" s="1688"/>
      <c r="RVO28" s="1688"/>
      <c r="RVP28" s="1688"/>
      <c r="RVQ28" s="1688"/>
      <c r="RVR28" s="1688"/>
      <c r="RVS28" s="1688"/>
      <c r="RVT28" s="1688"/>
      <c r="RVU28" s="1688"/>
      <c r="RVV28" s="1688"/>
      <c r="RVW28" s="1688"/>
      <c r="RVX28" s="1688"/>
      <c r="RVY28" s="1688"/>
      <c r="RVZ28" s="1688"/>
      <c r="RWA28" s="1688"/>
      <c r="RWB28" s="1688"/>
      <c r="RWC28" s="1688"/>
      <c r="RWD28" s="1688"/>
      <c r="RWE28" s="1688"/>
      <c r="RWF28" s="1688"/>
      <c r="RWG28" s="1688"/>
      <c r="RWH28" s="1688"/>
      <c r="RWI28" s="1688"/>
      <c r="RWJ28" s="1688"/>
      <c r="RWK28" s="1688"/>
      <c r="RWL28" s="1688"/>
      <c r="RWM28" s="1688"/>
      <c r="RWN28" s="1688"/>
      <c r="RWO28" s="1688"/>
      <c r="RWP28" s="1688"/>
      <c r="RWQ28" s="1688"/>
      <c r="RWR28" s="1688"/>
      <c r="RWS28" s="1688"/>
      <c r="RWT28" s="1688"/>
      <c r="RWU28" s="1688"/>
      <c r="RWV28" s="1688"/>
      <c r="RWW28" s="1688"/>
      <c r="RWX28" s="1688"/>
      <c r="RWY28" s="1688"/>
      <c r="RWZ28" s="1688"/>
      <c r="RXA28" s="1688"/>
      <c r="RXB28" s="1688"/>
      <c r="RXC28" s="1688"/>
      <c r="RXD28" s="1688"/>
      <c r="RXE28" s="1688"/>
      <c r="RXF28" s="1688"/>
      <c r="RXG28" s="1688"/>
      <c r="RXH28" s="1688"/>
      <c r="RXI28" s="1688"/>
      <c r="RXJ28" s="1688"/>
      <c r="RXK28" s="1688"/>
      <c r="RXL28" s="1688"/>
      <c r="RXM28" s="1688"/>
      <c r="RXN28" s="1688"/>
      <c r="RXO28" s="1688"/>
      <c r="RXP28" s="1688"/>
      <c r="RXQ28" s="1688"/>
      <c r="RXR28" s="1688"/>
      <c r="RXS28" s="1688"/>
      <c r="RXT28" s="1688"/>
      <c r="RXU28" s="1688"/>
      <c r="RXV28" s="1688"/>
      <c r="RXW28" s="1688"/>
      <c r="RXX28" s="1688"/>
      <c r="RXY28" s="1688"/>
      <c r="RXZ28" s="1688"/>
      <c r="RYA28" s="1688"/>
      <c r="RYB28" s="1688"/>
      <c r="RYC28" s="1688"/>
      <c r="RYD28" s="1688"/>
      <c r="RYE28" s="1688"/>
      <c r="RYF28" s="1688"/>
      <c r="RYG28" s="1688"/>
      <c r="RYH28" s="1688"/>
      <c r="RYI28" s="1688"/>
      <c r="RYJ28" s="1688"/>
      <c r="RYK28" s="1688"/>
      <c r="RYL28" s="1688"/>
      <c r="RYM28" s="1688"/>
      <c r="RYN28" s="1688"/>
      <c r="RYO28" s="1688"/>
      <c r="RYP28" s="1688"/>
      <c r="RYQ28" s="1688"/>
      <c r="RYR28" s="1688"/>
      <c r="RYS28" s="1688"/>
      <c r="RYT28" s="1688"/>
      <c r="RYU28" s="1688"/>
      <c r="RYV28" s="1688"/>
      <c r="RYW28" s="1688"/>
      <c r="RYX28" s="1688"/>
      <c r="RYY28" s="1688"/>
      <c r="RYZ28" s="1688"/>
      <c r="RZA28" s="1688"/>
      <c r="RZB28" s="1688"/>
      <c r="RZC28" s="1688"/>
      <c r="RZD28" s="1688"/>
      <c r="RZE28" s="1688"/>
      <c r="RZF28" s="1688"/>
      <c r="RZG28" s="1688"/>
      <c r="RZH28" s="1688"/>
      <c r="RZI28" s="1688"/>
      <c r="RZJ28" s="1688"/>
      <c r="RZK28" s="1688"/>
      <c r="RZL28" s="1688"/>
      <c r="RZM28" s="1688"/>
      <c r="RZN28" s="1688"/>
      <c r="RZO28" s="1688"/>
      <c r="RZP28" s="1688"/>
      <c r="RZQ28" s="1688"/>
      <c r="RZR28" s="1688"/>
      <c r="RZS28" s="1688"/>
      <c r="RZT28" s="1688"/>
      <c r="RZU28" s="1688"/>
      <c r="RZV28" s="1688"/>
      <c r="RZW28" s="1688"/>
      <c r="RZX28" s="1688"/>
      <c r="RZY28" s="1688"/>
      <c r="RZZ28" s="1688"/>
      <c r="SAA28" s="1688"/>
      <c r="SAB28" s="1688"/>
      <c r="SAC28" s="1688"/>
      <c r="SAD28" s="1688"/>
      <c r="SAE28" s="1688"/>
      <c r="SAF28" s="1688"/>
      <c r="SAG28" s="1688"/>
      <c r="SAH28" s="1688"/>
      <c r="SAI28" s="1688"/>
      <c r="SAJ28" s="1688"/>
      <c r="SAK28" s="1688"/>
      <c r="SAL28" s="1688"/>
      <c r="SAM28" s="1688"/>
      <c r="SAN28" s="1688"/>
      <c r="SAO28" s="1688"/>
      <c r="SAP28" s="1688"/>
      <c r="SAQ28" s="1688"/>
      <c r="SAR28" s="1688"/>
      <c r="SAS28" s="1688"/>
      <c r="SAT28" s="1688"/>
      <c r="SAU28" s="1688"/>
      <c r="SAV28" s="1688"/>
      <c r="SAW28" s="1688"/>
      <c r="SAX28" s="1688"/>
      <c r="SAY28" s="1688"/>
      <c r="SAZ28" s="1688"/>
      <c r="SBA28" s="1688"/>
      <c r="SBB28" s="1688"/>
      <c r="SBC28" s="1688"/>
      <c r="SBD28" s="1688"/>
      <c r="SBE28" s="1688"/>
      <c r="SBF28" s="1688"/>
      <c r="SBG28" s="1688"/>
      <c r="SBH28" s="1688"/>
      <c r="SBI28" s="1688"/>
      <c r="SBJ28" s="1688"/>
      <c r="SBK28" s="1688"/>
      <c r="SBL28" s="1688"/>
      <c r="SBM28" s="1688"/>
      <c r="SBN28" s="1688"/>
      <c r="SBO28" s="1688"/>
      <c r="SBP28" s="1688"/>
      <c r="SBQ28" s="1688"/>
      <c r="SBR28" s="1688"/>
      <c r="SBS28" s="1688"/>
      <c r="SBT28" s="1688"/>
      <c r="SBU28" s="1688"/>
      <c r="SBV28" s="1688"/>
      <c r="SBW28" s="1688"/>
      <c r="SBX28" s="1688"/>
      <c r="SBY28" s="1688"/>
      <c r="SBZ28" s="1688"/>
      <c r="SCA28" s="1688"/>
      <c r="SCB28" s="1688"/>
      <c r="SCC28" s="1688"/>
      <c r="SCD28" s="1688"/>
      <c r="SCE28" s="1688"/>
      <c r="SCF28" s="1688"/>
      <c r="SCG28" s="1688"/>
      <c r="SCH28" s="1688"/>
      <c r="SCI28" s="1688"/>
      <c r="SCJ28" s="1688"/>
      <c r="SCK28" s="1688"/>
      <c r="SCL28" s="1688"/>
      <c r="SCM28" s="1688"/>
      <c r="SCN28" s="1688"/>
      <c r="SCO28" s="1688"/>
      <c r="SCP28" s="1688"/>
      <c r="SCQ28" s="1688"/>
      <c r="SCR28" s="1688"/>
      <c r="SCS28" s="1688"/>
      <c r="SCT28" s="1688"/>
      <c r="SCU28" s="1688"/>
      <c r="SCV28" s="1688"/>
      <c r="SCW28" s="1688"/>
      <c r="SCX28" s="1688"/>
      <c r="SCY28" s="1688"/>
      <c r="SCZ28" s="1688"/>
      <c r="SDA28" s="1688"/>
      <c r="SDB28" s="1688"/>
      <c r="SDC28" s="1688"/>
      <c r="SDD28" s="1688"/>
      <c r="SDE28" s="1688"/>
      <c r="SDF28" s="1688"/>
      <c r="SDG28" s="1688"/>
      <c r="SDH28" s="1688"/>
      <c r="SDI28" s="1688"/>
      <c r="SDJ28" s="1688"/>
      <c r="SDK28" s="1688"/>
      <c r="SDL28" s="1688"/>
      <c r="SDM28" s="1688"/>
      <c r="SDN28" s="1688"/>
      <c r="SDO28" s="1688"/>
      <c r="SDP28" s="1688"/>
      <c r="SDQ28" s="1688"/>
      <c r="SDR28" s="1688"/>
      <c r="SDS28" s="1688"/>
      <c r="SDT28" s="1688"/>
      <c r="SDU28" s="1688"/>
      <c r="SDV28" s="1688"/>
      <c r="SDW28" s="1688"/>
      <c r="SDX28" s="1688"/>
      <c r="SDY28" s="1688"/>
      <c r="SDZ28" s="1688"/>
      <c r="SEA28" s="1688"/>
      <c r="SEB28" s="1688"/>
      <c r="SEC28" s="1688"/>
      <c r="SED28" s="1688"/>
      <c r="SEE28" s="1688"/>
      <c r="SEF28" s="1688"/>
      <c r="SEG28" s="1688"/>
      <c r="SEH28" s="1688"/>
      <c r="SEI28" s="1688"/>
      <c r="SEJ28" s="1688"/>
      <c r="SEK28" s="1688"/>
      <c r="SEL28" s="1688"/>
      <c r="SEM28" s="1688"/>
      <c r="SEN28" s="1688"/>
      <c r="SEO28" s="1688"/>
      <c r="SEP28" s="1688"/>
      <c r="SEQ28" s="1688"/>
      <c r="SER28" s="1688"/>
      <c r="SES28" s="1688"/>
      <c r="SET28" s="1688"/>
      <c r="SEU28" s="1688"/>
      <c r="SEV28" s="1688"/>
      <c r="SEW28" s="1688"/>
      <c r="SEX28" s="1688"/>
      <c r="SEY28" s="1688"/>
      <c r="SEZ28" s="1688"/>
      <c r="SFA28" s="1688"/>
      <c r="SFB28" s="1688"/>
      <c r="SFC28" s="1688"/>
      <c r="SFD28" s="1688"/>
      <c r="SFE28" s="1688"/>
      <c r="SFF28" s="1688"/>
      <c r="SFG28" s="1688"/>
      <c r="SFH28" s="1688"/>
      <c r="SFI28" s="1688"/>
      <c r="SFJ28" s="1688"/>
      <c r="SFK28" s="1688"/>
      <c r="SFL28" s="1688"/>
      <c r="SFM28" s="1688"/>
      <c r="SFN28" s="1688"/>
      <c r="SFO28" s="1688"/>
      <c r="SFP28" s="1688"/>
      <c r="SFQ28" s="1688"/>
      <c r="SFR28" s="1688"/>
      <c r="SFS28" s="1688"/>
      <c r="SFT28" s="1688"/>
      <c r="SFU28" s="1688"/>
      <c r="SFV28" s="1688"/>
      <c r="SFW28" s="1688"/>
      <c r="SFX28" s="1688"/>
      <c r="SFY28" s="1688"/>
      <c r="SFZ28" s="1688"/>
      <c r="SGA28" s="1688"/>
      <c r="SGB28" s="1688"/>
      <c r="SGC28" s="1688"/>
      <c r="SGD28" s="1688"/>
      <c r="SGE28" s="1688"/>
      <c r="SGF28" s="1688"/>
      <c r="SGG28" s="1688"/>
      <c r="SGH28" s="1688"/>
      <c r="SGI28" s="1688"/>
      <c r="SGJ28" s="1688"/>
      <c r="SGK28" s="1688"/>
      <c r="SGL28" s="1688"/>
      <c r="SGM28" s="1688"/>
      <c r="SGN28" s="1688"/>
      <c r="SGO28" s="1688"/>
      <c r="SGP28" s="1688"/>
      <c r="SGQ28" s="1688"/>
      <c r="SGR28" s="1688"/>
      <c r="SGS28" s="1688"/>
      <c r="SGT28" s="1688"/>
      <c r="SGU28" s="1688"/>
      <c r="SGV28" s="1688"/>
      <c r="SGW28" s="1688"/>
      <c r="SGX28" s="1688"/>
      <c r="SGY28" s="1688"/>
      <c r="SGZ28" s="1688"/>
      <c r="SHA28" s="1688"/>
      <c r="SHB28" s="1688"/>
      <c r="SHC28" s="1688"/>
      <c r="SHD28" s="1688"/>
      <c r="SHE28" s="1688"/>
      <c r="SHF28" s="1688"/>
      <c r="SHG28" s="1688"/>
      <c r="SHH28" s="1688"/>
      <c r="SHI28" s="1688"/>
      <c r="SHJ28" s="1688"/>
      <c r="SHK28" s="1688"/>
      <c r="SHL28" s="1688"/>
      <c r="SHM28" s="1688"/>
      <c r="SHN28" s="1688"/>
      <c r="SHO28" s="1688"/>
      <c r="SHP28" s="1688"/>
      <c r="SHQ28" s="1688"/>
      <c r="SHR28" s="1688"/>
      <c r="SHS28" s="1688"/>
      <c r="SHT28" s="1688"/>
      <c r="SHU28" s="1688"/>
      <c r="SHV28" s="1688"/>
      <c r="SHW28" s="1688"/>
      <c r="SHX28" s="1688"/>
      <c r="SHY28" s="1688"/>
      <c r="SHZ28" s="1688"/>
      <c r="SIA28" s="1688"/>
      <c r="SIB28" s="1688"/>
      <c r="SIC28" s="1688"/>
      <c r="SID28" s="1688"/>
      <c r="SIE28" s="1688"/>
      <c r="SIF28" s="1688"/>
      <c r="SIG28" s="1688"/>
      <c r="SIH28" s="1688"/>
      <c r="SII28" s="1688"/>
      <c r="SIJ28" s="1688"/>
      <c r="SIK28" s="1688"/>
      <c r="SIL28" s="1688"/>
      <c r="SIM28" s="1688"/>
      <c r="SIN28" s="1688"/>
      <c r="SIO28" s="1688"/>
      <c r="SIP28" s="1688"/>
      <c r="SIQ28" s="1688"/>
      <c r="SIR28" s="1688"/>
      <c r="SIS28" s="1688"/>
      <c r="SIT28" s="1688"/>
      <c r="SIU28" s="1688"/>
      <c r="SIV28" s="1688"/>
      <c r="SIW28" s="1688"/>
      <c r="SIX28" s="1688"/>
      <c r="SIY28" s="1688"/>
      <c r="SIZ28" s="1688"/>
      <c r="SJA28" s="1688"/>
      <c r="SJB28" s="1688"/>
      <c r="SJC28" s="1688"/>
      <c r="SJD28" s="1688"/>
      <c r="SJE28" s="1688"/>
      <c r="SJF28" s="1688"/>
      <c r="SJG28" s="1688"/>
      <c r="SJH28" s="1688"/>
      <c r="SJI28" s="1688"/>
      <c r="SJJ28" s="1688"/>
      <c r="SJK28" s="1688"/>
      <c r="SJL28" s="1688"/>
      <c r="SJM28" s="1688"/>
      <c r="SJN28" s="1688"/>
      <c r="SJO28" s="1688"/>
      <c r="SJP28" s="1688"/>
      <c r="SJQ28" s="1688"/>
      <c r="SJR28" s="1688"/>
      <c r="SJS28" s="1688"/>
      <c r="SJT28" s="1688"/>
      <c r="SJU28" s="1688"/>
      <c r="SJV28" s="1688"/>
      <c r="SJW28" s="1688"/>
      <c r="SJX28" s="1688"/>
      <c r="SJY28" s="1688"/>
      <c r="SJZ28" s="1688"/>
      <c r="SKA28" s="1688"/>
      <c r="SKB28" s="1688"/>
      <c r="SKC28" s="1688"/>
      <c r="SKD28" s="1688"/>
      <c r="SKE28" s="1688"/>
      <c r="SKF28" s="1688"/>
      <c r="SKG28" s="1688"/>
      <c r="SKH28" s="1688"/>
      <c r="SKI28" s="1688"/>
      <c r="SKJ28" s="1688"/>
      <c r="SKK28" s="1688"/>
      <c r="SKL28" s="1688"/>
      <c r="SKM28" s="1688"/>
      <c r="SKN28" s="1688"/>
      <c r="SKO28" s="1688"/>
      <c r="SKP28" s="1688"/>
      <c r="SKQ28" s="1688"/>
      <c r="SKR28" s="1688"/>
      <c r="SKS28" s="1688"/>
      <c r="SKT28" s="1688"/>
      <c r="SKU28" s="1688"/>
      <c r="SKV28" s="1688"/>
      <c r="SKW28" s="1688"/>
      <c r="SKX28" s="1688"/>
      <c r="SKY28" s="1688"/>
      <c r="SKZ28" s="1688"/>
      <c r="SLA28" s="1688"/>
      <c r="SLB28" s="1688"/>
      <c r="SLC28" s="1688"/>
      <c r="SLD28" s="1688"/>
      <c r="SLE28" s="1688"/>
      <c r="SLF28" s="1688"/>
      <c r="SLG28" s="1688"/>
      <c r="SLH28" s="1688"/>
      <c r="SLI28" s="1688"/>
      <c r="SLJ28" s="1688"/>
      <c r="SLK28" s="1688"/>
      <c r="SLL28" s="1688"/>
      <c r="SLM28" s="1688"/>
      <c r="SLN28" s="1688"/>
      <c r="SLO28" s="1688"/>
      <c r="SLP28" s="1688"/>
      <c r="SLQ28" s="1688"/>
      <c r="SLR28" s="1688"/>
      <c r="SLS28" s="1688"/>
      <c r="SLT28" s="1688"/>
      <c r="SLU28" s="1688"/>
      <c r="SLV28" s="1688"/>
      <c r="SLW28" s="1688"/>
      <c r="SLX28" s="1688"/>
      <c r="SLY28" s="1688"/>
      <c r="SLZ28" s="1688"/>
      <c r="SMA28" s="1688"/>
      <c r="SMB28" s="1688"/>
      <c r="SMC28" s="1688"/>
      <c r="SMD28" s="1688"/>
      <c r="SME28" s="1688"/>
      <c r="SMF28" s="1688"/>
      <c r="SMG28" s="1688"/>
      <c r="SMH28" s="1688"/>
      <c r="SMI28" s="1688"/>
      <c r="SMJ28" s="1688"/>
      <c r="SMK28" s="1688"/>
      <c r="SML28" s="1688"/>
      <c r="SMM28" s="1688"/>
      <c r="SMN28" s="1688"/>
      <c r="SMO28" s="1688"/>
      <c r="SMP28" s="1688"/>
      <c r="SMQ28" s="1688"/>
      <c r="SMR28" s="1688"/>
      <c r="SMS28" s="1688"/>
      <c r="SMT28" s="1688"/>
      <c r="SMU28" s="1688"/>
      <c r="SMV28" s="1688"/>
      <c r="SMW28" s="1688"/>
      <c r="SMX28" s="1688"/>
      <c r="SMY28" s="1688"/>
      <c r="SMZ28" s="1688"/>
      <c r="SNA28" s="1688"/>
      <c r="SNB28" s="1688"/>
      <c r="SNC28" s="1688"/>
      <c r="SND28" s="1688"/>
      <c r="SNE28" s="1688"/>
      <c r="SNF28" s="1688"/>
      <c r="SNG28" s="1688"/>
      <c r="SNH28" s="1688"/>
      <c r="SNI28" s="1688"/>
      <c r="SNJ28" s="1688"/>
      <c r="SNK28" s="1688"/>
      <c r="SNL28" s="1688"/>
      <c r="SNM28" s="1688"/>
      <c r="SNN28" s="1688"/>
      <c r="SNO28" s="1688"/>
      <c r="SNP28" s="1688"/>
      <c r="SNQ28" s="1688"/>
      <c r="SNR28" s="1688"/>
      <c r="SNS28" s="1688"/>
      <c r="SNT28" s="1688"/>
      <c r="SNU28" s="1688"/>
      <c r="SNV28" s="1688"/>
      <c r="SNW28" s="1688"/>
      <c r="SNX28" s="1688"/>
      <c r="SNY28" s="1688"/>
      <c r="SNZ28" s="1688"/>
      <c r="SOA28" s="1688"/>
      <c r="SOB28" s="1688"/>
      <c r="SOC28" s="1688"/>
      <c r="SOD28" s="1688"/>
      <c r="SOE28" s="1688"/>
      <c r="SOF28" s="1688"/>
      <c r="SOG28" s="1688"/>
      <c r="SOH28" s="1688"/>
      <c r="SOI28" s="1688"/>
      <c r="SOJ28" s="1688"/>
      <c r="SOK28" s="1688"/>
      <c r="SOL28" s="1688"/>
      <c r="SOM28" s="1688"/>
      <c r="SON28" s="1688"/>
      <c r="SOO28" s="1688"/>
      <c r="SOP28" s="1688"/>
      <c r="SOQ28" s="1688"/>
      <c r="SOR28" s="1688"/>
      <c r="SOS28" s="1688"/>
      <c r="SOT28" s="1688"/>
      <c r="SOU28" s="1688"/>
      <c r="SOV28" s="1688"/>
      <c r="SOW28" s="1688"/>
      <c r="SOX28" s="1688"/>
      <c r="SOY28" s="1688"/>
      <c r="SOZ28" s="1688"/>
      <c r="SPA28" s="1688"/>
      <c r="SPB28" s="1688"/>
      <c r="SPC28" s="1688"/>
      <c r="SPD28" s="1688"/>
      <c r="SPE28" s="1688"/>
      <c r="SPF28" s="1688"/>
      <c r="SPG28" s="1688"/>
      <c r="SPH28" s="1688"/>
      <c r="SPI28" s="1688"/>
      <c r="SPJ28" s="1688"/>
      <c r="SPK28" s="1688"/>
      <c r="SPL28" s="1688"/>
      <c r="SPM28" s="1688"/>
      <c r="SPN28" s="1688"/>
      <c r="SPO28" s="1688"/>
      <c r="SPP28" s="1688"/>
      <c r="SPQ28" s="1688"/>
      <c r="SPR28" s="1688"/>
      <c r="SPS28" s="1688"/>
      <c r="SPT28" s="1688"/>
      <c r="SPU28" s="1688"/>
      <c r="SPV28" s="1688"/>
      <c r="SPW28" s="1688"/>
      <c r="SPX28" s="1688"/>
      <c r="SPY28" s="1688"/>
      <c r="SPZ28" s="1688"/>
      <c r="SQA28" s="1688"/>
      <c r="SQB28" s="1688"/>
      <c r="SQC28" s="1688"/>
      <c r="SQD28" s="1688"/>
      <c r="SQE28" s="1688"/>
      <c r="SQF28" s="1688"/>
      <c r="SQG28" s="1688"/>
      <c r="SQH28" s="1688"/>
      <c r="SQI28" s="1688"/>
      <c r="SQJ28" s="1688"/>
      <c r="SQK28" s="1688"/>
      <c r="SQL28" s="1688"/>
      <c r="SQM28" s="1688"/>
      <c r="SQN28" s="1688"/>
      <c r="SQO28" s="1688"/>
      <c r="SQP28" s="1688"/>
      <c r="SQQ28" s="1688"/>
      <c r="SQR28" s="1688"/>
      <c r="SQS28" s="1688"/>
      <c r="SQT28" s="1688"/>
      <c r="SQU28" s="1688"/>
      <c r="SQV28" s="1688"/>
      <c r="SQW28" s="1688"/>
      <c r="SQX28" s="1688"/>
      <c r="SQY28" s="1688"/>
      <c r="SQZ28" s="1688"/>
      <c r="SRA28" s="1688"/>
      <c r="SRB28" s="1688"/>
      <c r="SRC28" s="1688"/>
      <c r="SRD28" s="1688"/>
      <c r="SRE28" s="1688"/>
      <c r="SRF28" s="1688"/>
      <c r="SRG28" s="1688"/>
      <c r="SRH28" s="1688"/>
      <c r="SRI28" s="1688"/>
      <c r="SRJ28" s="1688"/>
      <c r="SRK28" s="1688"/>
      <c r="SRL28" s="1688"/>
      <c r="SRM28" s="1688"/>
      <c r="SRN28" s="1688"/>
      <c r="SRO28" s="1688"/>
      <c r="SRP28" s="1688"/>
      <c r="SRQ28" s="1688"/>
      <c r="SRR28" s="1688"/>
      <c r="SRS28" s="1688"/>
      <c r="SRT28" s="1688"/>
      <c r="SRU28" s="1688"/>
      <c r="SRV28" s="1688"/>
      <c r="SRW28" s="1688"/>
      <c r="SRX28" s="1688"/>
      <c r="SRY28" s="1688"/>
      <c r="SRZ28" s="1688"/>
      <c r="SSA28" s="1688"/>
      <c r="SSB28" s="1688"/>
      <c r="SSC28" s="1688"/>
      <c r="SSD28" s="1688"/>
      <c r="SSE28" s="1688"/>
      <c r="SSF28" s="1688"/>
      <c r="SSG28" s="1688"/>
      <c r="SSH28" s="1688"/>
      <c r="SSI28" s="1688"/>
      <c r="SSJ28" s="1688"/>
      <c r="SSK28" s="1688"/>
      <c r="SSL28" s="1688"/>
      <c r="SSM28" s="1688"/>
      <c r="SSN28" s="1688"/>
      <c r="SSO28" s="1688"/>
      <c r="SSP28" s="1688"/>
      <c r="SSQ28" s="1688"/>
      <c r="SSR28" s="1688"/>
      <c r="SSS28" s="1688"/>
      <c r="SST28" s="1688"/>
      <c r="SSU28" s="1688"/>
      <c r="SSV28" s="1688"/>
      <c r="SSW28" s="1688"/>
      <c r="SSX28" s="1688"/>
      <c r="SSY28" s="1688"/>
      <c r="SSZ28" s="1688"/>
      <c r="STA28" s="1688"/>
      <c r="STB28" s="1688"/>
      <c r="STC28" s="1688"/>
      <c r="STD28" s="1688"/>
      <c r="STE28" s="1688"/>
      <c r="STF28" s="1688"/>
      <c r="STG28" s="1688"/>
      <c r="STH28" s="1688"/>
      <c r="STI28" s="1688"/>
      <c r="STJ28" s="1688"/>
      <c r="STK28" s="1688"/>
      <c r="STL28" s="1688"/>
      <c r="STM28" s="1688"/>
      <c r="STN28" s="1688"/>
      <c r="STO28" s="1688"/>
      <c r="STP28" s="1688"/>
      <c r="STQ28" s="1688"/>
      <c r="STR28" s="1688"/>
      <c r="STS28" s="1688"/>
      <c r="STT28" s="1688"/>
      <c r="STU28" s="1688"/>
      <c r="STV28" s="1688"/>
      <c r="STW28" s="1688"/>
      <c r="STX28" s="1688"/>
      <c r="STY28" s="1688"/>
      <c r="STZ28" s="1688"/>
      <c r="SUA28" s="1688"/>
      <c r="SUB28" s="1688"/>
      <c r="SUC28" s="1688"/>
      <c r="SUD28" s="1688"/>
      <c r="SUE28" s="1688"/>
      <c r="SUF28" s="1688"/>
      <c r="SUG28" s="1688"/>
      <c r="SUH28" s="1688"/>
      <c r="SUI28" s="1688"/>
      <c r="SUJ28" s="1688"/>
      <c r="SUK28" s="1688"/>
      <c r="SUL28" s="1688"/>
      <c r="SUM28" s="1688"/>
      <c r="SUN28" s="1688"/>
      <c r="SUO28" s="1688"/>
      <c r="SUP28" s="1688"/>
      <c r="SUQ28" s="1688"/>
      <c r="SUR28" s="1688"/>
      <c r="SUS28" s="1688"/>
      <c r="SUT28" s="1688"/>
      <c r="SUU28" s="1688"/>
      <c r="SUV28" s="1688"/>
      <c r="SUW28" s="1688"/>
      <c r="SUX28" s="1688"/>
      <c r="SUY28" s="1688"/>
      <c r="SUZ28" s="1688"/>
      <c r="SVA28" s="1688"/>
      <c r="SVB28" s="1688"/>
      <c r="SVC28" s="1688"/>
      <c r="SVD28" s="1688"/>
      <c r="SVE28" s="1688"/>
      <c r="SVF28" s="1688"/>
      <c r="SVG28" s="1688"/>
      <c r="SVH28" s="1688"/>
      <c r="SVI28" s="1688"/>
      <c r="SVJ28" s="1688"/>
      <c r="SVK28" s="1688"/>
      <c r="SVL28" s="1688"/>
      <c r="SVM28" s="1688"/>
      <c r="SVN28" s="1688"/>
      <c r="SVO28" s="1688"/>
      <c r="SVP28" s="1688"/>
      <c r="SVQ28" s="1688"/>
      <c r="SVR28" s="1688"/>
      <c r="SVS28" s="1688"/>
      <c r="SVT28" s="1688"/>
      <c r="SVU28" s="1688"/>
      <c r="SVV28" s="1688"/>
      <c r="SVW28" s="1688"/>
      <c r="SVX28" s="1688"/>
      <c r="SVY28" s="1688"/>
      <c r="SVZ28" s="1688"/>
      <c r="SWA28" s="1688"/>
      <c r="SWB28" s="1688"/>
      <c r="SWC28" s="1688"/>
      <c r="SWD28" s="1688"/>
      <c r="SWE28" s="1688"/>
      <c r="SWF28" s="1688"/>
      <c r="SWG28" s="1688"/>
      <c r="SWH28" s="1688"/>
      <c r="SWI28" s="1688"/>
      <c r="SWJ28" s="1688"/>
      <c r="SWK28" s="1688"/>
      <c r="SWL28" s="1688"/>
      <c r="SWM28" s="1688"/>
      <c r="SWN28" s="1688"/>
      <c r="SWO28" s="1688"/>
      <c r="SWP28" s="1688"/>
      <c r="SWQ28" s="1688"/>
      <c r="SWR28" s="1688"/>
      <c r="SWS28" s="1688"/>
      <c r="SWT28" s="1688"/>
      <c r="SWU28" s="1688"/>
      <c r="SWV28" s="1688"/>
      <c r="SWW28" s="1688"/>
      <c r="SWX28" s="1688"/>
      <c r="SWY28" s="1688"/>
      <c r="SWZ28" s="1688"/>
      <c r="SXA28" s="1688"/>
      <c r="SXB28" s="1688"/>
      <c r="SXC28" s="1688"/>
      <c r="SXD28" s="1688"/>
      <c r="SXE28" s="1688"/>
      <c r="SXF28" s="1688"/>
      <c r="SXG28" s="1688"/>
      <c r="SXH28" s="1688"/>
      <c r="SXI28" s="1688"/>
      <c r="SXJ28" s="1688"/>
      <c r="SXK28" s="1688"/>
      <c r="SXL28" s="1688"/>
      <c r="SXM28" s="1688"/>
      <c r="SXN28" s="1688"/>
      <c r="SXO28" s="1688"/>
      <c r="SXP28" s="1688"/>
      <c r="SXQ28" s="1688"/>
      <c r="SXR28" s="1688"/>
      <c r="SXS28" s="1688"/>
      <c r="SXT28" s="1688"/>
      <c r="SXU28" s="1688"/>
      <c r="SXV28" s="1688"/>
      <c r="SXW28" s="1688"/>
      <c r="SXX28" s="1688"/>
      <c r="SXY28" s="1688"/>
      <c r="SXZ28" s="1688"/>
      <c r="SYA28" s="1688"/>
      <c r="SYB28" s="1688"/>
      <c r="SYC28" s="1688"/>
      <c r="SYD28" s="1688"/>
      <c r="SYE28" s="1688"/>
      <c r="SYF28" s="1688"/>
      <c r="SYG28" s="1688"/>
      <c r="SYH28" s="1688"/>
      <c r="SYI28" s="1688"/>
      <c r="SYJ28" s="1688"/>
      <c r="SYK28" s="1688"/>
      <c r="SYL28" s="1688"/>
      <c r="SYM28" s="1688"/>
      <c r="SYN28" s="1688"/>
      <c r="SYO28" s="1688"/>
      <c r="SYP28" s="1688"/>
      <c r="SYQ28" s="1688"/>
      <c r="SYR28" s="1688"/>
      <c r="SYS28" s="1688"/>
      <c r="SYT28" s="1688"/>
      <c r="SYU28" s="1688"/>
      <c r="SYV28" s="1688"/>
      <c r="SYW28" s="1688"/>
      <c r="SYX28" s="1688"/>
      <c r="SYY28" s="1688"/>
      <c r="SYZ28" s="1688"/>
      <c r="SZA28" s="1688"/>
      <c r="SZB28" s="1688"/>
      <c r="SZC28" s="1688"/>
      <c r="SZD28" s="1688"/>
      <c r="SZE28" s="1688"/>
      <c r="SZF28" s="1688"/>
      <c r="SZG28" s="1688"/>
      <c r="SZH28" s="1688"/>
      <c r="SZI28" s="1688"/>
      <c r="SZJ28" s="1688"/>
      <c r="SZK28" s="1688"/>
      <c r="SZL28" s="1688"/>
      <c r="SZM28" s="1688"/>
      <c r="SZN28" s="1688"/>
      <c r="SZO28" s="1688"/>
      <c r="SZP28" s="1688"/>
      <c r="SZQ28" s="1688"/>
      <c r="SZR28" s="1688"/>
      <c r="SZS28" s="1688"/>
      <c r="SZT28" s="1688"/>
      <c r="SZU28" s="1688"/>
      <c r="SZV28" s="1688"/>
      <c r="SZW28" s="1688"/>
      <c r="SZX28" s="1688"/>
      <c r="SZY28" s="1688"/>
      <c r="SZZ28" s="1688"/>
      <c r="TAA28" s="1688"/>
      <c r="TAB28" s="1688"/>
      <c r="TAC28" s="1688"/>
      <c r="TAD28" s="1688"/>
      <c r="TAE28" s="1688"/>
      <c r="TAF28" s="1688"/>
      <c r="TAG28" s="1688"/>
      <c r="TAH28" s="1688"/>
      <c r="TAI28" s="1688"/>
      <c r="TAJ28" s="1688"/>
      <c r="TAK28" s="1688"/>
      <c r="TAL28" s="1688"/>
      <c r="TAM28" s="1688"/>
      <c r="TAN28" s="1688"/>
      <c r="TAO28" s="1688"/>
      <c r="TAP28" s="1688"/>
      <c r="TAQ28" s="1688"/>
      <c r="TAR28" s="1688"/>
      <c r="TAS28" s="1688"/>
      <c r="TAT28" s="1688"/>
      <c r="TAU28" s="1688"/>
      <c r="TAV28" s="1688"/>
      <c r="TAW28" s="1688"/>
      <c r="TAX28" s="1688"/>
      <c r="TAY28" s="1688"/>
      <c r="TAZ28" s="1688"/>
      <c r="TBA28" s="1688"/>
      <c r="TBB28" s="1688"/>
      <c r="TBC28" s="1688"/>
      <c r="TBD28" s="1688"/>
      <c r="TBE28" s="1688"/>
      <c r="TBF28" s="1688"/>
      <c r="TBG28" s="1688"/>
      <c r="TBH28" s="1688"/>
      <c r="TBI28" s="1688"/>
      <c r="TBJ28" s="1688"/>
      <c r="TBK28" s="1688"/>
      <c r="TBL28" s="1688"/>
      <c r="TBM28" s="1688"/>
      <c r="TBN28" s="1688"/>
      <c r="TBO28" s="1688"/>
      <c r="TBP28" s="1688"/>
      <c r="TBQ28" s="1688"/>
      <c r="TBR28" s="1688"/>
      <c r="TBS28" s="1688"/>
      <c r="TBT28" s="1688"/>
      <c r="TBU28" s="1688"/>
      <c r="TBV28" s="1688"/>
      <c r="TBW28" s="1688"/>
      <c r="TBX28" s="1688"/>
      <c r="TBY28" s="1688"/>
      <c r="TBZ28" s="1688"/>
      <c r="TCA28" s="1688"/>
      <c r="TCB28" s="1688"/>
      <c r="TCC28" s="1688"/>
      <c r="TCD28" s="1688"/>
      <c r="TCE28" s="1688"/>
      <c r="TCF28" s="1688"/>
      <c r="TCG28" s="1688"/>
      <c r="TCH28" s="1688"/>
      <c r="TCI28" s="1688"/>
      <c r="TCJ28" s="1688"/>
      <c r="TCK28" s="1688"/>
      <c r="TCL28" s="1688"/>
      <c r="TCM28" s="1688"/>
      <c r="TCN28" s="1688"/>
      <c r="TCO28" s="1688"/>
      <c r="TCP28" s="1688"/>
      <c r="TCQ28" s="1688"/>
      <c r="TCR28" s="1688"/>
      <c r="TCS28" s="1688"/>
      <c r="TCT28" s="1688"/>
      <c r="TCU28" s="1688"/>
      <c r="TCV28" s="1688"/>
      <c r="TCW28" s="1688"/>
      <c r="TCX28" s="1688"/>
      <c r="TCY28" s="1688"/>
      <c r="TCZ28" s="1688"/>
      <c r="TDA28" s="1688"/>
      <c r="TDB28" s="1688"/>
      <c r="TDC28" s="1688"/>
      <c r="TDD28" s="1688"/>
      <c r="TDE28" s="1688"/>
      <c r="TDF28" s="1688"/>
      <c r="TDG28" s="1688"/>
      <c r="TDH28" s="1688"/>
      <c r="TDI28" s="1688"/>
      <c r="TDJ28" s="1688"/>
      <c r="TDK28" s="1688"/>
      <c r="TDL28" s="1688"/>
      <c r="TDM28" s="1688"/>
      <c r="TDN28" s="1688"/>
      <c r="TDO28" s="1688"/>
      <c r="TDP28" s="1688"/>
      <c r="TDQ28" s="1688"/>
      <c r="TDR28" s="1688"/>
      <c r="TDS28" s="1688"/>
      <c r="TDT28" s="1688"/>
      <c r="TDU28" s="1688"/>
      <c r="TDV28" s="1688"/>
      <c r="TDW28" s="1688"/>
      <c r="TDX28" s="1688"/>
      <c r="TDY28" s="1688"/>
      <c r="TDZ28" s="1688"/>
      <c r="TEA28" s="1688"/>
      <c r="TEB28" s="1688"/>
      <c r="TEC28" s="1688"/>
      <c r="TED28" s="1688"/>
      <c r="TEE28" s="1688"/>
      <c r="TEF28" s="1688"/>
      <c r="TEG28" s="1688"/>
      <c r="TEH28" s="1688"/>
      <c r="TEI28" s="1688"/>
      <c r="TEJ28" s="1688"/>
      <c r="TEK28" s="1688"/>
      <c r="TEL28" s="1688"/>
      <c r="TEM28" s="1688"/>
      <c r="TEN28" s="1688"/>
      <c r="TEO28" s="1688"/>
      <c r="TEP28" s="1688"/>
      <c r="TEQ28" s="1688"/>
      <c r="TER28" s="1688"/>
      <c r="TES28" s="1688"/>
      <c r="TET28" s="1688"/>
      <c r="TEU28" s="1688"/>
      <c r="TEV28" s="1688"/>
      <c r="TEW28" s="1688"/>
      <c r="TEX28" s="1688"/>
      <c r="TEY28" s="1688"/>
      <c r="TEZ28" s="1688"/>
      <c r="TFA28" s="1688"/>
      <c r="TFB28" s="1688"/>
      <c r="TFC28" s="1688"/>
      <c r="TFD28" s="1688"/>
      <c r="TFE28" s="1688"/>
      <c r="TFF28" s="1688"/>
      <c r="TFG28" s="1688"/>
      <c r="TFH28" s="1688"/>
      <c r="TFI28" s="1688"/>
      <c r="TFJ28" s="1688"/>
      <c r="TFK28" s="1688"/>
      <c r="TFL28" s="1688"/>
      <c r="TFM28" s="1688"/>
      <c r="TFN28" s="1688"/>
      <c r="TFO28" s="1688"/>
      <c r="TFP28" s="1688"/>
      <c r="TFQ28" s="1688"/>
      <c r="TFR28" s="1688"/>
      <c r="TFS28" s="1688"/>
      <c r="TFT28" s="1688"/>
      <c r="TFU28" s="1688"/>
      <c r="TFV28" s="1688"/>
      <c r="TFW28" s="1688"/>
      <c r="TFX28" s="1688"/>
      <c r="TFY28" s="1688"/>
      <c r="TFZ28" s="1688"/>
      <c r="TGA28" s="1688"/>
      <c r="TGB28" s="1688"/>
      <c r="TGC28" s="1688"/>
      <c r="TGD28" s="1688"/>
      <c r="TGE28" s="1688"/>
      <c r="TGF28" s="1688"/>
      <c r="TGG28" s="1688"/>
      <c r="TGH28" s="1688"/>
      <c r="TGI28" s="1688"/>
      <c r="TGJ28" s="1688"/>
      <c r="TGK28" s="1688"/>
      <c r="TGL28" s="1688"/>
      <c r="TGM28" s="1688"/>
      <c r="TGN28" s="1688"/>
      <c r="TGO28" s="1688"/>
      <c r="TGP28" s="1688"/>
      <c r="TGQ28" s="1688"/>
      <c r="TGR28" s="1688"/>
      <c r="TGS28" s="1688"/>
      <c r="TGT28" s="1688"/>
      <c r="TGU28" s="1688"/>
      <c r="TGV28" s="1688"/>
      <c r="TGW28" s="1688"/>
      <c r="TGX28" s="1688"/>
      <c r="TGY28" s="1688"/>
      <c r="TGZ28" s="1688"/>
      <c r="THA28" s="1688"/>
      <c r="THB28" s="1688"/>
      <c r="THC28" s="1688"/>
      <c r="THD28" s="1688"/>
      <c r="THE28" s="1688"/>
      <c r="THF28" s="1688"/>
      <c r="THG28" s="1688"/>
      <c r="THH28" s="1688"/>
      <c r="THI28" s="1688"/>
      <c r="THJ28" s="1688"/>
      <c r="THK28" s="1688"/>
      <c r="THL28" s="1688"/>
      <c r="THM28" s="1688"/>
      <c r="THN28" s="1688"/>
      <c r="THO28" s="1688"/>
      <c r="THP28" s="1688"/>
      <c r="THQ28" s="1688"/>
      <c r="THR28" s="1688"/>
      <c r="THS28" s="1688"/>
      <c r="THT28" s="1688"/>
      <c r="THU28" s="1688"/>
      <c r="THV28" s="1688"/>
      <c r="THW28" s="1688"/>
      <c r="THX28" s="1688"/>
      <c r="THY28" s="1688"/>
      <c r="THZ28" s="1688"/>
      <c r="TIA28" s="1688"/>
      <c r="TIB28" s="1688"/>
      <c r="TIC28" s="1688"/>
      <c r="TID28" s="1688"/>
      <c r="TIE28" s="1688"/>
      <c r="TIF28" s="1688"/>
      <c r="TIG28" s="1688"/>
      <c r="TIH28" s="1688"/>
      <c r="TII28" s="1688"/>
      <c r="TIJ28" s="1688"/>
      <c r="TIK28" s="1688"/>
      <c r="TIL28" s="1688"/>
      <c r="TIM28" s="1688"/>
      <c r="TIN28" s="1688"/>
      <c r="TIO28" s="1688"/>
      <c r="TIP28" s="1688"/>
      <c r="TIQ28" s="1688"/>
      <c r="TIR28" s="1688"/>
      <c r="TIS28" s="1688"/>
      <c r="TIT28" s="1688"/>
      <c r="TIU28" s="1688"/>
      <c r="TIV28" s="1688"/>
      <c r="TIW28" s="1688"/>
      <c r="TIX28" s="1688"/>
      <c r="TIY28" s="1688"/>
      <c r="TIZ28" s="1688"/>
      <c r="TJA28" s="1688"/>
      <c r="TJB28" s="1688"/>
      <c r="TJC28" s="1688"/>
      <c r="TJD28" s="1688"/>
      <c r="TJE28" s="1688"/>
      <c r="TJF28" s="1688"/>
      <c r="TJG28" s="1688"/>
      <c r="TJH28" s="1688"/>
      <c r="TJI28" s="1688"/>
      <c r="TJJ28" s="1688"/>
      <c r="TJK28" s="1688"/>
      <c r="TJL28" s="1688"/>
      <c r="TJM28" s="1688"/>
      <c r="TJN28" s="1688"/>
      <c r="TJO28" s="1688"/>
      <c r="TJP28" s="1688"/>
      <c r="TJQ28" s="1688"/>
      <c r="TJR28" s="1688"/>
      <c r="TJS28" s="1688"/>
      <c r="TJT28" s="1688"/>
      <c r="TJU28" s="1688"/>
      <c r="TJV28" s="1688"/>
      <c r="TJW28" s="1688"/>
      <c r="TJX28" s="1688"/>
      <c r="TJY28" s="1688"/>
      <c r="TJZ28" s="1688"/>
      <c r="TKA28" s="1688"/>
      <c r="TKB28" s="1688"/>
      <c r="TKC28" s="1688"/>
      <c r="TKD28" s="1688"/>
      <c r="TKE28" s="1688"/>
      <c r="TKF28" s="1688"/>
      <c r="TKG28" s="1688"/>
      <c r="TKH28" s="1688"/>
      <c r="TKI28" s="1688"/>
      <c r="TKJ28" s="1688"/>
      <c r="TKK28" s="1688"/>
      <c r="TKL28" s="1688"/>
      <c r="TKM28" s="1688"/>
      <c r="TKN28" s="1688"/>
      <c r="TKO28" s="1688"/>
      <c r="TKP28" s="1688"/>
      <c r="TKQ28" s="1688"/>
      <c r="TKR28" s="1688"/>
      <c r="TKS28" s="1688"/>
      <c r="TKT28" s="1688"/>
      <c r="TKU28" s="1688"/>
      <c r="TKV28" s="1688"/>
      <c r="TKW28" s="1688"/>
      <c r="TKX28" s="1688"/>
      <c r="TKY28" s="1688"/>
      <c r="TKZ28" s="1688"/>
      <c r="TLA28" s="1688"/>
      <c r="TLB28" s="1688"/>
      <c r="TLC28" s="1688"/>
      <c r="TLD28" s="1688"/>
      <c r="TLE28" s="1688"/>
      <c r="TLF28" s="1688"/>
      <c r="TLG28" s="1688"/>
      <c r="TLH28" s="1688"/>
      <c r="TLI28" s="1688"/>
      <c r="TLJ28" s="1688"/>
      <c r="TLK28" s="1688"/>
      <c r="TLL28" s="1688"/>
      <c r="TLM28" s="1688"/>
      <c r="TLN28" s="1688"/>
      <c r="TLO28" s="1688"/>
      <c r="TLP28" s="1688"/>
      <c r="TLQ28" s="1688"/>
      <c r="TLR28" s="1688"/>
      <c r="TLS28" s="1688"/>
      <c r="TLT28" s="1688"/>
      <c r="TLU28" s="1688"/>
      <c r="TLV28" s="1688"/>
      <c r="TLW28" s="1688"/>
      <c r="TLX28" s="1688"/>
      <c r="TLY28" s="1688"/>
      <c r="TLZ28" s="1688"/>
      <c r="TMA28" s="1688"/>
      <c r="TMB28" s="1688"/>
      <c r="TMC28" s="1688"/>
      <c r="TMD28" s="1688"/>
      <c r="TME28" s="1688"/>
      <c r="TMF28" s="1688"/>
      <c r="TMG28" s="1688"/>
      <c r="TMH28" s="1688"/>
      <c r="TMI28" s="1688"/>
      <c r="TMJ28" s="1688"/>
      <c r="TMK28" s="1688"/>
      <c r="TML28" s="1688"/>
      <c r="TMM28" s="1688"/>
      <c r="TMN28" s="1688"/>
      <c r="TMO28" s="1688"/>
      <c r="TMP28" s="1688"/>
      <c r="TMQ28" s="1688"/>
      <c r="TMR28" s="1688"/>
      <c r="TMS28" s="1688"/>
      <c r="TMT28" s="1688"/>
      <c r="TMU28" s="1688"/>
      <c r="TMV28" s="1688"/>
      <c r="TMW28" s="1688"/>
      <c r="TMX28" s="1688"/>
      <c r="TMY28" s="1688"/>
      <c r="TMZ28" s="1688"/>
      <c r="TNA28" s="1688"/>
      <c r="TNB28" s="1688"/>
      <c r="TNC28" s="1688"/>
      <c r="TND28" s="1688"/>
      <c r="TNE28" s="1688"/>
      <c r="TNF28" s="1688"/>
      <c r="TNG28" s="1688"/>
      <c r="TNH28" s="1688"/>
      <c r="TNI28" s="1688"/>
      <c r="TNJ28" s="1688"/>
      <c r="TNK28" s="1688"/>
      <c r="TNL28" s="1688"/>
      <c r="TNM28" s="1688"/>
      <c r="TNN28" s="1688"/>
      <c r="TNO28" s="1688"/>
      <c r="TNP28" s="1688"/>
      <c r="TNQ28" s="1688"/>
      <c r="TNR28" s="1688"/>
      <c r="TNS28" s="1688"/>
      <c r="TNT28" s="1688"/>
      <c r="TNU28" s="1688"/>
      <c r="TNV28" s="1688"/>
      <c r="TNW28" s="1688"/>
      <c r="TNX28" s="1688"/>
      <c r="TNY28" s="1688"/>
      <c r="TNZ28" s="1688"/>
      <c r="TOA28" s="1688"/>
      <c r="TOB28" s="1688"/>
      <c r="TOC28" s="1688"/>
      <c r="TOD28" s="1688"/>
      <c r="TOE28" s="1688"/>
      <c r="TOF28" s="1688"/>
      <c r="TOG28" s="1688"/>
      <c r="TOH28" s="1688"/>
      <c r="TOI28" s="1688"/>
      <c r="TOJ28" s="1688"/>
      <c r="TOK28" s="1688"/>
      <c r="TOL28" s="1688"/>
      <c r="TOM28" s="1688"/>
      <c r="TON28" s="1688"/>
      <c r="TOO28" s="1688"/>
      <c r="TOP28" s="1688"/>
      <c r="TOQ28" s="1688"/>
      <c r="TOR28" s="1688"/>
      <c r="TOS28" s="1688"/>
      <c r="TOT28" s="1688"/>
      <c r="TOU28" s="1688"/>
      <c r="TOV28" s="1688"/>
      <c r="TOW28" s="1688"/>
      <c r="TOX28" s="1688"/>
      <c r="TOY28" s="1688"/>
      <c r="TOZ28" s="1688"/>
      <c r="TPA28" s="1688"/>
      <c r="TPB28" s="1688"/>
      <c r="TPC28" s="1688"/>
      <c r="TPD28" s="1688"/>
      <c r="TPE28" s="1688"/>
      <c r="TPF28" s="1688"/>
      <c r="TPG28" s="1688"/>
      <c r="TPH28" s="1688"/>
      <c r="TPI28" s="1688"/>
      <c r="TPJ28" s="1688"/>
      <c r="TPK28" s="1688"/>
      <c r="TPL28" s="1688"/>
      <c r="TPM28" s="1688"/>
      <c r="TPN28" s="1688"/>
      <c r="TPO28" s="1688"/>
      <c r="TPP28" s="1688"/>
      <c r="TPQ28" s="1688"/>
      <c r="TPR28" s="1688"/>
      <c r="TPS28" s="1688"/>
      <c r="TPT28" s="1688"/>
      <c r="TPU28" s="1688"/>
      <c r="TPV28" s="1688"/>
      <c r="TPW28" s="1688"/>
      <c r="TPX28" s="1688"/>
      <c r="TPY28" s="1688"/>
      <c r="TPZ28" s="1688"/>
      <c r="TQA28" s="1688"/>
      <c r="TQB28" s="1688"/>
      <c r="TQC28" s="1688"/>
      <c r="TQD28" s="1688"/>
      <c r="TQE28" s="1688"/>
      <c r="TQF28" s="1688"/>
      <c r="TQG28" s="1688"/>
      <c r="TQH28" s="1688"/>
      <c r="TQI28" s="1688"/>
      <c r="TQJ28" s="1688"/>
      <c r="TQK28" s="1688"/>
      <c r="TQL28" s="1688"/>
      <c r="TQM28" s="1688"/>
      <c r="TQN28" s="1688"/>
      <c r="TQO28" s="1688"/>
      <c r="TQP28" s="1688"/>
      <c r="TQQ28" s="1688"/>
      <c r="TQR28" s="1688"/>
      <c r="TQS28" s="1688"/>
      <c r="TQT28" s="1688"/>
      <c r="TQU28" s="1688"/>
      <c r="TQV28" s="1688"/>
      <c r="TQW28" s="1688"/>
      <c r="TQX28" s="1688"/>
      <c r="TQY28" s="1688"/>
      <c r="TQZ28" s="1688"/>
      <c r="TRA28" s="1688"/>
      <c r="TRB28" s="1688"/>
      <c r="TRC28" s="1688"/>
      <c r="TRD28" s="1688"/>
      <c r="TRE28" s="1688"/>
      <c r="TRF28" s="1688"/>
      <c r="TRG28" s="1688"/>
      <c r="TRH28" s="1688"/>
      <c r="TRI28" s="1688"/>
      <c r="TRJ28" s="1688"/>
      <c r="TRK28" s="1688"/>
      <c r="TRL28" s="1688"/>
      <c r="TRM28" s="1688"/>
      <c r="TRN28" s="1688"/>
      <c r="TRO28" s="1688"/>
      <c r="TRP28" s="1688"/>
      <c r="TRQ28" s="1688"/>
      <c r="TRR28" s="1688"/>
      <c r="TRS28" s="1688"/>
      <c r="TRT28" s="1688"/>
      <c r="TRU28" s="1688"/>
      <c r="TRV28" s="1688"/>
      <c r="TRW28" s="1688"/>
      <c r="TRX28" s="1688"/>
      <c r="TRY28" s="1688"/>
      <c r="TRZ28" s="1688"/>
      <c r="TSA28" s="1688"/>
      <c r="TSB28" s="1688"/>
      <c r="TSC28" s="1688"/>
      <c r="TSD28" s="1688"/>
      <c r="TSE28" s="1688"/>
      <c r="TSF28" s="1688"/>
      <c r="TSG28" s="1688"/>
      <c r="TSH28" s="1688"/>
      <c r="TSI28" s="1688"/>
      <c r="TSJ28" s="1688"/>
      <c r="TSK28" s="1688"/>
      <c r="TSL28" s="1688"/>
      <c r="TSM28" s="1688"/>
      <c r="TSN28" s="1688"/>
      <c r="TSO28" s="1688"/>
      <c r="TSP28" s="1688"/>
      <c r="TSQ28" s="1688"/>
      <c r="TSR28" s="1688"/>
      <c r="TSS28" s="1688"/>
      <c r="TST28" s="1688"/>
      <c r="TSU28" s="1688"/>
      <c r="TSV28" s="1688"/>
      <c r="TSW28" s="1688"/>
      <c r="TSX28" s="1688"/>
      <c r="TSY28" s="1688"/>
      <c r="TSZ28" s="1688"/>
      <c r="TTA28" s="1688"/>
      <c r="TTB28" s="1688"/>
      <c r="TTC28" s="1688"/>
      <c r="TTD28" s="1688"/>
      <c r="TTE28" s="1688"/>
      <c r="TTF28" s="1688"/>
      <c r="TTG28" s="1688"/>
      <c r="TTH28" s="1688"/>
      <c r="TTI28" s="1688"/>
      <c r="TTJ28" s="1688"/>
      <c r="TTK28" s="1688"/>
      <c r="TTL28" s="1688"/>
      <c r="TTM28" s="1688"/>
      <c r="TTN28" s="1688"/>
      <c r="TTO28" s="1688"/>
      <c r="TTP28" s="1688"/>
      <c r="TTQ28" s="1688"/>
      <c r="TTR28" s="1688"/>
      <c r="TTS28" s="1688"/>
      <c r="TTT28" s="1688"/>
      <c r="TTU28" s="1688"/>
      <c r="TTV28" s="1688"/>
      <c r="TTW28" s="1688"/>
      <c r="TTX28" s="1688"/>
      <c r="TTY28" s="1688"/>
      <c r="TTZ28" s="1688"/>
      <c r="TUA28" s="1688"/>
      <c r="TUB28" s="1688"/>
      <c r="TUC28" s="1688"/>
      <c r="TUD28" s="1688"/>
      <c r="TUE28" s="1688"/>
      <c r="TUF28" s="1688"/>
      <c r="TUG28" s="1688"/>
      <c r="TUH28" s="1688"/>
      <c r="TUI28" s="1688"/>
      <c r="TUJ28" s="1688"/>
      <c r="TUK28" s="1688"/>
      <c r="TUL28" s="1688"/>
      <c r="TUM28" s="1688"/>
      <c r="TUN28" s="1688"/>
      <c r="TUO28" s="1688"/>
      <c r="TUP28" s="1688"/>
      <c r="TUQ28" s="1688"/>
      <c r="TUR28" s="1688"/>
      <c r="TUS28" s="1688"/>
      <c r="TUT28" s="1688"/>
      <c r="TUU28" s="1688"/>
      <c r="TUV28" s="1688"/>
      <c r="TUW28" s="1688"/>
      <c r="TUX28" s="1688"/>
      <c r="TUY28" s="1688"/>
      <c r="TUZ28" s="1688"/>
      <c r="TVA28" s="1688"/>
      <c r="TVB28" s="1688"/>
      <c r="TVC28" s="1688"/>
      <c r="TVD28" s="1688"/>
      <c r="TVE28" s="1688"/>
      <c r="TVF28" s="1688"/>
      <c r="TVG28" s="1688"/>
      <c r="TVH28" s="1688"/>
      <c r="TVI28" s="1688"/>
      <c r="TVJ28" s="1688"/>
      <c r="TVK28" s="1688"/>
      <c r="TVL28" s="1688"/>
      <c r="TVM28" s="1688"/>
      <c r="TVN28" s="1688"/>
      <c r="TVO28" s="1688"/>
      <c r="TVP28" s="1688"/>
      <c r="TVQ28" s="1688"/>
      <c r="TVR28" s="1688"/>
      <c r="TVS28" s="1688"/>
      <c r="TVT28" s="1688"/>
      <c r="TVU28" s="1688"/>
      <c r="TVV28" s="1688"/>
      <c r="TVW28" s="1688"/>
      <c r="TVX28" s="1688"/>
      <c r="TVY28" s="1688"/>
      <c r="TVZ28" s="1688"/>
      <c r="TWA28" s="1688"/>
      <c r="TWB28" s="1688"/>
      <c r="TWC28" s="1688"/>
      <c r="TWD28" s="1688"/>
      <c r="TWE28" s="1688"/>
      <c r="TWF28" s="1688"/>
      <c r="TWG28" s="1688"/>
      <c r="TWH28" s="1688"/>
      <c r="TWI28" s="1688"/>
      <c r="TWJ28" s="1688"/>
      <c r="TWK28" s="1688"/>
      <c r="TWL28" s="1688"/>
      <c r="TWM28" s="1688"/>
      <c r="TWN28" s="1688"/>
      <c r="TWO28" s="1688"/>
      <c r="TWP28" s="1688"/>
      <c r="TWQ28" s="1688"/>
      <c r="TWR28" s="1688"/>
      <c r="TWS28" s="1688"/>
      <c r="TWT28" s="1688"/>
      <c r="TWU28" s="1688"/>
      <c r="TWV28" s="1688"/>
      <c r="TWW28" s="1688"/>
      <c r="TWX28" s="1688"/>
      <c r="TWY28" s="1688"/>
      <c r="TWZ28" s="1688"/>
      <c r="TXA28" s="1688"/>
      <c r="TXB28" s="1688"/>
      <c r="TXC28" s="1688"/>
      <c r="TXD28" s="1688"/>
      <c r="TXE28" s="1688"/>
      <c r="TXF28" s="1688"/>
      <c r="TXG28" s="1688"/>
      <c r="TXH28" s="1688"/>
      <c r="TXI28" s="1688"/>
      <c r="TXJ28" s="1688"/>
      <c r="TXK28" s="1688"/>
      <c r="TXL28" s="1688"/>
      <c r="TXM28" s="1688"/>
      <c r="TXN28" s="1688"/>
      <c r="TXO28" s="1688"/>
      <c r="TXP28" s="1688"/>
      <c r="TXQ28" s="1688"/>
      <c r="TXR28" s="1688"/>
      <c r="TXS28" s="1688"/>
      <c r="TXT28" s="1688"/>
      <c r="TXU28" s="1688"/>
      <c r="TXV28" s="1688"/>
      <c r="TXW28" s="1688"/>
      <c r="TXX28" s="1688"/>
      <c r="TXY28" s="1688"/>
      <c r="TXZ28" s="1688"/>
      <c r="TYA28" s="1688"/>
      <c r="TYB28" s="1688"/>
      <c r="TYC28" s="1688"/>
      <c r="TYD28" s="1688"/>
      <c r="TYE28" s="1688"/>
      <c r="TYF28" s="1688"/>
      <c r="TYG28" s="1688"/>
      <c r="TYH28" s="1688"/>
      <c r="TYI28" s="1688"/>
      <c r="TYJ28" s="1688"/>
      <c r="TYK28" s="1688"/>
      <c r="TYL28" s="1688"/>
      <c r="TYM28" s="1688"/>
      <c r="TYN28" s="1688"/>
      <c r="TYO28" s="1688"/>
      <c r="TYP28" s="1688"/>
      <c r="TYQ28" s="1688"/>
      <c r="TYR28" s="1688"/>
      <c r="TYS28" s="1688"/>
      <c r="TYT28" s="1688"/>
      <c r="TYU28" s="1688"/>
      <c r="TYV28" s="1688"/>
      <c r="TYW28" s="1688"/>
      <c r="TYX28" s="1688"/>
      <c r="TYY28" s="1688"/>
      <c r="TYZ28" s="1688"/>
      <c r="TZA28" s="1688"/>
      <c r="TZB28" s="1688"/>
      <c r="TZC28" s="1688"/>
      <c r="TZD28" s="1688"/>
      <c r="TZE28" s="1688"/>
      <c r="TZF28" s="1688"/>
      <c r="TZG28" s="1688"/>
      <c r="TZH28" s="1688"/>
      <c r="TZI28" s="1688"/>
      <c r="TZJ28" s="1688"/>
      <c r="TZK28" s="1688"/>
      <c r="TZL28" s="1688"/>
      <c r="TZM28" s="1688"/>
      <c r="TZN28" s="1688"/>
      <c r="TZO28" s="1688"/>
      <c r="TZP28" s="1688"/>
      <c r="TZQ28" s="1688"/>
      <c r="TZR28" s="1688"/>
      <c r="TZS28" s="1688"/>
      <c r="TZT28" s="1688"/>
      <c r="TZU28" s="1688"/>
      <c r="TZV28" s="1688"/>
      <c r="TZW28" s="1688"/>
      <c r="TZX28" s="1688"/>
      <c r="TZY28" s="1688"/>
      <c r="TZZ28" s="1688"/>
      <c r="UAA28" s="1688"/>
      <c r="UAB28" s="1688"/>
      <c r="UAC28" s="1688"/>
      <c r="UAD28" s="1688"/>
      <c r="UAE28" s="1688"/>
      <c r="UAF28" s="1688"/>
      <c r="UAG28" s="1688"/>
      <c r="UAH28" s="1688"/>
      <c r="UAI28" s="1688"/>
      <c r="UAJ28" s="1688"/>
      <c r="UAK28" s="1688"/>
      <c r="UAL28" s="1688"/>
      <c r="UAM28" s="1688"/>
      <c r="UAN28" s="1688"/>
      <c r="UAO28" s="1688"/>
      <c r="UAP28" s="1688"/>
      <c r="UAQ28" s="1688"/>
      <c r="UAR28" s="1688"/>
      <c r="UAS28" s="1688"/>
      <c r="UAT28" s="1688"/>
      <c r="UAU28" s="1688"/>
      <c r="UAV28" s="1688"/>
      <c r="UAW28" s="1688"/>
      <c r="UAX28" s="1688"/>
      <c r="UAY28" s="1688"/>
      <c r="UAZ28" s="1688"/>
      <c r="UBA28" s="1688"/>
      <c r="UBB28" s="1688"/>
      <c r="UBC28" s="1688"/>
      <c r="UBD28" s="1688"/>
      <c r="UBE28" s="1688"/>
      <c r="UBF28" s="1688"/>
      <c r="UBG28" s="1688"/>
      <c r="UBH28" s="1688"/>
      <c r="UBI28" s="1688"/>
      <c r="UBJ28" s="1688"/>
      <c r="UBK28" s="1688"/>
      <c r="UBL28" s="1688"/>
      <c r="UBM28" s="1688"/>
      <c r="UBN28" s="1688"/>
      <c r="UBO28" s="1688"/>
      <c r="UBP28" s="1688"/>
      <c r="UBQ28" s="1688"/>
      <c r="UBR28" s="1688"/>
      <c r="UBS28" s="1688"/>
      <c r="UBT28" s="1688"/>
      <c r="UBU28" s="1688"/>
      <c r="UBV28" s="1688"/>
      <c r="UBW28" s="1688"/>
      <c r="UBX28" s="1688"/>
      <c r="UBY28" s="1688"/>
      <c r="UBZ28" s="1688"/>
      <c r="UCA28" s="1688"/>
      <c r="UCB28" s="1688"/>
      <c r="UCC28" s="1688"/>
      <c r="UCD28" s="1688"/>
      <c r="UCE28" s="1688"/>
      <c r="UCF28" s="1688"/>
      <c r="UCG28" s="1688"/>
      <c r="UCH28" s="1688"/>
      <c r="UCI28" s="1688"/>
      <c r="UCJ28" s="1688"/>
      <c r="UCK28" s="1688"/>
      <c r="UCL28" s="1688"/>
      <c r="UCM28" s="1688"/>
      <c r="UCN28" s="1688"/>
      <c r="UCO28" s="1688"/>
      <c r="UCP28" s="1688"/>
      <c r="UCQ28" s="1688"/>
      <c r="UCR28" s="1688"/>
      <c r="UCS28" s="1688"/>
      <c r="UCT28" s="1688"/>
      <c r="UCU28" s="1688"/>
      <c r="UCV28" s="1688"/>
      <c r="UCW28" s="1688"/>
      <c r="UCX28" s="1688"/>
      <c r="UCY28" s="1688"/>
      <c r="UCZ28" s="1688"/>
      <c r="UDA28" s="1688"/>
      <c r="UDB28" s="1688"/>
      <c r="UDC28" s="1688"/>
      <c r="UDD28" s="1688"/>
      <c r="UDE28" s="1688"/>
      <c r="UDF28" s="1688"/>
      <c r="UDG28" s="1688"/>
      <c r="UDH28" s="1688"/>
      <c r="UDI28" s="1688"/>
      <c r="UDJ28" s="1688"/>
      <c r="UDK28" s="1688"/>
      <c r="UDL28" s="1688"/>
      <c r="UDM28" s="1688"/>
      <c r="UDN28" s="1688"/>
      <c r="UDO28" s="1688"/>
      <c r="UDP28" s="1688"/>
      <c r="UDQ28" s="1688"/>
      <c r="UDR28" s="1688"/>
      <c r="UDS28" s="1688"/>
      <c r="UDT28" s="1688"/>
      <c r="UDU28" s="1688"/>
      <c r="UDV28" s="1688"/>
      <c r="UDW28" s="1688"/>
      <c r="UDX28" s="1688"/>
      <c r="UDY28" s="1688"/>
      <c r="UDZ28" s="1688"/>
      <c r="UEA28" s="1688"/>
      <c r="UEB28" s="1688"/>
      <c r="UEC28" s="1688"/>
      <c r="UED28" s="1688"/>
      <c r="UEE28" s="1688"/>
      <c r="UEF28" s="1688"/>
      <c r="UEG28" s="1688"/>
      <c r="UEH28" s="1688"/>
      <c r="UEI28" s="1688"/>
      <c r="UEJ28" s="1688"/>
      <c r="UEK28" s="1688"/>
      <c r="UEL28" s="1688"/>
      <c r="UEM28" s="1688"/>
      <c r="UEN28" s="1688"/>
      <c r="UEO28" s="1688"/>
      <c r="UEP28" s="1688"/>
      <c r="UEQ28" s="1688"/>
      <c r="UER28" s="1688"/>
      <c r="UES28" s="1688"/>
      <c r="UET28" s="1688"/>
      <c r="UEU28" s="1688"/>
      <c r="UEV28" s="1688"/>
      <c r="UEW28" s="1688"/>
      <c r="UEX28" s="1688"/>
      <c r="UEY28" s="1688"/>
      <c r="UEZ28" s="1688"/>
      <c r="UFA28" s="1688"/>
      <c r="UFB28" s="1688"/>
      <c r="UFC28" s="1688"/>
      <c r="UFD28" s="1688"/>
      <c r="UFE28" s="1688"/>
      <c r="UFF28" s="1688"/>
      <c r="UFG28" s="1688"/>
      <c r="UFH28" s="1688"/>
      <c r="UFI28" s="1688"/>
      <c r="UFJ28" s="1688"/>
      <c r="UFK28" s="1688"/>
      <c r="UFL28" s="1688"/>
      <c r="UFM28" s="1688"/>
      <c r="UFN28" s="1688"/>
      <c r="UFO28" s="1688"/>
      <c r="UFP28" s="1688"/>
      <c r="UFQ28" s="1688"/>
      <c r="UFR28" s="1688"/>
      <c r="UFS28" s="1688"/>
      <c r="UFT28" s="1688"/>
      <c r="UFU28" s="1688"/>
      <c r="UFV28" s="1688"/>
      <c r="UFW28" s="1688"/>
      <c r="UFX28" s="1688"/>
      <c r="UFY28" s="1688"/>
      <c r="UFZ28" s="1688"/>
      <c r="UGA28" s="1688"/>
      <c r="UGB28" s="1688"/>
      <c r="UGC28" s="1688"/>
      <c r="UGD28" s="1688"/>
      <c r="UGE28" s="1688"/>
      <c r="UGF28" s="1688"/>
      <c r="UGG28" s="1688"/>
      <c r="UGH28" s="1688"/>
      <c r="UGI28" s="1688"/>
      <c r="UGJ28" s="1688"/>
      <c r="UGK28" s="1688"/>
      <c r="UGL28" s="1688"/>
      <c r="UGM28" s="1688"/>
      <c r="UGN28" s="1688"/>
      <c r="UGO28" s="1688"/>
      <c r="UGP28" s="1688"/>
      <c r="UGQ28" s="1688"/>
      <c r="UGR28" s="1688"/>
      <c r="UGS28" s="1688"/>
      <c r="UGT28" s="1688"/>
      <c r="UGU28" s="1688"/>
      <c r="UGV28" s="1688"/>
      <c r="UGW28" s="1688"/>
      <c r="UGX28" s="1688"/>
      <c r="UGY28" s="1688"/>
      <c r="UGZ28" s="1688"/>
      <c r="UHA28" s="1688"/>
      <c r="UHB28" s="1688"/>
      <c r="UHC28" s="1688"/>
      <c r="UHD28" s="1688"/>
      <c r="UHE28" s="1688"/>
      <c r="UHF28" s="1688"/>
      <c r="UHG28" s="1688"/>
      <c r="UHH28" s="1688"/>
      <c r="UHI28" s="1688"/>
      <c r="UHJ28" s="1688"/>
      <c r="UHK28" s="1688"/>
      <c r="UHL28" s="1688"/>
      <c r="UHM28" s="1688"/>
      <c r="UHN28" s="1688"/>
      <c r="UHO28" s="1688"/>
      <c r="UHP28" s="1688"/>
      <c r="UHQ28" s="1688"/>
      <c r="UHR28" s="1688"/>
      <c r="UHS28" s="1688"/>
      <c r="UHT28" s="1688"/>
      <c r="UHU28" s="1688"/>
      <c r="UHV28" s="1688"/>
      <c r="UHW28" s="1688"/>
      <c r="UHX28" s="1688"/>
      <c r="UHY28" s="1688"/>
      <c r="UHZ28" s="1688"/>
      <c r="UIA28" s="1688"/>
      <c r="UIB28" s="1688"/>
      <c r="UIC28" s="1688"/>
      <c r="UID28" s="1688"/>
      <c r="UIE28" s="1688"/>
      <c r="UIF28" s="1688"/>
      <c r="UIG28" s="1688"/>
      <c r="UIH28" s="1688"/>
      <c r="UII28" s="1688"/>
      <c r="UIJ28" s="1688"/>
      <c r="UIK28" s="1688"/>
      <c r="UIL28" s="1688"/>
      <c r="UIM28" s="1688"/>
      <c r="UIN28" s="1688"/>
      <c r="UIO28" s="1688"/>
      <c r="UIP28" s="1688"/>
      <c r="UIQ28" s="1688"/>
      <c r="UIR28" s="1688"/>
      <c r="UIS28" s="1688"/>
      <c r="UIT28" s="1688"/>
      <c r="UIU28" s="1688"/>
      <c r="UIV28" s="1688"/>
      <c r="UIW28" s="1688"/>
      <c r="UIX28" s="1688"/>
      <c r="UIY28" s="1688"/>
      <c r="UIZ28" s="1688"/>
      <c r="UJA28" s="1688"/>
      <c r="UJB28" s="1688"/>
      <c r="UJC28" s="1688"/>
      <c r="UJD28" s="1688"/>
      <c r="UJE28" s="1688"/>
      <c r="UJF28" s="1688"/>
      <c r="UJG28" s="1688"/>
      <c r="UJH28" s="1688"/>
      <c r="UJI28" s="1688"/>
      <c r="UJJ28" s="1688"/>
      <c r="UJK28" s="1688"/>
      <c r="UJL28" s="1688"/>
      <c r="UJM28" s="1688"/>
      <c r="UJN28" s="1688"/>
      <c r="UJO28" s="1688"/>
      <c r="UJP28" s="1688"/>
      <c r="UJQ28" s="1688"/>
      <c r="UJR28" s="1688"/>
      <c r="UJS28" s="1688"/>
      <c r="UJT28" s="1688"/>
      <c r="UJU28" s="1688"/>
      <c r="UJV28" s="1688"/>
      <c r="UJW28" s="1688"/>
      <c r="UJX28" s="1688"/>
      <c r="UJY28" s="1688"/>
      <c r="UJZ28" s="1688"/>
      <c r="UKA28" s="1688"/>
      <c r="UKB28" s="1688"/>
      <c r="UKC28" s="1688"/>
      <c r="UKD28" s="1688"/>
      <c r="UKE28" s="1688"/>
      <c r="UKF28" s="1688"/>
      <c r="UKG28" s="1688"/>
      <c r="UKH28" s="1688"/>
      <c r="UKI28" s="1688"/>
      <c r="UKJ28" s="1688"/>
      <c r="UKK28" s="1688"/>
      <c r="UKL28" s="1688"/>
      <c r="UKM28" s="1688"/>
      <c r="UKN28" s="1688"/>
      <c r="UKO28" s="1688"/>
      <c r="UKP28" s="1688"/>
      <c r="UKQ28" s="1688"/>
      <c r="UKR28" s="1688"/>
      <c r="UKS28" s="1688"/>
      <c r="UKT28" s="1688"/>
      <c r="UKU28" s="1688"/>
      <c r="UKV28" s="1688"/>
      <c r="UKW28" s="1688"/>
      <c r="UKX28" s="1688"/>
      <c r="UKY28" s="1688"/>
      <c r="UKZ28" s="1688"/>
      <c r="ULA28" s="1688"/>
      <c r="ULB28" s="1688"/>
      <c r="ULC28" s="1688"/>
      <c r="ULD28" s="1688"/>
      <c r="ULE28" s="1688"/>
      <c r="ULF28" s="1688"/>
      <c r="ULG28" s="1688"/>
      <c r="ULH28" s="1688"/>
      <c r="ULI28" s="1688"/>
      <c r="ULJ28" s="1688"/>
      <c r="ULK28" s="1688"/>
      <c r="ULL28" s="1688"/>
      <c r="ULM28" s="1688"/>
      <c r="ULN28" s="1688"/>
      <c r="ULO28" s="1688"/>
      <c r="ULP28" s="1688"/>
      <c r="ULQ28" s="1688"/>
      <c r="ULR28" s="1688"/>
      <c r="ULS28" s="1688"/>
      <c r="ULT28" s="1688"/>
      <c r="ULU28" s="1688"/>
      <c r="ULV28" s="1688"/>
      <c r="ULW28" s="1688"/>
      <c r="ULX28" s="1688"/>
      <c r="ULY28" s="1688"/>
      <c r="ULZ28" s="1688"/>
      <c r="UMA28" s="1688"/>
      <c r="UMB28" s="1688"/>
      <c r="UMC28" s="1688"/>
      <c r="UMD28" s="1688"/>
      <c r="UME28" s="1688"/>
      <c r="UMF28" s="1688"/>
      <c r="UMG28" s="1688"/>
      <c r="UMH28" s="1688"/>
      <c r="UMI28" s="1688"/>
      <c r="UMJ28" s="1688"/>
      <c r="UMK28" s="1688"/>
      <c r="UML28" s="1688"/>
      <c r="UMM28" s="1688"/>
      <c r="UMN28" s="1688"/>
      <c r="UMO28" s="1688"/>
      <c r="UMP28" s="1688"/>
      <c r="UMQ28" s="1688"/>
      <c r="UMR28" s="1688"/>
      <c r="UMS28" s="1688"/>
      <c r="UMT28" s="1688"/>
      <c r="UMU28" s="1688"/>
      <c r="UMV28" s="1688"/>
      <c r="UMW28" s="1688"/>
      <c r="UMX28" s="1688"/>
      <c r="UMY28" s="1688"/>
      <c r="UMZ28" s="1688"/>
      <c r="UNA28" s="1688"/>
      <c r="UNB28" s="1688"/>
      <c r="UNC28" s="1688"/>
      <c r="UND28" s="1688"/>
      <c r="UNE28" s="1688"/>
      <c r="UNF28" s="1688"/>
      <c r="UNG28" s="1688"/>
      <c r="UNH28" s="1688"/>
      <c r="UNI28" s="1688"/>
      <c r="UNJ28" s="1688"/>
      <c r="UNK28" s="1688"/>
      <c r="UNL28" s="1688"/>
      <c r="UNM28" s="1688"/>
      <c r="UNN28" s="1688"/>
      <c r="UNO28" s="1688"/>
      <c r="UNP28" s="1688"/>
      <c r="UNQ28" s="1688"/>
      <c r="UNR28" s="1688"/>
      <c r="UNS28" s="1688"/>
      <c r="UNT28" s="1688"/>
      <c r="UNU28" s="1688"/>
      <c r="UNV28" s="1688"/>
      <c r="UNW28" s="1688"/>
      <c r="UNX28" s="1688"/>
      <c r="UNY28" s="1688"/>
      <c r="UNZ28" s="1688"/>
      <c r="UOA28" s="1688"/>
      <c r="UOB28" s="1688"/>
      <c r="UOC28" s="1688"/>
      <c r="UOD28" s="1688"/>
      <c r="UOE28" s="1688"/>
      <c r="UOF28" s="1688"/>
      <c r="UOG28" s="1688"/>
      <c r="UOH28" s="1688"/>
      <c r="UOI28" s="1688"/>
      <c r="UOJ28" s="1688"/>
      <c r="UOK28" s="1688"/>
      <c r="UOL28" s="1688"/>
      <c r="UOM28" s="1688"/>
      <c r="UON28" s="1688"/>
      <c r="UOO28" s="1688"/>
      <c r="UOP28" s="1688"/>
      <c r="UOQ28" s="1688"/>
      <c r="UOR28" s="1688"/>
      <c r="UOS28" s="1688"/>
      <c r="UOT28" s="1688"/>
      <c r="UOU28" s="1688"/>
      <c r="UOV28" s="1688"/>
      <c r="UOW28" s="1688"/>
      <c r="UOX28" s="1688"/>
      <c r="UOY28" s="1688"/>
      <c r="UOZ28" s="1688"/>
      <c r="UPA28" s="1688"/>
      <c r="UPB28" s="1688"/>
      <c r="UPC28" s="1688"/>
      <c r="UPD28" s="1688"/>
      <c r="UPE28" s="1688"/>
      <c r="UPF28" s="1688"/>
      <c r="UPG28" s="1688"/>
      <c r="UPH28" s="1688"/>
      <c r="UPI28" s="1688"/>
      <c r="UPJ28" s="1688"/>
      <c r="UPK28" s="1688"/>
      <c r="UPL28" s="1688"/>
      <c r="UPM28" s="1688"/>
      <c r="UPN28" s="1688"/>
      <c r="UPO28" s="1688"/>
      <c r="UPP28" s="1688"/>
      <c r="UPQ28" s="1688"/>
      <c r="UPR28" s="1688"/>
      <c r="UPS28" s="1688"/>
      <c r="UPT28" s="1688"/>
      <c r="UPU28" s="1688"/>
      <c r="UPV28" s="1688"/>
      <c r="UPW28" s="1688"/>
      <c r="UPX28" s="1688"/>
      <c r="UPY28" s="1688"/>
      <c r="UPZ28" s="1688"/>
      <c r="UQA28" s="1688"/>
      <c r="UQB28" s="1688"/>
      <c r="UQC28" s="1688"/>
      <c r="UQD28" s="1688"/>
      <c r="UQE28" s="1688"/>
      <c r="UQF28" s="1688"/>
      <c r="UQG28" s="1688"/>
      <c r="UQH28" s="1688"/>
      <c r="UQI28" s="1688"/>
      <c r="UQJ28" s="1688"/>
      <c r="UQK28" s="1688"/>
      <c r="UQL28" s="1688"/>
      <c r="UQM28" s="1688"/>
      <c r="UQN28" s="1688"/>
      <c r="UQO28" s="1688"/>
      <c r="UQP28" s="1688"/>
      <c r="UQQ28" s="1688"/>
      <c r="UQR28" s="1688"/>
      <c r="UQS28" s="1688"/>
      <c r="UQT28" s="1688"/>
      <c r="UQU28" s="1688"/>
      <c r="UQV28" s="1688"/>
      <c r="UQW28" s="1688"/>
      <c r="UQX28" s="1688"/>
      <c r="UQY28" s="1688"/>
      <c r="UQZ28" s="1688"/>
      <c r="URA28" s="1688"/>
      <c r="URB28" s="1688"/>
      <c r="URC28" s="1688"/>
      <c r="URD28" s="1688"/>
      <c r="URE28" s="1688"/>
      <c r="URF28" s="1688"/>
      <c r="URG28" s="1688"/>
      <c r="URH28" s="1688"/>
      <c r="URI28" s="1688"/>
      <c r="URJ28" s="1688"/>
      <c r="URK28" s="1688"/>
      <c r="URL28" s="1688"/>
      <c r="URM28" s="1688"/>
      <c r="URN28" s="1688"/>
      <c r="URO28" s="1688"/>
      <c r="URP28" s="1688"/>
      <c r="URQ28" s="1688"/>
      <c r="URR28" s="1688"/>
      <c r="URS28" s="1688"/>
      <c r="URT28" s="1688"/>
      <c r="URU28" s="1688"/>
      <c r="URV28" s="1688"/>
      <c r="URW28" s="1688"/>
      <c r="URX28" s="1688"/>
      <c r="URY28" s="1688"/>
      <c r="URZ28" s="1688"/>
      <c r="USA28" s="1688"/>
      <c r="USB28" s="1688"/>
      <c r="USC28" s="1688"/>
      <c r="USD28" s="1688"/>
      <c r="USE28" s="1688"/>
      <c r="USF28" s="1688"/>
      <c r="USG28" s="1688"/>
      <c r="USH28" s="1688"/>
      <c r="USI28" s="1688"/>
      <c r="USJ28" s="1688"/>
      <c r="USK28" s="1688"/>
      <c r="USL28" s="1688"/>
      <c r="USM28" s="1688"/>
      <c r="USN28" s="1688"/>
      <c r="USO28" s="1688"/>
      <c r="USP28" s="1688"/>
      <c r="USQ28" s="1688"/>
      <c r="USR28" s="1688"/>
      <c r="USS28" s="1688"/>
      <c r="UST28" s="1688"/>
      <c r="USU28" s="1688"/>
      <c r="USV28" s="1688"/>
      <c r="USW28" s="1688"/>
      <c r="USX28" s="1688"/>
      <c r="USY28" s="1688"/>
      <c r="USZ28" s="1688"/>
      <c r="UTA28" s="1688"/>
      <c r="UTB28" s="1688"/>
      <c r="UTC28" s="1688"/>
      <c r="UTD28" s="1688"/>
      <c r="UTE28" s="1688"/>
      <c r="UTF28" s="1688"/>
      <c r="UTG28" s="1688"/>
      <c r="UTH28" s="1688"/>
      <c r="UTI28" s="1688"/>
      <c r="UTJ28" s="1688"/>
      <c r="UTK28" s="1688"/>
      <c r="UTL28" s="1688"/>
      <c r="UTM28" s="1688"/>
      <c r="UTN28" s="1688"/>
      <c r="UTO28" s="1688"/>
      <c r="UTP28" s="1688"/>
      <c r="UTQ28" s="1688"/>
      <c r="UTR28" s="1688"/>
      <c r="UTS28" s="1688"/>
      <c r="UTT28" s="1688"/>
      <c r="UTU28" s="1688"/>
      <c r="UTV28" s="1688"/>
      <c r="UTW28" s="1688"/>
      <c r="UTX28" s="1688"/>
      <c r="UTY28" s="1688"/>
      <c r="UTZ28" s="1688"/>
      <c r="UUA28" s="1688"/>
      <c r="UUB28" s="1688"/>
      <c r="UUC28" s="1688"/>
      <c r="UUD28" s="1688"/>
      <c r="UUE28" s="1688"/>
      <c r="UUF28" s="1688"/>
      <c r="UUG28" s="1688"/>
      <c r="UUH28" s="1688"/>
      <c r="UUI28" s="1688"/>
      <c r="UUJ28" s="1688"/>
      <c r="UUK28" s="1688"/>
      <c r="UUL28" s="1688"/>
      <c r="UUM28" s="1688"/>
      <c r="UUN28" s="1688"/>
      <c r="UUO28" s="1688"/>
      <c r="UUP28" s="1688"/>
      <c r="UUQ28" s="1688"/>
      <c r="UUR28" s="1688"/>
      <c r="UUS28" s="1688"/>
      <c r="UUT28" s="1688"/>
      <c r="UUU28" s="1688"/>
      <c r="UUV28" s="1688"/>
      <c r="UUW28" s="1688"/>
      <c r="UUX28" s="1688"/>
      <c r="UUY28" s="1688"/>
      <c r="UUZ28" s="1688"/>
      <c r="UVA28" s="1688"/>
      <c r="UVB28" s="1688"/>
      <c r="UVC28" s="1688"/>
      <c r="UVD28" s="1688"/>
      <c r="UVE28" s="1688"/>
      <c r="UVF28" s="1688"/>
      <c r="UVG28" s="1688"/>
      <c r="UVH28" s="1688"/>
      <c r="UVI28" s="1688"/>
      <c r="UVJ28" s="1688"/>
      <c r="UVK28" s="1688"/>
      <c r="UVL28" s="1688"/>
      <c r="UVM28" s="1688"/>
      <c r="UVN28" s="1688"/>
      <c r="UVO28" s="1688"/>
      <c r="UVP28" s="1688"/>
      <c r="UVQ28" s="1688"/>
      <c r="UVR28" s="1688"/>
      <c r="UVS28" s="1688"/>
      <c r="UVT28" s="1688"/>
      <c r="UVU28" s="1688"/>
      <c r="UVV28" s="1688"/>
      <c r="UVW28" s="1688"/>
      <c r="UVX28" s="1688"/>
      <c r="UVY28" s="1688"/>
      <c r="UVZ28" s="1688"/>
      <c r="UWA28" s="1688"/>
      <c r="UWB28" s="1688"/>
      <c r="UWC28" s="1688"/>
      <c r="UWD28" s="1688"/>
      <c r="UWE28" s="1688"/>
      <c r="UWF28" s="1688"/>
      <c r="UWG28" s="1688"/>
      <c r="UWH28" s="1688"/>
      <c r="UWI28" s="1688"/>
      <c r="UWJ28" s="1688"/>
      <c r="UWK28" s="1688"/>
      <c r="UWL28" s="1688"/>
      <c r="UWM28" s="1688"/>
      <c r="UWN28" s="1688"/>
      <c r="UWO28" s="1688"/>
      <c r="UWP28" s="1688"/>
      <c r="UWQ28" s="1688"/>
      <c r="UWR28" s="1688"/>
      <c r="UWS28" s="1688"/>
      <c r="UWT28" s="1688"/>
      <c r="UWU28" s="1688"/>
      <c r="UWV28" s="1688"/>
      <c r="UWW28" s="1688"/>
      <c r="UWX28" s="1688"/>
      <c r="UWY28" s="1688"/>
      <c r="UWZ28" s="1688"/>
      <c r="UXA28" s="1688"/>
      <c r="UXB28" s="1688"/>
      <c r="UXC28" s="1688"/>
      <c r="UXD28" s="1688"/>
      <c r="UXE28" s="1688"/>
      <c r="UXF28" s="1688"/>
      <c r="UXG28" s="1688"/>
      <c r="UXH28" s="1688"/>
      <c r="UXI28" s="1688"/>
      <c r="UXJ28" s="1688"/>
      <c r="UXK28" s="1688"/>
      <c r="UXL28" s="1688"/>
      <c r="UXM28" s="1688"/>
      <c r="UXN28" s="1688"/>
      <c r="UXO28" s="1688"/>
      <c r="UXP28" s="1688"/>
      <c r="UXQ28" s="1688"/>
      <c r="UXR28" s="1688"/>
      <c r="UXS28" s="1688"/>
      <c r="UXT28" s="1688"/>
      <c r="UXU28" s="1688"/>
      <c r="UXV28" s="1688"/>
      <c r="UXW28" s="1688"/>
      <c r="UXX28" s="1688"/>
      <c r="UXY28" s="1688"/>
      <c r="UXZ28" s="1688"/>
      <c r="UYA28" s="1688"/>
      <c r="UYB28" s="1688"/>
      <c r="UYC28" s="1688"/>
      <c r="UYD28" s="1688"/>
      <c r="UYE28" s="1688"/>
      <c r="UYF28" s="1688"/>
      <c r="UYG28" s="1688"/>
      <c r="UYH28" s="1688"/>
      <c r="UYI28" s="1688"/>
      <c r="UYJ28" s="1688"/>
      <c r="UYK28" s="1688"/>
      <c r="UYL28" s="1688"/>
      <c r="UYM28" s="1688"/>
      <c r="UYN28" s="1688"/>
      <c r="UYO28" s="1688"/>
      <c r="UYP28" s="1688"/>
      <c r="UYQ28" s="1688"/>
      <c r="UYR28" s="1688"/>
      <c r="UYS28" s="1688"/>
      <c r="UYT28" s="1688"/>
      <c r="UYU28" s="1688"/>
      <c r="UYV28" s="1688"/>
      <c r="UYW28" s="1688"/>
      <c r="UYX28" s="1688"/>
      <c r="UYY28" s="1688"/>
      <c r="UYZ28" s="1688"/>
      <c r="UZA28" s="1688"/>
      <c r="UZB28" s="1688"/>
      <c r="UZC28" s="1688"/>
      <c r="UZD28" s="1688"/>
      <c r="UZE28" s="1688"/>
      <c r="UZF28" s="1688"/>
      <c r="UZG28" s="1688"/>
      <c r="UZH28" s="1688"/>
      <c r="UZI28" s="1688"/>
      <c r="UZJ28" s="1688"/>
      <c r="UZK28" s="1688"/>
      <c r="UZL28" s="1688"/>
      <c r="UZM28" s="1688"/>
      <c r="UZN28" s="1688"/>
      <c r="UZO28" s="1688"/>
      <c r="UZP28" s="1688"/>
      <c r="UZQ28" s="1688"/>
      <c r="UZR28" s="1688"/>
      <c r="UZS28" s="1688"/>
      <c r="UZT28" s="1688"/>
      <c r="UZU28" s="1688"/>
      <c r="UZV28" s="1688"/>
      <c r="UZW28" s="1688"/>
      <c r="UZX28" s="1688"/>
      <c r="UZY28" s="1688"/>
      <c r="UZZ28" s="1688"/>
      <c r="VAA28" s="1688"/>
      <c r="VAB28" s="1688"/>
      <c r="VAC28" s="1688"/>
      <c r="VAD28" s="1688"/>
      <c r="VAE28" s="1688"/>
      <c r="VAF28" s="1688"/>
      <c r="VAG28" s="1688"/>
      <c r="VAH28" s="1688"/>
      <c r="VAI28" s="1688"/>
      <c r="VAJ28" s="1688"/>
      <c r="VAK28" s="1688"/>
      <c r="VAL28" s="1688"/>
      <c r="VAM28" s="1688"/>
      <c r="VAN28" s="1688"/>
      <c r="VAO28" s="1688"/>
      <c r="VAP28" s="1688"/>
      <c r="VAQ28" s="1688"/>
      <c r="VAR28" s="1688"/>
      <c r="VAS28" s="1688"/>
      <c r="VAT28" s="1688"/>
      <c r="VAU28" s="1688"/>
      <c r="VAV28" s="1688"/>
      <c r="VAW28" s="1688"/>
      <c r="VAX28" s="1688"/>
      <c r="VAY28" s="1688"/>
      <c r="VAZ28" s="1688"/>
      <c r="VBA28" s="1688"/>
      <c r="VBB28" s="1688"/>
      <c r="VBC28" s="1688"/>
      <c r="VBD28" s="1688"/>
      <c r="VBE28" s="1688"/>
      <c r="VBF28" s="1688"/>
      <c r="VBG28" s="1688"/>
      <c r="VBH28" s="1688"/>
      <c r="VBI28" s="1688"/>
      <c r="VBJ28" s="1688"/>
      <c r="VBK28" s="1688"/>
      <c r="VBL28" s="1688"/>
      <c r="VBM28" s="1688"/>
      <c r="VBN28" s="1688"/>
      <c r="VBO28" s="1688"/>
      <c r="VBP28" s="1688"/>
      <c r="VBQ28" s="1688"/>
      <c r="VBR28" s="1688"/>
      <c r="VBS28" s="1688"/>
      <c r="VBT28" s="1688"/>
      <c r="VBU28" s="1688"/>
      <c r="VBV28" s="1688"/>
      <c r="VBW28" s="1688"/>
      <c r="VBX28" s="1688"/>
      <c r="VBY28" s="1688"/>
      <c r="VBZ28" s="1688"/>
      <c r="VCA28" s="1688"/>
      <c r="VCB28" s="1688"/>
      <c r="VCC28" s="1688"/>
      <c r="VCD28" s="1688"/>
      <c r="VCE28" s="1688"/>
      <c r="VCF28" s="1688"/>
      <c r="VCG28" s="1688"/>
      <c r="VCH28" s="1688"/>
      <c r="VCI28" s="1688"/>
      <c r="VCJ28" s="1688"/>
      <c r="VCK28" s="1688"/>
      <c r="VCL28" s="1688"/>
      <c r="VCM28" s="1688"/>
      <c r="VCN28" s="1688"/>
      <c r="VCO28" s="1688"/>
      <c r="VCP28" s="1688"/>
      <c r="VCQ28" s="1688"/>
      <c r="VCR28" s="1688"/>
      <c r="VCS28" s="1688"/>
      <c r="VCT28" s="1688"/>
      <c r="VCU28" s="1688"/>
      <c r="VCV28" s="1688"/>
      <c r="VCW28" s="1688"/>
      <c r="VCX28" s="1688"/>
      <c r="VCY28" s="1688"/>
      <c r="VCZ28" s="1688"/>
      <c r="VDA28" s="1688"/>
      <c r="VDB28" s="1688"/>
      <c r="VDC28" s="1688"/>
      <c r="VDD28" s="1688"/>
      <c r="VDE28" s="1688"/>
      <c r="VDF28" s="1688"/>
      <c r="VDG28" s="1688"/>
      <c r="VDH28" s="1688"/>
      <c r="VDI28" s="1688"/>
      <c r="VDJ28" s="1688"/>
      <c r="VDK28" s="1688"/>
      <c r="VDL28" s="1688"/>
      <c r="VDM28" s="1688"/>
      <c r="VDN28" s="1688"/>
      <c r="VDO28" s="1688"/>
      <c r="VDP28" s="1688"/>
      <c r="VDQ28" s="1688"/>
      <c r="VDR28" s="1688"/>
      <c r="VDS28" s="1688"/>
      <c r="VDT28" s="1688"/>
      <c r="VDU28" s="1688"/>
      <c r="VDV28" s="1688"/>
      <c r="VDW28" s="1688"/>
      <c r="VDX28" s="1688"/>
      <c r="VDY28" s="1688"/>
      <c r="VDZ28" s="1688"/>
      <c r="VEA28" s="1688"/>
      <c r="VEB28" s="1688"/>
      <c r="VEC28" s="1688"/>
      <c r="VED28" s="1688"/>
      <c r="VEE28" s="1688"/>
      <c r="VEF28" s="1688"/>
      <c r="VEG28" s="1688"/>
      <c r="VEH28" s="1688"/>
      <c r="VEI28" s="1688"/>
      <c r="VEJ28" s="1688"/>
      <c r="VEK28" s="1688"/>
      <c r="VEL28" s="1688"/>
      <c r="VEM28" s="1688"/>
      <c r="VEN28" s="1688"/>
      <c r="VEO28" s="1688"/>
      <c r="VEP28" s="1688"/>
      <c r="VEQ28" s="1688"/>
      <c r="VER28" s="1688"/>
      <c r="VES28" s="1688"/>
      <c r="VET28" s="1688"/>
      <c r="VEU28" s="1688"/>
      <c r="VEV28" s="1688"/>
      <c r="VEW28" s="1688"/>
      <c r="VEX28" s="1688"/>
      <c r="VEY28" s="1688"/>
      <c r="VEZ28" s="1688"/>
      <c r="VFA28" s="1688"/>
      <c r="VFB28" s="1688"/>
      <c r="VFC28" s="1688"/>
      <c r="VFD28" s="1688"/>
      <c r="VFE28" s="1688"/>
      <c r="VFF28" s="1688"/>
      <c r="VFG28" s="1688"/>
      <c r="VFH28" s="1688"/>
      <c r="VFI28" s="1688"/>
      <c r="VFJ28" s="1688"/>
      <c r="VFK28" s="1688"/>
      <c r="VFL28" s="1688"/>
      <c r="VFM28" s="1688"/>
      <c r="VFN28" s="1688"/>
      <c r="VFO28" s="1688"/>
      <c r="VFP28" s="1688"/>
      <c r="VFQ28" s="1688"/>
      <c r="VFR28" s="1688"/>
      <c r="VFS28" s="1688"/>
      <c r="VFT28" s="1688"/>
      <c r="VFU28" s="1688"/>
      <c r="VFV28" s="1688"/>
      <c r="VFW28" s="1688"/>
      <c r="VFX28" s="1688"/>
      <c r="VFY28" s="1688"/>
      <c r="VFZ28" s="1688"/>
      <c r="VGA28" s="1688"/>
      <c r="VGB28" s="1688"/>
      <c r="VGC28" s="1688"/>
      <c r="VGD28" s="1688"/>
      <c r="VGE28" s="1688"/>
      <c r="VGF28" s="1688"/>
      <c r="VGG28" s="1688"/>
      <c r="VGH28" s="1688"/>
      <c r="VGI28" s="1688"/>
      <c r="VGJ28" s="1688"/>
      <c r="VGK28" s="1688"/>
      <c r="VGL28" s="1688"/>
      <c r="VGM28" s="1688"/>
      <c r="VGN28" s="1688"/>
      <c r="VGO28" s="1688"/>
      <c r="VGP28" s="1688"/>
      <c r="VGQ28" s="1688"/>
      <c r="VGR28" s="1688"/>
      <c r="VGS28" s="1688"/>
      <c r="VGT28" s="1688"/>
      <c r="VGU28" s="1688"/>
      <c r="VGV28" s="1688"/>
      <c r="VGW28" s="1688"/>
      <c r="VGX28" s="1688"/>
      <c r="VGY28" s="1688"/>
      <c r="VGZ28" s="1688"/>
      <c r="VHA28" s="1688"/>
      <c r="VHB28" s="1688"/>
      <c r="VHC28" s="1688"/>
      <c r="VHD28" s="1688"/>
      <c r="VHE28" s="1688"/>
      <c r="VHF28" s="1688"/>
      <c r="VHG28" s="1688"/>
      <c r="VHH28" s="1688"/>
      <c r="VHI28" s="1688"/>
      <c r="VHJ28" s="1688"/>
      <c r="VHK28" s="1688"/>
      <c r="VHL28" s="1688"/>
      <c r="VHM28" s="1688"/>
      <c r="VHN28" s="1688"/>
      <c r="VHO28" s="1688"/>
      <c r="VHP28" s="1688"/>
      <c r="VHQ28" s="1688"/>
      <c r="VHR28" s="1688"/>
      <c r="VHS28" s="1688"/>
      <c r="VHT28" s="1688"/>
      <c r="VHU28" s="1688"/>
      <c r="VHV28" s="1688"/>
      <c r="VHW28" s="1688"/>
      <c r="VHX28" s="1688"/>
      <c r="VHY28" s="1688"/>
      <c r="VHZ28" s="1688"/>
      <c r="VIA28" s="1688"/>
      <c r="VIB28" s="1688"/>
      <c r="VIC28" s="1688"/>
      <c r="VID28" s="1688"/>
      <c r="VIE28" s="1688"/>
      <c r="VIF28" s="1688"/>
      <c r="VIG28" s="1688"/>
      <c r="VIH28" s="1688"/>
      <c r="VII28" s="1688"/>
      <c r="VIJ28" s="1688"/>
      <c r="VIK28" s="1688"/>
      <c r="VIL28" s="1688"/>
      <c r="VIM28" s="1688"/>
      <c r="VIN28" s="1688"/>
      <c r="VIO28" s="1688"/>
      <c r="VIP28" s="1688"/>
      <c r="VIQ28" s="1688"/>
      <c r="VIR28" s="1688"/>
      <c r="VIS28" s="1688"/>
      <c r="VIT28" s="1688"/>
      <c r="VIU28" s="1688"/>
      <c r="VIV28" s="1688"/>
      <c r="VIW28" s="1688"/>
      <c r="VIX28" s="1688"/>
      <c r="VIY28" s="1688"/>
      <c r="VIZ28" s="1688"/>
      <c r="VJA28" s="1688"/>
      <c r="VJB28" s="1688"/>
      <c r="VJC28" s="1688"/>
      <c r="VJD28" s="1688"/>
      <c r="VJE28" s="1688"/>
      <c r="VJF28" s="1688"/>
      <c r="VJG28" s="1688"/>
      <c r="VJH28" s="1688"/>
      <c r="VJI28" s="1688"/>
      <c r="VJJ28" s="1688"/>
      <c r="VJK28" s="1688"/>
      <c r="VJL28" s="1688"/>
      <c r="VJM28" s="1688"/>
      <c r="VJN28" s="1688"/>
      <c r="VJO28" s="1688"/>
      <c r="VJP28" s="1688"/>
      <c r="VJQ28" s="1688"/>
      <c r="VJR28" s="1688"/>
      <c r="VJS28" s="1688"/>
      <c r="VJT28" s="1688"/>
      <c r="VJU28" s="1688"/>
      <c r="VJV28" s="1688"/>
      <c r="VJW28" s="1688"/>
      <c r="VJX28" s="1688"/>
      <c r="VJY28" s="1688"/>
      <c r="VJZ28" s="1688"/>
      <c r="VKA28" s="1688"/>
      <c r="VKB28" s="1688"/>
      <c r="VKC28" s="1688"/>
      <c r="VKD28" s="1688"/>
      <c r="VKE28" s="1688"/>
      <c r="VKF28" s="1688"/>
      <c r="VKG28" s="1688"/>
      <c r="VKH28" s="1688"/>
      <c r="VKI28" s="1688"/>
      <c r="VKJ28" s="1688"/>
      <c r="VKK28" s="1688"/>
      <c r="VKL28" s="1688"/>
      <c r="VKM28" s="1688"/>
      <c r="VKN28" s="1688"/>
      <c r="VKO28" s="1688"/>
      <c r="VKP28" s="1688"/>
      <c r="VKQ28" s="1688"/>
      <c r="VKR28" s="1688"/>
      <c r="VKS28" s="1688"/>
      <c r="VKT28" s="1688"/>
      <c r="VKU28" s="1688"/>
      <c r="VKV28" s="1688"/>
      <c r="VKW28" s="1688"/>
      <c r="VKX28" s="1688"/>
      <c r="VKY28" s="1688"/>
      <c r="VKZ28" s="1688"/>
      <c r="VLA28" s="1688"/>
      <c r="VLB28" s="1688"/>
      <c r="VLC28" s="1688"/>
      <c r="VLD28" s="1688"/>
      <c r="VLE28" s="1688"/>
      <c r="VLF28" s="1688"/>
      <c r="VLG28" s="1688"/>
      <c r="VLH28" s="1688"/>
      <c r="VLI28" s="1688"/>
      <c r="VLJ28" s="1688"/>
      <c r="VLK28" s="1688"/>
      <c r="VLL28" s="1688"/>
      <c r="VLM28" s="1688"/>
      <c r="VLN28" s="1688"/>
      <c r="VLO28" s="1688"/>
      <c r="VLP28" s="1688"/>
      <c r="VLQ28" s="1688"/>
      <c r="VLR28" s="1688"/>
      <c r="VLS28" s="1688"/>
      <c r="VLT28" s="1688"/>
      <c r="VLU28" s="1688"/>
      <c r="VLV28" s="1688"/>
      <c r="VLW28" s="1688"/>
      <c r="VLX28" s="1688"/>
      <c r="VLY28" s="1688"/>
      <c r="VLZ28" s="1688"/>
      <c r="VMA28" s="1688"/>
      <c r="VMB28" s="1688"/>
      <c r="VMC28" s="1688"/>
      <c r="VMD28" s="1688"/>
      <c r="VME28" s="1688"/>
      <c r="VMF28" s="1688"/>
      <c r="VMG28" s="1688"/>
      <c r="VMH28" s="1688"/>
      <c r="VMI28" s="1688"/>
      <c r="VMJ28" s="1688"/>
      <c r="VMK28" s="1688"/>
      <c r="VML28" s="1688"/>
      <c r="VMM28" s="1688"/>
      <c r="VMN28" s="1688"/>
      <c r="VMO28" s="1688"/>
      <c r="VMP28" s="1688"/>
      <c r="VMQ28" s="1688"/>
      <c r="VMR28" s="1688"/>
      <c r="VMS28" s="1688"/>
      <c r="VMT28" s="1688"/>
      <c r="VMU28" s="1688"/>
      <c r="VMV28" s="1688"/>
      <c r="VMW28" s="1688"/>
      <c r="VMX28" s="1688"/>
      <c r="VMY28" s="1688"/>
      <c r="VMZ28" s="1688"/>
      <c r="VNA28" s="1688"/>
      <c r="VNB28" s="1688"/>
      <c r="VNC28" s="1688"/>
      <c r="VND28" s="1688"/>
      <c r="VNE28" s="1688"/>
      <c r="VNF28" s="1688"/>
      <c r="VNG28" s="1688"/>
      <c r="VNH28" s="1688"/>
      <c r="VNI28" s="1688"/>
      <c r="VNJ28" s="1688"/>
      <c r="VNK28" s="1688"/>
      <c r="VNL28" s="1688"/>
      <c r="VNM28" s="1688"/>
      <c r="VNN28" s="1688"/>
      <c r="VNO28" s="1688"/>
      <c r="VNP28" s="1688"/>
      <c r="VNQ28" s="1688"/>
      <c r="VNR28" s="1688"/>
      <c r="VNS28" s="1688"/>
      <c r="VNT28" s="1688"/>
      <c r="VNU28" s="1688"/>
      <c r="VNV28" s="1688"/>
      <c r="VNW28" s="1688"/>
      <c r="VNX28" s="1688"/>
      <c r="VNY28" s="1688"/>
      <c r="VNZ28" s="1688"/>
      <c r="VOA28" s="1688"/>
      <c r="VOB28" s="1688"/>
      <c r="VOC28" s="1688"/>
      <c r="VOD28" s="1688"/>
      <c r="VOE28" s="1688"/>
      <c r="VOF28" s="1688"/>
      <c r="VOG28" s="1688"/>
      <c r="VOH28" s="1688"/>
      <c r="VOI28" s="1688"/>
      <c r="VOJ28" s="1688"/>
      <c r="VOK28" s="1688"/>
      <c r="VOL28" s="1688"/>
      <c r="VOM28" s="1688"/>
      <c r="VON28" s="1688"/>
      <c r="VOO28" s="1688"/>
      <c r="VOP28" s="1688"/>
      <c r="VOQ28" s="1688"/>
      <c r="VOR28" s="1688"/>
      <c r="VOS28" s="1688"/>
      <c r="VOT28" s="1688"/>
      <c r="VOU28" s="1688"/>
      <c r="VOV28" s="1688"/>
      <c r="VOW28" s="1688"/>
      <c r="VOX28" s="1688"/>
      <c r="VOY28" s="1688"/>
      <c r="VOZ28" s="1688"/>
      <c r="VPA28" s="1688"/>
      <c r="VPB28" s="1688"/>
      <c r="VPC28" s="1688"/>
      <c r="VPD28" s="1688"/>
      <c r="VPE28" s="1688"/>
      <c r="VPF28" s="1688"/>
      <c r="VPG28" s="1688"/>
      <c r="VPH28" s="1688"/>
      <c r="VPI28" s="1688"/>
      <c r="VPJ28" s="1688"/>
      <c r="VPK28" s="1688"/>
      <c r="VPL28" s="1688"/>
      <c r="VPM28" s="1688"/>
      <c r="VPN28" s="1688"/>
      <c r="VPO28" s="1688"/>
      <c r="VPP28" s="1688"/>
      <c r="VPQ28" s="1688"/>
      <c r="VPR28" s="1688"/>
      <c r="VPS28" s="1688"/>
      <c r="VPT28" s="1688"/>
      <c r="VPU28" s="1688"/>
      <c r="VPV28" s="1688"/>
      <c r="VPW28" s="1688"/>
      <c r="VPX28" s="1688"/>
      <c r="VPY28" s="1688"/>
      <c r="VPZ28" s="1688"/>
      <c r="VQA28" s="1688"/>
      <c r="VQB28" s="1688"/>
      <c r="VQC28" s="1688"/>
      <c r="VQD28" s="1688"/>
      <c r="VQE28" s="1688"/>
      <c r="VQF28" s="1688"/>
      <c r="VQG28" s="1688"/>
      <c r="VQH28" s="1688"/>
      <c r="VQI28" s="1688"/>
      <c r="VQJ28" s="1688"/>
      <c r="VQK28" s="1688"/>
      <c r="VQL28" s="1688"/>
      <c r="VQM28" s="1688"/>
      <c r="VQN28" s="1688"/>
      <c r="VQO28" s="1688"/>
      <c r="VQP28" s="1688"/>
      <c r="VQQ28" s="1688"/>
      <c r="VQR28" s="1688"/>
      <c r="VQS28" s="1688"/>
      <c r="VQT28" s="1688"/>
      <c r="VQU28" s="1688"/>
      <c r="VQV28" s="1688"/>
      <c r="VQW28" s="1688"/>
      <c r="VQX28" s="1688"/>
      <c r="VQY28" s="1688"/>
      <c r="VQZ28" s="1688"/>
      <c r="VRA28" s="1688"/>
      <c r="VRB28" s="1688"/>
      <c r="VRC28" s="1688"/>
      <c r="VRD28" s="1688"/>
      <c r="VRE28" s="1688"/>
      <c r="VRF28" s="1688"/>
      <c r="VRG28" s="1688"/>
      <c r="VRH28" s="1688"/>
      <c r="VRI28" s="1688"/>
      <c r="VRJ28" s="1688"/>
      <c r="VRK28" s="1688"/>
      <c r="VRL28" s="1688"/>
      <c r="VRM28" s="1688"/>
      <c r="VRN28" s="1688"/>
      <c r="VRO28" s="1688"/>
      <c r="VRP28" s="1688"/>
      <c r="VRQ28" s="1688"/>
      <c r="VRR28" s="1688"/>
      <c r="VRS28" s="1688"/>
      <c r="VRT28" s="1688"/>
      <c r="VRU28" s="1688"/>
      <c r="VRV28" s="1688"/>
      <c r="VRW28" s="1688"/>
      <c r="VRX28" s="1688"/>
      <c r="VRY28" s="1688"/>
      <c r="VRZ28" s="1688"/>
      <c r="VSA28" s="1688"/>
      <c r="VSB28" s="1688"/>
      <c r="VSC28" s="1688"/>
      <c r="VSD28" s="1688"/>
      <c r="VSE28" s="1688"/>
      <c r="VSF28" s="1688"/>
      <c r="VSG28" s="1688"/>
      <c r="VSH28" s="1688"/>
      <c r="VSI28" s="1688"/>
      <c r="VSJ28" s="1688"/>
      <c r="VSK28" s="1688"/>
      <c r="VSL28" s="1688"/>
      <c r="VSM28" s="1688"/>
      <c r="VSN28" s="1688"/>
      <c r="VSO28" s="1688"/>
      <c r="VSP28" s="1688"/>
      <c r="VSQ28" s="1688"/>
      <c r="VSR28" s="1688"/>
      <c r="VSS28" s="1688"/>
      <c r="VST28" s="1688"/>
      <c r="VSU28" s="1688"/>
      <c r="VSV28" s="1688"/>
      <c r="VSW28" s="1688"/>
      <c r="VSX28" s="1688"/>
      <c r="VSY28" s="1688"/>
      <c r="VSZ28" s="1688"/>
      <c r="VTA28" s="1688"/>
      <c r="VTB28" s="1688"/>
      <c r="VTC28" s="1688"/>
      <c r="VTD28" s="1688"/>
      <c r="VTE28" s="1688"/>
      <c r="VTF28" s="1688"/>
      <c r="VTG28" s="1688"/>
      <c r="VTH28" s="1688"/>
      <c r="VTI28" s="1688"/>
      <c r="VTJ28" s="1688"/>
      <c r="VTK28" s="1688"/>
      <c r="VTL28" s="1688"/>
      <c r="VTM28" s="1688"/>
      <c r="VTN28" s="1688"/>
      <c r="VTO28" s="1688"/>
      <c r="VTP28" s="1688"/>
      <c r="VTQ28" s="1688"/>
      <c r="VTR28" s="1688"/>
      <c r="VTS28" s="1688"/>
      <c r="VTT28" s="1688"/>
      <c r="VTU28" s="1688"/>
      <c r="VTV28" s="1688"/>
      <c r="VTW28" s="1688"/>
      <c r="VTX28" s="1688"/>
      <c r="VTY28" s="1688"/>
      <c r="VTZ28" s="1688"/>
      <c r="VUA28" s="1688"/>
      <c r="VUB28" s="1688"/>
      <c r="VUC28" s="1688"/>
      <c r="VUD28" s="1688"/>
      <c r="VUE28" s="1688"/>
      <c r="VUF28" s="1688"/>
      <c r="VUG28" s="1688"/>
      <c r="VUH28" s="1688"/>
      <c r="VUI28" s="1688"/>
      <c r="VUJ28" s="1688"/>
      <c r="VUK28" s="1688"/>
      <c r="VUL28" s="1688"/>
      <c r="VUM28" s="1688"/>
      <c r="VUN28" s="1688"/>
      <c r="VUO28" s="1688"/>
      <c r="VUP28" s="1688"/>
      <c r="VUQ28" s="1688"/>
      <c r="VUR28" s="1688"/>
      <c r="VUS28" s="1688"/>
      <c r="VUT28" s="1688"/>
      <c r="VUU28" s="1688"/>
      <c r="VUV28" s="1688"/>
      <c r="VUW28" s="1688"/>
      <c r="VUX28" s="1688"/>
      <c r="VUY28" s="1688"/>
      <c r="VUZ28" s="1688"/>
      <c r="VVA28" s="1688"/>
      <c r="VVB28" s="1688"/>
      <c r="VVC28" s="1688"/>
      <c r="VVD28" s="1688"/>
      <c r="VVE28" s="1688"/>
      <c r="VVF28" s="1688"/>
      <c r="VVG28" s="1688"/>
      <c r="VVH28" s="1688"/>
      <c r="VVI28" s="1688"/>
      <c r="VVJ28" s="1688"/>
      <c r="VVK28" s="1688"/>
      <c r="VVL28" s="1688"/>
      <c r="VVM28" s="1688"/>
      <c r="VVN28" s="1688"/>
      <c r="VVO28" s="1688"/>
      <c r="VVP28" s="1688"/>
      <c r="VVQ28" s="1688"/>
      <c r="VVR28" s="1688"/>
      <c r="VVS28" s="1688"/>
      <c r="VVT28" s="1688"/>
      <c r="VVU28" s="1688"/>
      <c r="VVV28" s="1688"/>
      <c r="VVW28" s="1688"/>
      <c r="VVX28" s="1688"/>
      <c r="VVY28" s="1688"/>
      <c r="VVZ28" s="1688"/>
      <c r="VWA28" s="1688"/>
      <c r="VWB28" s="1688"/>
      <c r="VWC28" s="1688"/>
      <c r="VWD28" s="1688"/>
      <c r="VWE28" s="1688"/>
      <c r="VWF28" s="1688"/>
      <c r="VWG28" s="1688"/>
      <c r="VWH28" s="1688"/>
      <c r="VWI28" s="1688"/>
      <c r="VWJ28" s="1688"/>
      <c r="VWK28" s="1688"/>
      <c r="VWL28" s="1688"/>
      <c r="VWM28" s="1688"/>
      <c r="VWN28" s="1688"/>
      <c r="VWO28" s="1688"/>
      <c r="VWP28" s="1688"/>
      <c r="VWQ28" s="1688"/>
      <c r="VWR28" s="1688"/>
      <c r="VWS28" s="1688"/>
      <c r="VWT28" s="1688"/>
      <c r="VWU28" s="1688"/>
      <c r="VWV28" s="1688"/>
      <c r="VWW28" s="1688"/>
      <c r="VWX28" s="1688"/>
      <c r="VWY28" s="1688"/>
      <c r="VWZ28" s="1688"/>
      <c r="VXA28" s="1688"/>
      <c r="VXB28" s="1688"/>
      <c r="VXC28" s="1688"/>
      <c r="VXD28" s="1688"/>
      <c r="VXE28" s="1688"/>
      <c r="VXF28" s="1688"/>
      <c r="VXG28" s="1688"/>
      <c r="VXH28" s="1688"/>
      <c r="VXI28" s="1688"/>
      <c r="VXJ28" s="1688"/>
      <c r="VXK28" s="1688"/>
      <c r="VXL28" s="1688"/>
      <c r="VXM28" s="1688"/>
      <c r="VXN28" s="1688"/>
      <c r="VXO28" s="1688"/>
      <c r="VXP28" s="1688"/>
      <c r="VXQ28" s="1688"/>
      <c r="VXR28" s="1688"/>
      <c r="VXS28" s="1688"/>
      <c r="VXT28" s="1688"/>
      <c r="VXU28" s="1688"/>
      <c r="VXV28" s="1688"/>
      <c r="VXW28" s="1688"/>
      <c r="VXX28" s="1688"/>
      <c r="VXY28" s="1688"/>
      <c r="VXZ28" s="1688"/>
      <c r="VYA28" s="1688"/>
      <c r="VYB28" s="1688"/>
      <c r="VYC28" s="1688"/>
      <c r="VYD28" s="1688"/>
      <c r="VYE28" s="1688"/>
      <c r="VYF28" s="1688"/>
      <c r="VYG28" s="1688"/>
      <c r="VYH28" s="1688"/>
      <c r="VYI28" s="1688"/>
      <c r="VYJ28" s="1688"/>
      <c r="VYK28" s="1688"/>
      <c r="VYL28" s="1688"/>
      <c r="VYM28" s="1688"/>
      <c r="VYN28" s="1688"/>
      <c r="VYO28" s="1688"/>
      <c r="VYP28" s="1688"/>
      <c r="VYQ28" s="1688"/>
      <c r="VYR28" s="1688"/>
      <c r="VYS28" s="1688"/>
      <c r="VYT28" s="1688"/>
      <c r="VYU28" s="1688"/>
      <c r="VYV28" s="1688"/>
      <c r="VYW28" s="1688"/>
      <c r="VYX28" s="1688"/>
      <c r="VYY28" s="1688"/>
      <c r="VYZ28" s="1688"/>
      <c r="VZA28" s="1688"/>
      <c r="VZB28" s="1688"/>
      <c r="VZC28" s="1688"/>
      <c r="VZD28" s="1688"/>
      <c r="VZE28" s="1688"/>
      <c r="VZF28" s="1688"/>
      <c r="VZG28" s="1688"/>
      <c r="VZH28" s="1688"/>
      <c r="VZI28" s="1688"/>
      <c r="VZJ28" s="1688"/>
      <c r="VZK28" s="1688"/>
      <c r="VZL28" s="1688"/>
      <c r="VZM28" s="1688"/>
      <c r="VZN28" s="1688"/>
      <c r="VZO28" s="1688"/>
      <c r="VZP28" s="1688"/>
      <c r="VZQ28" s="1688"/>
      <c r="VZR28" s="1688"/>
      <c r="VZS28" s="1688"/>
      <c r="VZT28" s="1688"/>
      <c r="VZU28" s="1688"/>
      <c r="VZV28" s="1688"/>
      <c r="VZW28" s="1688"/>
      <c r="VZX28" s="1688"/>
      <c r="VZY28" s="1688"/>
      <c r="VZZ28" s="1688"/>
      <c r="WAA28" s="1688"/>
      <c r="WAB28" s="1688"/>
      <c r="WAC28" s="1688"/>
      <c r="WAD28" s="1688"/>
      <c r="WAE28" s="1688"/>
      <c r="WAF28" s="1688"/>
      <c r="WAG28" s="1688"/>
      <c r="WAH28" s="1688"/>
      <c r="WAI28" s="1688"/>
      <c r="WAJ28" s="1688"/>
      <c r="WAK28" s="1688"/>
      <c r="WAL28" s="1688"/>
      <c r="WAM28" s="1688"/>
      <c r="WAN28" s="1688"/>
      <c r="WAO28" s="1688"/>
      <c r="WAP28" s="1688"/>
      <c r="WAQ28" s="1688"/>
      <c r="WAR28" s="1688"/>
      <c r="WAS28" s="1688"/>
      <c r="WAT28" s="1688"/>
      <c r="WAU28" s="1688"/>
      <c r="WAV28" s="1688"/>
      <c r="WAW28" s="1688"/>
      <c r="WAX28" s="1688"/>
      <c r="WAY28" s="1688"/>
      <c r="WAZ28" s="1688"/>
      <c r="WBA28" s="1688"/>
      <c r="WBB28" s="1688"/>
      <c r="WBC28" s="1688"/>
      <c r="WBD28" s="1688"/>
      <c r="WBE28" s="1688"/>
      <c r="WBF28" s="1688"/>
      <c r="WBG28" s="1688"/>
      <c r="WBH28" s="1688"/>
      <c r="WBI28" s="1688"/>
      <c r="WBJ28" s="1688"/>
      <c r="WBK28" s="1688"/>
      <c r="WBL28" s="1688"/>
      <c r="WBM28" s="1688"/>
      <c r="WBN28" s="1688"/>
      <c r="WBO28" s="1688"/>
      <c r="WBP28" s="1688"/>
      <c r="WBQ28" s="1688"/>
      <c r="WBR28" s="1688"/>
      <c r="WBS28" s="1688"/>
      <c r="WBT28" s="1688"/>
      <c r="WBU28" s="1688"/>
      <c r="WBV28" s="1688"/>
      <c r="WBW28" s="1688"/>
      <c r="WBX28" s="1688"/>
      <c r="WBY28" s="1688"/>
      <c r="WBZ28" s="1688"/>
      <c r="WCA28" s="1688"/>
      <c r="WCB28" s="1688"/>
      <c r="WCC28" s="1688"/>
      <c r="WCD28" s="1688"/>
      <c r="WCE28" s="1688"/>
      <c r="WCF28" s="1688"/>
      <c r="WCG28" s="1688"/>
      <c r="WCH28" s="1688"/>
      <c r="WCI28" s="1688"/>
      <c r="WCJ28" s="1688"/>
      <c r="WCK28" s="1688"/>
      <c r="WCL28" s="1688"/>
      <c r="WCM28" s="1688"/>
      <c r="WCN28" s="1688"/>
      <c r="WCO28" s="1688"/>
      <c r="WCP28" s="1688"/>
      <c r="WCQ28" s="1688"/>
      <c r="WCR28" s="1688"/>
      <c r="WCS28" s="1688"/>
      <c r="WCT28" s="1688"/>
      <c r="WCU28" s="1688"/>
      <c r="WCV28" s="1688"/>
      <c r="WCW28" s="1688"/>
      <c r="WCX28" s="1688"/>
      <c r="WCY28" s="1688"/>
      <c r="WCZ28" s="1688"/>
      <c r="WDA28" s="1688"/>
      <c r="WDB28" s="1688"/>
      <c r="WDC28" s="1688"/>
      <c r="WDD28" s="1688"/>
      <c r="WDE28" s="1688"/>
      <c r="WDF28" s="1688"/>
      <c r="WDG28" s="1688"/>
      <c r="WDH28" s="1688"/>
      <c r="WDI28" s="1688"/>
      <c r="WDJ28" s="1688"/>
      <c r="WDK28" s="1688"/>
      <c r="WDL28" s="1688"/>
      <c r="WDM28" s="1688"/>
      <c r="WDN28" s="1688"/>
      <c r="WDO28" s="1688"/>
      <c r="WDP28" s="1688"/>
      <c r="WDQ28" s="1688"/>
      <c r="WDR28" s="1688"/>
      <c r="WDS28" s="1688"/>
      <c r="WDT28" s="1688"/>
      <c r="WDU28" s="1688"/>
      <c r="WDV28" s="1688"/>
      <c r="WDW28" s="1688"/>
      <c r="WDX28" s="1688"/>
      <c r="WDY28" s="1688"/>
      <c r="WDZ28" s="1688"/>
      <c r="WEA28" s="1688"/>
      <c r="WEB28" s="1688"/>
      <c r="WEC28" s="1688"/>
      <c r="WED28" s="1688"/>
      <c r="WEE28" s="1688"/>
      <c r="WEF28" s="1688"/>
      <c r="WEG28" s="1688"/>
      <c r="WEH28" s="1688"/>
      <c r="WEI28" s="1688"/>
      <c r="WEJ28" s="1688"/>
      <c r="WEK28" s="1688"/>
      <c r="WEL28" s="1688"/>
      <c r="WEM28" s="1688"/>
      <c r="WEN28" s="1688"/>
      <c r="WEO28" s="1688"/>
      <c r="WEP28" s="1688"/>
      <c r="WEQ28" s="1688"/>
      <c r="WER28" s="1688"/>
      <c r="WES28" s="1688"/>
      <c r="WET28" s="1688"/>
      <c r="WEU28" s="1688"/>
      <c r="WEV28" s="1688"/>
      <c r="WEW28" s="1688"/>
      <c r="WEX28" s="1688"/>
      <c r="WEY28" s="1688"/>
      <c r="WEZ28" s="1688"/>
      <c r="WFA28" s="1688"/>
      <c r="WFB28" s="1688"/>
      <c r="WFC28" s="1688"/>
      <c r="WFD28" s="1688"/>
      <c r="WFE28" s="1688"/>
      <c r="WFF28" s="1688"/>
      <c r="WFG28" s="1688"/>
      <c r="WFH28" s="1688"/>
      <c r="WFI28" s="1688"/>
      <c r="WFJ28" s="1688"/>
      <c r="WFK28" s="1688"/>
      <c r="WFL28" s="1688"/>
      <c r="WFM28" s="1688"/>
      <c r="WFN28" s="1688"/>
      <c r="WFO28" s="1688"/>
      <c r="WFP28" s="1688"/>
      <c r="WFQ28" s="1688"/>
      <c r="WFR28" s="1688"/>
      <c r="WFS28" s="1688"/>
      <c r="WFT28" s="1688"/>
      <c r="WFU28" s="1688"/>
      <c r="WFV28" s="1688"/>
      <c r="WFW28" s="1688"/>
      <c r="WFX28" s="1688"/>
      <c r="WFY28" s="1688"/>
      <c r="WFZ28" s="1688"/>
      <c r="WGA28" s="1688"/>
      <c r="WGB28" s="1688"/>
      <c r="WGC28" s="1688"/>
      <c r="WGD28" s="1688"/>
      <c r="WGE28" s="1688"/>
      <c r="WGF28" s="1688"/>
      <c r="WGG28" s="1688"/>
      <c r="WGH28" s="1688"/>
      <c r="WGI28" s="1688"/>
      <c r="WGJ28" s="1688"/>
      <c r="WGK28" s="1688"/>
      <c r="WGL28" s="1688"/>
      <c r="WGM28" s="1688"/>
      <c r="WGN28" s="1688"/>
      <c r="WGO28" s="1688"/>
      <c r="WGP28" s="1688"/>
      <c r="WGQ28" s="1688"/>
      <c r="WGR28" s="1688"/>
      <c r="WGS28" s="1688"/>
      <c r="WGT28" s="1688"/>
      <c r="WGU28" s="1688"/>
      <c r="WGV28" s="1688"/>
      <c r="WGW28" s="1688"/>
      <c r="WGX28" s="1688"/>
      <c r="WGY28" s="1688"/>
      <c r="WGZ28" s="1688"/>
      <c r="WHA28" s="1688"/>
      <c r="WHB28" s="1688"/>
      <c r="WHC28" s="1688"/>
      <c r="WHD28" s="1688"/>
      <c r="WHE28" s="1688"/>
      <c r="WHF28" s="1688"/>
      <c r="WHG28" s="1688"/>
      <c r="WHH28" s="1688"/>
      <c r="WHI28" s="1688"/>
      <c r="WHJ28" s="1688"/>
      <c r="WHK28" s="1688"/>
      <c r="WHL28" s="1688"/>
      <c r="WHM28" s="1688"/>
      <c r="WHN28" s="1688"/>
      <c r="WHO28" s="1688"/>
      <c r="WHP28" s="1688"/>
      <c r="WHQ28" s="1688"/>
      <c r="WHR28" s="1688"/>
      <c r="WHS28" s="1688"/>
      <c r="WHT28" s="1688"/>
      <c r="WHU28" s="1688"/>
      <c r="WHV28" s="1688"/>
      <c r="WHW28" s="1688"/>
      <c r="WHX28" s="1688"/>
      <c r="WHY28" s="1688"/>
      <c r="WHZ28" s="1688"/>
      <c r="WIA28" s="1688"/>
      <c r="WIB28" s="1688"/>
      <c r="WIC28" s="1688"/>
      <c r="WID28" s="1688"/>
      <c r="WIE28" s="1688"/>
      <c r="WIF28" s="1688"/>
      <c r="WIG28" s="1688"/>
      <c r="WIH28" s="1688"/>
      <c r="WII28" s="1688"/>
      <c r="WIJ28" s="1688"/>
      <c r="WIK28" s="1688"/>
      <c r="WIL28" s="1688"/>
      <c r="WIM28" s="1688"/>
      <c r="WIN28" s="1688"/>
      <c r="WIO28" s="1688"/>
      <c r="WIP28" s="1688"/>
      <c r="WIQ28" s="1688"/>
      <c r="WIR28" s="1688"/>
      <c r="WIS28" s="1688"/>
      <c r="WIT28" s="1688"/>
      <c r="WIU28" s="1688"/>
      <c r="WIV28" s="1688"/>
      <c r="WIW28" s="1688"/>
      <c r="WIX28" s="1688"/>
      <c r="WIY28" s="1688"/>
      <c r="WIZ28" s="1688"/>
      <c r="WJA28" s="1688"/>
      <c r="WJB28" s="1688"/>
      <c r="WJC28" s="1688"/>
      <c r="WJD28" s="1688"/>
      <c r="WJE28" s="1688"/>
      <c r="WJF28" s="1688"/>
      <c r="WJG28" s="1688"/>
      <c r="WJH28" s="1688"/>
      <c r="WJI28" s="1688"/>
      <c r="WJJ28" s="1688"/>
      <c r="WJK28" s="1688"/>
      <c r="WJL28" s="1688"/>
      <c r="WJM28" s="1688"/>
      <c r="WJN28" s="1688"/>
      <c r="WJO28" s="1688"/>
      <c r="WJP28" s="1688"/>
      <c r="WJQ28" s="1688"/>
      <c r="WJR28" s="1688"/>
      <c r="WJS28" s="1688"/>
      <c r="WJT28" s="1688"/>
      <c r="WJU28" s="1688"/>
      <c r="WJV28" s="1688"/>
      <c r="WJW28" s="1688"/>
      <c r="WJX28" s="1688"/>
      <c r="WJY28" s="1688"/>
      <c r="WJZ28" s="1688"/>
      <c r="WKA28" s="1688"/>
      <c r="WKB28" s="1688"/>
      <c r="WKC28" s="1688"/>
      <c r="WKD28" s="1688"/>
      <c r="WKE28" s="1688"/>
      <c r="WKF28" s="1688"/>
      <c r="WKG28" s="1688"/>
      <c r="WKH28" s="1688"/>
      <c r="WKI28" s="1688"/>
      <c r="WKJ28" s="1688"/>
      <c r="WKK28" s="1688"/>
      <c r="WKL28" s="1688"/>
      <c r="WKM28" s="1688"/>
      <c r="WKN28" s="1688"/>
      <c r="WKO28" s="1688"/>
      <c r="WKP28" s="1688"/>
      <c r="WKQ28" s="1688"/>
      <c r="WKR28" s="1688"/>
      <c r="WKS28" s="1688"/>
      <c r="WKT28" s="1688"/>
      <c r="WKU28" s="1688"/>
      <c r="WKV28" s="1688"/>
      <c r="WKW28" s="1688"/>
      <c r="WKX28" s="1688"/>
      <c r="WKY28" s="1688"/>
      <c r="WKZ28" s="1688"/>
      <c r="WLA28" s="1688"/>
      <c r="WLB28" s="1688"/>
      <c r="WLC28" s="1688"/>
      <c r="WLD28" s="1688"/>
      <c r="WLE28" s="1688"/>
      <c r="WLF28" s="1688"/>
      <c r="WLG28" s="1688"/>
      <c r="WLH28" s="1688"/>
      <c r="WLI28" s="1688"/>
      <c r="WLJ28" s="1688"/>
      <c r="WLK28" s="1688"/>
      <c r="WLL28" s="1688"/>
      <c r="WLM28" s="1688"/>
      <c r="WLN28" s="1688"/>
      <c r="WLO28" s="1688"/>
      <c r="WLP28" s="1688"/>
      <c r="WLQ28" s="1688"/>
      <c r="WLR28" s="1688"/>
      <c r="WLS28" s="1688"/>
      <c r="WLT28" s="1688"/>
      <c r="WLU28" s="1688"/>
      <c r="WLV28" s="1688"/>
      <c r="WLW28" s="1688"/>
      <c r="WLX28" s="1688"/>
      <c r="WLY28" s="1688"/>
      <c r="WLZ28" s="1688"/>
      <c r="WMA28" s="1688"/>
      <c r="WMB28" s="1688"/>
      <c r="WMC28" s="1688"/>
      <c r="WMD28" s="1688"/>
      <c r="WME28" s="1688"/>
      <c r="WMF28" s="1688"/>
      <c r="WMG28" s="1688"/>
      <c r="WMH28" s="1688"/>
      <c r="WMI28" s="1688"/>
      <c r="WMJ28" s="1688"/>
      <c r="WMK28" s="1688"/>
      <c r="WML28" s="1688"/>
      <c r="WMM28" s="1688"/>
      <c r="WMN28" s="1688"/>
      <c r="WMO28" s="1688"/>
      <c r="WMP28" s="1688"/>
      <c r="WMQ28" s="1688"/>
      <c r="WMR28" s="1688"/>
      <c r="WMS28" s="1688"/>
      <c r="WMT28" s="1688"/>
      <c r="WMU28" s="1688"/>
      <c r="WMV28" s="1688"/>
      <c r="WMW28" s="1688"/>
      <c r="WMX28" s="1688"/>
      <c r="WMY28" s="1688"/>
      <c r="WMZ28" s="1688"/>
      <c r="WNA28" s="1688"/>
      <c r="WNB28" s="1688"/>
      <c r="WNC28" s="1688"/>
      <c r="WND28" s="1688"/>
      <c r="WNE28" s="1688"/>
      <c r="WNF28" s="1688"/>
      <c r="WNG28" s="1688"/>
      <c r="WNH28" s="1688"/>
      <c r="WNI28" s="1688"/>
      <c r="WNJ28" s="1688"/>
      <c r="WNK28" s="1688"/>
      <c r="WNL28" s="1688"/>
      <c r="WNM28" s="1688"/>
      <c r="WNN28" s="1688"/>
      <c r="WNO28" s="1688"/>
      <c r="WNP28" s="1688"/>
      <c r="WNQ28" s="1688"/>
      <c r="WNR28" s="1688"/>
      <c r="WNS28" s="1688"/>
      <c r="WNT28" s="1688"/>
      <c r="WNU28" s="1688"/>
      <c r="WNV28" s="1688"/>
      <c r="WNW28" s="1688"/>
      <c r="WNX28" s="1688"/>
      <c r="WNY28" s="1688"/>
      <c r="WNZ28" s="1688"/>
      <c r="WOA28" s="1688"/>
      <c r="WOB28" s="1688"/>
      <c r="WOC28" s="1688"/>
      <c r="WOD28" s="1688"/>
      <c r="WOE28" s="1688"/>
      <c r="WOF28" s="1688"/>
      <c r="WOG28" s="1688"/>
      <c r="WOH28" s="1688"/>
      <c r="WOI28" s="1688"/>
      <c r="WOJ28" s="1688"/>
      <c r="WOK28" s="1688"/>
      <c r="WOL28" s="1688"/>
      <c r="WOM28" s="1688"/>
      <c r="WON28" s="1688"/>
      <c r="WOO28" s="1688"/>
      <c r="WOP28" s="1688"/>
      <c r="WOQ28" s="1688"/>
      <c r="WOR28" s="1688"/>
      <c r="WOS28" s="1688"/>
      <c r="WOT28" s="1688"/>
      <c r="WOU28" s="1688"/>
      <c r="WOV28" s="1688"/>
      <c r="WOW28" s="1688"/>
      <c r="WOX28" s="1688"/>
      <c r="WOY28" s="1688"/>
      <c r="WOZ28" s="1688"/>
      <c r="WPA28" s="1688"/>
      <c r="WPB28" s="1688"/>
      <c r="WPC28" s="1688"/>
      <c r="WPD28" s="1688"/>
      <c r="WPE28" s="1688"/>
      <c r="WPF28" s="1688"/>
      <c r="WPG28" s="1688"/>
      <c r="WPH28" s="1688"/>
      <c r="WPI28" s="1688"/>
      <c r="WPJ28" s="1688"/>
      <c r="WPK28" s="1688"/>
      <c r="WPL28" s="1688"/>
      <c r="WPM28" s="1688"/>
      <c r="WPN28" s="1688"/>
      <c r="WPO28" s="1688"/>
      <c r="WPP28" s="1688"/>
      <c r="WPQ28" s="1688"/>
      <c r="WPR28" s="1688"/>
      <c r="WPS28" s="1688"/>
      <c r="WPT28" s="1688"/>
      <c r="WPU28" s="1688"/>
      <c r="WPV28" s="1688"/>
      <c r="WPW28" s="1688"/>
      <c r="WPX28" s="1688"/>
      <c r="WPY28" s="1688"/>
      <c r="WPZ28" s="1688"/>
      <c r="WQA28" s="1688"/>
      <c r="WQB28" s="1688"/>
      <c r="WQC28" s="1688"/>
      <c r="WQD28" s="1688"/>
      <c r="WQE28" s="1688"/>
      <c r="WQF28" s="1688"/>
      <c r="WQG28" s="1688"/>
      <c r="WQH28" s="1688"/>
      <c r="WQI28" s="1688"/>
      <c r="WQJ28" s="1688"/>
      <c r="WQK28" s="1688"/>
      <c r="WQL28" s="1688"/>
      <c r="WQM28" s="1688"/>
      <c r="WQN28" s="1688"/>
      <c r="WQO28" s="1688"/>
      <c r="WQP28" s="1688"/>
      <c r="WQQ28" s="1688"/>
      <c r="WQR28" s="1688"/>
      <c r="WQS28" s="1688"/>
      <c r="WQT28" s="1688"/>
      <c r="WQU28" s="1688"/>
      <c r="WQV28" s="1688"/>
      <c r="WQW28" s="1688"/>
      <c r="WQX28" s="1688"/>
      <c r="WQY28" s="1688"/>
      <c r="WQZ28" s="1688"/>
      <c r="WRA28" s="1688"/>
      <c r="WRB28" s="1688"/>
      <c r="WRC28" s="1688"/>
      <c r="WRD28" s="1688"/>
      <c r="WRE28" s="1688"/>
      <c r="WRF28" s="1688"/>
      <c r="WRG28" s="1688"/>
      <c r="WRH28" s="1688"/>
      <c r="WRI28" s="1688"/>
      <c r="WRJ28" s="1688"/>
      <c r="WRK28" s="1688"/>
      <c r="WRL28" s="1688"/>
      <c r="WRM28" s="1688"/>
      <c r="WRN28" s="1688"/>
      <c r="WRO28" s="1688"/>
      <c r="WRP28" s="1688"/>
      <c r="WRQ28" s="1688"/>
      <c r="WRR28" s="1688"/>
      <c r="WRS28" s="1688"/>
      <c r="WRT28" s="1688"/>
      <c r="WRU28" s="1688"/>
      <c r="WRV28" s="1688"/>
      <c r="WRW28" s="1688"/>
      <c r="WRX28" s="1688"/>
      <c r="WRY28" s="1688"/>
      <c r="WRZ28" s="1688"/>
      <c r="WSA28" s="1688"/>
      <c r="WSB28" s="1688"/>
      <c r="WSC28" s="1688"/>
      <c r="WSD28" s="1688"/>
      <c r="WSE28" s="1688"/>
      <c r="WSF28" s="1688"/>
      <c r="WSG28" s="1688"/>
      <c r="WSH28" s="1688"/>
      <c r="WSI28" s="1688"/>
      <c r="WSJ28" s="1688"/>
      <c r="WSK28" s="1688"/>
      <c r="WSL28" s="1688"/>
      <c r="WSM28" s="1688"/>
      <c r="WSN28" s="1688"/>
      <c r="WSO28" s="1688"/>
      <c r="WSP28" s="1688"/>
      <c r="WSQ28" s="1688"/>
      <c r="WSR28" s="1688"/>
      <c r="WSS28" s="1688"/>
      <c r="WST28" s="1688"/>
      <c r="WSU28" s="1688"/>
      <c r="WSV28" s="1688"/>
      <c r="WSW28" s="1688"/>
      <c r="WSX28" s="1688"/>
      <c r="WSY28" s="1688"/>
      <c r="WSZ28" s="1688"/>
      <c r="WTA28" s="1688"/>
      <c r="WTB28" s="1688"/>
      <c r="WTC28" s="1688"/>
      <c r="WTD28" s="1688"/>
      <c r="WTE28" s="1688"/>
      <c r="WTF28" s="1688"/>
      <c r="WTG28" s="1688"/>
      <c r="WTH28" s="1688"/>
      <c r="WTI28" s="1688"/>
      <c r="WTJ28" s="1688"/>
      <c r="WTK28" s="1688"/>
      <c r="WTL28" s="1688"/>
      <c r="WTM28" s="1688"/>
      <c r="WTN28" s="1688"/>
      <c r="WTO28" s="1688"/>
      <c r="WTP28" s="1688"/>
      <c r="WTQ28" s="1688"/>
      <c r="WTR28" s="1688"/>
      <c r="WTS28" s="1688"/>
      <c r="WTT28" s="1688"/>
      <c r="WTU28" s="1688"/>
      <c r="WTV28" s="1688"/>
      <c r="WTW28" s="1688"/>
      <c r="WTX28" s="1688"/>
      <c r="WTY28" s="1688"/>
      <c r="WTZ28" s="1688"/>
      <c r="WUA28" s="1688"/>
      <c r="WUB28" s="1688"/>
      <c r="WUC28" s="1688"/>
      <c r="WUD28" s="1688"/>
      <c r="WUE28" s="1688"/>
      <c r="WUF28" s="1688"/>
      <c r="WUG28" s="1688"/>
      <c r="WUH28" s="1688"/>
      <c r="WUI28" s="1688"/>
      <c r="WUJ28" s="1688"/>
      <c r="WUK28" s="1688"/>
      <c r="WUL28" s="1688"/>
      <c r="WUM28" s="1688"/>
      <c r="WUN28" s="1688"/>
      <c r="WUO28" s="1688"/>
      <c r="WUP28" s="1688"/>
      <c r="WUQ28" s="1688"/>
      <c r="WUR28" s="1688"/>
      <c r="WUS28" s="1688"/>
      <c r="WUT28" s="1688"/>
      <c r="WUU28" s="1688"/>
      <c r="WUV28" s="1688"/>
      <c r="WUW28" s="1688"/>
      <c r="WUX28" s="1688"/>
      <c r="WUY28" s="1688"/>
      <c r="WUZ28" s="1688"/>
      <c r="WVA28" s="1688"/>
      <c r="WVB28" s="1688"/>
      <c r="WVC28" s="1688"/>
      <c r="WVD28" s="1688"/>
      <c r="WVE28" s="1688"/>
      <c r="WVF28" s="1688"/>
      <c r="WVG28" s="1688"/>
      <c r="WVH28" s="1688"/>
      <c r="WVI28" s="1688"/>
      <c r="WVJ28" s="1688"/>
      <c r="WVK28" s="1688"/>
      <c r="WVL28" s="1688"/>
      <c r="WVM28" s="1688"/>
      <c r="WVN28" s="1688"/>
      <c r="WVO28" s="1688"/>
      <c r="WVP28" s="1688"/>
      <c r="WVQ28" s="1688"/>
      <c r="WVR28" s="1688"/>
      <c r="WVS28" s="1688"/>
      <c r="WVT28" s="1688"/>
      <c r="WVU28" s="1688"/>
      <c r="WVV28" s="1688"/>
      <c r="WVW28" s="1688"/>
      <c r="WVX28" s="1688"/>
      <c r="WVY28" s="1688"/>
      <c r="WVZ28" s="1688"/>
      <c r="WWA28" s="1688"/>
      <c r="WWB28" s="1688"/>
      <c r="WWC28" s="1688"/>
      <c r="WWD28" s="1688"/>
      <c r="WWE28" s="1688"/>
      <c r="WWF28" s="1688"/>
      <c r="WWG28" s="1688"/>
      <c r="WWH28" s="1688"/>
      <c r="WWI28" s="1688"/>
      <c r="WWJ28" s="1688"/>
      <c r="WWK28" s="1688"/>
      <c r="WWL28" s="1688"/>
      <c r="WWM28" s="1688"/>
      <c r="WWN28" s="1688"/>
      <c r="WWO28" s="1688"/>
      <c r="WWP28" s="1688"/>
      <c r="WWQ28" s="1688"/>
      <c r="WWR28" s="1688"/>
      <c r="WWS28" s="1688"/>
      <c r="WWT28" s="1688"/>
      <c r="WWU28" s="1688"/>
      <c r="WWV28" s="1688"/>
      <c r="WWW28" s="1688"/>
      <c r="WWX28" s="1688"/>
      <c r="WWY28" s="1688"/>
      <c r="WWZ28" s="1688"/>
      <c r="WXA28" s="1688"/>
      <c r="WXB28" s="1688"/>
      <c r="WXC28" s="1688"/>
      <c r="WXD28" s="1688"/>
      <c r="WXE28" s="1688"/>
      <c r="WXF28" s="1688"/>
      <c r="WXG28" s="1688"/>
      <c r="WXH28" s="1688"/>
      <c r="WXI28" s="1688"/>
      <c r="WXJ28" s="1688"/>
      <c r="WXK28" s="1688"/>
      <c r="WXL28" s="1688"/>
      <c r="WXM28" s="1688"/>
      <c r="WXN28" s="1688"/>
      <c r="WXO28" s="1688"/>
      <c r="WXP28" s="1688"/>
      <c r="WXQ28" s="1688"/>
      <c r="WXR28" s="1688"/>
      <c r="WXS28" s="1688"/>
      <c r="WXT28" s="1688"/>
      <c r="WXU28" s="1688"/>
      <c r="WXV28" s="1688"/>
      <c r="WXW28" s="1688"/>
      <c r="WXX28" s="1688"/>
      <c r="WXY28" s="1688"/>
      <c r="WXZ28" s="1688"/>
      <c r="WYA28" s="1688"/>
      <c r="WYB28" s="1688"/>
      <c r="WYC28" s="1688"/>
      <c r="WYD28" s="1688"/>
      <c r="WYE28" s="1688"/>
      <c r="WYF28" s="1688"/>
      <c r="WYG28" s="1688"/>
      <c r="WYH28" s="1688"/>
      <c r="WYI28" s="1688"/>
      <c r="WYJ28" s="1688"/>
      <c r="WYK28" s="1688"/>
      <c r="WYL28" s="1688"/>
      <c r="WYM28" s="1688"/>
      <c r="WYN28" s="1688"/>
      <c r="WYO28" s="1688"/>
      <c r="WYP28" s="1688"/>
      <c r="WYQ28" s="1688"/>
      <c r="WYR28" s="1688"/>
      <c r="WYS28" s="1688"/>
      <c r="WYT28" s="1688"/>
      <c r="WYU28" s="1688"/>
      <c r="WYV28" s="1688"/>
      <c r="WYW28" s="1688"/>
      <c r="WYX28" s="1688"/>
      <c r="WYY28" s="1688"/>
      <c r="WYZ28" s="1688"/>
      <c r="WZA28" s="1688"/>
      <c r="WZB28" s="1688"/>
      <c r="WZC28" s="1688"/>
      <c r="WZD28" s="1688"/>
      <c r="WZE28" s="1688"/>
      <c r="WZF28" s="1688"/>
      <c r="WZG28" s="1688"/>
      <c r="WZH28" s="1688"/>
      <c r="WZI28" s="1688"/>
      <c r="WZJ28" s="1688"/>
      <c r="WZK28" s="1688"/>
      <c r="WZL28" s="1688"/>
      <c r="WZM28" s="1688"/>
      <c r="WZN28" s="1688"/>
      <c r="WZO28" s="1688"/>
      <c r="WZP28" s="1688"/>
      <c r="WZQ28" s="1688"/>
      <c r="WZR28" s="1688"/>
      <c r="WZS28" s="1688"/>
      <c r="WZT28" s="1688"/>
      <c r="WZU28" s="1688"/>
      <c r="WZV28" s="1688"/>
      <c r="WZW28" s="1688"/>
      <c r="WZX28" s="1688"/>
      <c r="WZY28" s="1688"/>
      <c r="WZZ28" s="1688"/>
      <c r="XAA28" s="1688"/>
      <c r="XAB28" s="1688"/>
      <c r="XAC28" s="1688"/>
      <c r="XAD28" s="1688"/>
      <c r="XAE28" s="1688"/>
      <c r="XAF28" s="1688"/>
      <c r="XAG28" s="1688"/>
      <c r="XAH28" s="1688"/>
      <c r="XAI28" s="1688"/>
      <c r="XAJ28" s="1688"/>
      <c r="XAK28" s="1688"/>
      <c r="XAL28" s="1688"/>
      <c r="XAM28" s="1688"/>
      <c r="XAN28" s="1688"/>
      <c r="XAO28" s="1688"/>
      <c r="XAP28" s="1688"/>
      <c r="XAQ28" s="1688"/>
      <c r="XAR28" s="1688"/>
      <c r="XAS28" s="1688"/>
      <c r="XAT28" s="1688"/>
      <c r="XAU28" s="1688"/>
      <c r="XAV28" s="1688"/>
      <c r="XAW28" s="1688"/>
      <c r="XAX28" s="1688"/>
      <c r="XAY28" s="1688"/>
      <c r="XAZ28" s="1688"/>
      <c r="XBA28" s="1688"/>
      <c r="XBB28" s="1688"/>
      <c r="XBC28" s="1688"/>
      <c r="XBD28" s="1688"/>
      <c r="XBE28" s="1688"/>
      <c r="XBF28" s="1688"/>
      <c r="XBG28" s="1688"/>
      <c r="XBH28" s="1688"/>
      <c r="XBI28" s="1688"/>
      <c r="XBJ28" s="1688"/>
      <c r="XBK28" s="1688"/>
      <c r="XBL28" s="1688"/>
      <c r="XBM28" s="1688"/>
      <c r="XBN28" s="1688"/>
      <c r="XBO28" s="1688"/>
      <c r="XBP28" s="1688"/>
      <c r="XBQ28" s="1688"/>
      <c r="XBR28" s="1688"/>
      <c r="XBS28" s="1688"/>
      <c r="XBT28" s="1688"/>
      <c r="XBU28" s="1688"/>
      <c r="XBV28" s="1688"/>
      <c r="XBW28" s="1688"/>
      <c r="XBX28" s="1688"/>
      <c r="XBY28" s="1688"/>
      <c r="XBZ28" s="1688"/>
      <c r="XCA28" s="1688"/>
      <c r="XCB28" s="1688"/>
      <c r="XCC28" s="1688"/>
      <c r="XCD28" s="1688"/>
      <c r="XCE28" s="1688"/>
      <c r="XCF28" s="1688"/>
      <c r="XCG28" s="1688"/>
      <c r="XCH28" s="1688"/>
      <c r="XCI28" s="1688"/>
      <c r="XCJ28" s="1688"/>
      <c r="XCK28" s="1688"/>
      <c r="XCL28" s="1688"/>
      <c r="XCM28" s="1688"/>
      <c r="XCN28" s="1688"/>
      <c r="XCO28" s="1688"/>
      <c r="XCP28" s="1688"/>
      <c r="XCQ28" s="1688"/>
      <c r="XCR28" s="1688"/>
      <c r="XCS28" s="1688"/>
      <c r="XCT28" s="1688"/>
      <c r="XCU28" s="1688"/>
      <c r="XCV28" s="1688"/>
      <c r="XCW28" s="1688"/>
      <c r="XCX28" s="1688"/>
      <c r="XCY28" s="1688"/>
      <c r="XCZ28" s="1688"/>
      <c r="XDA28" s="1688"/>
      <c r="XDB28" s="1688"/>
      <c r="XDC28" s="1688"/>
      <c r="XDD28" s="1688"/>
      <c r="XDE28" s="1688"/>
      <c r="XDF28" s="1688"/>
      <c r="XDG28" s="1688"/>
      <c r="XDH28" s="1688"/>
      <c r="XDI28" s="1688"/>
      <c r="XDJ28" s="1688"/>
      <c r="XDK28" s="1688"/>
      <c r="XDL28" s="1688"/>
      <c r="XDM28" s="1688"/>
      <c r="XDN28" s="1688"/>
      <c r="XDO28" s="1688"/>
      <c r="XDP28" s="1688"/>
      <c r="XDQ28" s="1688"/>
      <c r="XDR28" s="1688"/>
      <c r="XDS28" s="1688"/>
      <c r="XDT28" s="1688"/>
      <c r="XDU28" s="1688"/>
      <c r="XDV28" s="1688"/>
      <c r="XDW28" s="1688"/>
      <c r="XDX28" s="1688"/>
      <c r="XDY28" s="1688"/>
      <c r="XDZ28" s="1688"/>
      <c r="XEA28" s="1688"/>
      <c r="XEB28" s="1688"/>
      <c r="XEC28" s="1688"/>
      <c r="XED28" s="1688"/>
      <c r="XEE28" s="1688"/>
      <c r="XEF28" s="1688"/>
      <c r="XEG28" s="1688"/>
      <c r="XEH28" s="1688"/>
      <c r="XEI28" s="1688"/>
      <c r="XEJ28" s="1688"/>
      <c r="XEK28" s="1688"/>
      <c r="XEL28" s="1688"/>
      <c r="XEM28" s="1688"/>
      <c r="XEN28" s="1688"/>
      <c r="XEO28" s="1688"/>
      <c r="XEP28" s="1688"/>
      <c r="XEQ28" s="1688"/>
      <c r="XER28" s="1688"/>
      <c r="XES28" s="1688"/>
      <c r="XET28" s="1688"/>
      <c r="XEU28" s="1688"/>
      <c r="XEV28" s="1688"/>
      <c r="XEW28" s="1688"/>
      <c r="XEX28" s="1688"/>
      <c r="XEY28" s="1688"/>
      <c r="XEZ28" s="1688"/>
      <c r="XFA28" s="1688"/>
      <c r="XFB28" s="1688"/>
      <c r="XFC28" s="1688"/>
      <c r="XFD28" s="1688"/>
    </row>
    <row r="29" spans="1:16384">
      <c r="A29" s="1687" t="s">
        <v>2646</v>
      </c>
      <c r="B29" s="1687"/>
      <c r="C29" s="1687"/>
      <c r="D29" s="1687"/>
      <c r="E29" s="1687"/>
      <c r="F29" s="1687"/>
      <c r="G29" s="1687"/>
      <c r="H29" s="1687"/>
      <c r="I29" s="1687"/>
      <c r="J29" s="1687"/>
      <c r="K29" s="1687"/>
      <c r="L29" s="1687"/>
      <c r="M29" s="1687"/>
      <c r="N29" s="1687"/>
      <c r="O29" s="1687"/>
      <c r="P29" s="1687"/>
      <c r="Q29" s="1687"/>
    </row>
    <row r="30" spans="1:16384" s="224" customFormat="1" ht="45" customHeight="1">
      <c r="A30" s="1688" t="s">
        <v>2647</v>
      </c>
      <c r="B30" s="1688"/>
      <c r="C30" s="1688"/>
      <c r="D30" s="1688"/>
      <c r="E30" s="1688"/>
      <c r="F30" s="1688"/>
      <c r="G30" s="1688"/>
      <c r="H30" s="1688"/>
      <c r="I30" s="1688"/>
      <c r="J30" s="1688"/>
      <c r="K30" s="1688"/>
      <c r="L30" s="1688"/>
      <c r="M30" s="1688"/>
      <c r="N30" s="1688"/>
      <c r="O30" s="1688"/>
      <c r="P30" s="1688"/>
      <c r="Q30" s="1688"/>
      <c r="R30" s="1688"/>
      <c r="S30" s="1688"/>
      <c r="T30" s="1688"/>
      <c r="U30" s="1688"/>
      <c r="V30" s="1688"/>
      <c r="W30" s="1688"/>
      <c r="X30" s="1688"/>
      <c r="Y30" s="1688"/>
      <c r="Z30" s="1688"/>
      <c r="AA30" s="1688"/>
      <c r="AB30" s="1688"/>
      <c r="AC30" s="1688"/>
      <c r="AD30" s="1688"/>
      <c r="AE30" s="1688"/>
      <c r="AF30" s="1688"/>
      <c r="AG30" s="1688"/>
      <c r="AH30" s="1688"/>
      <c r="AI30" s="1688"/>
      <c r="AJ30" s="1688"/>
      <c r="AK30" s="1688"/>
      <c r="AL30" s="1688"/>
      <c r="AM30" s="1688"/>
      <c r="AN30" s="1688"/>
      <c r="AO30" s="1688"/>
      <c r="AP30" s="1688"/>
      <c r="AQ30" s="1688"/>
      <c r="AR30" s="1688"/>
      <c r="AS30" s="1688"/>
      <c r="AT30" s="1688"/>
      <c r="AU30" s="1688"/>
      <c r="AV30" s="1688"/>
      <c r="AW30" s="1688"/>
      <c r="AX30" s="1688"/>
      <c r="AY30" s="1688"/>
      <c r="AZ30" s="1688"/>
      <c r="BA30" s="1688"/>
      <c r="BB30" s="1688"/>
      <c r="BC30" s="1688"/>
      <c r="BD30" s="1688"/>
      <c r="BE30" s="1688"/>
      <c r="BF30" s="1688"/>
      <c r="BG30" s="1688"/>
      <c r="BH30" s="1688"/>
      <c r="BI30" s="1688"/>
      <c r="BJ30" s="1688"/>
      <c r="BK30" s="1688"/>
      <c r="BL30" s="1688"/>
      <c r="BM30" s="1688"/>
      <c r="BN30" s="1688"/>
      <c r="BO30" s="1688"/>
      <c r="BP30" s="1688"/>
      <c r="BQ30" s="1688"/>
      <c r="BR30" s="1688"/>
      <c r="BS30" s="1688"/>
      <c r="BT30" s="1688"/>
      <c r="BU30" s="1688"/>
      <c r="BV30" s="1688"/>
      <c r="BW30" s="1688"/>
      <c r="BX30" s="1688"/>
      <c r="BY30" s="1688"/>
      <c r="BZ30" s="1688"/>
      <c r="CA30" s="1688"/>
      <c r="CB30" s="1688"/>
      <c r="CC30" s="1688"/>
      <c r="CD30" s="1688"/>
      <c r="CE30" s="1688"/>
      <c r="CF30" s="1688"/>
      <c r="CG30" s="1688"/>
      <c r="CH30" s="1688"/>
      <c r="CI30" s="1688"/>
      <c r="CJ30" s="1688"/>
      <c r="CK30" s="1688"/>
      <c r="CL30" s="1688"/>
      <c r="CM30" s="1688"/>
      <c r="CN30" s="1688"/>
      <c r="CO30" s="1688"/>
      <c r="CP30" s="1688"/>
      <c r="CQ30" s="1688"/>
      <c r="CR30" s="1688"/>
      <c r="CS30" s="1688"/>
      <c r="CT30" s="1688"/>
      <c r="CU30" s="1688"/>
      <c r="CV30" s="1688"/>
      <c r="CW30" s="1688"/>
      <c r="CX30" s="1688"/>
      <c r="CY30" s="1688"/>
      <c r="CZ30" s="1688"/>
      <c r="DA30" s="1688"/>
      <c r="DB30" s="1688"/>
      <c r="DC30" s="1688"/>
      <c r="DD30" s="1688"/>
      <c r="DE30" s="1688"/>
      <c r="DF30" s="1688"/>
      <c r="DG30" s="1688"/>
      <c r="DH30" s="1688"/>
      <c r="DI30" s="1688"/>
      <c r="DJ30" s="1688"/>
      <c r="DK30" s="1688"/>
      <c r="DL30" s="1688"/>
      <c r="DM30" s="1688"/>
      <c r="DN30" s="1688"/>
      <c r="DO30" s="1688"/>
      <c r="DP30" s="1688"/>
      <c r="DQ30" s="1688"/>
      <c r="DR30" s="1688"/>
      <c r="DS30" s="1688"/>
      <c r="DT30" s="1688"/>
      <c r="DU30" s="1688"/>
      <c r="DV30" s="1688"/>
      <c r="DW30" s="1688"/>
      <c r="DX30" s="1688"/>
      <c r="DY30" s="1688"/>
      <c r="DZ30" s="1688"/>
      <c r="EA30" s="1688"/>
      <c r="EB30" s="1688"/>
      <c r="EC30" s="1688"/>
      <c r="ED30" s="1688"/>
      <c r="EE30" s="1688"/>
      <c r="EF30" s="1688"/>
      <c r="EG30" s="1688"/>
      <c r="EH30" s="1688"/>
      <c r="EI30" s="1688"/>
      <c r="EJ30" s="1688"/>
      <c r="EK30" s="1688"/>
      <c r="EL30" s="1688"/>
      <c r="EM30" s="1688"/>
      <c r="EN30" s="1688"/>
      <c r="EO30" s="1688"/>
      <c r="EP30" s="1688"/>
      <c r="EQ30" s="1688"/>
      <c r="ER30" s="1688"/>
      <c r="ES30" s="1688"/>
      <c r="ET30" s="1688"/>
      <c r="EU30" s="1688"/>
      <c r="EV30" s="1688"/>
      <c r="EW30" s="1688"/>
      <c r="EX30" s="1688"/>
      <c r="EY30" s="1688"/>
      <c r="EZ30" s="1688"/>
      <c r="FA30" s="1688"/>
      <c r="FB30" s="1688"/>
      <c r="FC30" s="1688"/>
      <c r="FD30" s="1688"/>
      <c r="FE30" s="1688"/>
      <c r="FF30" s="1688"/>
      <c r="FG30" s="1688"/>
      <c r="FH30" s="1688"/>
      <c r="FI30" s="1688"/>
      <c r="FJ30" s="1688"/>
      <c r="FK30" s="1688"/>
      <c r="FL30" s="1688"/>
      <c r="FM30" s="1688"/>
      <c r="FN30" s="1688"/>
      <c r="FO30" s="1688"/>
      <c r="FP30" s="1688"/>
      <c r="FQ30" s="1688"/>
      <c r="FR30" s="1688"/>
      <c r="FS30" s="1688"/>
      <c r="FT30" s="1688"/>
      <c r="FU30" s="1688"/>
      <c r="FV30" s="1688"/>
      <c r="FW30" s="1688"/>
      <c r="FX30" s="1688"/>
      <c r="FY30" s="1688"/>
      <c r="FZ30" s="1688"/>
      <c r="GA30" s="1688"/>
      <c r="GB30" s="1688"/>
      <c r="GC30" s="1688"/>
      <c r="GD30" s="1688"/>
      <c r="GE30" s="1688"/>
      <c r="GF30" s="1688"/>
      <c r="GG30" s="1688"/>
      <c r="GH30" s="1688"/>
      <c r="GI30" s="1688"/>
      <c r="GJ30" s="1688"/>
      <c r="GK30" s="1688"/>
      <c r="GL30" s="1688"/>
      <c r="GM30" s="1688"/>
      <c r="GN30" s="1688"/>
      <c r="GO30" s="1688"/>
      <c r="GP30" s="1688"/>
      <c r="GQ30" s="1688"/>
      <c r="GR30" s="1688"/>
      <c r="GS30" s="1688"/>
      <c r="GT30" s="1688"/>
      <c r="GU30" s="1688"/>
      <c r="GV30" s="1688"/>
      <c r="GW30" s="1688"/>
      <c r="GX30" s="1688"/>
      <c r="GY30" s="1688"/>
      <c r="GZ30" s="1688"/>
      <c r="HA30" s="1688"/>
      <c r="HB30" s="1688"/>
      <c r="HC30" s="1688"/>
      <c r="HD30" s="1688"/>
      <c r="HE30" s="1688"/>
      <c r="HF30" s="1688"/>
      <c r="HG30" s="1688"/>
      <c r="HH30" s="1688"/>
      <c r="HI30" s="1688"/>
      <c r="HJ30" s="1688"/>
      <c r="HK30" s="1688"/>
      <c r="HL30" s="1688"/>
      <c r="HM30" s="1688"/>
      <c r="HN30" s="1688"/>
      <c r="HO30" s="1688"/>
      <c r="HP30" s="1688"/>
      <c r="HQ30" s="1688"/>
      <c r="HR30" s="1688"/>
      <c r="HS30" s="1688"/>
      <c r="HT30" s="1688"/>
      <c r="HU30" s="1688"/>
      <c r="HV30" s="1688"/>
      <c r="HW30" s="1688"/>
      <c r="HX30" s="1688"/>
      <c r="HY30" s="1688"/>
      <c r="HZ30" s="1688"/>
      <c r="IA30" s="1688"/>
      <c r="IB30" s="1688"/>
      <c r="IC30" s="1688"/>
      <c r="ID30" s="1688"/>
      <c r="IE30" s="1688"/>
      <c r="IF30" s="1688"/>
      <c r="IG30" s="1688"/>
      <c r="IH30" s="1688"/>
      <c r="II30" s="1688"/>
      <c r="IJ30" s="1688"/>
      <c r="IK30" s="1688"/>
      <c r="IL30" s="1688"/>
      <c r="IM30" s="1688"/>
      <c r="IN30" s="1688"/>
      <c r="IO30" s="1688"/>
      <c r="IP30" s="1688"/>
      <c r="IQ30" s="1688"/>
      <c r="IR30" s="1688"/>
      <c r="IS30" s="1688"/>
      <c r="IT30" s="1688"/>
      <c r="IU30" s="1688"/>
      <c r="IV30" s="1688"/>
      <c r="IW30" s="1688"/>
      <c r="IX30" s="1688"/>
      <c r="IY30" s="1688"/>
      <c r="IZ30" s="1688"/>
      <c r="JA30" s="1688"/>
      <c r="JB30" s="1688"/>
      <c r="JC30" s="1688"/>
      <c r="JD30" s="1688"/>
      <c r="JE30" s="1688"/>
      <c r="JF30" s="1688"/>
      <c r="JG30" s="1688"/>
      <c r="JH30" s="1688"/>
      <c r="JI30" s="1688"/>
      <c r="JJ30" s="1688"/>
      <c r="JK30" s="1688"/>
      <c r="JL30" s="1688"/>
      <c r="JM30" s="1688"/>
      <c r="JN30" s="1688"/>
      <c r="JO30" s="1688"/>
      <c r="JP30" s="1688"/>
      <c r="JQ30" s="1688"/>
      <c r="JR30" s="1688"/>
      <c r="JS30" s="1688"/>
      <c r="JT30" s="1688"/>
      <c r="JU30" s="1688"/>
      <c r="JV30" s="1688"/>
      <c r="JW30" s="1688"/>
      <c r="JX30" s="1688"/>
      <c r="JY30" s="1688"/>
      <c r="JZ30" s="1688"/>
      <c r="KA30" s="1688"/>
      <c r="KB30" s="1688"/>
      <c r="KC30" s="1688"/>
      <c r="KD30" s="1688"/>
      <c r="KE30" s="1688"/>
      <c r="KF30" s="1688"/>
      <c r="KG30" s="1688"/>
      <c r="KH30" s="1688"/>
      <c r="KI30" s="1688"/>
      <c r="KJ30" s="1688"/>
      <c r="KK30" s="1688"/>
      <c r="KL30" s="1688"/>
      <c r="KM30" s="1688"/>
      <c r="KN30" s="1688"/>
      <c r="KO30" s="1688"/>
      <c r="KP30" s="1688"/>
      <c r="KQ30" s="1688"/>
      <c r="KR30" s="1688"/>
      <c r="KS30" s="1688"/>
      <c r="KT30" s="1688"/>
      <c r="KU30" s="1688"/>
      <c r="KV30" s="1688"/>
      <c r="KW30" s="1688"/>
      <c r="KX30" s="1688"/>
      <c r="KY30" s="1688"/>
      <c r="KZ30" s="1688"/>
      <c r="LA30" s="1688"/>
      <c r="LB30" s="1688"/>
      <c r="LC30" s="1688"/>
      <c r="LD30" s="1688"/>
      <c r="LE30" s="1688"/>
      <c r="LF30" s="1688"/>
      <c r="LG30" s="1688"/>
      <c r="LH30" s="1688"/>
      <c r="LI30" s="1688"/>
      <c r="LJ30" s="1688"/>
      <c r="LK30" s="1688"/>
      <c r="LL30" s="1688"/>
      <c r="LM30" s="1688"/>
      <c r="LN30" s="1688"/>
      <c r="LO30" s="1688"/>
      <c r="LP30" s="1688"/>
      <c r="LQ30" s="1688"/>
      <c r="LR30" s="1688"/>
      <c r="LS30" s="1688"/>
      <c r="LT30" s="1688"/>
      <c r="LU30" s="1688"/>
      <c r="LV30" s="1688"/>
      <c r="LW30" s="1688"/>
      <c r="LX30" s="1688"/>
      <c r="LY30" s="1688"/>
      <c r="LZ30" s="1688"/>
      <c r="MA30" s="1688"/>
      <c r="MB30" s="1688"/>
      <c r="MC30" s="1688"/>
      <c r="MD30" s="1688"/>
      <c r="ME30" s="1688"/>
      <c r="MF30" s="1688"/>
      <c r="MG30" s="1688"/>
      <c r="MH30" s="1688"/>
      <c r="MI30" s="1688"/>
      <c r="MJ30" s="1688"/>
      <c r="MK30" s="1688"/>
      <c r="ML30" s="1688"/>
      <c r="MM30" s="1688"/>
      <c r="MN30" s="1688"/>
      <c r="MO30" s="1688"/>
      <c r="MP30" s="1688"/>
      <c r="MQ30" s="1688"/>
      <c r="MR30" s="1688"/>
      <c r="MS30" s="1688"/>
      <c r="MT30" s="1688"/>
      <c r="MU30" s="1688"/>
      <c r="MV30" s="1688"/>
      <c r="MW30" s="1688"/>
      <c r="MX30" s="1688"/>
      <c r="MY30" s="1688"/>
      <c r="MZ30" s="1688"/>
      <c r="NA30" s="1688"/>
      <c r="NB30" s="1688"/>
      <c r="NC30" s="1688"/>
      <c r="ND30" s="1688"/>
      <c r="NE30" s="1688"/>
      <c r="NF30" s="1688"/>
      <c r="NG30" s="1688"/>
      <c r="NH30" s="1688"/>
      <c r="NI30" s="1688"/>
      <c r="NJ30" s="1688"/>
      <c r="NK30" s="1688"/>
      <c r="NL30" s="1688"/>
      <c r="NM30" s="1688"/>
      <c r="NN30" s="1688"/>
      <c r="NO30" s="1688"/>
      <c r="NP30" s="1688"/>
      <c r="NQ30" s="1688"/>
      <c r="NR30" s="1688"/>
      <c r="NS30" s="1688"/>
      <c r="NT30" s="1688"/>
      <c r="NU30" s="1688"/>
      <c r="NV30" s="1688"/>
      <c r="NW30" s="1688"/>
      <c r="NX30" s="1688"/>
      <c r="NY30" s="1688"/>
      <c r="NZ30" s="1688"/>
      <c r="OA30" s="1688"/>
      <c r="OB30" s="1688"/>
      <c r="OC30" s="1688"/>
      <c r="OD30" s="1688"/>
      <c r="OE30" s="1688"/>
      <c r="OF30" s="1688"/>
      <c r="OG30" s="1688"/>
      <c r="OH30" s="1688"/>
      <c r="OI30" s="1688"/>
      <c r="OJ30" s="1688"/>
      <c r="OK30" s="1688"/>
      <c r="OL30" s="1688"/>
      <c r="OM30" s="1688"/>
      <c r="ON30" s="1688"/>
      <c r="OO30" s="1688"/>
      <c r="OP30" s="1688"/>
      <c r="OQ30" s="1688"/>
      <c r="OR30" s="1688"/>
      <c r="OS30" s="1688"/>
      <c r="OT30" s="1688"/>
      <c r="OU30" s="1688"/>
      <c r="OV30" s="1688"/>
      <c r="OW30" s="1688"/>
      <c r="OX30" s="1688"/>
      <c r="OY30" s="1688"/>
      <c r="OZ30" s="1688"/>
      <c r="PA30" s="1688"/>
      <c r="PB30" s="1688"/>
      <c r="PC30" s="1688"/>
      <c r="PD30" s="1688"/>
      <c r="PE30" s="1688"/>
      <c r="PF30" s="1688"/>
      <c r="PG30" s="1688"/>
      <c r="PH30" s="1688"/>
      <c r="PI30" s="1688"/>
      <c r="PJ30" s="1688"/>
      <c r="PK30" s="1688"/>
      <c r="PL30" s="1688"/>
      <c r="PM30" s="1688"/>
      <c r="PN30" s="1688"/>
      <c r="PO30" s="1688"/>
      <c r="PP30" s="1688"/>
      <c r="PQ30" s="1688"/>
      <c r="PR30" s="1688"/>
      <c r="PS30" s="1688"/>
      <c r="PT30" s="1688"/>
      <c r="PU30" s="1688"/>
      <c r="PV30" s="1688"/>
      <c r="PW30" s="1688"/>
      <c r="PX30" s="1688"/>
      <c r="PY30" s="1688"/>
      <c r="PZ30" s="1688"/>
      <c r="QA30" s="1688"/>
      <c r="QB30" s="1688"/>
      <c r="QC30" s="1688"/>
      <c r="QD30" s="1688"/>
      <c r="QE30" s="1688"/>
      <c r="QF30" s="1688"/>
      <c r="QG30" s="1688"/>
      <c r="QH30" s="1688"/>
      <c r="QI30" s="1688"/>
      <c r="QJ30" s="1688"/>
      <c r="QK30" s="1688"/>
      <c r="QL30" s="1688"/>
      <c r="QM30" s="1688"/>
      <c r="QN30" s="1688"/>
      <c r="QO30" s="1688"/>
      <c r="QP30" s="1688"/>
      <c r="QQ30" s="1688"/>
      <c r="QR30" s="1688"/>
      <c r="QS30" s="1688"/>
      <c r="QT30" s="1688"/>
      <c r="QU30" s="1688"/>
      <c r="QV30" s="1688"/>
      <c r="QW30" s="1688"/>
      <c r="QX30" s="1688"/>
      <c r="QY30" s="1688"/>
      <c r="QZ30" s="1688"/>
      <c r="RA30" s="1688"/>
      <c r="RB30" s="1688"/>
      <c r="RC30" s="1688"/>
      <c r="RD30" s="1688"/>
      <c r="RE30" s="1688"/>
      <c r="RF30" s="1688"/>
      <c r="RG30" s="1688"/>
      <c r="RH30" s="1688"/>
      <c r="RI30" s="1688"/>
      <c r="RJ30" s="1688"/>
      <c r="RK30" s="1688"/>
      <c r="RL30" s="1688"/>
      <c r="RM30" s="1688"/>
      <c r="RN30" s="1688"/>
      <c r="RO30" s="1688"/>
      <c r="RP30" s="1688"/>
      <c r="RQ30" s="1688"/>
      <c r="RR30" s="1688"/>
      <c r="RS30" s="1688"/>
      <c r="RT30" s="1688"/>
      <c r="RU30" s="1688"/>
      <c r="RV30" s="1688"/>
      <c r="RW30" s="1688"/>
      <c r="RX30" s="1688"/>
      <c r="RY30" s="1688"/>
      <c r="RZ30" s="1688"/>
      <c r="SA30" s="1688"/>
      <c r="SB30" s="1688"/>
      <c r="SC30" s="1688"/>
      <c r="SD30" s="1688"/>
      <c r="SE30" s="1688"/>
      <c r="SF30" s="1688"/>
      <c r="SG30" s="1688"/>
      <c r="SH30" s="1688"/>
      <c r="SI30" s="1688"/>
      <c r="SJ30" s="1688"/>
      <c r="SK30" s="1688"/>
      <c r="SL30" s="1688"/>
      <c r="SM30" s="1688"/>
      <c r="SN30" s="1688"/>
      <c r="SO30" s="1688"/>
      <c r="SP30" s="1688"/>
      <c r="SQ30" s="1688"/>
      <c r="SR30" s="1688"/>
      <c r="SS30" s="1688"/>
      <c r="ST30" s="1688"/>
      <c r="SU30" s="1688"/>
      <c r="SV30" s="1688"/>
      <c r="SW30" s="1688"/>
      <c r="SX30" s="1688"/>
      <c r="SY30" s="1688"/>
      <c r="SZ30" s="1688"/>
      <c r="TA30" s="1688"/>
      <c r="TB30" s="1688"/>
      <c r="TC30" s="1688"/>
      <c r="TD30" s="1688"/>
      <c r="TE30" s="1688"/>
      <c r="TF30" s="1688"/>
      <c r="TG30" s="1688"/>
      <c r="TH30" s="1688"/>
      <c r="TI30" s="1688"/>
      <c r="TJ30" s="1688"/>
      <c r="TK30" s="1688"/>
      <c r="TL30" s="1688"/>
      <c r="TM30" s="1688"/>
      <c r="TN30" s="1688"/>
      <c r="TO30" s="1688"/>
      <c r="TP30" s="1688"/>
      <c r="TQ30" s="1688"/>
      <c r="TR30" s="1688"/>
      <c r="TS30" s="1688"/>
      <c r="TT30" s="1688"/>
      <c r="TU30" s="1688"/>
      <c r="TV30" s="1688"/>
      <c r="TW30" s="1688"/>
      <c r="TX30" s="1688"/>
      <c r="TY30" s="1688"/>
      <c r="TZ30" s="1688"/>
      <c r="UA30" s="1688"/>
      <c r="UB30" s="1688"/>
      <c r="UC30" s="1688"/>
      <c r="UD30" s="1688"/>
      <c r="UE30" s="1688"/>
      <c r="UF30" s="1688"/>
      <c r="UG30" s="1688"/>
      <c r="UH30" s="1688"/>
      <c r="UI30" s="1688"/>
      <c r="UJ30" s="1688"/>
      <c r="UK30" s="1688"/>
      <c r="UL30" s="1688"/>
      <c r="UM30" s="1688"/>
      <c r="UN30" s="1688"/>
      <c r="UO30" s="1688"/>
      <c r="UP30" s="1688"/>
      <c r="UQ30" s="1688"/>
      <c r="UR30" s="1688"/>
      <c r="US30" s="1688"/>
      <c r="UT30" s="1688"/>
      <c r="UU30" s="1688"/>
      <c r="UV30" s="1688"/>
      <c r="UW30" s="1688"/>
      <c r="UX30" s="1688"/>
      <c r="UY30" s="1688"/>
      <c r="UZ30" s="1688"/>
      <c r="VA30" s="1688"/>
      <c r="VB30" s="1688"/>
      <c r="VC30" s="1688"/>
      <c r="VD30" s="1688"/>
      <c r="VE30" s="1688"/>
      <c r="VF30" s="1688"/>
      <c r="VG30" s="1688"/>
      <c r="VH30" s="1688"/>
      <c r="VI30" s="1688"/>
      <c r="VJ30" s="1688"/>
      <c r="VK30" s="1688"/>
      <c r="VL30" s="1688"/>
      <c r="VM30" s="1688"/>
      <c r="VN30" s="1688"/>
      <c r="VO30" s="1688"/>
      <c r="VP30" s="1688"/>
      <c r="VQ30" s="1688"/>
      <c r="VR30" s="1688"/>
      <c r="VS30" s="1688"/>
      <c r="VT30" s="1688"/>
      <c r="VU30" s="1688"/>
      <c r="VV30" s="1688"/>
      <c r="VW30" s="1688"/>
      <c r="VX30" s="1688"/>
      <c r="VY30" s="1688"/>
      <c r="VZ30" s="1688"/>
      <c r="WA30" s="1688"/>
      <c r="WB30" s="1688"/>
      <c r="WC30" s="1688"/>
      <c r="WD30" s="1688"/>
      <c r="WE30" s="1688"/>
      <c r="WF30" s="1688"/>
      <c r="WG30" s="1688"/>
      <c r="WH30" s="1688"/>
      <c r="WI30" s="1688"/>
      <c r="WJ30" s="1688"/>
      <c r="WK30" s="1688"/>
      <c r="WL30" s="1688"/>
      <c r="WM30" s="1688"/>
      <c r="WN30" s="1688"/>
      <c r="WO30" s="1688"/>
      <c r="WP30" s="1688"/>
      <c r="WQ30" s="1688"/>
      <c r="WR30" s="1688"/>
      <c r="WS30" s="1688"/>
      <c r="WT30" s="1688"/>
      <c r="WU30" s="1688"/>
      <c r="WV30" s="1688"/>
      <c r="WW30" s="1688"/>
      <c r="WX30" s="1688"/>
      <c r="WY30" s="1688"/>
      <c r="WZ30" s="1688"/>
      <c r="XA30" s="1688"/>
      <c r="XB30" s="1688"/>
      <c r="XC30" s="1688"/>
      <c r="XD30" s="1688"/>
      <c r="XE30" s="1688"/>
      <c r="XF30" s="1688"/>
      <c r="XG30" s="1688"/>
      <c r="XH30" s="1688"/>
      <c r="XI30" s="1688"/>
      <c r="XJ30" s="1688"/>
      <c r="XK30" s="1688"/>
      <c r="XL30" s="1688"/>
      <c r="XM30" s="1688"/>
      <c r="XN30" s="1688"/>
      <c r="XO30" s="1688"/>
      <c r="XP30" s="1688"/>
      <c r="XQ30" s="1688"/>
      <c r="XR30" s="1688"/>
      <c r="XS30" s="1688"/>
      <c r="XT30" s="1688"/>
      <c r="XU30" s="1688"/>
      <c r="XV30" s="1688"/>
      <c r="XW30" s="1688"/>
      <c r="XX30" s="1688"/>
      <c r="XY30" s="1688"/>
      <c r="XZ30" s="1688"/>
      <c r="YA30" s="1688"/>
      <c r="YB30" s="1688"/>
      <c r="YC30" s="1688"/>
      <c r="YD30" s="1688"/>
      <c r="YE30" s="1688"/>
      <c r="YF30" s="1688"/>
      <c r="YG30" s="1688"/>
      <c r="YH30" s="1688"/>
      <c r="YI30" s="1688"/>
      <c r="YJ30" s="1688"/>
      <c r="YK30" s="1688"/>
      <c r="YL30" s="1688"/>
      <c r="YM30" s="1688"/>
      <c r="YN30" s="1688"/>
      <c r="YO30" s="1688"/>
      <c r="YP30" s="1688"/>
      <c r="YQ30" s="1688"/>
      <c r="YR30" s="1688"/>
      <c r="YS30" s="1688"/>
      <c r="YT30" s="1688"/>
      <c r="YU30" s="1688"/>
      <c r="YV30" s="1688"/>
      <c r="YW30" s="1688"/>
      <c r="YX30" s="1688"/>
      <c r="YY30" s="1688"/>
      <c r="YZ30" s="1688"/>
      <c r="ZA30" s="1688"/>
      <c r="ZB30" s="1688"/>
      <c r="ZC30" s="1688"/>
      <c r="ZD30" s="1688"/>
      <c r="ZE30" s="1688"/>
      <c r="ZF30" s="1688"/>
      <c r="ZG30" s="1688"/>
      <c r="ZH30" s="1688"/>
      <c r="ZI30" s="1688"/>
      <c r="ZJ30" s="1688"/>
      <c r="ZK30" s="1688"/>
      <c r="ZL30" s="1688"/>
      <c r="ZM30" s="1688"/>
      <c r="ZN30" s="1688"/>
      <c r="ZO30" s="1688"/>
      <c r="ZP30" s="1688"/>
      <c r="ZQ30" s="1688"/>
      <c r="ZR30" s="1688"/>
      <c r="ZS30" s="1688"/>
      <c r="ZT30" s="1688"/>
      <c r="ZU30" s="1688"/>
      <c r="ZV30" s="1688"/>
      <c r="ZW30" s="1688"/>
      <c r="ZX30" s="1688"/>
      <c r="ZY30" s="1688"/>
      <c r="ZZ30" s="1688"/>
      <c r="AAA30" s="1688"/>
      <c r="AAB30" s="1688"/>
      <c r="AAC30" s="1688"/>
      <c r="AAD30" s="1688"/>
      <c r="AAE30" s="1688"/>
      <c r="AAF30" s="1688"/>
      <c r="AAG30" s="1688"/>
      <c r="AAH30" s="1688"/>
      <c r="AAI30" s="1688"/>
      <c r="AAJ30" s="1688"/>
      <c r="AAK30" s="1688"/>
      <c r="AAL30" s="1688"/>
      <c r="AAM30" s="1688"/>
      <c r="AAN30" s="1688"/>
      <c r="AAO30" s="1688"/>
      <c r="AAP30" s="1688"/>
      <c r="AAQ30" s="1688"/>
      <c r="AAR30" s="1688"/>
      <c r="AAS30" s="1688"/>
      <c r="AAT30" s="1688"/>
      <c r="AAU30" s="1688"/>
      <c r="AAV30" s="1688"/>
      <c r="AAW30" s="1688"/>
      <c r="AAX30" s="1688"/>
      <c r="AAY30" s="1688"/>
      <c r="AAZ30" s="1688"/>
      <c r="ABA30" s="1688"/>
      <c r="ABB30" s="1688"/>
      <c r="ABC30" s="1688"/>
      <c r="ABD30" s="1688"/>
      <c r="ABE30" s="1688"/>
      <c r="ABF30" s="1688"/>
      <c r="ABG30" s="1688"/>
      <c r="ABH30" s="1688"/>
      <c r="ABI30" s="1688"/>
      <c r="ABJ30" s="1688"/>
      <c r="ABK30" s="1688"/>
      <c r="ABL30" s="1688"/>
      <c r="ABM30" s="1688"/>
      <c r="ABN30" s="1688"/>
      <c r="ABO30" s="1688"/>
      <c r="ABP30" s="1688"/>
      <c r="ABQ30" s="1688"/>
      <c r="ABR30" s="1688"/>
      <c r="ABS30" s="1688"/>
      <c r="ABT30" s="1688"/>
      <c r="ABU30" s="1688"/>
      <c r="ABV30" s="1688"/>
      <c r="ABW30" s="1688"/>
      <c r="ABX30" s="1688"/>
      <c r="ABY30" s="1688"/>
      <c r="ABZ30" s="1688"/>
      <c r="ACA30" s="1688"/>
      <c r="ACB30" s="1688"/>
      <c r="ACC30" s="1688"/>
      <c r="ACD30" s="1688"/>
      <c r="ACE30" s="1688"/>
      <c r="ACF30" s="1688"/>
      <c r="ACG30" s="1688"/>
      <c r="ACH30" s="1688"/>
      <c r="ACI30" s="1688"/>
      <c r="ACJ30" s="1688"/>
      <c r="ACK30" s="1688"/>
      <c r="ACL30" s="1688"/>
      <c r="ACM30" s="1688"/>
      <c r="ACN30" s="1688"/>
      <c r="ACO30" s="1688"/>
      <c r="ACP30" s="1688"/>
      <c r="ACQ30" s="1688"/>
      <c r="ACR30" s="1688"/>
      <c r="ACS30" s="1688"/>
      <c r="ACT30" s="1688"/>
      <c r="ACU30" s="1688"/>
      <c r="ACV30" s="1688"/>
      <c r="ACW30" s="1688"/>
      <c r="ACX30" s="1688"/>
      <c r="ACY30" s="1688"/>
      <c r="ACZ30" s="1688"/>
      <c r="ADA30" s="1688"/>
      <c r="ADB30" s="1688"/>
      <c r="ADC30" s="1688"/>
      <c r="ADD30" s="1688"/>
      <c r="ADE30" s="1688"/>
      <c r="ADF30" s="1688"/>
      <c r="ADG30" s="1688"/>
      <c r="ADH30" s="1688"/>
      <c r="ADI30" s="1688"/>
      <c r="ADJ30" s="1688"/>
      <c r="ADK30" s="1688"/>
      <c r="ADL30" s="1688"/>
      <c r="ADM30" s="1688"/>
      <c r="ADN30" s="1688"/>
      <c r="ADO30" s="1688"/>
      <c r="ADP30" s="1688"/>
      <c r="ADQ30" s="1688"/>
      <c r="ADR30" s="1688"/>
      <c r="ADS30" s="1688"/>
      <c r="ADT30" s="1688"/>
      <c r="ADU30" s="1688"/>
      <c r="ADV30" s="1688"/>
      <c r="ADW30" s="1688"/>
      <c r="ADX30" s="1688"/>
      <c r="ADY30" s="1688"/>
      <c r="ADZ30" s="1688"/>
      <c r="AEA30" s="1688"/>
      <c r="AEB30" s="1688"/>
      <c r="AEC30" s="1688"/>
      <c r="AED30" s="1688"/>
      <c r="AEE30" s="1688"/>
      <c r="AEF30" s="1688"/>
      <c r="AEG30" s="1688"/>
      <c r="AEH30" s="1688"/>
      <c r="AEI30" s="1688"/>
      <c r="AEJ30" s="1688"/>
      <c r="AEK30" s="1688"/>
      <c r="AEL30" s="1688"/>
      <c r="AEM30" s="1688"/>
      <c r="AEN30" s="1688"/>
      <c r="AEO30" s="1688"/>
      <c r="AEP30" s="1688"/>
      <c r="AEQ30" s="1688"/>
      <c r="AER30" s="1688"/>
      <c r="AES30" s="1688"/>
      <c r="AET30" s="1688"/>
      <c r="AEU30" s="1688"/>
      <c r="AEV30" s="1688"/>
      <c r="AEW30" s="1688"/>
      <c r="AEX30" s="1688"/>
      <c r="AEY30" s="1688"/>
      <c r="AEZ30" s="1688"/>
      <c r="AFA30" s="1688"/>
      <c r="AFB30" s="1688"/>
      <c r="AFC30" s="1688"/>
      <c r="AFD30" s="1688"/>
      <c r="AFE30" s="1688"/>
      <c r="AFF30" s="1688"/>
      <c r="AFG30" s="1688"/>
      <c r="AFH30" s="1688"/>
      <c r="AFI30" s="1688"/>
      <c r="AFJ30" s="1688"/>
      <c r="AFK30" s="1688"/>
      <c r="AFL30" s="1688"/>
      <c r="AFM30" s="1688"/>
      <c r="AFN30" s="1688"/>
      <c r="AFO30" s="1688"/>
      <c r="AFP30" s="1688"/>
      <c r="AFQ30" s="1688"/>
      <c r="AFR30" s="1688"/>
      <c r="AFS30" s="1688"/>
      <c r="AFT30" s="1688"/>
      <c r="AFU30" s="1688"/>
      <c r="AFV30" s="1688"/>
      <c r="AFW30" s="1688"/>
      <c r="AFX30" s="1688"/>
      <c r="AFY30" s="1688"/>
      <c r="AFZ30" s="1688"/>
      <c r="AGA30" s="1688"/>
      <c r="AGB30" s="1688"/>
      <c r="AGC30" s="1688"/>
      <c r="AGD30" s="1688"/>
      <c r="AGE30" s="1688"/>
      <c r="AGF30" s="1688"/>
      <c r="AGG30" s="1688"/>
      <c r="AGH30" s="1688"/>
      <c r="AGI30" s="1688"/>
      <c r="AGJ30" s="1688"/>
      <c r="AGK30" s="1688"/>
      <c r="AGL30" s="1688"/>
      <c r="AGM30" s="1688"/>
      <c r="AGN30" s="1688"/>
      <c r="AGO30" s="1688"/>
      <c r="AGP30" s="1688"/>
      <c r="AGQ30" s="1688"/>
      <c r="AGR30" s="1688"/>
      <c r="AGS30" s="1688"/>
      <c r="AGT30" s="1688"/>
      <c r="AGU30" s="1688"/>
      <c r="AGV30" s="1688"/>
      <c r="AGW30" s="1688"/>
      <c r="AGX30" s="1688"/>
      <c r="AGY30" s="1688"/>
      <c r="AGZ30" s="1688"/>
      <c r="AHA30" s="1688"/>
      <c r="AHB30" s="1688"/>
      <c r="AHC30" s="1688"/>
      <c r="AHD30" s="1688"/>
      <c r="AHE30" s="1688"/>
      <c r="AHF30" s="1688"/>
      <c r="AHG30" s="1688"/>
      <c r="AHH30" s="1688"/>
      <c r="AHI30" s="1688"/>
      <c r="AHJ30" s="1688"/>
      <c r="AHK30" s="1688"/>
      <c r="AHL30" s="1688"/>
      <c r="AHM30" s="1688"/>
      <c r="AHN30" s="1688"/>
      <c r="AHO30" s="1688"/>
      <c r="AHP30" s="1688"/>
      <c r="AHQ30" s="1688"/>
      <c r="AHR30" s="1688"/>
      <c r="AHS30" s="1688"/>
      <c r="AHT30" s="1688"/>
      <c r="AHU30" s="1688"/>
      <c r="AHV30" s="1688"/>
      <c r="AHW30" s="1688"/>
      <c r="AHX30" s="1688"/>
      <c r="AHY30" s="1688"/>
      <c r="AHZ30" s="1688"/>
      <c r="AIA30" s="1688"/>
      <c r="AIB30" s="1688"/>
      <c r="AIC30" s="1688"/>
      <c r="AID30" s="1688"/>
      <c r="AIE30" s="1688"/>
      <c r="AIF30" s="1688"/>
      <c r="AIG30" s="1688"/>
      <c r="AIH30" s="1688"/>
      <c r="AII30" s="1688"/>
      <c r="AIJ30" s="1688"/>
      <c r="AIK30" s="1688"/>
      <c r="AIL30" s="1688"/>
      <c r="AIM30" s="1688"/>
      <c r="AIN30" s="1688"/>
      <c r="AIO30" s="1688"/>
      <c r="AIP30" s="1688"/>
      <c r="AIQ30" s="1688"/>
      <c r="AIR30" s="1688"/>
      <c r="AIS30" s="1688"/>
      <c r="AIT30" s="1688"/>
      <c r="AIU30" s="1688"/>
      <c r="AIV30" s="1688"/>
      <c r="AIW30" s="1688"/>
      <c r="AIX30" s="1688"/>
      <c r="AIY30" s="1688"/>
      <c r="AIZ30" s="1688"/>
      <c r="AJA30" s="1688"/>
      <c r="AJB30" s="1688"/>
      <c r="AJC30" s="1688"/>
      <c r="AJD30" s="1688"/>
      <c r="AJE30" s="1688"/>
      <c r="AJF30" s="1688"/>
      <c r="AJG30" s="1688"/>
      <c r="AJH30" s="1688"/>
      <c r="AJI30" s="1688"/>
      <c r="AJJ30" s="1688"/>
      <c r="AJK30" s="1688"/>
      <c r="AJL30" s="1688"/>
      <c r="AJM30" s="1688"/>
      <c r="AJN30" s="1688"/>
      <c r="AJO30" s="1688"/>
      <c r="AJP30" s="1688"/>
      <c r="AJQ30" s="1688"/>
      <c r="AJR30" s="1688"/>
      <c r="AJS30" s="1688"/>
      <c r="AJT30" s="1688"/>
      <c r="AJU30" s="1688"/>
      <c r="AJV30" s="1688"/>
      <c r="AJW30" s="1688"/>
      <c r="AJX30" s="1688"/>
      <c r="AJY30" s="1688"/>
      <c r="AJZ30" s="1688"/>
      <c r="AKA30" s="1688"/>
      <c r="AKB30" s="1688"/>
      <c r="AKC30" s="1688"/>
      <c r="AKD30" s="1688"/>
      <c r="AKE30" s="1688"/>
      <c r="AKF30" s="1688"/>
      <c r="AKG30" s="1688"/>
      <c r="AKH30" s="1688"/>
      <c r="AKI30" s="1688"/>
      <c r="AKJ30" s="1688"/>
      <c r="AKK30" s="1688"/>
      <c r="AKL30" s="1688"/>
      <c r="AKM30" s="1688"/>
      <c r="AKN30" s="1688"/>
      <c r="AKO30" s="1688"/>
      <c r="AKP30" s="1688"/>
      <c r="AKQ30" s="1688"/>
      <c r="AKR30" s="1688"/>
      <c r="AKS30" s="1688"/>
      <c r="AKT30" s="1688"/>
      <c r="AKU30" s="1688"/>
      <c r="AKV30" s="1688"/>
      <c r="AKW30" s="1688"/>
      <c r="AKX30" s="1688"/>
      <c r="AKY30" s="1688"/>
      <c r="AKZ30" s="1688"/>
      <c r="ALA30" s="1688"/>
      <c r="ALB30" s="1688"/>
      <c r="ALC30" s="1688"/>
      <c r="ALD30" s="1688"/>
      <c r="ALE30" s="1688"/>
      <c r="ALF30" s="1688"/>
      <c r="ALG30" s="1688"/>
      <c r="ALH30" s="1688"/>
      <c r="ALI30" s="1688"/>
      <c r="ALJ30" s="1688"/>
      <c r="ALK30" s="1688"/>
      <c r="ALL30" s="1688"/>
      <c r="ALM30" s="1688"/>
      <c r="ALN30" s="1688"/>
      <c r="ALO30" s="1688"/>
      <c r="ALP30" s="1688"/>
      <c r="ALQ30" s="1688"/>
      <c r="ALR30" s="1688"/>
      <c r="ALS30" s="1688"/>
      <c r="ALT30" s="1688"/>
      <c r="ALU30" s="1688"/>
      <c r="ALV30" s="1688"/>
      <c r="ALW30" s="1688"/>
      <c r="ALX30" s="1688"/>
      <c r="ALY30" s="1688"/>
      <c r="ALZ30" s="1688"/>
      <c r="AMA30" s="1688"/>
      <c r="AMB30" s="1688"/>
      <c r="AMC30" s="1688"/>
      <c r="AMD30" s="1688"/>
      <c r="AME30" s="1688"/>
      <c r="AMF30" s="1688"/>
      <c r="AMG30" s="1688"/>
      <c r="AMH30" s="1688"/>
      <c r="AMI30" s="1688"/>
      <c r="AMJ30" s="1688"/>
      <c r="AMK30" s="1688"/>
      <c r="AML30" s="1688"/>
      <c r="AMM30" s="1688"/>
      <c r="AMN30" s="1688"/>
      <c r="AMO30" s="1688"/>
      <c r="AMP30" s="1688"/>
      <c r="AMQ30" s="1688"/>
      <c r="AMR30" s="1688"/>
      <c r="AMS30" s="1688"/>
      <c r="AMT30" s="1688"/>
      <c r="AMU30" s="1688"/>
      <c r="AMV30" s="1688"/>
      <c r="AMW30" s="1688"/>
      <c r="AMX30" s="1688"/>
      <c r="AMY30" s="1688"/>
      <c r="AMZ30" s="1688"/>
      <c r="ANA30" s="1688"/>
      <c r="ANB30" s="1688"/>
      <c r="ANC30" s="1688"/>
      <c r="AND30" s="1688"/>
      <c r="ANE30" s="1688"/>
      <c r="ANF30" s="1688"/>
      <c r="ANG30" s="1688"/>
      <c r="ANH30" s="1688"/>
      <c r="ANI30" s="1688"/>
      <c r="ANJ30" s="1688"/>
      <c r="ANK30" s="1688"/>
      <c r="ANL30" s="1688"/>
      <c r="ANM30" s="1688"/>
      <c r="ANN30" s="1688"/>
      <c r="ANO30" s="1688"/>
      <c r="ANP30" s="1688"/>
      <c r="ANQ30" s="1688"/>
      <c r="ANR30" s="1688"/>
      <c r="ANS30" s="1688"/>
      <c r="ANT30" s="1688"/>
      <c r="ANU30" s="1688"/>
      <c r="ANV30" s="1688"/>
      <c r="ANW30" s="1688"/>
      <c r="ANX30" s="1688"/>
      <c r="ANY30" s="1688"/>
      <c r="ANZ30" s="1688"/>
      <c r="AOA30" s="1688"/>
      <c r="AOB30" s="1688"/>
      <c r="AOC30" s="1688"/>
      <c r="AOD30" s="1688"/>
      <c r="AOE30" s="1688"/>
      <c r="AOF30" s="1688"/>
      <c r="AOG30" s="1688"/>
      <c r="AOH30" s="1688"/>
      <c r="AOI30" s="1688"/>
      <c r="AOJ30" s="1688"/>
      <c r="AOK30" s="1688"/>
      <c r="AOL30" s="1688"/>
      <c r="AOM30" s="1688"/>
      <c r="AON30" s="1688"/>
      <c r="AOO30" s="1688"/>
      <c r="AOP30" s="1688"/>
      <c r="AOQ30" s="1688"/>
      <c r="AOR30" s="1688"/>
      <c r="AOS30" s="1688"/>
      <c r="AOT30" s="1688"/>
      <c r="AOU30" s="1688"/>
      <c r="AOV30" s="1688"/>
      <c r="AOW30" s="1688"/>
      <c r="AOX30" s="1688"/>
      <c r="AOY30" s="1688"/>
      <c r="AOZ30" s="1688"/>
      <c r="APA30" s="1688"/>
      <c r="APB30" s="1688"/>
      <c r="APC30" s="1688"/>
      <c r="APD30" s="1688"/>
      <c r="APE30" s="1688"/>
      <c r="APF30" s="1688"/>
      <c r="APG30" s="1688"/>
      <c r="APH30" s="1688"/>
      <c r="API30" s="1688"/>
      <c r="APJ30" s="1688"/>
      <c r="APK30" s="1688"/>
      <c r="APL30" s="1688"/>
      <c r="APM30" s="1688"/>
      <c r="APN30" s="1688"/>
      <c r="APO30" s="1688"/>
      <c r="APP30" s="1688"/>
      <c r="APQ30" s="1688"/>
      <c r="APR30" s="1688"/>
      <c r="APS30" s="1688"/>
      <c r="APT30" s="1688"/>
      <c r="APU30" s="1688"/>
      <c r="APV30" s="1688"/>
      <c r="APW30" s="1688"/>
      <c r="APX30" s="1688"/>
      <c r="APY30" s="1688"/>
      <c r="APZ30" s="1688"/>
      <c r="AQA30" s="1688"/>
      <c r="AQB30" s="1688"/>
      <c r="AQC30" s="1688"/>
      <c r="AQD30" s="1688"/>
      <c r="AQE30" s="1688"/>
      <c r="AQF30" s="1688"/>
      <c r="AQG30" s="1688"/>
      <c r="AQH30" s="1688"/>
      <c r="AQI30" s="1688"/>
      <c r="AQJ30" s="1688"/>
      <c r="AQK30" s="1688"/>
      <c r="AQL30" s="1688"/>
      <c r="AQM30" s="1688"/>
      <c r="AQN30" s="1688"/>
      <c r="AQO30" s="1688"/>
      <c r="AQP30" s="1688"/>
      <c r="AQQ30" s="1688"/>
      <c r="AQR30" s="1688"/>
      <c r="AQS30" s="1688"/>
      <c r="AQT30" s="1688"/>
      <c r="AQU30" s="1688"/>
      <c r="AQV30" s="1688"/>
      <c r="AQW30" s="1688"/>
      <c r="AQX30" s="1688"/>
      <c r="AQY30" s="1688"/>
      <c r="AQZ30" s="1688"/>
      <c r="ARA30" s="1688"/>
      <c r="ARB30" s="1688"/>
      <c r="ARC30" s="1688"/>
      <c r="ARD30" s="1688"/>
      <c r="ARE30" s="1688"/>
      <c r="ARF30" s="1688"/>
      <c r="ARG30" s="1688"/>
      <c r="ARH30" s="1688"/>
      <c r="ARI30" s="1688"/>
      <c r="ARJ30" s="1688"/>
      <c r="ARK30" s="1688"/>
      <c r="ARL30" s="1688"/>
      <c r="ARM30" s="1688"/>
      <c r="ARN30" s="1688"/>
      <c r="ARO30" s="1688"/>
      <c r="ARP30" s="1688"/>
      <c r="ARQ30" s="1688"/>
      <c r="ARR30" s="1688"/>
      <c r="ARS30" s="1688"/>
      <c r="ART30" s="1688"/>
      <c r="ARU30" s="1688"/>
      <c r="ARV30" s="1688"/>
      <c r="ARW30" s="1688"/>
      <c r="ARX30" s="1688"/>
      <c r="ARY30" s="1688"/>
      <c r="ARZ30" s="1688"/>
      <c r="ASA30" s="1688"/>
      <c r="ASB30" s="1688"/>
      <c r="ASC30" s="1688"/>
      <c r="ASD30" s="1688"/>
      <c r="ASE30" s="1688"/>
      <c r="ASF30" s="1688"/>
      <c r="ASG30" s="1688"/>
      <c r="ASH30" s="1688"/>
      <c r="ASI30" s="1688"/>
      <c r="ASJ30" s="1688"/>
      <c r="ASK30" s="1688"/>
      <c r="ASL30" s="1688"/>
      <c r="ASM30" s="1688"/>
      <c r="ASN30" s="1688"/>
      <c r="ASO30" s="1688"/>
      <c r="ASP30" s="1688"/>
      <c r="ASQ30" s="1688"/>
      <c r="ASR30" s="1688"/>
      <c r="ASS30" s="1688"/>
      <c r="AST30" s="1688"/>
      <c r="ASU30" s="1688"/>
      <c r="ASV30" s="1688"/>
      <c r="ASW30" s="1688"/>
      <c r="ASX30" s="1688"/>
      <c r="ASY30" s="1688"/>
      <c r="ASZ30" s="1688"/>
      <c r="ATA30" s="1688"/>
      <c r="ATB30" s="1688"/>
      <c r="ATC30" s="1688"/>
      <c r="ATD30" s="1688"/>
      <c r="ATE30" s="1688"/>
      <c r="ATF30" s="1688"/>
      <c r="ATG30" s="1688"/>
      <c r="ATH30" s="1688"/>
      <c r="ATI30" s="1688"/>
      <c r="ATJ30" s="1688"/>
      <c r="ATK30" s="1688"/>
      <c r="ATL30" s="1688"/>
      <c r="ATM30" s="1688"/>
      <c r="ATN30" s="1688"/>
      <c r="ATO30" s="1688"/>
      <c r="ATP30" s="1688"/>
      <c r="ATQ30" s="1688"/>
      <c r="ATR30" s="1688"/>
      <c r="ATS30" s="1688"/>
      <c r="ATT30" s="1688"/>
      <c r="ATU30" s="1688"/>
      <c r="ATV30" s="1688"/>
      <c r="ATW30" s="1688"/>
      <c r="ATX30" s="1688"/>
      <c r="ATY30" s="1688"/>
      <c r="ATZ30" s="1688"/>
      <c r="AUA30" s="1688"/>
      <c r="AUB30" s="1688"/>
      <c r="AUC30" s="1688"/>
      <c r="AUD30" s="1688"/>
      <c r="AUE30" s="1688"/>
      <c r="AUF30" s="1688"/>
      <c r="AUG30" s="1688"/>
      <c r="AUH30" s="1688"/>
      <c r="AUI30" s="1688"/>
      <c r="AUJ30" s="1688"/>
      <c r="AUK30" s="1688"/>
      <c r="AUL30" s="1688"/>
      <c r="AUM30" s="1688"/>
      <c r="AUN30" s="1688"/>
      <c r="AUO30" s="1688"/>
      <c r="AUP30" s="1688"/>
      <c r="AUQ30" s="1688"/>
      <c r="AUR30" s="1688"/>
      <c r="AUS30" s="1688"/>
      <c r="AUT30" s="1688"/>
      <c r="AUU30" s="1688"/>
      <c r="AUV30" s="1688"/>
      <c r="AUW30" s="1688"/>
      <c r="AUX30" s="1688"/>
      <c r="AUY30" s="1688"/>
      <c r="AUZ30" s="1688"/>
      <c r="AVA30" s="1688"/>
      <c r="AVB30" s="1688"/>
      <c r="AVC30" s="1688"/>
      <c r="AVD30" s="1688"/>
      <c r="AVE30" s="1688"/>
      <c r="AVF30" s="1688"/>
      <c r="AVG30" s="1688"/>
      <c r="AVH30" s="1688"/>
      <c r="AVI30" s="1688"/>
      <c r="AVJ30" s="1688"/>
      <c r="AVK30" s="1688"/>
      <c r="AVL30" s="1688"/>
      <c r="AVM30" s="1688"/>
      <c r="AVN30" s="1688"/>
      <c r="AVO30" s="1688"/>
      <c r="AVP30" s="1688"/>
      <c r="AVQ30" s="1688"/>
      <c r="AVR30" s="1688"/>
      <c r="AVS30" s="1688"/>
      <c r="AVT30" s="1688"/>
      <c r="AVU30" s="1688"/>
      <c r="AVV30" s="1688"/>
      <c r="AVW30" s="1688"/>
      <c r="AVX30" s="1688"/>
      <c r="AVY30" s="1688"/>
      <c r="AVZ30" s="1688"/>
      <c r="AWA30" s="1688"/>
      <c r="AWB30" s="1688"/>
      <c r="AWC30" s="1688"/>
      <c r="AWD30" s="1688"/>
      <c r="AWE30" s="1688"/>
      <c r="AWF30" s="1688"/>
      <c r="AWG30" s="1688"/>
      <c r="AWH30" s="1688"/>
      <c r="AWI30" s="1688"/>
      <c r="AWJ30" s="1688"/>
      <c r="AWK30" s="1688"/>
      <c r="AWL30" s="1688"/>
      <c r="AWM30" s="1688"/>
      <c r="AWN30" s="1688"/>
      <c r="AWO30" s="1688"/>
      <c r="AWP30" s="1688"/>
      <c r="AWQ30" s="1688"/>
      <c r="AWR30" s="1688"/>
      <c r="AWS30" s="1688"/>
      <c r="AWT30" s="1688"/>
      <c r="AWU30" s="1688"/>
      <c r="AWV30" s="1688"/>
      <c r="AWW30" s="1688"/>
      <c r="AWX30" s="1688"/>
      <c r="AWY30" s="1688"/>
      <c r="AWZ30" s="1688"/>
      <c r="AXA30" s="1688"/>
      <c r="AXB30" s="1688"/>
      <c r="AXC30" s="1688"/>
      <c r="AXD30" s="1688"/>
      <c r="AXE30" s="1688"/>
      <c r="AXF30" s="1688"/>
      <c r="AXG30" s="1688"/>
      <c r="AXH30" s="1688"/>
      <c r="AXI30" s="1688"/>
      <c r="AXJ30" s="1688"/>
      <c r="AXK30" s="1688"/>
      <c r="AXL30" s="1688"/>
      <c r="AXM30" s="1688"/>
      <c r="AXN30" s="1688"/>
      <c r="AXO30" s="1688"/>
      <c r="AXP30" s="1688"/>
      <c r="AXQ30" s="1688"/>
      <c r="AXR30" s="1688"/>
      <c r="AXS30" s="1688"/>
      <c r="AXT30" s="1688"/>
      <c r="AXU30" s="1688"/>
      <c r="AXV30" s="1688"/>
      <c r="AXW30" s="1688"/>
      <c r="AXX30" s="1688"/>
      <c r="AXY30" s="1688"/>
      <c r="AXZ30" s="1688"/>
      <c r="AYA30" s="1688"/>
      <c r="AYB30" s="1688"/>
      <c r="AYC30" s="1688"/>
      <c r="AYD30" s="1688"/>
      <c r="AYE30" s="1688"/>
      <c r="AYF30" s="1688"/>
      <c r="AYG30" s="1688"/>
      <c r="AYH30" s="1688"/>
      <c r="AYI30" s="1688"/>
      <c r="AYJ30" s="1688"/>
      <c r="AYK30" s="1688"/>
      <c r="AYL30" s="1688"/>
      <c r="AYM30" s="1688"/>
      <c r="AYN30" s="1688"/>
      <c r="AYO30" s="1688"/>
      <c r="AYP30" s="1688"/>
      <c r="AYQ30" s="1688"/>
      <c r="AYR30" s="1688"/>
      <c r="AYS30" s="1688"/>
      <c r="AYT30" s="1688"/>
      <c r="AYU30" s="1688"/>
      <c r="AYV30" s="1688"/>
      <c r="AYW30" s="1688"/>
      <c r="AYX30" s="1688"/>
      <c r="AYY30" s="1688"/>
      <c r="AYZ30" s="1688"/>
      <c r="AZA30" s="1688"/>
      <c r="AZB30" s="1688"/>
      <c r="AZC30" s="1688"/>
      <c r="AZD30" s="1688"/>
      <c r="AZE30" s="1688"/>
      <c r="AZF30" s="1688"/>
      <c r="AZG30" s="1688"/>
      <c r="AZH30" s="1688"/>
      <c r="AZI30" s="1688"/>
      <c r="AZJ30" s="1688"/>
      <c r="AZK30" s="1688"/>
      <c r="AZL30" s="1688"/>
      <c r="AZM30" s="1688"/>
      <c r="AZN30" s="1688"/>
      <c r="AZO30" s="1688"/>
      <c r="AZP30" s="1688"/>
      <c r="AZQ30" s="1688"/>
      <c r="AZR30" s="1688"/>
      <c r="AZS30" s="1688"/>
      <c r="AZT30" s="1688"/>
      <c r="AZU30" s="1688"/>
      <c r="AZV30" s="1688"/>
      <c r="AZW30" s="1688"/>
      <c r="AZX30" s="1688"/>
      <c r="AZY30" s="1688"/>
      <c r="AZZ30" s="1688"/>
      <c r="BAA30" s="1688"/>
      <c r="BAB30" s="1688"/>
      <c r="BAC30" s="1688"/>
      <c r="BAD30" s="1688"/>
      <c r="BAE30" s="1688"/>
      <c r="BAF30" s="1688"/>
      <c r="BAG30" s="1688"/>
      <c r="BAH30" s="1688"/>
      <c r="BAI30" s="1688"/>
      <c r="BAJ30" s="1688"/>
      <c r="BAK30" s="1688"/>
      <c r="BAL30" s="1688"/>
      <c r="BAM30" s="1688"/>
      <c r="BAN30" s="1688"/>
      <c r="BAO30" s="1688"/>
      <c r="BAP30" s="1688"/>
      <c r="BAQ30" s="1688"/>
      <c r="BAR30" s="1688"/>
      <c r="BAS30" s="1688"/>
      <c r="BAT30" s="1688"/>
      <c r="BAU30" s="1688"/>
      <c r="BAV30" s="1688"/>
      <c r="BAW30" s="1688"/>
      <c r="BAX30" s="1688"/>
      <c r="BAY30" s="1688"/>
      <c r="BAZ30" s="1688"/>
      <c r="BBA30" s="1688"/>
      <c r="BBB30" s="1688"/>
      <c r="BBC30" s="1688"/>
      <c r="BBD30" s="1688"/>
      <c r="BBE30" s="1688"/>
      <c r="BBF30" s="1688"/>
      <c r="BBG30" s="1688"/>
      <c r="BBH30" s="1688"/>
      <c r="BBI30" s="1688"/>
      <c r="BBJ30" s="1688"/>
      <c r="BBK30" s="1688"/>
      <c r="BBL30" s="1688"/>
      <c r="BBM30" s="1688"/>
      <c r="BBN30" s="1688"/>
      <c r="BBO30" s="1688"/>
      <c r="BBP30" s="1688"/>
      <c r="BBQ30" s="1688"/>
      <c r="BBR30" s="1688"/>
      <c r="BBS30" s="1688"/>
      <c r="BBT30" s="1688"/>
      <c r="BBU30" s="1688"/>
      <c r="BBV30" s="1688"/>
      <c r="BBW30" s="1688"/>
      <c r="BBX30" s="1688"/>
      <c r="BBY30" s="1688"/>
      <c r="BBZ30" s="1688"/>
      <c r="BCA30" s="1688"/>
      <c r="BCB30" s="1688"/>
      <c r="BCC30" s="1688"/>
      <c r="BCD30" s="1688"/>
      <c r="BCE30" s="1688"/>
      <c r="BCF30" s="1688"/>
      <c r="BCG30" s="1688"/>
      <c r="BCH30" s="1688"/>
      <c r="BCI30" s="1688"/>
      <c r="BCJ30" s="1688"/>
      <c r="BCK30" s="1688"/>
      <c r="BCL30" s="1688"/>
      <c r="BCM30" s="1688"/>
      <c r="BCN30" s="1688"/>
      <c r="BCO30" s="1688"/>
      <c r="BCP30" s="1688"/>
      <c r="BCQ30" s="1688"/>
      <c r="BCR30" s="1688"/>
      <c r="BCS30" s="1688"/>
      <c r="BCT30" s="1688"/>
      <c r="BCU30" s="1688"/>
      <c r="BCV30" s="1688"/>
      <c r="BCW30" s="1688"/>
      <c r="BCX30" s="1688"/>
      <c r="BCY30" s="1688"/>
      <c r="BCZ30" s="1688"/>
      <c r="BDA30" s="1688"/>
      <c r="BDB30" s="1688"/>
      <c r="BDC30" s="1688"/>
      <c r="BDD30" s="1688"/>
      <c r="BDE30" s="1688"/>
      <c r="BDF30" s="1688"/>
      <c r="BDG30" s="1688"/>
      <c r="BDH30" s="1688"/>
      <c r="BDI30" s="1688"/>
      <c r="BDJ30" s="1688"/>
      <c r="BDK30" s="1688"/>
      <c r="BDL30" s="1688"/>
      <c r="BDM30" s="1688"/>
      <c r="BDN30" s="1688"/>
      <c r="BDO30" s="1688"/>
      <c r="BDP30" s="1688"/>
      <c r="BDQ30" s="1688"/>
      <c r="BDR30" s="1688"/>
      <c r="BDS30" s="1688"/>
      <c r="BDT30" s="1688"/>
      <c r="BDU30" s="1688"/>
      <c r="BDV30" s="1688"/>
      <c r="BDW30" s="1688"/>
      <c r="BDX30" s="1688"/>
      <c r="BDY30" s="1688"/>
      <c r="BDZ30" s="1688"/>
      <c r="BEA30" s="1688"/>
      <c r="BEB30" s="1688"/>
      <c r="BEC30" s="1688"/>
      <c r="BED30" s="1688"/>
      <c r="BEE30" s="1688"/>
      <c r="BEF30" s="1688"/>
      <c r="BEG30" s="1688"/>
      <c r="BEH30" s="1688"/>
      <c r="BEI30" s="1688"/>
      <c r="BEJ30" s="1688"/>
      <c r="BEK30" s="1688"/>
      <c r="BEL30" s="1688"/>
      <c r="BEM30" s="1688"/>
      <c r="BEN30" s="1688"/>
      <c r="BEO30" s="1688"/>
      <c r="BEP30" s="1688"/>
      <c r="BEQ30" s="1688"/>
      <c r="BER30" s="1688"/>
      <c r="BES30" s="1688"/>
      <c r="BET30" s="1688"/>
      <c r="BEU30" s="1688"/>
      <c r="BEV30" s="1688"/>
      <c r="BEW30" s="1688"/>
      <c r="BEX30" s="1688"/>
      <c r="BEY30" s="1688"/>
      <c r="BEZ30" s="1688"/>
      <c r="BFA30" s="1688"/>
      <c r="BFB30" s="1688"/>
      <c r="BFC30" s="1688"/>
      <c r="BFD30" s="1688"/>
      <c r="BFE30" s="1688"/>
      <c r="BFF30" s="1688"/>
      <c r="BFG30" s="1688"/>
      <c r="BFH30" s="1688"/>
      <c r="BFI30" s="1688"/>
      <c r="BFJ30" s="1688"/>
      <c r="BFK30" s="1688"/>
      <c r="BFL30" s="1688"/>
      <c r="BFM30" s="1688"/>
      <c r="BFN30" s="1688"/>
      <c r="BFO30" s="1688"/>
      <c r="BFP30" s="1688"/>
      <c r="BFQ30" s="1688"/>
      <c r="BFR30" s="1688"/>
      <c r="BFS30" s="1688"/>
      <c r="BFT30" s="1688"/>
      <c r="BFU30" s="1688"/>
      <c r="BFV30" s="1688"/>
      <c r="BFW30" s="1688"/>
      <c r="BFX30" s="1688"/>
      <c r="BFY30" s="1688"/>
      <c r="BFZ30" s="1688"/>
      <c r="BGA30" s="1688"/>
      <c r="BGB30" s="1688"/>
      <c r="BGC30" s="1688"/>
      <c r="BGD30" s="1688"/>
      <c r="BGE30" s="1688"/>
      <c r="BGF30" s="1688"/>
      <c r="BGG30" s="1688"/>
      <c r="BGH30" s="1688"/>
      <c r="BGI30" s="1688"/>
      <c r="BGJ30" s="1688"/>
      <c r="BGK30" s="1688"/>
      <c r="BGL30" s="1688"/>
      <c r="BGM30" s="1688"/>
      <c r="BGN30" s="1688"/>
      <c r="BGO30" s="1688"/>
      <c r="BGP30" s="1688"/>
      <c r="BGQ30" s="1688"/>
      <c r="BGR30" s="1688"/>
      <c r="BGS30" s="1688"/>
      <c r="BGT30" s="1688"/>
      <c r="BGU30" s="1688"/>
      <c r="BGV30" s="1688"/>
      <c r="BGW30" s="1688"/>
      <c r="BGX30" s="1688"/>
      <c r="BGY30" s="1688"/>
      <c r="BGZ30" s="1688"/>
      <c r="BHA30" s="1688"/>
      <c r="BHB30" s="1688"/>
      <c r="BHC30" s="1688"/>
      <c r="BHD30" s="1688"/>
      <c r="BHE30" s="1688"/>
      <c r="BHF30" s="1688"/>
      <c r="BHG30" s="1688"/>
      <c r="BHH30" s="1688"/>
      <c r="BHI30" s="1688"/>
      <c r="BHJ30" s="1688"/>
      <c r="BHK30" s="1688"/>
      <c r="BHL30" s="1688"/>
      <c r="BHM30" s="1688"/>
      <c r="BHN30" s="1688"/>
      <c r="BHO30" s="1688"/>
      <c r="BHP30" s="1688"/>
      <c r="BHQ30" s="1688"/>
      <c r="BHR30" s="1688"/>
      <c r="BHS30" s="1688"/>
      <c r="BHT30" s="1688"/>
      <c r="BHU30" s="1688"/>
      <c r="BHV30" s="1688"/>
      <c r="BHW30" s="1688"/>
      <c r="BHX30" s="1688"/>
      <c r="BHY30" s="1688"/>
      <c r="BHZ30" s="1688"/>
      <c r="BIA30" s="1688"/>
      <c r="BIB30" s="1688"/>
      <c r="BIC30" s="1688"/>
      <c r="BID30" s="1688"/>
      <c r="BIE30" s="1688"/>
      <c r="BIF30" s="1688"/>
      <c r="BIG30" s="1688"/>
      <c r="BIH30" s="1688"/>
      <c r="BII30" s="1688"/>
      <c r="BIJ30" s="1688"/>
      <c r="BIK30" s="1688"/>
      <c r="BIL30" s="1688"/>
      <c r="BIM30" s="1688"/>
      <c r="BIN30" s="1688"/>
      <c r="BIO30" s="1688"/>
      <c r="BIP30" s="1688"/>
      <c r="BIQ30" s="1688"/>
      <c r="BIR30" s="1688"/>
      <c r="BIS30" s="1688"/>
      <c r="BIT30" s="1688"/>
      <c r="BIU30" s="1688"/>
      <c r="BIV30" s="1688"/>
      <c r="BIW30" s="1688"/>
      <c r="BIX30" s="1688"/>
      <c r="BIY30" s="1688"/>
      <c r="BIZ30" s="1688"/>
      <c r="BJA30" s="1688"/>
      <c r="BJB30" s="1688"/>
      <c r="BJC30" s="1688"/>
      <c r="BJD30" s="1688"/>
      <c r="BJE30" s="1688"/>
      <c r="BJF30" s="1688"/>
      <c r="BJG30" s="1688"/>
      <c r="BJH30" s="1688"/>
      <c r="BJI30" s="1688"/>
      <c r="BJJ30" s="1688"/>
      <c r="BJK30" s="1688"/>
      <c r="BJL30" s="1688"/>
      <c r="BJM30" s="1688"/>
      <c r="BJN30" s="1688"/>
      <c r="BJO30" s="1688"/>
      <c r="BJP30" s="1688"/>
      <c r="BJQ30" s="1688"/>
      <c r="BJR30" s="1688"/>
      <c r="BJS30" s="1688"/>
      <c r="BJT30" s="1688"/>
      <c r="BJU30" s="1688"/>
      <c r="BJV30" s="1688"/>
      <c r="BJW30" s="1688"/>
      <c r="BJX30" s="1688"/>
      <c r="BJY30" s="1688"/>
      <c r="BJZ30" s="1688"/>
      <c r="BKA30" s="1688"/>
      <c r="BKB30" s="1688"/>
      <c r="BKC30" s="1688"/>
      <c r="BKD30" s="1688"/>
      <c r="BKE30" s="1688"/>
      <c r="BKF30" s="1688"/>
      <c r="BKG30" s="1688"/>
      <c r="BKH30" s="1688"/>
      <c r="BKI30" s="1688"/>
      <c r="BKJ30" s="1688"/>
      <c r="BKK30" s="1688"/>
      <c r="BKL30" s="1688"/>
      <c r="BKM30" s="1688"/>
      <c r="BKN30" s="1688"/>
      <c r="BKO30" s="1688"/>
      <c r="BKP30" s="1688"/>
      <c r="BKQ30" s="1688"/>
      <c r="BKR30" s="1688"/>
      <c r="BKS30" s="1688"/>
      <c r="BKT30" s="1688"/>
      <c r="BKU30" s="1688"/>
      <c r="BKV30" s="1688"/>
      <c r="BKW30" s="1688"/>
      <c r="BKX30" s="1688"/>
      <c r="BKY30" s="1688"/>
      <c r="BKZ30" s="1688"/>
      <c r="BLA30" s="1688"/>
      <c r="BLB30" s="1688"/>
      <c r="BLC30" s="1688"/>
      <c r="BLD30" s="1688"/>
      <c r="BLE30" s="1688"/>
      <c r="BLF30" s="1688"/>
      <c r="BLG30" s="1688"/>
      <c r="BLH30" s="1688"/>
      <c r="BLI30" s="1688"/>
      <c r="BLJ30" s="1688"/>
      <c r="BLK30" s="1688"/>
      <c r="BLL30" s="1688"/>
      <c r="BLM30" s="1688"/>
      <c r="BLN30" s="1688"/>
      <c r="BLO30" s="1688"/>
      <c r="BLP30" s="1688"/>
      <c r="BLQ30" s="1688"/>
      <c r="BLR30" s="1688"/>
      <c r="BLS30" s="1688"/>
      <c r="BLT30" s="1688"/>
      <c r="BLU30" s="1688"/>
      <c r="BLV30" s="1688"/>
      <c r="BLW30" s="1688"/>
      <c r="BLX30" s="1688"/>
      <c r="BLY30" s="1688"/>
      <c r="BLZ30" s="1688"/>
      <c r="BMA30" s="1688"/>
      <c r="BMB30" s="1688"/>
      <c r="BMC30" s="1688"/>
      <c r="BMD30" s="1688"/>
      <c r="BME30" s="1688"/>
      <c r="BMF30" s="1688"/>
      <c r="BMG30" s="1688"/>
      <c r="BMH30" s="1688"/>
      <c r="BMI30" s="1688"/>
      <c r="BMJ30" s="1688"/>
      <c r="BMK30" s="1688"/>
      <c r="BML30" s="1688"/>
      <c r="BMM30" s="1688"/>
      <c r="BMN30" s="1688"/>
      <c r="BMO30" s="1688"/>
      <c r="BMP30" s="1688"/>
      <c r="BMQ30" s="1688"/>
      <c r="BMR30" s="1688"/>
      <c r="BMS30" s="1688"/>
      <c r="BMT30" s="1688"/>
      <c r="BMU30" s="1688"/>
      <c r="BMV30" s="1688"/>
      <c r="BMW30" s="1688"/>
      <c r="BMX30" s="1688"/>
      <c r="BMY30" s="1688"/>
      <c r="BMZ30" s="1688"/>
      <c r="BNA30" s="1688"/>
      <c r="BNB30" s="1688"/>
      <c r="BNC30" s="1688"/>
      <c r="BND30" s="1688"/>
      <c r="BNE30" s="1688"/>
      <c r="BNF30" s="1688"/>
      <c r="BNG30" s="1688"/>
      <c r="BNH30" s="1688"/>
      <c r="BNI30" s="1688"/>
      <c r="BNJ30" s="1688"/>
      <c r="BNK30" s="1688"/>
      <c r="BNL30" s="1688"/>
      <c r="BNM30" s="1688"/>
      <c r="BNN30" s="1688"/>
      <c r="BNO30" s="1688"/>
      <c r="BNP30" s="1688"/>
      <c r="BNQ30" s="1688"/>
      <c r="BNR30" s="1688"/>
      <c r="BNS30" s="1688"/>
      <c r="BNT30" s="1688"/>
      <c r="BNU30" s="1688"/>
      <c r="BNV30" s="1688"/>
      <c r="BNW30" s="1688"/>
      <c r="BNX30" s="1688"/>
      <c r="BNY30" s="1688"/>
      <c r="BNZ30" s="1688"/>
      <c r="BOA30" s="1688"/>
      <c r="BOB30" s="1688"/>
      <c r="BOC30" s="1688"/>
      <c r="BOD30" s="1688"/>
      <c r="BOE30" s="1688"/>
      <c r="BOF30" s="1688"/>
      <c r="BOG30" s="1688"/>
      <c r="BOH30" s="1688"/>
      <c r="BOI30" s="1688"/>
      <c r="BOJ30" s="1688"/>
      <c r="BOK30" s="1688"/>
      <c r="BOL30" s="1688"/>
      <c r="BOM30" s="1688"/>
      <c r="BON30" s="1688"/>
      <c r="BOO30" s="1688"/>
      <c r="BOP30" s="1688"/>
      <c r="BOQ30" s="1688"/>
      <c r="BOR30" s="1688"/>
      <c r="BOS30" s="1688"/>
      <c r="BOT30" s="1688"/>
      <c r="BOU30" s="1688"/>
      <c r="BOV30" s="1688"/>
      <c r="BOW30" s="1688"/>
      <c r="BOX30" s="1688"/>
      <c r="BOY30" s="1688"/>
      <c r="BOZ30" s="1688"/>
      <c r="BPA30" s="1688"/>
      <c r="BPB30" s="1688"/>
      <c r="BPC30" s="1688"/>
      <c r="BPD30" s="1688"/>
      <c r="BPE30" s="1688"/>
      <c r="BPF30" s="1688"/>
      <c r="BPG30" s="1688"/>
      <c r="BPH30" s="1688"/>
      <c r="BPI30" s="1688"/>
      <c r="BPJ30" s="1688"/>
      <c r="BPK30" s="1688"/>
      <c r="BPL30" s="1688"/>
      <c r="BPM30" s="1688"/>
      <c r="BPN30" s="1688"/>
      <c r="BPO30" s="1688"/>
      <c r="BPP30" s="1688"/>
      <c r="BPQ30" s="1688"/>
      <c r="BPR30" s="1688"/>
      <c r="BPS30" s="1688"/>
      <c r="BPT30" s="1688"/>
      <c r="BPU30" s="1688"/>
      <c r="BPV30" s="1688"/>
      <c r="BPW30" s="1688"/>
      <c r="BPX30" s="1688"/>
      <c r="BPY30" s="1688"/>
      <c r="BPZ30" s="1688"/>
      <c r="BQA30" s="1688"/>
      <c r="BQB30" s="1688"/>
      <c r="BQC30" s="1688"/>
      <c r="BQD30" s="1688"/>
      <c r="BQE30" s="1688"/>
      <c r="BQF30" s="1688"/>
      <c r="BQG30" s="1688"/>
      <c r="BQH30" s="1688"/>
      <c r="BQI30" s="1688"/>
      <c r="BQJ30" s="1688"/>
      <c r="BQK30" s="1688"/>
      <c r="BQL30" s="1688"/>
      <c r="BQM30" s="1688"/>
      <c r="BQN30" s="1688"/>
      <c r="BQO30" s="1688"/>
      <c r="BQP30" s="1688"/>
      <c r="BQQ30" s="1688"/>
      <c r="BQR30" s="1688"/>
      <c r="BQS30" s="1688"/>
      <c r="BQT30" s="1688"/>
      <c r="BQU30" s="1688"/>
      <c r="BQV30" s="1688"/>
      <c r="BQW30" s="1688"/>
      <c r="BQX30" s="1688"/>
      <c r="BQY30" s="1688"/>
      <c r="BQZ30" s="1688"/>
      <c r="BRA30" s="1688"/>
      <c r="BRB30" s="1688"/>
      <c r="BRC30" s="1688"/>
      <c r="BRD30" s="1688"/>
      <c r="BRE30" s="1688"/>
      <c r="BRF30" s="1688"/>
      <c r="BRG30" s="1688"/>
      <c r="BRH30" s="1688"/>
      <c r="BRI30" s="1688"/>
      <c r="BRJ30" s="1688"/>
      <c r="BRK30" s="1688"/>
      <c r="BRL30" s="1688"/>
      <c r="BRM30" s="1688"/>
      <c r="BRN30" s="1688"/>
      <c r="BRO30" s="1688"/>
      <c r="BRP30" s="1688"/>
      <c r="BRQ30" s="1688"/>
      <c r="BRR30" s="1688"/>
      <c r="BRS30" s="1688"/>
      <c r="BRT30" s="1688"/>
      <c r="BRU30" s="1688"/>
      <c r="BRV30" s="1688"/>
      <c r="BRW30" s="1688"/>
      <c r="BRX30" s="1688"/>
      <c r="BRY30" s="1688"/>
      <c r="BRZ30" s="1688"/>
      <c r="BSA30" s="1688"/>
      <c r="BSB30" s="1688"/>
      <c r="BSC30" s="1688"/>
      <c r="BSD30" s="1688"/>
      <c r="BSE30" s="1688"/>
      <c r="BSF30" s="1688"/>
      <c r="BSG30" s="1688"/>
      <c r="BSH30" s="1688"/>
      <c r="BSI30" s="1688"/>
      <c r="BSJ30" s="1688"/>
      <c r="BSK30" s="1688"/>
      <c r="BSL30" s="1688"/>
      <c r="BSM30" s="1688"/>
      <c r="BSN30" s="1688"/>
      <c r="BSO30" s="1688"/>
      <c r="BSP30" s="1688"/>
      <c r="BSQ30" s="1688"/>
      <c r="BSR30" s="1688"/>
      <c r="BSS30" s="1688"/>
      <c r="BST30" s="1688"/>
      <c r="BSU30" s="1688"/>
      <c r="BSV30" s="1688"/>
      <c r="BSW30" s="1688"/>
      <c r="BSX30" s="1688"/>
      <c r="BSY30" s="1688"/>
      <c r="BSZ30" s="1688"/>
      <c r="BTA30" s="1688"/>
      <c r="BTB30" s="1688"/>
      <c r="BTC30" s="1688"/>
      <c r="BTD30" s="1688"/>
      <c r="BTE30" s="1688"/>
      <c r="BTF30" s="1688"/>
      <c r="BTG30" s="1688"/>
      <c r="BTH30" s="1688"/>
      <c r="BTI30" s="1688"/>
      <c r="BTJ30" s="1688"/>
      <c r="BTK30" s="1688"/>
      <c r="BTL30" s="1688"/>
      <c r="BTM30" s="1688"/>
      <c r="BTN30" s="1688"/>
      <c r="BTO30" s="1688"/>
      <c r="BTP30" s="1688"/>
      <c r="BTQ30" s="1688"/>
      <c r="BTR30" s="1688"/>
      <c r="BTS30" s="1688"/>
      <c r="BTT30" s="1688"/>
      <c r="BTU30" s="1688"/>
      <c r="BTV30" s="1688"/>
      <c r="BTW30" s="1688"/>
      <c r="BTX30" s="1688"/>
      <c r="BTY30" s="1688"/>
      <c r="BTZ30" s="1688"/>
      <c r="BUA30" s="1688"/>
      <c r="BUB30" s="1688"/>
      <c r="BUC30" s="1688"/>
      <c r="BUD30" s="1688"/>
      <c r="BUE30" s="1688"/>
      <c r="BUF30" s="1688"/>
      <c r="BUG30" s="1688"/>
      <c r="BUH30" s="1688"/>
      <c r="BUI30" s="1688"/>
      <c r="BUJ30" s="1688"/>
      <c r="BUK30" s="1688"/>
      <c r="BUL30" s="1688"/>
      <c r="BUM30" s="1688"/>
      <c r="BUN30" s="1688"/>
      <c r="BUO30" s="1688"/>
      <c r="BUP30" s="1688"/>
      <c r="BUQ30" s="1688"/>
      <c r="BUR30" s="1688"/>
      <c r="BUS30" s="1688"/>
      <c r="BUT30" s="1688"/>
      <c r="BUU30" s="1688"/>
      <c r="BUV30" s="1688"/>
      <c r="BUW30" s="1688"/>
      <c r="BUX30" s="1688"/>
      <c r="BUY30" s="1688"/>
      <c r="BUZ30" s="1688"/>
      <c r="BVA30" s="1688"/>
      <c r="BVB30" s="1688"/>
      <c r="BVC30" s="1688"/>
      <c r="BVD30" s="1688"/>
      <c r="BVE30" s="1688"/>
      <c r="BVF30" s="1688"/>
      <c r="BVG30" s="1688"/>
      <c r="BVH30" s="1688"/>
      <c r="BVI30" s="1688"/>
      <c r="BVJ30" s="1688"/>
      <c r="BVK30" s="1688"/>
      <c r="BVL30" s="1688"/>
      <c r="BVM30" s="1688"/>
      <c r="BVN30" s="1688"/>
      <c r="BVO30" s="1688"/>
      <c r="BVP30" s="1688"/>
      <c r="BVQ30" s="1688"/>
      <c r="BVR30" s="1688"/>
      <c r="BVS30" s="1688"/>
      <c r="BVT30" s="1688"/>
      <c r="BVU30" s="1688"/>
      <c r="BVV30" s="1688"/>
      <c r="BVW30" s="1688"/>
      <c r="BVX30" s="1688"/>
      <c r="BVY30" s="1688"/>
      <c r="BVZ30" s="1688"/>
      <c r="BWA30" s="1688"/>
      <c r="BWB30" s="1688"/>
      <c r="BWC30" s="1688"/>
      <c r="BWD30" s="1688"/>
      <c r="BWE30" s="1688"/>
      <c r="BWF30" s="1688"/>
      <c r="BWG30" s="1688"/>
      <c r="BWH30" s="1688"/>
      <c r="BWI30" s="1688"/>
      <c r="BWJ30" s="1688"/>
      <c r="BWK30" s="1688"/>
      <c r="BWL30" s="1688"/>
      <c r="BWM30" s="1688"/>
      <c r="BWN30" s="1688"/>
      <c r="BWO30" s="1688"/>
      <c r="BWP30" s="1688"/>
      <c r="BWQ30" s="1688"/>
      <c r="BWR30" s="1688"/>
      <c r="BWS30" s="1688"/>
      <c r="BWT30" s="1688"/>
      <c r="BWU30" s="1688"/>
      <c r="BWV30" s="1688"/>
      <c r="BWW30" s="1688"/>
      <c r="BWX30" s="1688"/>
      <c r="BWY30" s="1688"/>
      <c r="BWZ30" s="1688"/>
      <c r="BXA30" s="1688"/>
      <c r="BXB30" s="1688"/>
      <c r="BXC30" s="1688"/>
      <c r="BXD30" s="1688"/>
      <c r="BXE30" s="1688"/>
      <c r="BXF30" s="1688"/>
      <c r="BXG30" s="1688"/>
      <c r="BXH30" s="1688"/>
      <c r="BXI30" s="1688"/>
      <c r="BXJ30" s="1688"/>
      <c r="BXK30" s="1688"/>
      <c r="BXL30" s="1688"/>
      <c r="BXM30" s="1688"/>
      <c r="BXN30" s="1688"/>
      <c r="BXO30" s="1688"/>
      <c r="BXP30" s="1688"/>
      <c r="BXQ30" s="1688"/>
      <c r="BXR30" s="1688"/>
      <c r="BXS30" s="1688"/>
      <c r="BXT30" s="1688"/>
      <c r="BXU30" s="1688"/>
      <c r="BXV30" s="1688"/>
      <c r="BXW30" s="1688"/>
      <c r="BXX30" s="1688"/>
      <c r="BXY30" s="1688"/>
      <c r="BXZ30" s="1688"/>
      <c r="BYA30" s="1688"/>
      <c r="BYB30" s="1688"/>
      <c r="BYC30" s="1688"/>
      <c r="BYD30" s="1688"/>
      <c r="BYE30" s="1688"/>
      <c r="BYF30" s="1688"/>
      <c r="BYG30" s="1688"/>
      <c r="BYH30" s="1688"/>
      <c r="BYI30" s="1688"/>
      <c r="BYJ30" s="1688"/>
      <c r="BYK30" s="1688"/>
      <c r="BYL30" s="1688"/>
      <c r="BYM30" s="1688"/>
      <c r="BYN30" s="1688"/>
      <c r="BYO30" s="1688"/>
      <c r="BYP30" s="1688"/>
      <c r="BYQ30" s="1688"/>
      <c r="BYR30" s="1688"/>
      <c r="BYS30" s="1688"/>
      <c r="BYT30" s="1688"/>
      <c r="BYU30" s="1688"/>
      <c r="BYV30" s="1688"/>
      <c r="BYW30" s="1688"/>
      <c r="BYX30" s="1688"/>
      <c r="BYY30" s="1688"/>
      <c r="BYZ30" s="1688"/>
      <c r="BZA30" s="1688"/>
      <c r="BZB30" s="1688"/>
      <c r="BZC30" s="1688"/>
      <c r="BZD30" s="1688"/>
      <c r="BZE30" s="1688"/>
      <c r="BZF30" s="1688"/>
      <c r="BZG30" s="1688"/>
      <c r="BZH30" s="1688"/>
      <c r="BZI30" s="1688"/>
      <c r="BZJ30" s="1688"/>
      <c r="BZK30" s="1688"/>
      <c r="BZL30" s="1688"/>
      <c r="BZM30" s="1688"/>
      <c r="BZN30" s="1688"/>
      <c r="BZO30" s="1688"/>
      <c r="BZP30" s="1688"/>
      <c r="BZQ30" s="1688"/>
      <c r="BZR30" s="1688"/>
      <c r="BZS30" s="1688"/>
      <c r="BZT30" s="1688"/>
      <c r="BZU30" s="1688"/>
      <c r="BZV30" s="1688"/>
      <c r="BZW30" s="1688"/>
      <c r="BZX30" s="1688"/>
      <c r="BZY30" s="1688"/>
      <c r="BZZ30" s="1688"/>
      <c r="CAA30" s="1688"/>
      <c r="CAB30" s="1688"/>
      <c r="CAC30" s="1688"/>
      <c r="CAD30" s="1688"/>
      <c r="CAE30" s="1688"/>
      <c r="CAF30" s="1688"/>
      <c r="CAG30" s="1688"/>
      <c r="CAH30" s="1688"/>
      <c r="CAI30" s="1688"/>
      <c r="CAJ30" s="1688"/>
      <c r="CAK30" s="1688"/>
      <c r="CAL30" s="1688"/>
      <c r="CAM30" s="1688"/>
      <c r="CAN30" s="1688"/>
      <c r="CAO30" s="1688"/>
      <c r="CAP30" s="1688"/>
      <c r="CAQ30" s="1688"/>
      <c r="CAR30" s="1688"/>
      <c r="CAS30" s="1688"/>
      <c r="CAT30" s="1688"/>
      <c r="CAU30" s="1688"/>
      <c r="CAV30" s="1688"/>
      <c r="CAW30" s="1688"/>
      <c r="CAX30" s="1688"/>
      <c r="CAY30" s="1688"/>
      <c r="CAZ30" s="1688"/>
      <c r="CBA30" s="1688"/>
      <c r="CBB30" s="1688"/>
      <c r="CBC30" s="1688"/>
      <c r="CBD30" s="1688"/>
      <c r="CBE30" s="1688"/>
      <c r="CBF30" s="1688"/>
      <c r="CBG30" s="1688"/>
      <c r="CBH30" s="1688"/>
      <c r="CBI30" s="1688"/>
      <c r="CBJ30" s="1688"/>
      <c r="CBK30" s="1688"/>
      <c r="CBL30" s="1688"/>
      <c r="CBM30" s="1688"/>
      <c r="CBN30" s="1688"/>
      <c r="CBO30" s="1688"/>
      <c r="CBP30" s="1688"/>
      <c r="CBQ30" s="1688"/>
      <c r="CBR30" s="1688"/>
      <c r="CBS30" s="1688"/>
      <c r="CBT30" s="1688"/>
      <c r="CBU30" s="1688"/>
      <c r="CBV30" s="1688"/>
      <c r="CBW30" s="1688"/>
      <c r="CBX30" s="1688"/>
      <c r="CBY30" s="1688"/>
      <c r="CBZ30" s="1688"/>
      <c r="CCA30" s="1688"/>
      <c r="CCB30" s="1688"/>
      <c r="CCC30" s="1688"/>
      <c r="CCD30" s="1688"/>
      <c r="CCE30" s="1688"/>
      <c r="CCF30" s="1688"/>
      <c r="CCG30" s="1688"/>
      <c r="CCH30" s="1688"/>
      <c r="CCI30" s="1688"/>
      <c r="CCJ30" s="1688"/>
      <c r="CCK30" s="1688"/>
      <c r="CCL30" s="1688"/>
      <c r="CCM30" s="1688"/>
      <c r="CCN30" s="1688"/>
      <c r="CCO30" s="1688"/>
      <c r="CCP30" s="1688"/>
      <c r="CCQ30" s="1688"/>
      <c r="CCR30" s="1688"/>
      <c r="CCS30" s="1688"/>
      <c r="CCT30" s="1688"/>
      <c r="CCU30" s="1688"/>
      <c r="CCV30" s="1688"/>
      <c r="CCW30" s="1688"/>
      <c r="CCX30" s="1688"/>
      <c r="CCY30" s="1688"/>
      <c r="CCZ30" s="1688"/>
      <c r="CDA30" s="1688"/>
      <c r="CDB30" s="1688"/>
      <c r="CDC30" s="1688"/>
      <c r="CDD30" s="1688"/>
      <c r="CDE30" s="1688"/>
      <c r="CDF30" s="1688"/>
      <c r="CDG30" s="1688"/>
      <c r="CDH30" s="1688"/>
      <c r="CDI30" s="1688"/>
      <c r="CDJ30" s="1688"/>
      <c r="CDK30" s="1688"/>
      <c r="CDL30" s="1688"/>
      <c r="CDM30" s="1688"/>
      <c r="CDN30" s="1688"/>
      <c r="CDO30" s="1688"/>
      <c r="CDP30" s="1688"/>
      <c r="CDQ30" s="1688"/>
      <c r="CDR30" s="1688"/>
      <c r="CDS30" s="1688"/>
      <c r="CDT30" s="1688"/>
      <c r="CDU30" s="1688"/>
      <c r="CDV30" s="1688"/>
      <c r="CDW30" s="1688"/>
      <c r="CDX30" s="1688"/>
      <c r="CDY30" s="1688"/>
      <c r="CDZ30" s="1688"/>
      <c r="CEA30" s="1688"/>
      <c r="CEB30" s="1688"/>
      <c r="CEC30" s="1688"/>
      <c r="CED30" s="1688"/>
      <c r="CEE30" s="1688"/>
      <c r="CEF30" s="1688"/>
      <c r="CEG30" s="1688"/>
      <c r="CEH30" s="1688"/>
      <c r="CEI30" s="1688"/>
      <c r="CEJ30" s="1688"/>
      <c r="CEK30" s="1688"/>
      <c r="CEL30" s="1688"/>
      <c r="CEM30" s="1688"/>
      <c r="CEN30" s="1688"/>
      <c r="CEO30" s="1688"/>
      <c r="CEP30" s="1688"/>
      <c r="CEQ30" s="1688"/>
      <c r="CER30" s="1688"/>
      <c r="CES30" s="1688"/>
      <c r="CET30" s="1688"/>
      <c r="CEU30" s="1688"/>
      <c r="CEV30" s="1688"/>
      <c r="CEW30" s="1688"/>
      <c r="CEX30" s="1688"/>
      <c r="CEY30" s="1688"/>
      <c r="CEZ30" s="1688"/>
      <c r="CFA30" s="1688"/>
      <c r="CFB30" s="1688"/>
      <c r="CFC30" s="1688"/>
      <c r="CFD30" s="1688"/>
      <c r="CFE30" s="1688"/>
      <c r="CFF30" s="1688"/>
      <c r="CFG30" s="1688"/>
      <c r="CFH30" s="1688"/>
      <c r="CFI30" s="1688"/>
      <c r="CFJ30" s="1688"/>
      <c r="CFK30" s="1688"/>
      <c r="CFL30" s="1688"/>
      <c r="CFM30" s="1688"/>
      <c r="CFN30" s="1688"/>
      <c r="CFO30" s="1688"/>
      <c r="CFP30" s="1688"/>
      <c r="CFQ30" s="1688"/>
      <c r="CFR30" s="1688"/>
      <c r="CFS30" s="1688"/>
      <c r="CFT30" s="1688"/>
      <c r="CFU30" s="1688"/>
      <c r="CFV30" s="1688"/>
      <c r="CFW30" s="1688"/>
      <c r="CFX30" s="1688"/>
      <c r="CFY30" s="1688"/>
      <c r="CFZ30" s="1688"/>
      <c r="CGA30" s="1688"/>
      <c r="CGB30" s="1688"/>
      <c r="CGC30" s="1688"/>
      <c r="CGD30" s="1688"/>
      <c r="CGE30" s="1688"/>
      <c r="CGF30" s="1688"/>
      <c r="CGG30" s="1688"/>
      <c r="CGH30" s="1688"/>
      <c r="CGI30" s="1688"/>
      <c r="CGJ30" s="1688"/>
      <c r="CGK30" s="1688"/>
      <c r="CGL30" s="1688"/>
      <c r="CGM30" s="1688"/>
      <c r="CGN30" s="1688"/>
      <c r="CGO30" s="1688"/>
      <c r="CGP30" s="1688"/>
      <c r="CGQ30" s="1688"/>
      <c r="CGR30" s="1688"/>
      <c r="CGS30" s="1688"/>
      <c r="CGT30" s="1688"/>
      <c r="CGU30" s="1688"/>
      <c r="CGV30" s="1688"/>
      <c r="CGW30" s="1688"/>
      <c r="CGX30" s="1688"/>
      <c r="CGY30" s="1688"/>
      <c r="CGZ30" s="1688"/>
      <c r="CHA30" s="1688"/>
      <c r="CHB30" s="1688"/>
      <c r="CHC30" s="1688"/>
      <c r="CHD30" s="1688"/>
      <c r="CHE30" s="1688"/>
      <c r="CHF30" s="1688"/>
      <c r="CHG30" s="1688"/>
      <c r="CHH30" s="1688"/>
      <c r="CHI30" s="1688"/>
      <c r="CHJ30" s="1688"/>
      <c r="CHK30" s="1688"/>
      <c r="CHL30" s="1688"/>
      <c r="CHM30" s="1688"/>
      <c r="CHN30" s="1688"/>
      <c r="CHO30" s="1688"/>
      <c r="CHP30" s="1688"/>
      <c r="CHQ30" s="1688"/>
      <c r="CHR30" s="1688"/>
      <c r="CHS30" s="1688"/>
      <c r="CHT30" s="1688"/>
      <c r="CHU30" s="1688"/>
      <c r="CHV30" s="1688"/>
      <c r="CHW30" s="1688"/>
      <c r="CHX30" s="1688"/>
      <c r="CHY30" s="1688"/>
      <c r="CHZ30" s="1688"/>
      <c r="CIA30" s="1688"/>
      <c r="CIB30" s="1688"/>
      <c r="CIC30" s="1688"/>
      <c r="CID30" s="1688"/>
      <c r="CIE30" s="1688"/>
      <c r="CIF30" s="1688"/>
      <c r="CIG30" s="1688"/>
      <c r="CIH30" s="1688"/>
      <c r="CII30" s="1688"/>
      <c r="CIJ30" s="1688"/>
      <c r="CIK30" s="1688"/>
      <c r="CIL30" s="1688"/>
      <c r="CIM30" s="1688"/>
      <c r="CIN30" s="1688"/>
      <c r="CIO30" s="1688"/>
      <c r="CIP30" s="1688"/>
      <c r="CIQ30" s="1688"/>
      <c r="CIR30" s="1688"/>
      <c r="CIS30" s="1688"/>
      <c r="CIT30" s="1688"/>
      <c r="CIU30" s="1688"/>
      <c r="CIV30" s="1688"/>
      <c r="CIW30" s="1688"/>
      <c r="CIX30" s="1688"/>
      <c r="CIY30" s="1688"/>
      <c r="CIZ30" s="1688"/>
      <c r="CJA30" s="1688"/>
      <c r="CJB30" s="1688"/>
      <c r="CJC30" s="1688"/>
      <c r="CJD30" s="1688"/>
      <c r="CJE30" s="1688"/>
      <c r="CJF30" s="1688"/>
      <c r="CJG30" s="1688"/>
      <c r="CJH30" s="1688"/>
      <c r="CJI30" s="1688"/>
      <c r="CJJ30" s="1688"/>
      <c r="CJK30" s="1688"/>
      <c r="CJL30" s="1688"/>
      <c r="CJM30" s="1688"/>
      <c r="CJN30" s="1688"/>
      <c r="CJO30" s="1688"/>
      <c r="CJP30" s="1688"/>
      <c r="CJQ30" s="1688"/>
      <c r="CJR30" s="1688"/>
      <c r="CJS30" s="1688"/>
      <c r="CJT30" s="1688"/>
      <c r="CJU30" s="1688"/>
      <c r="CJV30" s="1688"/>
      <c r="CJW30" s="1688"/>
      <c r="CJX30" s="1688"/>
      <c r="CJY30" s="1688"/>
      <c r="CJZ30" s="1688"/>
      <c r="CKA30" s="1688"/>
      <c r="CKB30" s="1688"/>
      <c r="CKC30" s="1688"/>
      <c r="CKD30" s="1688"/>
      <c r="CKE30" s="1688"/>
      <c r="CKF30" s="1688"/>
      <c r="CKG30" s="1688"/>
      <c r="CKH30" s="1688"/>
      <c r="CKI30" s="1688"/>
      <c r="CKJ30" s="1688"/>
      <c r="CKK30" s="1688"/>
      <c r="CKL30" s="1688"/>
      <c r="CKM30" s="1688"/>
      <c r="CKN30" s="1688"/>
      <c r="CKO30" s="1688"/>
      <c r="CKP30" s="1688"/>
      <c r="CKQ30" s="1688"/>
      <c r="CKR30" s="1688"/>
      <c r="CKS30" s="1688"/>
      <c r="CKT30" s="1688"/>
      <c r="CKU30" s="1688"/>
      <c r="CKV30" s="1688"/>
      <c r="CKW30" s="1688"/>
      <c r="CKX30" s="1688"/>
      <c r="CKY30" s="1688"/>
      <c r="CKZ30" s="1688"/>
      <c r="CLA30" s="1688"/>
      <c r="CLB30" s="1688"/>
      <c r="CLC30" s="1688"/>
      <c r="CLD30" s="1688"/>
      <c r="CLE30" s="1688"/>
      <c r="CLF30" s="1688"/>
      <c r="CLG30" s="1688"/>
      <c r="CLH30" s="1688"/>
      <c r="CLI30" s="1688"/>
      <c r="CLJ30" s="1688"/>
      <c r="CLK30" s="1688"/>
      <c r="CLL30" s="1688"/>
      <c r="CLM30" s="1688"/>
      <c r="CLN30" s="1688"/>
      <c r="CLO30" s="1688"/>
      <c r="CLP30" s="1688"/>
      <c r="CLQ30" s="1688"/>
      <c r="CLR30" s="1688"/>
      <c r="CLS30" s="1688"/>
      <c r="CLT30" s="1688"/>
      <c r="CLU30" s="1688"/>
      <c r="CLV30" s="1688"/>
      <c r="CLW30" s="1688"/>
      <c r="CLX30" s="1688"/>
      <c r="CLY30" s="1688"/>
      <c r="CLZ30" s="1688"/>
      <c r="CMA30" s="1688"/>
      <c r="CMB30" s="1688"/>
      <c r="CMC30" s="1688"/>
      <c r="CMD30" s="1688"/>
      <c r="CME30" s="1688"/>
      <c r="CMF30" s="1688"/>
      <c r="CMG30" s="1688"/>
      <c r="CMH30" s="1688"/>
      <c r="CMI30" s="1688"/>
      <c r="CMJ30" s="1688"/>
      <c r="CMK30" s="1688"/>
      <c r="CML30" s="1688"/>
      <c r="CMM30" s="1688"/>
      <c r="CMN30" s="1688"/>
      <c r="CMO30" s="1688"/>
      <c r="CMP30" s="1688"/>
      <c r="CMQ30" s="1688"/>
      <c r="CMR30" s="1688"/>
      <c r="CMS30" s="1688"/>
      <c r="CMT30" s="1688"/>
      <c r="CMU30" s="1688"/>
      <c r="CMV30" s="1688"/>
      <c r="CMW30" s="1688"/>
      <c r="CMX30" s="1688"/>
      <c r="CMY30" s="1688"/>
      <c r="CMZ30" s="1688"/>
      <c r="CNA30" s="1688"/>
      <c r="CNB30" s="1688"/>
      <c r="CNC30" s="1688"/>
      <c r="CND30" s="1688"/>
      <c r="CNE30" s="1688"/>
      <c r="CNF30" s="1688"/>
      <c r="CNG30" s="1688"/>
      <c r="CNH30" s="1688"/>
      <c r="CNI30" s="1688"/>
      <c r="CNJ30" s="1688"/>
      <c r="CNK30" s="1688"/>
      <c r="CNL30" s="1688"/>
      <c r="CNM30" s="1688"/>
      <c r="CNN30" s="1688"/>
      <c r="CNO30" s="1688"/>
      <c r="CNP30" s="1688"/>
      <c r="CNQ30" s="1688"/>
      <c r="CNR30" s="1688"/>
      <c r="CNS30" s="1688"/>
      <c r="CNT30" s="1688"/>
      <c r="CNU30" s="1688"/>
      <c r="CNV30" s="1688"/>
      <c r="CNW30" s="1688"/>
      <c r="CNX30" s="1688"/>
      <c r="CNY30" s="1688"/>
      <c r="CNZ30" s="1688"/>
      <c r="COA30" s="1688"/>
      <c r="COB30" s="1688"/>
      <c r="COC30" s="1688"/>
      <c r="COD30" s="1688"/>
      <c r="COE30" s="1688"/>
      <c r="COF30" s="1688"/>
      <c r="COG30" s="1688"/>
      <c r="COH30" s="1688"/>
      <c r="COI30" s="1688"/>
      <c r="COJ30" s="1688"/>
      <c r="COK30" s="1688"/>
      <c r="COL30" s="1688"/>
      <c r="COM30" s="1688"/>
      <c r="CON30" s="1688"/>
      <c r="COO30" s="1688"/>
      <c r="COP30" s="1688"/>
      <c r="COQ30" s="1688"/>
      <c r="COR30" s="1688"/>
      <c r="COS30" s="1688"/>
      <c r="COT30" s="1688"/>
      <c r="COU30" s="1688"/>
      <c r="COV30" s="1688"/>
      <c r="COW30" s="1688"/>
      <c r="COX30" s="1688"/>
      <c r="COY30" s="1688"/>
      <c r="COZ30" s="1688"/>
      <c r="CPA30" s="1688"/>
      <c r="CPB30" s="1688"/>
      <c r="CPC30" s="1688"/>
      <c r="CPD30" s="1688"/>
      <c r="CPE30" s="1688"/>
      <c r="CPF30" s="1688"/>
      <c r="CPG30" s="1688"/>
      <c r="CPH30" s="1688"/>
      <c r="CPI30" s="1688"/>
      <c r="CPJ30" s="1688"/>
      <c r="CPK30" s="1688"/>
      <c r="CPL30" s="1688"/>
      <c r="CPM30" s="1688"/>
      <c r="CPN30" s="1688"/>
      <c r="CPO30" s="1688"/>
      <c r="CPP30" s="1688"/>
      <c r="CPQ30" s="1688"/>
      <c r="CPR30" s="1688"/>
      <c r="CPS30" s="1688"/>
      <c r="CPT30" s="1688"/>
      <c r="CPU30" s="1688"/>
      <c r="CPV30" s="1688"/>
      <c r="CPW30" s="1688"/>
      <c r="CPX30" s="1688"/>
      <c r="CPY30" s="1688"/>
      <c r="CPZ30" s="1688"/>
      <c r="CQA30" s="1688"/>
      <c r="CQB30" s="1688"/>
      <c r="CQC30" s="1688"/>
      <c r="CQD30" s="1688"/>
      <c r="CQE30" s="1688"/>
      <c r="CQF30" s="1688"/>
      <c r="CQG30" s="1688"/>
      <c r="CQH30" s="1688"/>
      <c r="CQI30" s="1688"/>
      <c r="CQJ30" s="1688"/>
      <c r="CQK30" s="1688"/>
      <c r="CQL30" s="1688"/>
      <c r="CQM30" s="1688"/>
      <c r="CQN30" s="1688"/>
      <c r="CQO30" s="1688"/>
      <c r="CQP30" s="1688"/>
      <c r="CQQ30" s="1688"/>
      <c r="CQR30" s="1688"/>
      <c r="CQS30" s="1688"/>
      <c r="CQT30" s="1688"/>
      <c r="CQU30" s="1688"/>
      <c r="CQV30" s="1688"/>
      <c r="CQW30" s="1688"/>
      <c r="CQX30" s="1688"/>
      <c r="CQY30" s="1688"/>
      <c r="CQZ30" s="1688"/>
      <c r="CRA30" s="1688"/>
      <c r="CRB30" s="1688"/>
      <c r="CRC30" s="1688"/>
      <c r="CRD30" s="1688"/>
      <c r="CRE30" s="1688"/>
      <c r="CRF30" s="1688"/>
      <c r="CRG30" s="1688"/>
      <c r="CRH30" s="1688"/>
      <c r="CRI30" s="1688"/>
      <c r="CRJ30" s="1688"/>
      <c r="CRK30" s="1688"/>
      <c r="CRL30" s="1688"/>
      <c r="CRM30" s="1688"/>
      <c r="CRN30" s="1688"/>
      <c r="CRO30" s="1688"/>
      <c r="CRP30" s="1688"/>
      <c r="CRQ30" s="1688"/>
      <c r="CRR30" s="1688"/>
      <c r="CRS30" s="1688"/>
      <c r="CRT30" s="1688"/>
      <c r="CRU30" s="1688"/>
      <c r="CRV30" s="1688"/>
      <c r="CRW30" s="1688"/>
      <c r="CRX30" s="1688"/>
      <c r="CRY30" s="1688"/>
      <c r="CRZ30" s="1688"/>
      <c r="CSA30" s="1688"/>
      <c r="CSB30" s="1688"/>
      <c r="CSC30" s="1688"/>
      <c r="CSD30" s="1688"/>
      <c r="CSE30" s="1688"/>
      <c r="CSF30" s="1688"/>
      <c r="CSG30" s="1688"/>
      <c r="CSH30" s="1688"/>
      <c r="CSI30" s="1688"/>
      <c r="CSJ30" s="1688"/>
      <c r="CSK30" s="1688"/>
      <c r="CSL30" s="1688"/>
      <c r="CSM30" s="1688"/>
      <c r="CSN30" s="1688"/>
      <c r="CSO30" s="1688"/>
      <c r="CSP30" s="1688"/>
      <c r="CSQ30" s="1688"/>
      <c r="CSR30" s="1688"/>
      <c r="CSS30" s="1688"/>
      <c r="CST30" s="1688"/>
      <c r="CSU30" s="1688"/>
      <c r="CSV30" s="1688"/>
      <c r="CSW30" s="1688"/>
      <c r="CSX30" s="1688"/>
      <c r="CSY30" s="1688"/>
      <c r="CSZ30" s="1688"/>
      <c r="CTA30" s="1688"/>
      <c r="CTB30" s="1688"/>
      <c r="CTC30" s="1688"/>
      <c r="CTD30" s="1688"/>
      <c r="CTE30" s="1688"/>
      <c r="CTF30" s="1688"/>
      <c r="CTG30" s="1688"/>
      <c r="CTH30" s="1688"/>
      <c r="CTI30" s="1688"/>
      <c r="CTJ30" s="1688"/>
      <c r="CTK30" s="1688"/>
      <c r="CTL30" s="1688"/>
      <c r="CTM30" s="1688"/>
      <c r="CTN30" s="1688"/>
      <c r="CTO30" s="1688"/>
      <c r="CTP30" s="1688"/>
      <c r="CTQ30" s="1688"/>
      <c r="CTR30" s="1688"/>
      <c r="CTS30" s="1688"/>
      <c r="CTT30" s="1688"/>
      <c r="CTU30" s="1688"/>
      <c r="CTV30" s="1688"/>
      <c r="CTW30" s="1688"/>
      <c r="CTX30" s="1688"/>
      <c r="CTY30" s="1688"/>
      <c r="CTZ30" s="1688"/>
      <c r="CUA30" s="1688"/>
      <c r="CUB30" s="1688"/>
      <c r="CUC30" s="1688"/>
      <c r="CUD30" s="1688"/>
      <c r="CUE30" s="1688"/>
      <c r="CUF30" s="1688"/>
      <c r="CUG30" s="1688"/>
      <c r="CUH30" s="1688"/>
      <c r="CUI30" s="1688"/>
      <c r="CUJ30" s="1688"/>
      <c r="CUK30" s="1688"/>
      <c r="CUL30" s="1688"/>
      <c r="CUM30" s="1688"/>
      <c r="CUN30" s="1688"/>
      <c r="CUO30" s="1688"/>
      <c r="CUP30" s="1688"/>
      <c r="CUQ30" s="1688"/>
      <c r="CUR30" s="1688"/>
      <c r="CUS30" s="1688"/>
      <c r="CUT30" s="1688"/>
      <c r="CUU30" s="1688"/>
      <c r="CUV30" s="1688"/>
      <c r="CUW30" s="1688"/>
      <c r="CUX30" s="1688"/>
      <c r="CUY30" s="1688"/>
      <c r="CUZ30" s="1688"/>
      <c r="CVA30" s="1688"/>
      <c r="CVB30" s="1688"/>
      <c r="CVC30" s="1688"/>
      <c r="CVD30" s="1688"/>
      <c r="CVE30" s="1688"/>
      <c r="CVF30" s="1688"/>
      <c r="CVG30" s="1688"/>
      <c r="CVH30" s="1688"/>
      <c r="CVI30" s="1688"/>
      <c r="CVJ30" s="1688"/>
      <c r="CVK30" s="1688"/>
      <c r="CVL30" s="1688"/>
      <c r="CVM30" s="1688"/>
      <c r="CVN30" s="1688"/>
      <c r="CVO30" s="1688"/>
      <c r="CVP30" s="1688"/>
      <c r="CVQ30" s="1688"/>
      <c r="CVR30" s="1688"/>
      <c r="CVS30" s="1688"/>
      <c r="CVT30" s="1688"/>
      <c r="CVU30" s="1688"/>
      <c r="CVV30" s="1688"/>
      <c r="CVW30" s="1688"/>
      <c r="CVX30" s="1688"/>
      <c r="CVY30" s="1688"/>
      <c r="CVZ30" s="1688"/>
      <c r="CWA30" s="1688"/>
      <c r="CWB30" s="1688"/>
      <c r="CWC30" s="1688"/>
      <c r="CWD30" s="1688"/>
      <c r="CWE30" s="1688"/>
      <c r="CWF30" s="1688"/>
      <c r="CWG30" s="1688"/>
      <c r="CWH30" s="1688"/>
      <c r="CWI30" s="1688"/>
      <c r="CWJ30" s="1688"/>
      <c r="CWK30" s="1688"/>
      <c r="CWL30" s="1688"/>
      <c r="CWM30" s="1688"/>
      <c r="CWN30" s="1688"/>
      <c r="CWO30" s="1688"/>
      <c r="CWP30" s="1688"/>
      <c r="CWQ30" s="1688"/>
      <c r="CWR30" s="1688"/>
      <c r="CWS30" s="1688"/>
      <c r="CWT30" s="1688"/>
      <c r="CWU30" s="1688"/>
      <c r="CWV30" s="1688"/>
      <c r="CWW30" s="1688"/>
      <c r="CWX30" s="1688"/>
      <c r="CWY30" s="1688"/>
      <c r="CWZ30" s="1688"/>
      <c r="CXA30" s="1688"/>
      <c r="CXB30" s="1688"/>
      <c r="CXC30" s="1688"/>
      <c r="CXD30" s="1688"/>
      <c r="CXE30" s="1688"/>
      <c r="CXF30" s="1688"/>
      <c r="CXG30" s="1688"/>
      <c r="CXH30" s="1688"/>
      <c r="CXI30" s="1688"/>
      <c r="CXJ30" s="1688"/>
      <c r="CXK30" s="1688"/>
      <c r="CXL30" s="1688"/>
      <c r="CXM30" s="1688"/>
      <c r="CXN30" s="1688"/>
      <c r="CXO30" s="1688"/>
      <c r="CXP30" s="1688"/>
      <c r="CXQ30" s="1688"/>
      <c r="CXR30" s="1688"/>
      <c r="CXS30" s="1688"/>
      <c r="CXT30" s="1688"/>
      <c r="CXU30" s="1688"/>
      <c r="CXV30" s="1688"/>
      <c r="CXW30" s="1688"/>
      <c r="CXX30" s="1688"/>
      <c r="CXY30" s="1688"/>
      <c r="CXZ30" s="1688"/>
      <c r="CYA30" s="1688"/>
      <c r="CYB30" s="1688"/>
      <c r="CYC30" s="1688"/>
      <c r="CYD30" s="1688"/>
      <c r="CYE30" s="1688"/>
      <c r="CYF30" s="1688"/>
      <c r="CYG30" s="1688"/>
      <c r="CYH30" s="1688"/>
      <c r="CYI30" s="1688"/>
      <c r="CYJ30" s="1688"/>
      <c r="CYK30" s="1688"/>
      <c r="CYL30" s="1688"/>
      <c r="CYM30" s="1688"/>
      <c r="CYN30" s="1688"/>
      <c r="CYO30" s="1688"/>
      <c r="CYP30" s="1688"/>
      <c r="CYQ30" s="1688"/>
      <c r="CYR30" s="1688"/>
      <c r="CYS30" s="1688"/>
      <c r="CYT30" s="1688"/>
      <c r="CYU30" s="1688"/>
      <c r="CYV30" s="1688"/>
      <c r="CYW30" s="1688"/>
      <c r="CYX30" s="1688"/>
      <c r="CYY30" s="1688"/>
      <c r="CYZ30" s="1688"/>
      <c r="CZA30" s="1688"/>
      <c r="CZB30" s="1688"/>
      <c r="CZC30" s="1688"/>
      <c r="CZD30" s="1688"/>
      <c r="CZE30" s="1688"/>
      <c r="CZF30" s="1688"/>
      <c r="CZG30" s="1688"/>
      <c r="CZH30" s="1688"/>
      <c r="CZI30" s="1688"/>
      <c r="CZJ30" s="1688"/>
      <c r="CZK30" s="1688"/>
      <c r="CZL30" s="1688"/>
      <c r="CZM30" s="1688"/>
      <c r="CZN30" s="1688"/>
      <c r="CZO30" s="1688"/>
      <c r="CZP30" s="1688"/>
      <c r="CZQ30" s="1688"/>
      <c r="CZR30" s="1688"/>
      <c r="CZS30" s="1688"/>
      <c r="CZT30" s="1688"/>
      <c r="CZU30" s="1688"/>
      <c r="CZV30" s="1688"/>
      <c r="CZW30" s="1688"/>
      <c r="CZX30" s="1688"/>
      <c r="CZY30" s="1688"/>
      <c r="CZZ30" s="1688"/>
      <c r="DAA30" s="1688"/>
      <c r="DAB30" s="1688"/>
      <c r="DAC30" s="1688"/>
      <c r="DAD30" s="1688"/>
      <c r="DAE30" s="1688"/>
      <c r="DAF30" s="1688"/>
      <c r="DAG30" s="1688"/>
      <c r="DAH30" s="1688"/>
      <c r="DAI30" s="1688"/>
      <c r="DAJ30" s="1688"/>
      <c r="DAK30" s="1688"/>
      <c r="DAL30" s="1688"/>
      <c r="DAM30" s="1688"/>
      <c r="DAN30" s="1688"/>
      <c r="DAO30" s="1688"/>
      <c r="DAP30" s="1688"/>
      <c r="DAQ30" s="1688"/>
      <c r="DAR30" s="1688"/>
      <c r="DAS30" s="1688"/>
      <c r="DAT30" s="1688"/>
      <c r="DAU30" s="1688"/>
      <c r="DAV30" s="1688"/>
      <c r="DAW30" s="1688"/>
      <c r="DAX30" s="1688"/>
      <c r="DAY30" s="1688"/>
      <c r="DAZ30" s="1688"/>
      <c r="DBA30" s="1688"/>
      <c r="DBB30" s="1688"/>
      <c r="DBC30" s="1688"/>
      <c r="DBD30" s="1688"/>
      <c r="DBE30" s="1688"/>
      <c r="DBF30" s="1688"/>
      <c r="DBG30" s="1688"/>
      <c r="DBH30" s="1688"/>
      <c r="DBI30" s="1688"/>
      <c r="DBJ30" s="1688"/>
      <c r="DBK30" s="1688"/>
      <c r="DBL30" s="1688"/>
      <c r="DBM30" s="1688"/>
      <c r="DBN30" s="1688"/>
      <c r="DBO30" s="1688"/>
      <c r="DBP30" s="1688"/>
      <c r="DBQ30" s="1688"/>
      <c r="DBR30" s="1688"/>
      <c r="DBS30" s="1688"/>
      <c r="DBT30" s="1688"/>
      <c r="DBU30" s="1688"/>
      <c r="DBV30" s="1688"/>
      <c r="DBW30" s="1688"/>
      <c r="DBX30" s="1688"/>
      <c r="DBY30" s="1688"/>
      <c r="DBZ30" s="1688"/>
      <c r="DCA30" s="1688"/>
      <c r="DCB30" s="1688"/>
      <c r="DCC30" s="1688"/>
      <c r="DCD30" s="1688"/>
      <c r="DCE30" s="1688"/>
      <c r="DCF30" s="1688"/>
      <c r="DCG30" s="1688"/>
      <c r="DCH30" s="1688"/>
      <c r="DCI30" s="1688"/>
      <c r="DCJ30" s="1688"/>
      <c r="DCK30" s="1688"/>
      <c r="DCL30" s="1688"/>
      <c r="DCM30" s="1688"/>
      <c r="DCN30" s="1688"/>
      <c r="DCO30" s="1688"/>
      <c r="DCP30" s="1688"/>
      <c r="DCQ30" s="1688"/>
      <c r="DCR30" s="1688"/>
      <c r="DCS30" s="1688"/>
      <c r="DCT30" s="1688"/>
      <c r="DCU30" s="1688"/>
      <c r="DCV30" s="1688"/>
      <c r="DCW30" s="1688"/>
      <c r="DCX30" s="1688"/>
      <c r="DCY30" s="1688"/>
      <c r="DCZ30" s="1688"/>
      <c r="DDA30" s="1688"/>
      <c r="DDB30" s="1688"/>
      <c r="DDC30" s="1688"/>
      <c r="DDD30" s="1688"/>
      <c r="DDE30" s="1688"/>
      <c r="DDF30" s="1688"/>
      <c r="DDG30" s="1688"/>
      <c r="DDH30" s="1688"/>
      <c r="DDI30" s="1688"/>
      <c r="DDJ30" s="1688"/>
      <c r="DDK30" s="1688"/>
      <c r="DDL30" s="1688"/>
      <c r="DDM30" s="1688"/>
      <c r="DDN30" s="1688"/>
      <c r="DDO30" s="1688"/>
      <c r="DDP30" s="1688"/>
      <c r="DDQ30" s="1688"/>
      <c r="DDR30" s="1688"/>
      <c r="DDS30" s="1688"/>
      <c r="DDT30" s="1688"/>
      <c r="DDU30" s="1688"/>
      <c r="DDV30" s="1688"/>
      <c r="DDW30" s="1688"/>
      <c r="DDX30" s="1688"/>
      <c r="DDY30" s="1688"/>
      <c r="DDZ30" s="1688"/>
      <c r="DEA30" s="1688"/>
      <c r="DEB30" s="1688"/>
      <c r="DEC30" s="1688"/>
      <c r="DED30" s="1688"/>
      <c r="DEE30" s="1688"/>
      <c r="DEF30" s="1688"/>
      <c r="DEG30" s="1688"/>
      <c r="DEH30" s="1688"/>
      <c r="DEI30" s="1688"/>
      <c r="DEJ30" s="1688"/>
      <c r="DEK30" s="1688"/>
      <c r="DEL30" s="1688"/>
      <c r="DEM30" s="1688"/>
      <c r="DEN30" s="1688"/>
      <c r="DEO30" s="1688"/>
      <c r="DEP30" s="1688"/>
      <c r="DEQ30" s="1688"/>
      <c r="DER30" s="1688"/>
      <c r="DES30" s="1688"/>
      <c r="DET30" s="1688"/>
      <c r="DEU30" s="1688"/>
      <c r="DEV30" s="1688"/>
      <c r="DEW30" s="1688"/>
      <c r="DEX30" s="1688"/>
      <c r="DEY30" s="1688"/>
      <c r="DEZ30" s="1688"/>
      <c r="DFA30" s="1688"/>
      <c r="DFB30" s="1688"/>
      <c r="DFC30" s="1688"/>
      <c r="DFD30" s="1688"/>
      <c r="DFE30" s="1688"/>
      <c r="DFF30" s="1688"/>
      <c r="DFG30" s="1688"/>
      <c r="DFH30" s="1688"/>
      <c r="DFI30" s="1688"/>
      <c r="DFJ30" s="1688"/>
      <c r="DFK30" s="1688"/>
      <c r="DFL30" s="1688"/>
      <c r="DFM30" s="1688"/>
      <c r="DFN30" s="1688"/>
      <c r="DFO30" s="1688"/>
      <c r="DFP30" s="1688"/>
      <c r="DFQ30" s="1688"/>
      <c r="DFR30" s="1688"/>
      <c r="DFS30" s="1688"/>
      <c r="DFT30" s="1688"/>
      <c r="DFU30" s="1688"/>
      <c r="DFV30" s="1688"/>
      <c r="DFW30" s="1688"/>
      <c r="DFX30" s="1688"/>
      <c r="DFY30" s="1688"/>
      <c r="DFZ30" s="1688"/>
      <c r="DGA30" s="1688"/>
      <c r="DGB30" s="1688"/>
      <c r="DGC30" s="1688"/>
      <c r="DGD30" s="1688"/>
      <c r="DGE30" s="1688"/>
      <c r="DGF30" s="1688"/>
      <c r="DGG30" s="1688"/>
      <c r="DGH30" s="1688"/>
      <c r="DGI30" s="1688"/>
      <c r="DGJ30" s="1688"/>
      <c r="DGK30" s="1688"/>
      <c r="DGL30" s="1688"/>
      <c r="DGM30" s="1688"/>
      <c r="DGN30" s="1688"/>
      <c r="DGO30" s="1688"/>
      <c r="DGP30" s="1688"/>
      <c r="DGQ30" s="1688"/>
      <c r="DGR30" s="1688"/>
      <c r="DGS30" s="1688"/>
      <c r="DGT30" s="1688"/>
      <c r="DGU30" s="1688"/>
      <c r="DGV30" s="1688"/>
      <c r="DGW30" s="1688"/>
      <c r="DGX30" s="1688"/>
      <c r="DGY30" s="1688"/>
      <c r="DGZ30" s="1688"/>
      <c r="DHA30" s="1688"/>
      <c r="DHB30" s="1688"/>
      <c r="DHC30" s="1688"/>
      <c r="DHD30" s="1688"/>
      <c r="DHE30" s="1688"/>
      <c r="DHF30" s="1688"/>
      <c r="DHG30" s="1688"/>
      <c r="DHH30" s="1688"/>
      <c r="DHI30" s="1688"/>
      <c r="DHJ30" s="1688"/>
      <c r="DHK30" s="1688"/>
      <c r="DHL30" s="1688"/>
      <c r="DHM30" s="1688"/>
      <c r="DHN30" s="1688"/>
      <c r="DHO30" s="1688"/>
      <c r="DHP30" s="1688"/>
      <c r="DHQ30" s="1688"/>
      <c r="DHR30" s="1688"/>
      <c r="DHS30" s="1688"/>
      <c r="DHT30" s="1688"/>
      <c r="DHU30" s="1688"/>
      <c r="DHV30" s="1688"/>
      <c r="DHW30" s="1688"/>
      <c r="DHX30" s="1688"/>
      <c r="DHY30" s="1688"/>
      <c r="DHZ30" s="1688"/>
      <c r="DIA30" s="1688"/>
      <c r="DIB30" s="1688"/>
      <c r="DIC30" s="1688"/>
      <c r="DID30" s="1688"/>
      <c r="DIE30" s="1688"/>
      <c r="DIF30" s="1688"/>
      <c r="DIG30" s="1688"/>
      <c r="DIH30" s="1688"/>
      <c r="DII30" s="1688"/>
      <c r="DIJ30" s="1688"/>
      <c r="DIK30" s="1688"/>
      <c r="DIL30" s="1688"/>
      <c r="DIM30" s="1688"/>
      <c r="DIN30" s="1688"/>
      <c r="DIO30" s="1688"/>
      <c r="DIP30" s="1688"/>
      <c r="DIQ30" s="1688"/>
      <c r="DIR30" s="1688"/>
      <c r="DIS30" s="1688"/>
      <c r="DIT30" s="1688"/>
      <c r="DIU30" s="1688"/>
      <c r="DIV30" s="1688"/>
      <c r="DIW30" s="1688"/>
      <c r="DIX30" s="1688"/>
      <c r="DIY30" s="1688"/>
      <c r="DIZ30" s="1688"/>
      <c r="DJA30" s="1688"/>
      <c r="DJB30" s="1688"/>
      <c r="DJC30" s="1688"/>
      <c r="DJD30" s="1688"/>
      <c r="DJE30" s="1688"/>
      <c r="DJF30" s="1688"/>
      <c r="DJG30" s="1688"/>
      <c r="DJH30" s="1688"/>
      <c r="DJI30" s="1688"/>
      <c r="DJJ30" s="1688"/>
      <c r="DJK30" s="1688"/>
      <c r="DJL30" s="1688"/>
      <c r="DJM30" s="1688"/>
      <c r="DJN30" s="1688"/>
      <c r="DJO30" s="1688"/>
      <c r="DJP30" s="1688"/>
      <c r="DJQ30" s="1688"/>
      <c r="DJR30" s="1688"/>
      <c r="DJS30" s="1688"/>
      <c r="DJT30" s="1688"/>
      <c r="DJU30" s="1688"/>
      <c r="DJV30" s="1688"/>
      <c r="DJW30" s="1688"/>
      <c r="DJX30" s="1688"/>
      <c r="DJY30" s="1688"/>
      <c r="DJZ30" s="1688"/>
      <c r="DKA30" s="1688"/>
      <c r="DKB30" s="1688"/>
      <c r="DKC30" s="1688"/>
      <c r="DKD30" s="1688"/>
      <c r="DKE30" s="1688"/>
      <c r="DKF30" s="1688"/>
      <c r="DKG30" s="1688"/>
      <c r="DKH30" s="1688"/>
      <c r="DKI30" s="1688"/>
      <c r="DKJ30" s="1688"/>
      <c r="DKK30" s="1688"/>
      <c r="DKL30" s="1688"/>
      <c r="DKM30" s="1688"/>
      <c r="DKN30" s="1688"/>
      <c r="DKO30" s="1688"/>
      <c r="DKP30" s="1688"/>
      <c r="DKQ30" s="1688"/>
      <c r="DKR30" s="1688"/>
      <c r="DKS30" s="1688"/>
      <c r="DKT30" s="1688"/>
      <c r="DKU30" s="1688"/>
      <c r="DKV30" s="1688"/>
      <c r="DKW30" s="1688"/>
      <c r="DKX30" s="1688"/>
      <c r="DKY30" s="1688"/>
      <c r="DKZ30" s="1688"/>
      <c r="DLA30" s="1688"/>
      <c r="DLB30" s="1688"/>
      <c r="DLC30" s="1688"/>
      <c r="DLD30" s="1688"/>
      <c r="DLE30" s="1688"/>
      <c r="DLF30" s="1688"/>
      <c r="DLG30" s="1688"/>
      <c r="DLH30" s="1688"/>
      <c r="DLI30" s="1688"/>
      <c r="DLJ30" s="1688"/>
      <c r="DLK30" s="1688"/>
      <c r="DLL30" s="1688"/>
      <c r="DLM30" s="1688"/>
      <c r="DLN30" s="1688"/>
      <c r="DLO30" s="1688"/>
      <c r="DLP30" s="1688"/>
      <c r="DLQ30" s="1688"/>
      <c r="DLR30" s="1688"/>
      <c r="DLS30" s="1688"/>
      <c r="DLT30" s="1688"/>
      <c r="DLU30" s="1688"/>
      <c r="DLV30" s="1688"/>
      <c r="DLW30" s="1688"/>
      <c r="DLX30" s="1688"/>
      <c r="DLY30" s="1688"/>
      <c r="DLZ30" s="1688"/>
      <c r="DMA30" s="1688"/>
      <c r="DMB30" s="1688"/>
      <c r="DMC30" s="1688"/>
      <c r="DMD30" s="1688"/>
      <c r="DME30" s="1688"/>
      <c r="DMF30" s="1688"/>
      <c r="DMG30" s="1688"/>
      <c r="DMH30" s="1688"/>
      <c r="DMI30" s="1688"/>
      <c r="DMJ30" s="1688"/>
      <c r="DMK30" s="1688"/>
      <c r="DML30" s="1688"/>
      <c r="DMM30" s="1688"/>
      <c r="DMN30" s="1688"/>
      <c r="DMO30" s="1688"/>
      <c r="DMP30" s="1688"/>
      <c r="DMQ30" s="1688"/>
      <c r="DMR30" s="1688"/>
      <c r="DMS30" s="1688"/>
      <c r="DMT30" s="1688"/>
      <c r="DMU30" s="1688"/>
      <c r="DMV30" s="1688"/>
      <c r="DMW30" s="1688"/>
      <c r="DMX30" s="1688"/>
      <c r="DMY30" s="1688"/>
      <c r="DMZ30" s="1688"/>
      <c r="DNA30" s="1688"/>
      <c r="DNB30" s="1688"/>
      <c r="DNC30" s="1688"/>
      <c r="DND30" s="1688"/>
      <c r="DNE30" s="1688"/>
      <c r="DNF30" s="1688"/>
      <c r="DNG30" s="1688"/>
      <c r="DNH30" s="1688"/>
      <c r="DNI30" s="1688"/>
      <c r="DNJ30" s="1688"/>
      <c r="DNK30" s="1688"/>
      <c r="DNL30" s="1688"/>
      <c r="DNM30" s="1688"/>
      <c r="DNN30" s="1688"/>
      <c r="DNO30" s="1688"/>
      <c r="DNP30" s="1688"/>
      <c r="DNQ30" s="1688"/>
      <c r="DNR30" s="1688"/>
      <c r="DNS30" s="1688"/>
      <c r="DNT30" s="1688"/>
      <c r="DNU30" s="1688"/>
      <c r="DNV30" s="1688"/>
      <c r="DNW30" s="1688"/>
      <c r="DNX30" s="1688"/>
      <c r="DNY30" s="1688"/>
      <c r="DNZ30" s="1688"/>
      <c r="DOA30" s="1688"/>
      <c r="DOB30" s="1688"/>
      <c r="DOC30" s="1688"/>
      <c r="DOD30" s="1688"/>
      <c r="DOE30" s="1688"/>
      <c r="DOF30" s="1688"/>
      <c r="DOG30" s="1688"/>
      <c r="DOH30" s="1688"/>
      <c r="DOI30" s="1688"/>
      <c r="DOJ30" s="1688"/>
      <c r="DOK30" s="1688"/>
      <c r="DOL30" s="1688"/>
      <c r="DOM30" s="1688"/>
      <c r="DON30" s="1688"/>
      <c r="DOO30" s="1688"/>
      <c r="DOP30" s="1688"/>
      <c r="DOQ30" s="1688"/>
      <c r="DOR30" s="1688"/>
      <c r="DOS30" s="1688"/>
      <c r="DOT30" s="1688"/>
      <c r="DOU30" s="1688"/>
      <c r="DOV30" s="1688"/>
      <c r="DOW30" s="1688"/>
      <c r="DOX30" s="1688"/>
      <c r="DOY30" s="1688"/>
      <c r="DOZ30" s="1688"/>
      <c r="DPA30" s="1688"/>
      <c r="DPB30" s="1688"/>
      <c r="DPC30" s="1688"/>
      <c r="DPD30" s="1688"/>
      <c r="DPE30" s="1688"/>
      <c r="DPF30" s="1688"/>
      <c r="DPG30" s="1688"/>
      <c r="DPH30" s="1688"/>
      <c r="DPI30" s="1688"/>
      <c r="DPJ30" s="1688"/>
      <c r="DPK30" s="1688"/>
      <c r="DPL30" s="1688"/>
      <c r="DPM30" s="1688"/>
      <c r="DPN30" s="1688"/>
      <c r="DPO30" s="1688"/>
      <c r="DPP30" s="1688"/>
      <c r="DPQ30" s="1688"/>
      <c r="DPR30" s="1688"/>
      <c r="DPS30" s="1688"/>
      <c r="DPT30" s="1688"/>
      <c r="DPU30" s="1688"/>
      <c r="DPV30" s="1688"/>
      <c r="DPW30" s="1688"/>
      <c r="DPX30" s="1688"/>
      <c r="DPY30" s="1688"/>
      <c r="DPZ30" s="1688"/>
      <c r="DQA30" s="1688"/>
      <c r="DQB30" s="1688"/>
      <c r="DQC30" s="1688"/>
      <c r="DQD30" s="1688"/>
      <c r="DQE30" s="1688"/>
      <c r="DQF30" s="1688"/>
      <c r="DQG30" s="1688"/>
      <c r="DQH30" s="1688"/>
      <c r="DQI30" s="1688"/>
      <c r="DQJ30" s="1688"/>
      <c r="DQK30" s="1688"/>
      <c r="DQL30" s="1688"/>
      <c r="DQM30" s="1688"/>
      <c r="DQN30" s="1688"/>
      <c r="DQO30" s="1688"/>
      <c r="DQP30" s="1688"/>
      <c r="DQQ30" s="1688"/>
      <c r="DQR30" s="1688"/>
      <c r="DQS30" s="1688"/>
      <c r="DQT30" s="1688"/>
      <c r="DQU30" s="1688"/>
      <c r="DQV30" s="1688"/>
      <c r="DQW30" s="1688"/>
      <c r="DQX30" s="1688"/>
      <c r="DQY30" s="1688"/>
      <c r="DQZ30" s="1688"/>
      <c r="DRA30" s="1688"/>
      <c r="DRB30" s="1688"/>
      <c r="DRC30" s="1688"/>
      <c r="DRD30" s="1688"/>
      <c r="DRE30" s="1688"/>
      <c r="DRF30" s="1688"/>
      <c r="DRG30" s="1688"/>
      <c r="DRH30" s="1688"/>
      <c r="DRI30" s="1688"/>
      <c r="DRJ30" s="1688"/>
      <c r="DRK30" s="1688"/>
      <c r="DRL30" s="1688"/>
      <c r="DRM30" s="1688"/>
      <c r="DRN30" s="1688"/>
      <c r="DRO30" s="1688"/>
      <c r="DRP30" s="1688"/>
      <c r="DRQ30" s="1688"/>
      <c r="DRR30" s="1688"/>
      <c r="DRS30" s="1688"/>
      <c r="DRT30" s="1688"/>
      <c r="DRU30" s="1688"/>
      <c r="DRV30" s="1688"/>
      <c r="DRW30" s="1688"/>
      <c r="DRX30" s="1688"/>
      <c r="DRY30" s="1688"/>
      <c r="DRZ30" s="1688"/>
      <c r="DSA30" s="1688"/>
      <c r="DSB30" s="1688"/>
      <c r="DSC30" s="1688"/>
      <c r="DSD30" s="1688"/>
      <c r="DSE30" s="1688"/>
      <c r="DSF30" s="1688"/>
      <c r="DSG30" s="1688"/>
      <c r="DSH30" s="1688"/>
      <c r="DSI30" s="1688"/>
      <c r="DSJ30" s="1688"/>
      <c r="DSK30" s="1688"/>
      <c r="DSL30" s="1688"/>
      <c r="DSM30" s="1688"/>
      <c r="DSN30" s="1688"/>
      <c r="DSO30" s="1688"/>
      <c r="DSP30" s="1688"/>
      <c r="DSQ30" s="1688"/>
      <c r="DSR30" s="1688"/>
      <c r="DSS30" s="1688"/>
      <c r="DST30" s="1688"/>
      <c r="DSU30" s="1688"/>
      <c r="DSV30" s="1688"/>
      <c r="DSW30" s="1688"/>
      <c r="DSX30" s="1688"/>
      <c r="DSY30" s="1688"/>
      <c r="DSZ30" s="1688"/>
      <c r="DTA30" s="1688"/>
      <c r="DTB30" s="1688"/>
      <c r="DTC30" s="1688"/>
      <c r="DTD30" s="1688"/>
      <c r="DTE30" s="1688"/>
      <c r="DTF30" s="1688"/>
      <c r="DTG30" s="1688"/>
      <c r="DTH30" s="1688"/>
      <c r="DTI30" s="1688"/>
      <c r="DTJ30" s="1688"/>
      <c r="DTK30" s="1688"/>
      <c r="DTL30" s="1688"/>
      <c r="DTM30" s="1688"/>
      <c r="DTN30" s="1688"/>
      <c r="DTO30" s="1688"/>
      <c r="DTP30" s="1688"/>
      <c r="DTQ30" s="1688"/>
      <c r="DTR30" s="1688"/>
      <c r="DTS30" s="1688"/>
      <c r="DTT30" s="1688"/>
      <c r="DTU30" s="1688"/>
      <c r="DTV30" s="1688"/>
      <c r="DTW30" s="1688"/>
      <c r="DTX30" s="1688"/>
      <c r="DTY30" s="1688"/>
      <c r="DTZ30" s="1688"/>
      <c r="DUA30" s="1688"/>
      <c r="DUB30" s="1688"/>
      <c r="DUC30" s="1688"/>
      <c r="DUD30" s="1688"/>
      <c r="DUE30" s="1688"/>
      <c r="DUF30" s="1688"/>
      <c r="DUG30" s="1688"/>
      <c r="DUH30" s="1688"/>
      <c r="DUI30" s="1688"/>
      <c r="DUJ30" s="1688"/>
      <c r="DUK30" s="1688"/>
      <c r="DUL30" s="1688"/>
      <c r="DUM30" s="1688"/>
      <c r="DUN30" s="1688"/>
      <c r="DUO30" s="1688"/>
      <c r="DUP30" s="1688"/>
      <c r="DUQ30" s="1688"/>
      <c r="DUR30" s="1688"/>
      <c r="DUS30" s="1688"/>
      <c r="DUT30" s="1688"/>
      <c r="DUU30" s="1688"/>
      <c r="DUV30" s="1688"/>
      <c r="DUW30" s="1688"/>
      <c r="DUX30" s="1688"/>
      <c r="DUY30" s="1688"/>
      <c r="DUZ30" s="1688"/>
      <c r="DVA30" s="1688"/>
      <c r="DVB30" s="1688"/>
      <c r="DVC30" s="1688"/>
      <c r="DVD30" s="1688"/>
      <c r="DVE30" s="1688"/>
      <c r="DVF30" s="1688"/>
      <c r="DVG30" s="1688"/>
      <c r="DVH30" s="1688"/>
      <c r="DVI30" s="1688"/>
      <c r="DVJ30" s="1688"/>
      <c r="DVK30" s="1688"/>
      <c r="DVL30" s="1688"/>
      <c r="DVM30" s="1688"/>
      <c r="DVN30" s="1688"/>
      <c r="DVO30" s="1688"/>
      <c r="DVP30" s="1688"/>
      <c r="DVQ30" s="1688"/>
      <c r="DVR30" s="1688"/>
      <c r="DVS30" s="1688"/>
      <c r="DVT30" s="1688"/>
      <c r="DVU30" s="1688"/>
      <c r="DVV30" s="1688"/>
      <c r="DVW30" s="1688"/>
      <c r="DVX30" s="1688"/>
      <c r="DVY30" s="1688"/>
      <c r="DVZ30" s="1688"/>
      <c r="DWA30" s="1688"/>
      <c r="DWB30" s="1688"/>
      <c r="DWC30" s="1688"/>
      <c r="DWD30" s="1688"/>
      <c r="DWE30" s="1688"/>
      <c r="DWF30" s="1688"/>
      <c r="DWG30" s="1688"/>
      <c r="DWH30" s="1688"/>
      <c r="DWI30" s="1688"/>
      <c r="DWJ30" s="1688"/>
      <c r="DWK30" s="1688"/>
      <c r="DWL30" s="1688"/>
      <c r="DWM30" s="1688"/>
      <c r="DWN30" s="1688"/>
      <c r="DWO30" s="1688"/>
      <c r="DWP30" s="1688"/>
      <c r="DWQ30" s="1688"/>
      <c r="DWR30" s="1688"/>
      <c r="DWS30" s="1688"/>
      <c r="DWT30" s="1688"/>
      <c r="DWU30" s="1688"/>
      <c r="DWV30" s="1688"/>
      <c r="DWW30" s="1688"/>
      <c r="DWX30" s="1688"/>
      <c r="DWY30" s="1688"/>
      <c r="DWZ30" s="1688"/>
      <c r="DXA30" s="1688"/>
      <c r="DXB30" s="1688"/>
      <c r="DXC30" s="1688"/>
      <c r="DXD30" s="1688"/>
      <c r="DXE30" s="1688"/>
      <c r="DXF30" s="1688"/>
      <c r="DXG30" s="1688"/>
      <c r="DXH30" s="1688"/>
      <c r="DXI30" s="1688"/>
      <c r="DXJ30" s="1688"/>
      <c r="DXK30" s="1688"/>
      <c r="DXL30" s="1688"/>
      <c r="DXM30" s="1688"/>
      <c r="DXN30" s="1688"/>
      <c r="DXO30" s="1688"/>
      <c r="DXP30" s="1688"/>
      <c r="DXQ30" s="1688"/>
      <c r="DXR30" s="1688"/>
      <c r="DXS30" s="1688"/>
      <c r="DXT30" s="1688"/>
      <c r="DXU30" s="1688"/>
      <c r="DXV30" s="1688"/>
      <c r="DXW30" s="1688"/>
      <c r="DXX30" s="1688"/>
      <c r="DXY30" s="1688"/>
      <c r="DXZ30" s="1688"/>
      <c r="DYA30" s="1688"/>
      <c r="DYB30" s="1688"/>
      <c r="DYC30" s="1688"/>
      <c r="DYD30" s="1688"/>
      <c r="DYE30" s="1688"/>
      <c r="DYF30" s="1688"/>
      <c r="DYG30" s="1688"/>
      <c r="DYH30" s="1688"/>
      <c r="DYI30" s="1688"/>
      <c r="DYJ30" s="1688"/>
      <c r="DYK30" s="1688"/>
      <c r="DYL30" s="1688"/>
      <c r="DYM30" s="1688"/>
      <c r="DYN30" s="1688"/>
      <c r="DYO30" s="1688"/>
      <c r="DYP30" s="1688"/>
      <c r="DYQ30" s="1688"/>
      <c r="DYR30" s="1688"/>
      <c r="DYS30" s="1688"/>
      <c r="DYT30" s="1688"/>
      <c r="DYU30" s="1688"/>
      <c r="DYV30" s="1688"/>
      <c r="DYW30" s="1688"/>
      <c r="DYX30" s="1688"/>
      <c r="DYY30" s="1688"/>
      <c r="DYZ30" s="1688"/>
      <c r="DZA30" s="1688"/>
      <c r="DZB30" s="1688"/>
      <c r="DZC30" s="1688"/>
      <c r="DZD30" s="1688"/>
      <c r="DZE30" s="1688"/>
      <c r="DZF30" s="1688"/>
      <c r="DZG30" s="1688"/>
      <c r="DZH30" s="1688"/>
      <c r="DZI30" s="1688"/>
      <c r="DZJ30" s="1688"/>
      <c r="DZK30" s="1688"/>
      <c r="DZL30" s="1688"/>
      <c r="DZM30" s="1688"/>
      <c r="DZN30" s="1688"/>
      <c r="DZO30" s="1688"/>
      <c r="DZP30" s="1688"/>
      <c r="DZQ30" s="1688"/>
      <c r="DZR30" s="1688"/>
      <c r="DZS30" s="1688"/>
      <c r="DZT30" s="1688"/>
      <c r="DZU30" s="1688"/>
      <c r="DZV30" s="1688"/>
      <c r="DZW30" s="1688"/>
      <c r="DZX30" s="1688"/>
      <c r="DZY30" s="1688"/>
      <c r="DZZ30" s="1688"/>
      <c r="EAA30" s="1688"/>
      <c r="EAB30" s="1688"/>
      <c r="EAC30" s="1688"/>
      <c r="EAD30" s="1688"/>
      <c r="EAE30" s="1688"/>
      <c r="EAF30" s="1688"/>
      <c r="EAG30" s="1688"/>
      <c r="EAH30" s="1688"/>
      <c r="EAI30" s="1688"/>
      <c r="EAJ30" s="1688"/>
      <c r="EAK30" s="1688"/>
      <c r="EAL30" s="1688"/>
      <c r="EAM30" s="1688"/>
      <c r="EAN30" s="1688"/>
      <c r="EAO30" s="1688"/>
      <c r="EAP30" s="1688"/>
      <c r="EAQ30" s="1688"/>
      <c r="EAR30" s="1688"/>
      <c r="EAS30" s="1688"/>
      <c r="EAT30" s="1688"/>
      <c r="EAU30" s="1688"/>
      <c r="EAV30" s="1688"/>
      <c r="EAW30" s="1688"/>
      <c r="EAX30" s="1688"/>
      <c r="EAY30" s="1688"/>
      <c r="EAZ30" s="1688"/>
      <c r="EBA30" s="1688"/>
      <c r="EBB30" s="1688"/>
      <c r="EBC30" s="1688"/>
      <c r="EBD30" s="1688"/>
      <c r="EBE30" s="1688"/>
      <c r="EBF30" s="1688"/>
      <c r="EBG30" s="1688"/>
      <c r="EBH30" s="1688"/>
      <c r="EBI30" s="1688"/>
      <c r="EBJ30" s="1688"/>
      <c r="EBK30" s="1688"/>
      <c r="EBL30" s="1688"/>
      <c r="EBM30" s="1688"/>
      <c r="EBN30" s="1688"/>
      <c r="EBO30" s="1688"/>
      <c r="EBP30" s="1688"/>
      <c r="EBQ30" s="1688"/>
      <c r="EBR30" s="1688"/>
      <c r="EBS30" s="1688"/>
      <c r="EBT30" s="1688"/>
      <c r="EBU30" s="1688"/>
      <c r="EBV30" s="1688"/>
      <c r="EBW30" s="1688"/>
      <c r="EBX30" s="1688"/>
      <c r="EBY30" s="1688"/>
      <c r="EBZ30" s="1688"/>
      <c r="ECA30" s="1688"/>
      <c r="ECB30" s="1688"/>
      <c r="ECC30" s="1688"/>
      <c r="ECD30" s="1688"/>
      <c r="ECE30" s="1688"/>
      <c r="ECF30" s="1688"/>
      <c r="ECG30" s="1688"/>
      <c r="ECH30" s="1688"/>
      <c r="ECI30" s="1688"/>
      <c r="ECJ30" s="1688"/>
      <c r="ECK30" s="1688"/>
      <c r="ECL30" s="1688"/>
      <c r="ECM30" s="1688"/>
      <c r="ECN30" s="1688"/>
      <c r="ECO30" s="1688"/>
      <c r="ECP30" s="1688"/>
      <c r="ECQ30" s="1688"/>
      <c r="ECR30" s="1688"/>
      <c r="ECS30" s="1688"/>
      <c r="ECT30" s="1688"/>
      <c r="ECU30" s="1688"/>
      <c r="ECV30" s="1688"/>
      <c r="ECW30" s="1688"/>
      <c r="ECX30" s="1688"/>
      <c r="ECY30" s="1688"/>
      <c r="ECZ30" s="1688"/>
      <c r="EDA30" s="1688"/>
      <c r="EDB30" s="1688"/>
      <c r="EDC30" s="1688"/>
      <c r="EDD30" s="1688"/>
      <c r="EDE30" s="1688"/>
      <c r="EDF30" s="1688"/>
      <c r="EDG30" s="1688"/>
      <c r="EDH30" s="1688"/>
      <c r="EDI30" s="1688"/>
      <c r="EDJ30" s="1688"/>
      <c r="EDK30" s="1688"/>
      <c r="EDL30" s="1688"/>
      <c r="EDM30" s="1688"/>
      <c r="EDN30" s="1688"/>
      <c r="EDO30" s="1688"/>
      <c r="EDP30" s="1688"/>
      <c r="EDQ30" s="1688"/>
      <c r="EDR30" s="1688"/>
      <c r="EDS30" s="1688"/>
      <c r="EDT30" s="1688"/>
      <c r="EDU30" s="1688"/>
      <c r="EDV30" s="1688"/>
      <c r="EDW30" s="1688"/>
      <c r="EDX30" s="1688"/>
      <c r="EDY30" s="1688"/>
      <c r="EDZ30" s="1688"/>
      <c r="EEA30" s="1688"/>
      <c r="EEB30" s="1688"/>
      <c r="EEC30" s="1688"/>
      <c r="EED30" s="1688"/>
      <c r="EEE30" s="1688"/>
      <c r="EEF30" s="1688"/>
      <c r="EEG30" s="1688"/>
      <c r="EEH30" s="1688"/>
      <c r="EEI30" s="1688"/>
      <c r="EEJ30" s="1688"/>
      <c r="EEK30" s="1688"/>
      <c r="EEL30" s="1688"/>
      <c r="EEM30" s="1688"/>
      <c r="EEN30" s="1688"/>
      <c r="EEO30" s="1688"/>
      <c r="EEP30" s="1688"/>
      <c r="EEQ30" s="1688"/>
      <c r="EER30" s="1688"/>
      <c r="EES30" s="1688"/>
      <c r="EET30" s="1688"/>
      <c r="EEU30" s="1688"/>
      <c r="EEV30" s="1688"/>
      <c r="EEW30" s="1688"/>
      <c r="EEX30" s="1688"/>
      <c r="EEY30" s="1688"/>
      <c r="EEZ30" s="1688"/>
      <c r="EFA30" s="1688"/>
      <c r="EFB30" s="1688"/>
      <c r="EFC30" s="1688"/>
      <c r="EFD30" s="1688"/>
      <c r="EFE30" s="1688"/>
      <c r="EFF30" s="1688"/>
      <c r="EFG30" s="1688"/>
      <c r="EFH30" s="1688"/>
      <c r="EFI30" s="1688"/>
      <c r="EFJ30" s="1688"/>
      <c r="EFK30" s="1688"/>
      <c r="EFL30" s="1688"/>
      <c r="EFM30" s="1688"/>
      <c r="EFN30" s="1688"/>
      <c r="EFO30" s="1688"/>
      <c r="EFP30" s="1688"/>
      <c r="EFQ30" s="1688"/>
      <c r="EFR30" s="1688"/>
      <c r="EFS30" s="1688"/>
      <c r="EFT30" s="1688"/>
      <c r="EFU30" s="1688"/>
      <c r="EFV30" s="1688"/>
      <c r="EFW30" s="1688"/>
      <c r="EFX30" s="1688"/>
      <c r="EFY30" s="1688"/>
      <c r="EFZ30" s="1688"/>
      <c r="EGA30" s="1688"/>
      <c r="EGB30" s="1688"/>
      <c r="EGC30" s="1688"/>
      <c r="EGD30" s="1688"/>
      <c r="EGE30" s="1688"/>
      <c r="EGF30" s="1688"/>
      <c r="EGG30" s="1688"/>
      <c r="EGH30" s="1688"/>
      <c r="EGI30" s="1688"/>
      <c r="EGJ30" s="1688"/>
      <c r="EGK30" s="1688"/>
      <c r="EGL30" s="1688"/>
      <c r="EGM30" s="1688"/>
      <c r="EGN30" s="1688"/>
      <c r="EGO30" s="1688"/>
      <c r="EGP30" s="1688"/>
      <c r="EGQ30" s="1688"/>
      <c r="EGR30" s="1688"/>
      <c r="EGS30" s="1688"/>
      <c r="EGT30" s="1688"/>
      <c r="EGU30" s="1688"/>
      <c r="EGV30" s="1688"/>
      <c r="EGW30" s="1688"/>
      <c r="EGX30" s="1688"/>
      <c r="EGY30" s="1688"/>
      <c r="EGZ30" s="1688"/>
      <c r="EHA30" s="1688"/>
      <c r="EHB30" s="1688"/>
      <c r="EHC30" s="1688"/>
      <c r="EHD30" s="1688"/>
      <c r="EHE30" s="1688"/>
      <c r="EHF30" s="1688"/>
      <c r="EHG30" s="1688"/>
      <c r="EHH30" s="1688"/>
      <c r="EHI30" s="1688"/>
      <c r="EHJ30" s="1688"/>
      <c r="EHK30" s="1688"/>
      <c r="EHL30" s="1688"/>
      <c r="EHM30" s="1688"/>
      <c r="EHN30" s="1688"/>
      <c r="EHO30" s="1688"/>
      <c r="EHP30" s="1688"/>
      <c r="EHQ30" s="1688"/>
      <c r="EHR30" s="1688"/>
      <c r="EHS30" s="1688"/>
      <c r="EHT30" s="1688"/>
      <c r="EHU30" s="1688"/>
      <c r="EHV30" s="1688"/>
      <c r="EHW30" s="1688"/>
      <c r="EHX30" s="1688"/>
      <c r="EHY30" s="1688"/>
      <c r="EHZ30" s="1688"/>
      <c r="EIA30" s="1688"/>
      <c r="EIB30" s="1688"/>
      <c r="EIC30" s="1688"/>
      <c r="EID30" s="1688"/>
      <c r="EIE30" s="1688"/>
      <c r="EIF30" s="1688"/>
      <c r="EIG30" s="1688"/>
      <c r="EIH30" s="1688"/>
      <c r="EII30" s="1688"/>
      <c r="EIJ30" s="1688"/>
      <c r="EIK30" s="1688"/>
      <c r="EIL30" s="1688"/>
      <c r="EIM30" s="1688"/>
      <c r="EIN30" s="1688"/>
      <c r="EIO30" s="1688"/>
      <c r="EIP30" s="1688"/>
      <c r="EIQ30" s="1688"/>
      <c r="EIR30" s="1688"/>
      <c r="EIS30" s="1688"/>
      <c r="EIT30" s="1688"/>
      <c r="EIU30" s="1688"/>
      <c r="EIV30" s="1688"/>
      <c r="EIW30" s="1688"/>
      <c r="EIX30" s="1688"/>
      <c r="EIY30" s="1688"/>
      <c r="EIZ30" s="1688"/>
      <c r="EJA30" s="1688"/>
      <c r="EJB30" s="1688"/>
      <c r="EJC30" s="1688"/>
      <c r="EJD30" s="1688"/>
      <c r="EJE30" s="1688"/>
      <c r="EJF30" s="1688"/>
      <c r="EJG30" s="1688"/>
      <c r="EJH30" s="1688"/>
      <c r="EJI30" s="1688"/>
      <c r="EJJ30" s="1688"/>
      <c r="EJK30" s="1688"/>
      <c r="EJL30" s="1688"/>
      <c r="EJM30" s="1688"/>
      <c r="EJN30" s="1688"/>
      <c r="EJO30" s="1688"/>
      <c r="EJP30" s="1688"/>
      <c r="EJQ30" s="1688"/>
      <c r="EJR30" s="1688"/>
      <c r="EJS30" s="1688"/>
      <c r="EJT30" s="1688"/>
      <c r="EJU30" s="1688"/>
      <c r="EJV30" s="1688"/>
      <c r="EJW30" s="1688"/>
      <c r="EJX30" s="1688"/>
      <c r="EJY30" s="1688"/>
      <c r="EJZ30" s="1688"/>
      <c r="EKA30" s="1688"/>
      <c r="EKB30" s="1688"/>
      <c r="EKC30" s="1688"/>
      <c r="EKD30" s="1688"/>
      <c r="EKE30" s="1688"/>
      <c r="EKF30" s="1688"/>
      <c r="EKG30" s="1688"/>
      <c r="EKH30" s="1688"/>
      <c r="EKI30" s="1688"/>
      <c r="EKJ30" s="1688"/>
      <c r="EKK30" s="1688"/>
      <c r="EKL30" s="1688"/>
      <c r="EKM30" s="1688"/>
      <c r="EKN30" s="1688"/>
      <c r="EKO30" s="1688"/>
      <c r="EKP30" s="1688"/>
      <c r="EKQ30" s="1688"/>
      <c r="EKR30" s="1688"/>
      <c r="EKS30" s="1688"/>
      <c r="EKT30" s="1688"/>
      <c r="EKU30" s="1688"/>
      <c r="EKV30" s="1688"/>
      <c r="EKW30" s="1688"/>
      <c r="EKX30" s="1688"/>
      <c r="EKY30" s="1688"/>
      <c r="EKZ30" s="1688"/>
      <c r="ELA30" s="1688"/>
      <c r="ELB30" s="1688"/>
      <c r="ELC30" s="1688"/>
      <c r="ELD30" s="1688"/>
      <c r="ELE30" s="1688"/>
      <c r="ELF30" s="1688"/>
      <c r="ELG30" s="1688"/>
      <c r="ELH30" s="1688"/>
      <c r="ELI30" s="1688"/>
      <c r="ELJ30" s="1688"/>
      <c r="ELK30" s="1688"/>
      <c r="ELL30" s="1688"/>
      <c r="ELM30" s="1688"/>
      <c r="ELN30" s="1688"/>
      <c r="ELO30" s="1688"/>
      <c r="ELP30" s="1688"/>
      <c r="ELQ30" s="1688"/>
      <c r="ELR30" s="1688"/>
      <c r="ELS30" s="1688"/>
      <c r="ELT30" s="1688"/>
      <c r="ELU30" s="1688"/>
      <c r="ELV30" s="1688"/>
      <c r="ELW30" s="1688"/>
      <c r="ELX30" s="1688"/>
      <c r="ELY30" s="1688"/>
      <c r="ELZ30" s="1688"/>
      <c r="EMA30" s="1688"/>
      <c r="EMB30" s="1688"/>
      <c r="EMC30" s="1688"/>
      <c r="EMD30" s="1688"/>
      <c r="EME30" s="1688"/>
      <c r="EMF30" s="1688"/>
      <c r="EMG30" s="1688"/>
      <c r="EMH30" s="1688"/>
      <c r="EMI30" s="1688"/>
      <c r="EMJ30" s="1688"/>
      <c r="EMK30" s="1688"/>
      <c r="EML30" s="1688"/>
      <c r="EMM30" s="1688"/>
      <c r="EMN30" s="1688"/>
      <c r="EMO30" s="1688"/>
      <c r="EMP30" s="1688"/>
      <c r="EMQ30" s="1688"/>
      <c r="EMR30" s="1688"/>
      <c r="EMS30" s="1688"/>
      <c r="EMT30" s="1688"/>
      <c r="EMU30" s="1688"/>
      <c r="EMV30" s="1688"/>
      <c r="EMW30" s="1688"/>
      <c r="EMX30" s="1688"/>
      <c r="EMY30" s="1688"/>
      <c r="EMZ30" s="1688"/>
      <c r="ENA30" s="1688"/>
      <c r="ENB30" s="1688"/>
      <c r="ENC30" s="1688"/>
      <c r="END30" s="1688"/>
      <c r="ENE30" s="1688"/>
      <c r="ENF30" s="1688"/>
      <c r="ENG30" s="1688"/>
      <c r="ENH30" s="1688"/>
      <c r="ENI30" s="1688"/>
      <c r="ENJ30" s="1688"/>
      <c r="ENK30" s="1688"/>
      <c r="ENL30" s="1688"/>
      <c r="ENM30" s="1688"/>
      <c r="ENN30" s="1688"/>
      <c r="ENO30" s="1688"/>
      <c r="ENP30" s="1688"/>
      <c r="ENQ30" s="1688"/>
      <c r="ENR30" s="1688"/>
      <c r="ENS30" s="1688"/>
      <c r="ENT30" s="1688"/>
      <c r="ENU30" s="1688"/>
      <c r="ENV30" s="1688"/>
      <c r="ENW30" s="1688"/>
      <c r="ENX30" s="1688"/>
      <c r="ENY30" s="1688"/>
      <c r="ENZ30" s="1688"/>
      <c r="EOA30" s="1688"/>
      <c r="EOB30" s="1688"/>
      <c r="EOC30" s="1688"/>
      <c r="EOD30" s="1688"/>
      <c r="EOE30" s="1688"/>
      <c r="EOF30" s="1688"/>
      <c r="EOG30" s="1688"/>
      <c r="EOH30" s="1688"/>
      <c r="EOI30" s="1688"/>
      <c r="EOJ30" s="1688"/>
      <c r="EOK30" s="1688"/>
      <c r="EOL30" s="1688"/>
      <c r="EOM30" s="1688"/>
      <c r="EON30" s="1688"/>
      <c r="EOO30" s="1688"/>
      <c r="EOP30" s="1688"/>
      <c r="EOQ30" s="1688"/>
      <c r="EOR30" s="1688"/>
      <c r="EOS30" s="1688"/>
      <c r="EOT30" s="1688"/>
      <c r="EOU30" s="1688"/>
      <c r="EOV30" s="1688"/>
      <c r="EOW30" s="1688"/>
      <c r="EOX30" s="1688"/>
      <c r="EOY30" s="1688"/>
      <c r="EOZ30" s="1688"/>
      <c r="EPA30" s="1688"/>
      <c r="EPB30" s="1688"/>
      <c r="EPC30" s="1688"/>
      <c r="EPD30" s="1688"/>
      <c r="EPE30" s="1688"/>
      <c r="EPF30" s="1688"/>
      <c r="EPG30" s="1688"/>
      <c r="EPH30" s="1688"/>
      <c r="EPI30" s="1688"/>
      <c r="EPJ30" s="1688"/>
      <c r="EPK30" s="1688"/>
      <c r="EPL30" s="1688"/>
      <c r="EPM30" s="1688"/>
      <c r="EPN30" s="1688"/>
      <c r="EPO30" s="1688"/>
      <c r="EPP30" s="1688"/>
      <c r="EPQ30" s="1688"/>
      <c r="EPR30" s="1688"/>
      <c r="EPS30" s="1688"/>
      <c r="EPT30" s="1688"/>
      <c r="EPU30" s="1688"/>
      <c r="EPV30" s="1688"/>
      <c r="EPW30" s="1688"/>
      <c r="EPX30" s="1688"/>
      <c r="EPY30" s="1688"/>
      <c r="EPZ30" s="1688"/>
      <c r="EQA30" s="1688"/>
      <c r="EQB30" s="1688"/>
      <c r="EQC30" s="1688"/>
      <c r="EQD30" s="1688"/>
      <c r="EQE30" s="1688"/>
      <c r="EQF30" s="1688"/>
      <c r="EQG30" s="1688"/>
      <c r="EQH30" s="1688"/>
      <c r="EQI30" s="1688"/>
      <c r="EQJ30" s="1688"/>
      <c r="EQK30" s="1688"/>
      <c r="EQL30" s="1688"/>
      <c r="EQM30" s="1688"/>
      <c r="EQN30" s="1688"/>
      <c r="EQO30" s="1688"/>
      <c r="EQP30" s="1688"/>
      <c r="EQQ30" s="1688"/>
      <c r="EQR30" s="1688"/>
      <c r="EQS30" s="1688"/>
      <c r="EQT30" s="1688"/>
      <c r="EQU30" s="1688"/>
      <c r="EQV30" s="1688"/>
      <c r="EQW30" s="1688"/>
      <c r="EQX30" s="1688"/>
      <c r="EQY30" s="1688"/>
      <c r="EQZ30" s="1688"/>
      <c r="ERA30" s="1688"/>
      <c r="ERB30" s="1688"/>
      <c r="ERC30" s="1688"/>
      <c r="ERD30" s="1688"/>
      <c r="ERE30" s="1688"/>
      <c r="ERF30" s="1688"/>
      <c r="ERG30" s="1688"/>
      <c r="ERH30" s="1688"/>
      <c r="ERI30" s="1688"/>
      <c r="ERJ30" s="1688"/>
      <c r="ERK30" s="1688"/>
      <c r="ERL30" s="1688"/>
      <c r="ERM30" s="1688"/>
      <c r="ERN30" s="1688"/>
      <c r="ERO30" s="1688"/>
      <c r="ERP30" s="1688"/>
      <c r="ERQ30" s="1688"/>
      <c r="ERR30" s="1688"/>
      <c r="ERS30" s="1688"/>
      <c r="ERT30" s="1688"/>
      <c r="ERU30" s="1688"/>
      <c r="ERV30" s="1688"/>
      <c r="ERW30" s="1688"/>
      <c r="ERX30" s="1688"/>
      <c r="ERY30" s="1688"/>
      <c r="ERZ30" s="1688"/>
      <c r="ESA30" s="1688"/>
      <c r="ESB30" s="1688"/>
      <c r="ESC30" s="1688"/>
      <c r="ESD30" s="1688"/>
      <c r="ESE30" s="1688"/>
      <c r="ESF30" s="1688"/>
      <c r="ESG30" s="1688"/>
      <c r="ESH30" s="1688"/>
      <c r="ESI30" s="1688"/>
      <c r="ESJ30" s="1688"/>
      <c r="ESK30" s="1688"/>
      <c r="ESL30" s="1688"/>
      <c r="ESM30" s="1688"/>
      <c r="ESN30" s="1688"/>
      <c r="ESO30" s="1688"/>
      <c r="ESP30" s="1688"/>
      <c r="ESQ30" s="1688"/>
      <c r="ESR30" s="1688"/>
      <c r="ESS30" s="1688"/>
      <c r="EST30" s="1688"/>
      <c r="ESU30" s="1688"/>
      <c r="ESV30" s="1688"/>
      <c r="ESW30" s="1688"/>
      <c r="ESX30" s="1688"/>
      <c r="ESY30" s="1688"/>
      <c r="ESZ30" s="1688"/>
      <c r="ETA30" s="1688"/>
      <c r="ETB30" s="1688"/>
      <c r="ETC30" s="1688"/>
      <c r="ETD30" s="1688"/>
      <c r="ETE30" s="1688"/>
      <c r="ETF30" s="1688"/>
      <c r="ETG30" s="1688"/>
      <c r="ETH30" s="1688"/>
      <c r="ETI30" s="1688"/>
      <c r="ETJ30" s="1688"/>
      <c r="ETK30" s="1688"/>
      <c r="ETL30" s="1688"/>
      <c r="ETM30" s="1688"/>
      <c r="ETN30" s="1688"/>
      <c r="ETO30" s="1688"/>
      <c r="ETP30" s="1688"/>
      <c r="ETQ30" s="1688"/>
      <c r="ETR30" s="1688"/>
      <c r="ETS30" s="1688"/>
      <c r="ETT30" s="1688"/>
      <c r="ETU30" s="1688"/>
      <c r="ETV30" s="1688"/>
      <c r="ETW30" s="1688"/>
      <c r="ETX30" s="1688"/>
      <c r="ETY30" s="1688"/>
      <c r="ETZ30" s="1688"/>
      <c r="EUA30" s="1688"/>
      <c r="EUB30" s="1688"/>
      <c r="EUC30" s="1688"/>
      <c r="EUD30" s="1688"/>
      <c r="EUE30" s="1688"/>
      <c r="EUF30" s="1688"/>
      <c r="EUG30" s="1688"/>
      <c r="EUH30" s="1688"/>
      <c r="EUI30" s="1688"/>
      <c r="EUJ30" s="1688"/>
      <c r="EUK30" s="1688"/>
      <c r="EUL30" s="1688"/>
      <c r="EUM30" s="1688"/>
      <c r="EUN30" s="1688"/>
      <c r="EUO30" s="1688"/>
      <c r="EUP30" s="1688"/>
      <c r="EUQ30" s="1688"/>
      <c r="EUR30" s="1688"/>
      <c r="EUS30" s="1688"/>
      <c r="EUT30" s="1688"/>
      <c r="EUU30" s="1688"/>
      <c r="EUV30" s="1688"/>
      <c r="EUW30" s="1688"/>
      <c r="EUX30" s="1688"/>
      <c r="EUY30" s="1688"/>
      <c r="EUZ30" s="1688"/>
      <c r="EVA30" s="1688"/>
      <c r="EVB30" s="1688"/>
      <c r="EVC30" s="1688"/>
      <c r="EVD30" s="1688"/>
      <c r="EVE30" s="1688"/>
      <c r="EVF30" s="1688"/>
      <c r="EVG30" s="1688"/>
      <c r="EVH30" s="1688"/>
      <c r="EVI30" s="1688"/>
      <c r="EVJ30" s="1688"/>
      <c r="EVK30" s="1688"/>
      <c r="EVL30" s="1688"/>
      <c r="EVM30" s="1688"/>
      <c r="EVN30" s="1688"/>
      <c r="EVO30" s="1688"/>
      <c r="EVP30" s="1688"/>
      <c r="EVQ30" s="1688"/>
      <c r="EVR30" s="1688"/>
      <c r="EVS30" s="1688"/>
      <c r="EVT30" s="1688"/>
      <c r="EVU30" s="1688"/>
      <c r="EVV30" s="1688"/>
      <c r="EVW30" s="1688"/>
      <c r="EVX30" s="1688"/>
      <c r="EVY30" s="1688"/>
      <c r="EVZ30" s="1688"/>
      <c r="EWA30" s="1688"/>
      <c r="EWB30" s="1688"/>
      <c r="EWC30" s="1688"/>
      <c r="EWD30" s="1688"/>
      <c r="EWE30" s="1688"/>
      <c r="EWF30" s="1688"/>
      <c r="EWG30" s="1688"/>
      <c r="EWH30" s="1688"/>
      <c r="EWI30" s="1688"/>
      <c r="EWJ30" s="1688"/>
      <c r="EWK30" s="1688"/>
      <c r="EWL30" s="1688"/>
      <c r="EWM30" s="1688"/>
      <c r="EWN30" s="1688"/>
      <c r="EWO30" s="1688"/>
      <c r="EWP30" s="1688"/>
      <c r="EWQ30" s="1688"/>
      <c r="EWR30" s="1688"/>
      <c r="EWS30" s="1688"/>
      <c r="EWT30" s="1688"/>
      <c r="EWU30" s="1688"/>
      <c r="EWV30" s="1688"/>
      <c r="EWW30" s="1688"/>
      <c r="EWX30" s="1688"/>
      <c r="EWY30" s="1688"/>
      <c r="EWZ30" s="1688"/>
      <c r="EXA30" s="1688"/>
      <c r="EXB30" s="1688"/>
      <c r="EXC30" s="1688"/>
      <c r="EXD30" s="1688"/>
      <c r="EXE30" s="1688"/>
      <c r="EXF30" s="1688"/>
      <c r="EXG30" s="1688"/>
      <c r="EXH30" s="1688"/>
      <c r="EXI30" s="1688"/>
      <c r="EXJ30" s="1688"/>
      <c r="EXK30" s="1688"/>
      <c r="EXL30" s="1688"/>
      <c r="EXM30" s="1688"/>
      <c r="EXN30" s="1688"/>
      <c r="EXO30" s="1688"/>
      <c r="EXP30" s="1688"/>
      <c r="EXQ30" s="1688"/>
      <c r="EXR30" s="1688"/>
      <c r="EXS30" s="1688"/>
      <c r="EXT30" s="1688"/>
      <c r="EXU30" s="1688"/>
      <c r="EXV30" s="1688"/>
      <c r="EXW30" s="1688"/>
      <c r="EXX30" s="1688"/>
      <c r="EXY30" s="1688"/>
      <c r="EXZ30" s="1688"/>
      <c r="EYA30" s="1688"/>
      <c r="EYB30" s="1688"/>
      <c r="EYC30" s="1688"/>
      <c r="EYD30" s="1688"/>
      <c r="EYE30" s="1688"/>
      <c r="EYF30" s="1688"/>
      <c r="EYG30" s="1688"/>
      <c r="EYH30" s="1688"/>
      <c r="EYI30" s="1688"/>
      <c r="EYJ30" s="1688"/>
      <c r="EYK30" s="1688"/>
      <c r="EYL30" s="1688"/>
      <c r="EYM30" s="1688"/>
      <c r="EYN30" s="1688"/>
      <c r="EYO30" s="1688"/>
      <c r="EYP30" s="1688"/>
      <c r="EYQ30" s="1688"/>
      <c r="EYR30" s="1688"/>
      <c r="EYS30" s="1688"/>
      <c r="EYT30" s="1688"/>
      <c r="EYU30" s="1688"/>
      <c r="EYV30" s="1688"/>
      <c r="EYW30" s="1688"/>
      <c r="EYX30" s="1688"/>
      <c r="EYY30" s="1688"/>
      <c r="EYZ30" s="1688"/>
      <c r="EZA30" s="1688"/>
      <c r="EZB30" s="1688"/>
      <c r="EZC30" s="1688"/>
      <c r="EZD30" s="1688"/>
      <c r="EZE30" s="1688"/>
      <c r="EZF30" s="1688"/>
      <c r="EZG30" s="1688"/>
      <c r="EZH30" s="1688"/>
      <c r="EZI30" s="1688"/>
      <c r="EZJ30" s="1688"/>
      <c r="EZK30" s="1688"/>
      <c r="EZL30" s="1688"/>
      <c r="EZM30" s="1688"/>
      <c r="EZN30" s="1688"/>
      <c r="EZO30" s="1688"/>
      <c r="EZP30" s="1688"/>
      <c r="EZQ30" s="1688"/>
      <c r="EZR30" s="1688"/>
      <c r="EZS30" s="1688"/>
      <c r="EZT30" s="1688"/>
      <c r="EZU30" s="1688"/>
      <c r="EZV30" s="1688"/>
      <c r="EZW30" s="1688"/>
      <c r="EZX30" s="1688"/>
      <c r="EZY30" s="1688"/>
      <c r="EZZ30" s="1688"/>
      <c r="FAA30" s="1688"/>
      <c r="FAB30" s="1688"/>
      <c r="FAC30" s="1688"/>
      <c r="FAD30" s="1688"/>
      <c r="FAE30" s="1688"/>
      <c r="FAF30" s="1688"/>
      <c r="FAG30" s="1688"/>
      <c r="FAH30" s="1688"/>
      <c r="FAI30" s="1688"/>
      <c r="FAJ30" s="1688"/>
      <c r="FAK30" s="1688"/>
      <c r="FAL30" s="1688"/>
      <c r="FAM30" s="1688"/>
      <c r="FAN30" s="1688"/>
      <c r="FAO30" s="1688"/>
      <c r="FAP30" s="1688"/>
      <c r="FAQ30" s="1688"/>
      <c r="FAR30" s="1688"/>
      <c r="FAS30" s="1688"/>
      <c r="FAT30" s="1688"/>
      <c r="FAU30" s="1688"/>
      <c r="FAV30" s="1688"/>
      <c r="FAW30" s="1688"/>
      <c r="FAX30" s="1688"/>
      <c r="FAY30" s="1688"/>
      <c r="FAZ30" s="1688"/>
      <c r="FBA30" s="1688"/>
      <c r="FBB30" s="1688"/>
      <c r="FBC30" s="1688"/>
      <c r="FBD30" s="1688"/>
      <c r="FBE30" s="1688"/>
      <c r="FBF30" s="1688"/>
      <c r="FBG30" s="1688"/>
      <c r="FBH30" s="1688"/>
      <c r="FBI30" s="1688"/>
      <c r="FBJ30" s="1688"/>
      <c r="FBK30" s="1688"/>
      <c r="FBL30" s="1688"/>
      <c r="FBM30" s="1688"/>
      <c r="FBN30" s="1688"/>
      <c r="FBO30" s="1688"/>
      <c r="FBP30" s="1688"/>
      <c r="FBQ30" s="1688"/>
      <c r="FBR30" s="1688"/>
      <c r="FBS30" s="1688"/>
      <c r="FBT30" s="1688"/>
      <c r="FBU30" s="1688"/>
      <c r="FBV30" s="1688"/>
      <c r="FBW30" s="1688"/>
      <c r="FBX30" s="1688"/>
      <c r="FBY30" s="1688"/>
      <c r="FBZ30" s="1688"/>
      <c r="FCA30" s="1688"/>
      <c r="FCB30" s="1688"/>
      <c r="FCC30" s="1688"/>
      <c r="FCD30" s="1688"/>
      <c r="FCE30" s="1688"/>
      <c r="FCF30" s="1688"/>
      <c r="FCG30" s="1688"/>
      <c r="FCH30" s="1688"/>
      <c r="FCI30" s="1688"/>
      <c r="FCJ30" s="1688"/>
      <c r="FCK30" s="1688"/>
      <c r="FCL30" s="1688"/>
      <c r="FCM30" s="1688"/>
      <c r="FCN30" s="1688"/>
      <c r="FCO30" s="1688"/>
      <c r="FCP30" s="1688"/>
      <c r="FCQ30" s="1688"/>
      <c r="FCR30" s="1688"/>
      <c r="FCS30" s="1688"/>
      <c r="FCT30" s="1688"/>
      <c r="FCU30" s="1688"/>
      <c r="FCV30" s="1688"/>
      <c r="FCW30" s="1688"/>
      <c r="FCX30" s="1688"/>
      <c r="FCY30" s="1688"/>
      <c r="FCZ30" s="1688"/>
      <c r="FDA30" s="1688"/>
      <c r="FDB30" s="1688"/>
      <c r="FDC30" s="1688"/>
      <c r="FDD30" s="1688"/>
      <c r="FDE30" s="1688"/>
      <c r="FDF30" s="1688"/>
      <c r="FDG30" s="1688"/>
      <c r="FDH30" s="1688"/>
      <c r="FDI30" s="1688"/>
      <c r="FDJ30" s="1688"/>
      <c r="FDK30" s="1688"/>
      <c r="FDL30" s="1688"/>
      <c r="FDM30" s="1688"/>
      <c r="FDN30" s="1688"/>
      <c r="FDO30" s="1688"/>
      <c r="FDP30" s="1688"/>
      <c r="FDQ30" s="1688"/>
      <c r="FDR30" s="1688"/>
      <c r="FDS30" s="1688"/>
      <c r="FDT30" s="1688"/>
      <c r="FDU30" s="1688"/>
      <c r="FDV30" s="1688"/>
      <c r="FDW30" s="1688"/>
      <c r="FDX30" s="1688"/>
      <c r="FDY30" s="1688"/>
      <c r="FDZ30" s="1688"/>
      <c r="FEA30" s="1688"/>
      <c r="FEB30" s="1688"/>
      <c r="FEC30" s="1688"/>
      <c r="FED30" s="1688"/>
      <c r="FEE30" s="1688"/>
      <c r="FEF30" s="1688"/>
      <c r="FEG30" s="1688"/>
      <c r="FEH30" s="1688"/>
      <c r="FEI30" s="1688"/>
      <c r="FEJ30" s="1688"/>
      <c r="FEK30" s="1688"/>
      <c r="FEL30" s="1688"/>
      <c r="FEM30" s="1688"/>
      <c r="FEN30" s="1688"/>
      <c r="FEO30" s="1688"/>
      <c r="FEP30" s="1688"/>
      <c r="FEQ30" s="1688"/>
      <c r="FER30" s="1688"/>
      <c r="FES30" s="1688"/>
      <c r="FET30" s="1688"/>
      <c r="FEU30" s="1688"/>
      <c r="FEV30" s="1688"/>
      <c r="FEW30" s="1688"/>
      <c r="FEX30" s="1688"/>
      <c r="FEY30" s="1688"/>
      <c r="FEZ30" s="1688"/>
      <c r="FFA30" s="1688"/>
      <c r="FFB30" s="1688"/>
      <c r="FFC30" s="1688"/>
      <c r="FFD30" s="1688"/>
      <c r="FFE30" s="1688"/>
      <c r="FFF30" s="1688"/>
      <c r="FFG30" s="1688"/>
      <c r="FFH30" s="1688"/>
      <c r="FFI30" s="1688"/>
      <c r="FFJ30" s="1688"/>
      <c r="FFK30" s="1688"/>
      <c r="FFL30" s="1688"/>
      <c r="FFM30" s="1688"/>
      <c r="FFN30" s="1688"/>
      <c r="FFO30" s="1688"/>
      <c r="FFP30" s="1688"/>
      <c r="FFQ30" s="1688"/>
      <c r="FFR30" s="1688"/>
      <c r="FFS30" s="1688"/>
      <c r="FFT30" s="1688"/>
      <c r="FFU30" s="1688"/>
      <c r="FFV30" s="1688"/>
      <c r="FFW30" s="1688"/>
      <c r="FFX30" s="1688"/>
      <c r="FFY30" s="1688"/>
      <c r="FFZ30" s="1688"/>
      <c r="FGA30" s="1688"/>
      <c r="FGB30" s="1688"/>
      <c r="FGC30" s="1688"/>
      <c r="FGD30" s="1688"/>
      <c r="FGE30" s="1688"/>
      <c r="FGF30" s="1688"/>
      <c r="FGG30" s="1688"/>
      <c r="FGH30" s="1688"/>
      <c r="FGI30" s="1688"/>
      <c r="FGJ30" s="1688"/>
      <c r="FGK30" s="1688"/>
      <c r="FGL30" s="1688"/>
      <c r="FGM30" s="1688"/>
      <c r="FGN30" s="1688"/>
      <c r="FGO30" s="1688"/>
      <c r="FGP30" s="1688"/>
      <c r="FGQ30" s="1688"/>
      <c r="FGR30" s="1688"/>
      <c r="FGS30" s="1688"/>
      <c r="FGT30" s="1688"/>
      <c r="FGU30" s="1688"/>
      <c r="FGV30" s="1688"/>
      <c r="FGW30" s="1688"/>
      <c r="FGX30" s="1688"/>
      <c r="FGY30" s="1688"/>
      <c r="FGZ30" s="1688"/>
      <c r="FHA30" s="1688"/>
      <c r="FHB30" s="1688"/>
      <c r="FHC30" s="1688"/>
      <c r="FHD30" s="1688"/>
      <c r="FHE30" s="1688"/>
      <c r="FHF30" s="1688"/>
      <c r="FHG30" s="1688"/>
      <c r="FHH30" s="1688"/>
      <c r="FHI30" s="1688"/>
      <c r="FHJ30" s="1688"/>
      <c r="FHK30" s="1688"/>
      <c r="FHL30" s="1688"/>
      <c r="FHM30" s="1688"/>
      <c r="FHN30" s="1688"/>
      <c r="FHO30" s="1688"/>
      <c r="FHP30" s="1688"/>
      <c r="FHQ30" s="1688"/>
      <c r="FHR30" s="1688"/>
      <c r="FHS30" s="1688"/>
      <c r="FHT30" s="1688"/>
      <c r="FHU30" s="1688"/>
      <c r="FHV30" s="1688"/>
      <c r="FHW30" s="1688"/>
      <c r="FHX30" s="1688"/>
      <c r="FHY30" s="1688"/>
      <c r="FHZ30" s="1688"/>
      <c r="FIA30" s="1688"/>
      <c r="FIB30" s="1688"/>
      <c r="FIC30" s="1688"/>
      <c r="FID30" s="1688"/>
      <c r="FIE30" s="1688"/>
      <c r="FIF30" s="1688"/>
      <c r="FIG30" s="1688"/>
      <c r="FIH30" s="1688"/>
      <c r="FII30" s="1688"/>
      <c r="FIJ30" s="1688"/>
      <c r="FIK30" s="1688"/>
      <c r="FIL30" s="1688"/>
      <c r="FIM30" s="1688"/>
      <c r="FIN30" s="1688"/>
      <c r="FIO30" s="1688"/>
      <c r="FIP30" s="1688"/>
      <c r="FIQ30" s="1688"/>
      <c r="FIR30" s="1688"/>
      <c r="FIS30" s="1688"/>
      <c r="FIT30" s="1688"/>
      <c r="FIU30" s="1688"/>
      <c r="FIV30" s="1688"/>
      <c r="FIW30" s="1688"/>
      <c r="FIX30" s="1688"/>
      <c r="FIY30" s="1688"/>
      <c r="FIZ30" s="1688"/>
      <c r="FJA30" s="1688"/>
      <c r="FJB30" s="1688"/>
      <c r="FJC30" s="1688"/>
      <c r="FJD30" s="1688"/>
      <c r="FJE30" s="1688"/>
      <c r="FJF30" s="1688"/>
      <c r="FJG30" s="1688"/>
      <c r="FJH30" s="1688"/>
      <c r="FJI30" s="1688"/>
      <c r="FJJ30" s="1688"/>
      <c r="FJK30" s="1688"/>
      <c r="FJL30" s="1688"/>
      <c r="FJM30" s="1688"/>
      <c r="FJN30" s="1688"/>
      <c r="FJO30" s="1688"/>
      <c r="FJP30" s="1688"/>
      <c r="FJQ30" s="1688"/>
      <c r="FJR30" s="1688"/>
      <c r="FJS30" s="1688"/>
      <c r="FJT30" s="1688"/>
      <c r="FJU30" s="1688"/>
      <c r="FJV30" s="1688"/>
      <c r="FJW30" s="1688"/>
      <c r="FJX30" s="1688"/>
      <c r="FJY30" s="1688"/>
      <c r="FJZ30" s="1688"/>
      <c r="FKA30" s="1688"/>
      <c r="FKB30" s="1688"/>
      <c r="FKC30" s="1688"/>
      <c r="FKD30" s="1688"/>
      <c r="FKE30" s="1688"/>
      <c r="FKF30" s="1688"/>
      <c r="FKG30" s="1688"/>
      <c r="FKH30" s="1688"/>
      <c r="FKI30" s="1688"/>
      <c r="FKJ30" s="1688"/>
      <c r="FKK30" s="1688"/>
      <c r="FKL30" s="1688"/>
      <c r="FKM30" s="1688"/>
      <c r="FKN30" s="1688"/>
      <c r="FKO30" s="1688"/>
      <c r="FKP30" s="1688"/>
      <c r="FKQ30" s="1688"/>
      <c r="FKR30" s="1688"/>
      <c r="FKS30" s="1688"/>
      <c r="FKT30" s="1688"/>
      <c r="FKU30" s="1688"/>
      <c r="FKV30" s="1688"/>
      <c r="FKW30" s="1688"/>
      <c r="FKX30" s="1688"/>
      <c r="FKY30" s="1688"/>
      <c r="FKZ30" s="1688"/>
      <c r="FLA30" s="1688"/>
      <c r="FLB30" s="1688"/>
      <c r="FLC30" s="1688"/>
      <c r="FLD30" s="1688"/>
      <c r="FLE30" s="1688"/>
      <c r="FLF30" s="1688"/>
      <c r="FLG30" s="1688"/>
      <c r="FLH30" s="1688"/>
      <c r="FLI30" s="1688"/>
      <c r="FLJ30" s="1688"/>
      <c r="FLK30" s="1688"/>
      <c r="FLL30" s="1688"/>
      <c r="FLM30" s="1688"/>
      <c r="FLN30" s="1688"/>
      <c r="FLO30" s="1688"/>
      <c r="FLP30" s="1688"/>
      <c r="FLQ30" s="1688"/>
      <c r="FLR30" s="1688"/>
      <c r="FLS30" s="1688"/>
      <c r="FLT30" s="1688"/>
      <c r="FLU30" s="1688"/>
      <c r="FLV30" s="1688"/>
      <c r="FLW30" s="1688"/>
      <c r="FLX30" s="1688"/>
      <c r="FLY30" s="1688"/>
      <c r="FLZ30" s="1688"/>
      <c r="FMA30" s="1688"/>
      <c r="FMB30" s="1688"/>
      <c r="FMC30" s="1688"/>
      <c r="FMD30" s="1688"/>
      <c r="FME30" s="1688"/>
      <c r="FMF30" s="1688"/>
      <c r="FMG30" s="1688"/>
      <c r="FMH30" s="1688"/>
      <c r="FMI30" s="1688"/>
      <c r="FMJ30" s="1688"/>
      <c r="FMK30" s="1688"/>
      <c r="FML30" s="1688"/>
      <c r="FMM30" s="1688"/>
      <c r="FMN30" s="1688"/>
      <c r="FMO30" s="1688"/>
      <c r="FMP30" s="1688"/>
      <c r="FMQ30" s="1688"/>
      <c r="FMR30" s="1688"/>
      <c r="FMS30" s="1688"/>
      <c r="FMT30" s="1688"/>
      <c r="FMU30" s="1688"/>
      <c r="FMV30" s="1688"/>
      <c r="FMW30" s="1688"/>
      <c r="FMX30" s="1688"/>
      <c r="FMY30" s="1688"/>
      <c r="FMZ30" s="1688"/>
      <c r="FNA30" s="1688"/>
      <c r="FNB30" s="1688"/>
      <c r="FNC30" s="1688"/>
      <c r="FND30" s="1688"/>
      <c r="FNE30" s="1688"/>
      <c r="FNF30" s="1688"/>
      <c r="FNG30" s="1688"/>
      <c r="FNH30" s="1688"/>
      <c r="FNI30" s="1688"/>
      <c r="FNJ30" s="1688"/>
      <c r="FNK30" s="1688"/>
      <c r="FNL30" s="1688"/>
      <c r="FNM30" s="1688"/>
      <c r="FNN30" s="1688"/>
      <c r="FNO30" s="1688"/>
      <c r="FNP30" s="1688"/>
      <c r="FNQ30" s="1688"/>
      <c r="FNR30" s="1688"/>
      <c r="FNS30" s="1688"/>
      <c r="FNT30" s="1688"/>
      <c r="FNU30" s="1688"/>
      <c r="FNV30" s="1688"/>
      <c r="FNW30" s="1688"/>
      <c r="FNX30" s="1688"/>
      <c r="FNY30" s="1688"/>
      <c r="FNZ30" s="1688"/>
      <c r="FOA30" s="1688"/>
      <c r="FOB30" s="1688"/>
      <c r="FOC30" s="1688"/>
      <c r="FOD30" s="1688"/>
      <c r="FOE30" s="1688"/>
      <c r="FOF30" s="1688"/>
      <c r="FOG30" s="1688"/>
      <c r="FOH30" s="1688"/>
      <c r="FOI30" s="1688"/>
      <c r="FOJ30" s="1688"/>
      <c r="FOK30" s="1688"/>
      <c r="FOL30" s="1688"/>
      <c r="FOM30" s="1688"/>
      <c r="FON30" s="1688"/>
      <c r="FOO30" s="1688"/>
      <c r="FOP30" s="1688"/>
      <c r="FOQ30" s="1688"/>
      <c r="FOR30" s="1688"/>
      <c r="FOS30" s="1688"/>
      <c r="FOT30" s="1688"/>
      <c r="FOU30" s="1688"/>
      <c r="FOV30" s="1688"/>
      <c r="FOW30" s="1688"/>
      <c r="FOX30" s="1688"/>
      <c r="FOY30" s="1688"/>
      <c r="FOZ30" s="1688"/>
      <c r="FPA30" s="1688"/>
      <c r="FPB30" s="1688"/>
      <c r="FPC30" s="1688"/>
      <c r="FPD30" s="1688"/>
      <c r="FPE30" s="1688"/>
      <c r="FPF30" s="1688"/>
      <c r="FPG30" s="1688"/>
      <c r="FPH30" s="1688"/>
      <c r="FPI30" s="1688"/>
      <c r="FPJ30" s="1688"/>
      <c r="FPK30" s="1688"/>
      <c r="FPL30" s="1688"/>
      <c r="FPM30" s="1688"/>
      <c r="FPN30" s="1688"/>
      <c r="FPO30" s="1688"/>
      <c r="FPP30" s="1688"/>
      <c r="FPQ30" s="1688"/>
      <c r="FPR30" s="1688"/>
      <c r="FPS30" s="1688"/>
      <c r="FPT30" s="1688"/>
      <c r="FPU30" s="1688"/>
      <c r="FPV30" s="1688"/>
      <c r="FPW30" s="1688"/>
      <c r="FPX30" s="1688"/>
      <c r="FPY30" s="1688"/>
      <c r="FPZ30" s="1688"/>
      <c r="FQA30" s="1688"/>
      <c r="FQB30" s="1688"/>
      <c r="FQC30" s="1688"/>
      <c r="FQD30" s="1688"/>
      <c r="FQE30" s="1688"/>
      <c r="FQF30" s="1688"/>
      <c r="FQG30" s="1688"/>
      <c r="FQH30" s="1688"/>
      <c r="FQI30" s="1688"/>
      <c r="FQJ30" s="1688"/>
      <c r="FQK30" s="1688"/>
      <c r="FQL30" s="1688"/>
      <c r="FQM30" s="1688"/>
      <c r="FQN30" s="1688"/>
      <c r="FQO30" s="1688"/>
      <c r="FQP30" s="1688"/>
      <c r="FQQ30" s="1688"/>
      <c r="FQR30" s="1688"/>
      <c r="FQS30" s="1688"/>
      <c r="FQT30" s="1688"/>
      <c r="FQU30" s="1688"/>
      <c r="FQV30" s="1688"/>
      <c r="FQW30" s="1688"/>
      <c r="FQX30" s="1688"/>
      <c r="FQY30" s="1688"/>
      <c r="FQZ30" s="1688"/>
      <c r="FRA30" s="1688"/>
      <c r="FRB30" s="1688"/>
      <c r="FRC30" s="1688"/>
      <c r="FRD30" s="1688"/>
      <c r="FRE30" s="1688"/>
      <c r="FRF30" s="1688"/>
      <c r="FRG30" s="1688"/>
      <c r="FRH30" s="1688"/>
      <c r="FRI30" s="1688"/>
      <c r="FRJ30" s="1688"/>
      <c r="FRK30" s="1688"/>
      <c r="FRL30" s="1688"/>
      <c r="FRM30" s="1688"/>
      <c r="FRN30" s="1688"/>
      <c r="FRO30" s="1688"/>
      <c r="FRP30" s="1688"/>
      <c r="FRQ30" s="1688"/>
      <c r="FRR30" s="1688"/>
      <c r="FRS30" s="1688"/>
      <c r="FRT30" s="1688"/>
      <c r="FRU30" s="1688"/>
      <c r="FRV30" s="1688"/>
      <c r="FRW30" s="1688"/>
      <c r="FRX30" s="1688"/>
      <c r="FRY30" s="1688"/>
      <c r="FRZ30" s="1688"/>
      <c r="FSA30" s="1688"/>
      <c r="FSB30" s="1688"/>
      <c r="FSC30" s="1688"/>
      <c r="FSD30" s="1688"/>
      <c r="FSE30" s="1688"/>
      <c r="FSF30" s="1688"/>
      <c r="FSG30" s="1688"/>
      <c r="FSH30" s="1688"/>
      <c r="FSI30" s="1688"/>
      <c r="FSJ30" s="1688"/>
      <c r="FSK30" s="1688"/>
      <c r="FSL30" s="1688"/>
      <c r="FSM30" s="1688"/>
      <c r="FSN30" s="1688"/>
      <c r="FSO30" s="1688"/>
      <c r="FSP30" s="1688"/>
      <c r="FSQ30" s="1688"/>
      <c r="FSR30" s="1688"/>
      <c r="FSS30" s="1688"/>
      <c r="FST30" s="1688"/>
      <c r="FSU30" s="1688"/>
      <c r="FSV30" s="1688"/>
      <c r="FSW30" s="1688"/>
      <c r="FSX30" s="1688"/>
      <c r="FSY30" s="1688"/>
      <c r="FSZ30" s="1688"/>
      <c r="FTA30" s="1688"/>
      <c r="FTB30" s="1688"/>
      <c r="FTC30" s="1688"/>
      <c r="FTD30" s="1688"/>
      <c r="FTE30" s="1688"/>
      <c r="FTF30" s="1688"/>
      <c r="FTG30" s="1688"/>
      <c r="FTH30" s="1688"/>
      <c r="FTI30" s="1688"/>
      <c r="FTJ30" s="1688"/>
      <c r="FTK30" s="1688"/>
      <c r="FTL30" s="1688"/>
      <c r="FTM30" s="1688"/>
      <c r="FTN30" s="1688"/>
      <c r="FTO30" s="1688"/>
      <c r="FTP30" s="1688"/>
      <c r="FTQ30" s="1688"/>
      <c r="FTR30" s="1688"/>
      <c r="FTS30" s="1688"/>
      <c r="FTT30" s="1688"/>
      <c r="FTU30" s="1688"/>
      <c r="FTV30" s="1688"/>
      <c r="FTW30" s="1688"/>
      <c r="FTX30" s="1688"/>
      <c r="FTY30" s="1688"/>
      <c r="FTZ30" s="1688"/>
      <c r="FUA30" s="1688"/>
      <c r="FUB30" s="1688"/>
      <c r="FUC30" s="1688"/>
      <c r="FUD30" s="1688"/>
      <c r="FUE30" s="1688"/>
      <c r="FUF30" s="1688"/>
      <c r="FUG30" s="1688"/>
      <c r="FUH30" s="1688"/>
      <c r="FUI30" s="1688"/>
      <c r="FUJ30" s="1688"/>
      <c r="FUK30" s="1688"/>
      <c r="FUL30" s="1688"/>
      <c r="FUM30" s="1688"/>
      <c r="FUN30" s="1688"/>
      <c r="FUO30" s="1688"/>
      <c r="FUP30" s="1688"/>
      <c r="FUQ30" s="1688"/>
      <c r="FUR30" s="1688"/>
      <c r="FUS30" s="1688"/>
      <c r="FUT30" s="1688"/>
      <c r="FUU30" s="1688"/>
      <c r="FUV30" s="1688"/>
      <c r="FUW30" s="1688"/>
      <c r="FUX30" s="1688"/>
      <c r="FUY30" s="1688"/>
      <c r="FUZ30" s="1688"/>
      <c r="FVA30" s="1688"/>
      <c r="FVB30" s="1688"/>
      <c r="FVC30" s="1688"/>
      <c r="FVD30" s="1688"/>
      <c r="FVE30" s="1688"/>
      <c r="FVF30" s="1688"/>
      <c r="FVG30" s="1688"/>
      <c r="FVH30" s="1688"/>
      <c r="FVI30" s="1688"/>
      <c r="FVJ30" s="1688"/>
      <c r="FVK30" s="1688"/>
      <c r="FVL30" s="1688"/>
      <c r="FVM30" s="1688"/>
      <c r="FVN30" s="1688"/>
      <c r="FVO30" s="1688"/>
      <c r="FVP30" s="1688"/>
      <c r="FVQ30" s="1688"/>
      <c r="FVR30" s="1688"/>
      <c r="FVS30" s="1688"/>
      <c r="FVT30" s="1688"/>
      <c r="FVU30" s="1688"/>
      <c r="FVV30" s="1688"/>
      <c r="FVW30" s="1688"/>
      <c r="FVX30" s="1688"/>
      <c r="FVY30" s="1688"/>
      <c r="FVZ30" s="1688"/>
      <c r="FWA30" s="1688"/>
      <c r="FWB30" s="1688"/>
      <c r="FWC30" s="1688"/>
      <c r="FWD30" s="1688"/>
      <c r="FWE30" s="1688"/>
      <c r="FWF30" s="1688"/>
      <c r="FWG30" s="1688"/>
      <c r="FWH30" s="1688"/>
      <c r="FWI30" s="1688"/>
      <c r="FWJ30" s="1688"/>
      <c r="FWK30" s="1688"/>
      <c r="FWL30" s="1688"/>
      <c r="FWM30" s="1688"/>
      <c r="FWN30" s="1688"/>
      <c r="FWO30" s="1688"/>
      <c r="FWP30" s="1688"/>
      <c r="FWQ30" s="1688"/>
      <c r="FWR30" s="1688"/>
      <c r="FWS30" s="1688"/>
      <c r="FWT30" s="1688"/>
      <c r="FWU30" s="1688"/>
      <c r="FWV30" s="1688"/>
      <c r="FWW30" s="1688"/>
      <c r="FWX30" s="1688"/>
      <c r="FWY30" s="1688"/>
      <c r="FWZ30" s="1688"/>
      <c r="FXA30" s="1688"/>
      <c r="FXB30" s="1688"/>
      <c r="FXC30" s="1688"/>
      <c r="FXD30" s="1688"/>
      <c r="FXE30" s="1688"/>
      <c r="FXF30" s="1688"/>
      <c r="FXG30" s="1688"/>
      <c r="FXH30" s="1688"/>
      <c r="FXI30" s="1688"/>
      <c r="FXJ30" s="1688"/>
      <c r="FXK30" s="1688"/>
      <c r="FXL30" s="1688"/>
      <c r="FXM30" s="1688"/>
      <c r="FXN30" s="1688"/>
      <c r="FXO30" s="1688"/>
      <c r="FXP30" s="1688"/>
      <c r="FXQ30" s="1688"/>
      <c r="FXR30" s="1688"/>
      <c r="FXS30" s="1688"/>
      <c r="FXT30" s="1688"/>
      <c r="FXU30" s="1688"/>
      <c r="FXV30" s="1688"/>
      <c r="FXW30" s="1688"/>
      <c r="FXX30" s="1688"/>
      <c r="FXY30" s="1688"/>
      <c r="FXZ30" s="1688"/>
      <c r="FYA30" s="1688"/>
      <c r="FYB30" s="1688"/>
      <c r="FYC30" s="1688"/>
      <c r="FYD30" s="1688"/>
      <c r="FYE30" s="1688"/>
      <c r="FYF30" s="1688"/>
      <c r="FYG30" s="1688"/>
      <c r="FYH30" s="1688"/>
      <c r="FYI30" s="1688"/>
      <c r="FYJ30" s="1688"/>
      <c r="FYK30" s="1688"/>
      <c r="FYL30" s="1688"/>
      <c r="FYM30" s="1688"/>
      <c r="FYN30" s="1688"/>
      <c r="FYO30" s="1688"/>
      <c r="FYP30" s="1688"/>
      <c r="FYQ30" s="1688"/>
      <c r="FYR30" s="1688"/>
      <c r="FYS30" s="1688"/>
      <c r="FYT30" s="1688"/>
      <c r="FYU30" s="1688"/>
      <c r="FYV30" s="1688"/>
      <c r="FYW30" s="1688"/>
      <c r="FYX30" s="1688"/>
      <c r="FYY30" s="1688"/>
      <c r="FYZ30" s="1688"/>
      <c r="FZA30" s="1688"/>
      <c r="FZB30" s="1688"/>
      <c r="FZC30" s="1688"/>
      <c r="FZD30" s="1688"/>
      <c r="FZE30" s="1688"/>
      <c r="FZF30" s="1688"/>
      <c r="FZG30" s="1688"/>
      <c r="FZH30" s="1688"/>
      <c r="FZI30" s="1688"/>
      <c r="FZJ30" s="1688"/>
      <c r="FZK30" s="1688"/>
      <c r="FZL30" s="1688"/>
      <c r="FZM30" s="1688"/>
      <c r="FZN30" s="1688"/>
      <c r="FZO30" s="1688"/>
      <c r="FZP30" s="1688"/>
      <c r="FZQ30" s="1688"/>
      <c r="FZR30" s="1688"/>
      <c r="FZS30" s="1688"/>
      <c r="FZT30" s="1688"/>
      <c r="FZU30" s="1688"/>
      <c r="FZV30" s="1688"/>
      <c r="FZW30" s="1688"/>
      <c r="FZX30" s="1688"/>
      <c r="FZY30" s="1688"/>
      <c r="FZZ30" s="1688"/>
      <c r="GAA30" s="1688"/>
      <c r="GAB30" s="1688"/>
      <c r="GAC30" s="1688"/>
      <c r="GAD30" s="1688"/>
      <c r="GAE30" s="1688"/>
      <c r="GAF30" s="1688"/>
      <c r="GAG30" s="1688"/>
      <c r="GAH30" s="1688"/>
      <c r="GAI30" s="1688"/>
      <c r="GAJ30" s="1688"/>
      <c r="GAK30" s="1688"/>
      <c r="GAL30" s="1688"/>
      <c r="GAM30" s="1688"/>
      <c r="GAN30" s="1688"/>
      <c r="GAO30" s="1688"/>
      <c r="GAP30" s="1688"/>
      <c r="GAQ30" s="1688"/>
      <c r="GAR30" s="1688"/>
      <c r="GAS30" s="1688"/>
      <c r="GAT30" s="1688"/>
      <c r="GAU30" s="1688"/>
      <c r="GAV30" s="1688"/>
      <c r="GAW30" s="1688"/>
      <c r="GAX30" s="1688"/>
      <c r="GAY30" s="1688"/>
      <c r="GAZ30" s="1688"/>
      <c r="GBA30" s="1688"/>
      <c r="GBB30" s="1688"/>
      <c r="GBC30" s="1688"/>
      <c r="GBD30" s="1688"/>
      <c r="GBE30" s="1688"/>
      <c r="GBF30" s="1688"/>
      <c r="GBG30" s="1688"/>
      <c r="GBH30" s="1688"/>
      <c r="GBI30" s="1688"/>
      <c r="GBJ30" s="1688"/>
      <c r="GBK30" s="1688"/>
      <c r="GBL30" s="1688"/>
      <c r="GBM30" s="1688"/>
      <c r="GBN30" s="1688"/>
      <c r="GBO30" s="1688"/>
      <c r="GBP30" s="1688"/>
      <c r="GBQ30" s="1688"/>
      <c r="GBR30" s="1688"/>
      <c r="GBS30" s="1688"/>
      <c r="GBT30" s="1688"/>
      <c r="GBU30" s="1688"/>
      <c r="GBV30" s="1688"/>
      <c r="GBW30" s="1688"/>
      <c r="GBX30" s="1688"/>
      <c r="GBY30" s="1688"/>
      <c r="GBZ30" s="1688"/>
      <c r="GCA30" s="1688"/>
      <c r="GCB30" s="1688"/>
      <c r="GCC30" s="1688"/>
      <c r="GCD30" s="1688"/>
      <c r="GCE30" s="1688"/>
      <c r="GCF30" s="1688"/>
      <c r="GCG30" s="1688"/>
      <c r="GCH30" s="1688"/>
      <c r="GCI30" s="1688"/>
      <c r="GCJ30" s="1688"/>
      <c r="GCK30" s="1688"/>
      <c r="GCL30" s="1688"/>
      <c r="GCM30" s="1688"/>
      <c r="GCN30" s="1688"/>
      <c r="GCO30" s="1688"/>
      <c r="GCP30" s="1688"/>
      <c r="GCQ30" s="1688"/>
      <c r="GCR30" s="1688"/>
      <c r="GCS30" s="1688"/>
      <c r="GCT30" s="1688"/>
      <c r="GCU30" s="1688"/>
      <c r="GCV30" s="1688"/>
      <c r="GCW30" s="1688"/>
      <c r="GCX30" s="1688"/>
      <c r="GCY30" s="1688"/>
      <c r="GCZ30" s="1688"/>
      <c r="GDA30" s="1688"/>
      <c r="GDB30" s="1688"/>
      <c r="GDC30" s="1688"/>
      <c r="GDD30" s="1688"/>
      <c r="GDE30" s="1688"/>
      <c r="GDF30" s="1688"/>
      <c r="GDG30" s="1688"/>
      <c r="GDH30" s="1688"/>
      <c r="GDI30" s="1688"/>
      <c r="GDJ30" s="1688"/>
      <c r="GDK30" s="1688"/>
      <c r="GDL30" s="1688"/>
      <c r="GDM30" s="1688"/>
      <c r="GDN30" s="1688"/>
      <c r="GDO30" s="1688"/>
      <c r="GDP30" s="1688"/>
      <c r="GDQ30" s="1688"/>
      <c r="GDR30" s="1688"/>
      <c r="GDS30" s="1688"/>
      <c r="GDT30" s="1688"/>
      <c r="GDU30" s="1688"/>
      <c r="GDV30" s="1688"/>
      <c r="GDW30" s="1688"/>
      <c r="GDX30" s="1688"/>
      <c r="GDY30" s="1688"/>
      <c r="GDZ30" s="1688"/>
      <c r="GEA30" s="1688"/>
      <c r="GEB30" s="1688"/>
      <c r="GEC30" s="1688"/>
      <c r="GED30" s="1688"/>
      <c r="GEE30" s="1688"/>
      <c r="GEF30" s="1688"/>
      <c r="GEG30" s="1688"/>
      <c r="GEH30" s="1688"/>
      <c r="GEI30" s="1688"/>
      <c r="GEJ30" s="1688"/>
      <c r="GEK30" s="1688"/>
      <c r="GEL30" s="1688"/>
      <c r="GEM30" s="1688"/>
      <c r="GEN30" s="1688"/>
      <c r="GEO30" s="1688"/>
      <c r="GEP30" s="1688"/>
      <c r="GEQ30" s="1688"/>
      <c r="GER30" s="1688"/>
      <c r="GES30" s="1688"/>
      <c r="GET30" s="1688"/>
      <c r="GEU30" s="1688"/>
      <c r="GEV30" s="1688"/>
      <c r="GEW30" s="1688"/>
      <c r="GEX30" s="1688"/>
      <c r="GEY30" s="1688"/>
      <c r="GEZ30" s="1688"/>
      <c r="GFA30" s="1688"/>
      <c r="GFB30" s="1688"/>
      <c r="GFC30" s="1688"/>
      <c r="GFD30" s="1688"/>
      <c r="GFE30" s="1688"/>
      <c r="GFF30" s="1688"/>
      <c r="GFG30" s="1688"/>
      <c r="GFH30" s="1688"/>
      <c r="GFI30" s="1688"/>
      <c r="GFJ30" s="1688"/>
      <c r="GFK30" s="1688"/>
      <c r="GFL30" s="1688"/>
      <c r="GFM30" s="1688"/>
      <c r="GFN30" s="1688"/>
      <c r="GFO30" s="1688"/>
      <c r="GFP30" s="1688"/>
      <c r="GFQ30" s="1688"/>
      <c r="GFR30" s="1688"/>
      <c r="GFS30" s="1688"/>
      <c r="GFT30" s="1688"/>
      <c r="GFU30" s="1688"/>
      <c r="GFV30" s="1688"/>
      <c r="GFW30" s="1688"/>
      <c r="GFX30" s="1688"/>
      <c r="GFY30" s="1688"/>
      <c r="GFZ30" s="1688"/>
      <c r="GGA30" s="1688"/>
      <c r="GGB30" s="1688"/>
      <c r="GGC30" s="1688"/>
      <c r="GGD30" s="1688"/>
      <c r="GGE30" s="1688"/>
      <c r="GGF30" s="1688"/>
      <c r="GGG30" s="1688"/>
      <c r="GGH30" s="1688"/>
      <c r="GGI30" s="1688"/>
      <c r="GGJ30" s="1688"/>
      <c r="GGK30" s="1688"/>
      <c r="GGL30" s="1688"/>
      <c r="GGM30" s="1688"/>
      <c r="GGN30" s="1688"/>
      <c r="GGO30" s="1688"/>
      <c r="GGP30" s="1688"/>
      <c r="GGQ30" s="1688"/>
      <c r="GGR30" s="1688"/>
      <c r="GGS30" s="1688"/>
      <c r="GGT30" s="1688"/>
      <c r="GGU30" s="1688"/>
      <c r="GGV30" s="1688"/>
      <c r="GGW30" s="1688"/>
      <c r="GGX30" s="1688"/>
      <c r="GGY30" s="1688"/>
      <c r="GGZ30" s="1688"/>
      <c r="GHA30" s="1688"/>
      <c r="GHB30" s="1688"/>
      <c r="GHC30" s="1688"/>
      <c r="GHD30" s="1688"/>
      <c r="GHE30" s="1688"/>
      <c r="GHF30" s="1688"/>
      <c r="GHG30" s="1688"/>
      <c r="GHH30" s="1688"/>
      <c r="GHI30" s="1688"/>
      <c r="GHJ30" s="1688"/>
      <c r="GHK30" s="1688"/>
      <c r="GHL30" s="1688"/>
      <c r="GHM30" s="1688"/>
      <c r="GHN30" s="1688"/>
      <c r="GHO30" s="1688"/>
      <c r="GHP30" s="1688"/>
      <c r="GHQ30" s="1688"/>
      <c r="GHR30" s="1688"/>
      <c r="GHS30" s="1688"/>
      <c r="GHT30" s="1688"/>
      <c r="GHU30" s="1688"/>
      <c r="GHV30" s="1688"/>
      <c r="GHW30" s="1688"/>
      <c r="GHX30" s="1688"/>
      <c r="GHY30" s="1688"/>
      <c r="GHZ30" s="1688"/>
      <c r="GIA30" s="1688"/>
      <c r="GIB30" s="1688"/>
      <c r="GIC30" s="1688"/>
      <c r="GID30" s="1688"/>
      <c r="GIE30" s="1688"/>
      <c r="GIF30" s="1688"/>
      <c r="GIG30" s="1688"/>
      <c r="GIH30" s="1688"/>
      <c r="GII30" s="1688"/>
      <c r="GIJ30" s="1688"/>
      <c r="GIK30" s="1688"/>
      <c r="GIL30" s="1688"/>
      <c r="GIM30" s="1688"/>
      <c r="GIN30" s="1688"/>
      <c r="GIO30" s="1688"/>
      <c r="GIP30" s="1688"/>
      <c r="GIQ30" s="1688"/>
      <c r="GIR30" s="1688"/>
      <c r="GIS30" s="1688"/>
      <c r="GIT30" s="1688"/>
      <c r="GIU30" s="1688"/>
      <c r="GIV30" s="1688"/>
      <c r="GIW30" s="1688"/>
      <c r="GIX30" s="1688"/>
      <c r="GIY30" s="1688"/>
      <c r="GIZ30" s="1688"/>
      <c r="GJA30" s="1688"/>
      <c r="GJB30" s="1688"/>
      <c r="GJC30" s="1688"/>
      <c r="GJD30" s="1688"/>
      <c r="GJE30" s="1688"/>
      <c r="GJF30" s="1688"/>
      <c r="GJG30" s="1688"/>
      <c r="GJH30" s="1688"/>
      <c r="GJI30" s="1688"/>
      <c r="GJJ30" s="1688"/>
      <c r="GJK30" s="1688"/>
      <c r="GJL30" s="1688"/>
      <c r="GJM30" s="1688"/>
      <c r="GJN30" s="1688"/>
      <c r="GJO30" s="1688"/>
      <c r="GJP30" s="1688"/>
      <c r="GJQ30" s="1688"/>
      <c r="GJR30" s="1688"/>
      <c r="GJS30" s="1688"/>
      <c r="GJT30" s="1688"/>
      <c r="GJU30" s="1688"/>
      <c r="GJV30" s="1688"/>
      <c r="GJW30" s="1688"/>
      <c r="GJX30" s="1688"/>
      <c r="GJY30" s="1688"/>
      <c r="GJZ30" s="1688"/>
      <c r="GKA30" s="1688"/>
      <c r="GKB30" s="1688"/>
      <c r="GKC30" s="1688"/>
      <c r="GKD30" s="1688"/>
      <c r="GKE30" s="1688"/>
      <c r="GKF30" s="1688"/>
      <c r="GKG30" s="1688"/>
      <c r="GKH30" s="1688"/>
      <c r="GKI30" s="1688"/>
      <c r="GKJ30" s="1688"/>
      <c r="GKK30" s="1688"/>
      <c r="GKL30" s="1688"/>
      <c r="GKM30" s="1688"/>
      <c r="GKN30" s="1688"/>
      <c r="GKO30" s="1688"/>
      <c r="GKP30" s="1688"/>
      <c r="GKQ30" s="1688"/>
      <c r="GKR30" s="1688"/>
      <c r="GKS30" s="1688"/>
      <c r="GKT30" s="1688"/>
      <c r="GKU30" s="1688"/>
      <c r="GKV30" s="1688"/>
      <c r="GKW30" s="1688"/>
      <c r="GKX30" s="1688"/>
      <c r="GKY30" s="1688"/>
      <c r="GKZ30" s="1688"/>
      <c r="GLA30" s="1688"/>
      <c r="GLB30" s="1688"/>
      <c r="GLC30" s="1688"/>
      <c r="GLD30" s="1688"/>
      <c r="GLE30" s="1688"/>
      <c r="GLF30" s="1688"/>
      <c r="GLG30" s="1688"/>
      <c r="GLH30" s="1688"/>
      <c r="GLI30" s="1688"/>
      <c r="GLJ30" s="1688"/>
      <c r="GLK30" s="1688"/>
      <c r="GLL30" s="1688"/>
      <c r="GLM30" s="1688"/>
      <c r="GLN30" s="1688"/>
      <c r="GLO30" s="1688"/>
      <c r="GLP30" s="1688"/>
      <c r="GLQ30" s="1688"/>
      <c r="GLR30" s="1688"/>
      <c r="GLS30" s="1688"/>
      <c r="GLT30" s="1688"/>
      <c r="GLU30" s="1688"/>
      <c r="GLV30" s="1688"/>
      <c r="GLW30" s="1688"/>
      <c r="GLX30" s="1688"/>
      <c r="GLY30" s="1688"/>
      <c r="GLZ30" s="1688"/>
      <c r="GMA30" s="1688"/>
      <c r="GMB30" s="1688"/>
      <c r="GMC30" s="1688"/>
      <c r="GMD30" s="1688"/>
      <c r="GME30" s="1688"/>
      <c r="GMF30" s="1688"/>
      <c r="GMG30" s="1688"/>
      <c r="GMH30" s="1688"/>
      <c r="GMI30" s="1688"/>
      <c r="GMJ30" s="1688"/>
      <c r="GMK30" s="1688"/>
      <c r="GML30" s="1688"/>
      <c r="GMM30" s="1688"/>
      <c r="GMN30" s="1688"/>
      <c r="GMO30" s="1688"/>
      <c r="GMP30" s="1688"/>
      <c r="GMQ30" s="1688"/>
      <c r="GMR30" s="1688"/>
      <c r="GMS30" s="1688"/>
      <c r="GMT30" s="1688"/>
      <c r="GMU30" s="1688"/>
      <c r="GMV30" s="1688"/>
      <c r="GMW30" s="1688"/>
      <c r="GMX30" s="1688"/>
      <c r="GMY30" s="1688"/>
      <c r="GMZ30" s="1688"/>
      <c r="GNA30" s="1688"/>
      <c r="GNB30" s="1688"/>
      <c r="GNC30" s="1688"/>
      <c r="GND30" s="1688"/>
      <c r="GNE30" s="1688"/>
      <c r="GNF30" s="1688"/>
      <c r="GNG30" s="1688"/>
      <c r="GNH30" s="1688"/>
      <c r="GNI30" s="1688"/>
      <c r="GNJ30" s="1688"/>
      <c r="GNK30" s="1688"/>
      <c r="GNL30" s="1688"/>
      <c r="GNM30" s="1688"/>
      <c r="GNN30" s="1688"/>
      <c r="GNO30" s="1688"/>
      <c r="GNP30" s="1688"/>
      <c r="GNQ30" s="1688"/>
      <c r="GNR30" s="1688"/>
      <c r="GNS30" s="1688"/>
      <c r="GNT30" s="1688"/>
      <c r="GNU30" s="1688"/>
      <c r="GNV30" s="1688"/>
      <c r="GNW30" s="1688"/>
      <c r="GNX30" s="1688"/>
      <c r="GNY30" s="1688"/>
      <c r="GNZ30" s="1688"/>
      <c r="GOA30" s="1688"/>
      <c r="GOB30" s="1688"/>
      <c r="GOC30" s="1688"/>
      <c r="GOD30" s="1688"/>
      <c r="GOE30" s="1688"/>
      <c r="GOF30" s="1688"/>
      <c r="GOG30" s="1688"/>
      <c r="GOH30" s="1688"/>
      <c r="GOI30" s="1688"/>
      <c r="GOJ30" s="1688"/>
      <c r="GOK30" s="1688"/>
      <c r="GOL30" s="1688"/>
      <c r="GOM30" s="1688"/>
      <c r="GON30" s="1688"/>
      <c r="GOO30" s="1688"/>
      <c r="GOP30" s="1688"/>
      <c r="GOQ30" s="1688"/>
      <c r="GOR30" s="1688"/>
      <c r="GOS30" s="1688"/>
      <c r="GOT30" s="1688"/>
      <c r="GOU30" s="1688"/>
      <c r="GOV30" s="1688"/>
      <c r="GOW30" s="1688"/>
      <c r="GOX30" s="1688"/>
      <c r="GOY30" s="1688"/>
      <c r="GOZ30" s="1688"/>
      <c r="GPA30" s="1688"/>
      <c r="GPB30" s="1688"/>
      <c r="GPC30" s="1688"/>
      <c r="GPD30" s="1688"/>
      <c r="GPE30" s="1688"/>
      <c r="GPF30" s="1688"/>
      <c r="GPG30" s="1688"/>
      <c r="GPH30" s="1688"/>
      <c r="GPI30" s="1688"/>
      <c r="GPJ30" s="1688"/>
      <c r="GPK30" s="1688"/>
      <c r="GPL30" s="1688"/>
      <c r="GPM30" s="1688"/>
      <c r="GPN30" s="1688"/>
      <c r="GPO30" s="1688"/>
      <c r="GPP30" s="1688"/>
      <c r="GPQ30" s="1688"/>
      <c r="GPR30" s="1688"/>
      <c r="GPS30" s="1688"/>
      <c r="GPT30" s="1688"/>
      <c r="GPU30" s="1688"/>
      <c r="GPV30" s="1688"/>
      <c r="GPW30" s="1688"/>
      <c r="GPX30" s="1688"/>
      <c r="GPY30" s="1688"/>
      <c r="GPZ30" s="1688"/>
      <c r="GQA30" s="1688"/>
      <c r="GQB30" s="1688"/>
      <c r="GQC30" s="1688"/>
      <c r="GQD30" s="1688"/>
      <c r="GQE30" s="1688"/>
      <c r="GQF30" s="1688"/>
      <c r="GQG30" s="1688"/>
      <c r="GQH30" s="1688"/>
      <c r="GQI30" s="1688"/>
      <c r="GQJ30" s="1688"/>
      <c r="GQK30" s="1688"/>
      <c r="GQL30" s="1688"/>
      <c r="GQM30" s="1688"/>
      <c r="GQN30" s="1688"/>
      <c r="GQO30" s="1688"/>
      <c r="GQP30" s="1688"/>
      <c r="GQQ30" s="1688"/>
      <c r="GQR30" s="1688"/>
      <c r="GQS30" s="1688"/>
      <c r="GQT30" s="1688"/>
      <c r="GQU30" s="1688"/>
      <c r="GQV30" s="1688"/>
      <c r="GQW30" s="1688"/>
      <c r="GQX30" s="1688"/>
      <c r="GQY30" s="1688"/>
      <c r="GQZ30" s="1688"/>
      <c r="GRA30" s="1688"/>
      <c r="GRB30" s="1688"/>
      <c r="GRC30" s="1688"/>
      <c r="GRD30" s="1688"/>
      <c r="GRE30" s="1688"/>
      <c r="GRF30" s="1688"/>
      <c r="GRG30" s="1688"/>
      <c r="GRH30" s="1688"/>
      <c r="GRI30" s="1688"/>
      <c r="GRJ30" s="1688"/>
      <c r="GRK30" s="1688"/>
      <c r="GRL30" s="1688"/>
      <c r="GRM30" s="1688"/>
      <c r="GRN30" s="1688"/>
      <c r="GRO30" s="1688"/>
      <c r="GRP30" s="1688"/>
      <c r="GRQ30" s="1688"/>
      <c r="GRR30" s="1688"/>
      <c r="GRS30" s="1688"/>
      <c r="GRT30" s="1688"/>
      <c r="GRU30" s="1688"/>
      <c r="GRV30" s="1688"/>
      <c r="GRW30" s="1688"/>
      <c r="GRX30" s="1688"/>
      <c r="GRY30" s="1688"/>
      <c r="GRZ30" s="1688"/>
      <c r="GSA30" s="1688"/>
      <c r="GSB30" s="1688"/>
      <c r="GSC30" s="1688"/>
      <c r="GSD30" s="1688"/>
      <c r="GSE30" s="1688"/>
      <c r="GSF30" s="1688"/>
      <c r="GSG30" s="1688"/>
      <c r="GSH30" s="1688"/>
      <c r="GSI30" s="1688"/>
      <c r="GSJ30" s="1688"/>
      <c r="GSK30" s="1688"/>
      <c r="GSL30" s="1688"/>
      <c r="GSM30" s="1688"/>
      <c r="GSN30" s="1688"/>
      <c r="GSO30" s="1688"/>
      <c r="GSP30" s="1688"/>
      <c r="GSQ30" s="1688"/>
      <c r="GSR30" s="1688"/>
      <c r="GSS30" s="1688"/>
      <c r="GST30" s="1688"/>
      <c r="GSU30" s="1688"/>
      <c r="GSV30" s="1688"/>
      <c r="GSW30" s="1688"/>
      <c r="GSX30" s="1688"/>
      <c r="GSY30" s="1688"/>
      <c r="GSZ30" s="1688"/>
      <c r="GTA30" s="1688"/>
      <c r="GTB30" s="1688"/>
      <c r="GTC30" s="1688"/>
      <c r="GTD30" s="1688"/>
      <c r="GTE30" s="1688"/>
      <c r="GTF30" s="1688"/>
      <c r="GTG30" s="1688"/>
      <c r="GTH30" s="1688"/>
      <c r="GTI30" s="1688"/>
      <c r="GTJ30" s="1688"/>
      <c r="GTK30" s="1688"/>
      <c r="GTL30" s="1688"/>
      <c r="GTM30" s="1688"/>
      <c r="GTN30" s="1688"/>
      <c r="GTO30" s="1688"/>
      <c r="GTP30" s="1688"/>
      <c r="GTQ30" s="1688"/>
      <c r="GTR30" s="1688"/>
      <c r="GTS30" s="1688"/>
      <c r="GTT30" s="1688"/>
      <c r="GTU30" s="1688"/>
      <c r="GTV30" s="1688"/>
      <c r="GTW30" s="1688"/>
      <c r="GTX30" s="1688"/>
      <c r="GTY30" s="1688"/>
      <c r="GTZ30" s="1688"/>
      <c r="GUA30" s="1688"/>
      <c r="GUB30" s="1688"/>
      <c r="GUC30" s="1688"/>
      <c r="GUD30" s="1688"/>
      <c r="GUE30" s="1688"/>
      <c r="GUF30" s="1688"/>
      <c r="GUG30" s="1688"/>
      <c r="GUH30" s="1688"/>
      <c r="GUI30" s="1688"/>
      <c r="GUJ30" s="1688"/>
      <c r="GUK30" s="1688"/>
      <c r="GUL30" s="1688"/>
      <c r="GUM30" s="1688"/>
      <c r="GUN30" s="1688"/>
      <c r="GUO30" s="1688"/>
      <c r="GUP30" s="1688"/>
      <c r="GUQ30" s="1688"/>
      <c r="GUR30" s="1688"/>
      <c r="GUS30" s="1688"/>
      <c r="GUT30" s="1688"/>
      <c r="GUU30" s="1688"/>
      <c r="GUV30" s="1688"/>
      <c r="GUW30" s="1688"/>
      <c r="GUX30" s="1688"/>
      <c r="GUY30" s="1688"/>
      <c r="GUZ30" s="1688"/>
      <c r="GVA30" s="1688"/>
      <c r="GVB30" s="1688"/>
      <c r="GVC30" s="1688"/>
      <c r="GVD30" s="1688"/>
      <c r="GVE30" s="1688"/>
      <c r="GVF30" s="1688"/>
      <c r="GVG30" s="1688"/>
      <c r="GVH30" s="1688"/>
      <c r="GVI30" s="1688"/>
      <c r="GVJ30" s="1688"/>
      <c r="GVK30" s="1688"/>
      <c r="GVL30" s="1688"/>
      <c r="GVM30" s="1688"/>
      <c r="GVN30" s="1688"/>
      <c r="GVO30" s="1688"/>
      <c r="GVP30" s="1688"/>
      <c r="GVQ30" s="1688"/>
      <c r="GVR30" s="1688"/>
      <c r="GVS30" s="1688"/>
      <c r="GVT30" s="1688"/>
      <c r="GVU30" s="1688"/>
      <c r="GVV30" s="1688"/>
      <c r="GVW30" s="1688"/>
      <c r="GVX30" s="1688"/>
      <c r="GVY30" s="1688"/>
      <c r="GVZ30" s="1688"/>
      <c r="GWA30" s="1688"/>
      <c r="GWB30" s="1688"/>
      <c r="GWC30" s="1688"/>
      <c r="GWD30" s="1688"/>
      <c r="GWE30" s="1688"/>
      <c r="GWF30" s="1688"/>
      <c r="GWG30" s="1688"/>
      <c r="GWH30" s="1688"/>
      <c r="GWI30" s="1688"/>
      <c r="GWJ30" s="1688"/>
      <c r="GWK30" s="1688"/>
      <c r="GWL30" s="1688"/>
      <c r="GWM30" s="1688"/>
      <c r="GWN30" s="1688"/>
      <c r="GWO30" s="1688"/>
      <c r="GWP30" s="1688"/>
      <c r="GWQ30" s="1688"/>
      <c r="GWR30" s="1688"/>
      <c r="GWS30" s="1688"/>
      <c r="GWT30" s="1688"/>
      <c r="GWU30" s="1688"/>
      <c r="GWV30" s="1688"/>
      <c r="GWW30" s="1688"/>
      <c r="GWX30" s="1688"/>
      <c r="GWY30" s="1688"/>
      <c r="GWZ30" s="1688"/>
      <c r="GXA30" s="1688"/>
      <c r="GXB30" s="1688"/>
      <c r="GXC30" s="1688"/>
      <c r="GXD30" s="1688"/>
      <c r="GXE30" s="1688"/>
      <c r="GXF30" s="1688"/>
      <c r="GXG30" s="1688"/>
      <c r="GXH30" s="1688"/>
      <c r="GXI30" s="1688"/>
      <c r="GXJ30" s="1688"/>
      <c r="GXK30" s="1688"/>
      <c r="GXL30" s="1688"/>
      <c r="GXM30" s="1688"/>
      <c r="GXN30" s="1688"/>
      <c r="GXO30" s="1688"/>
      <c r="GXP30" s="1688"/>
      <c r="GXQ30" s="1688"/>
      <c r="GXR30" s="1688"/>
      <c r="GXS30" s="1688"/>
      <c r="GXT30" s="1688"/>
      <c r="GXU30" s="1688"/>
      <c r="GXV30" s="1688"/>
      <c r="GXW30" s="1688"/>
      <c r="GXX30" s="1688"/>
      <c r="GXY30" s="1688"/>
      <c r="GXZ30" s="1688"/>
      <c r="GYA30" s="1688"/>
      <c r="GYB30" s="1688"/>
      <c r="GYC30" s="1688"/>
      <c r="GYD30" s="1688"/>
      <c r="GYE30" s="1688"/>
      <c r="GYF30" s="1688"/>
      <c r="GYG30" s="1688"/>
      <c r="GYH30" s="1688"/>
      <c r="GYI30" s="1688"/>
      <c r="GYJ30" s="1688"/>
      <c r="GYK30" s="1688"/>
      <c r="GYL30" s="1688"/>
      <c r="GYM30" s="1688"/>
      <c r="GYN30" s="1688"/>
      <c r="GYO30" s="1688"/>
      <c r="GYP30" s="1688"/>
      <c r="GYQ30" s="1688"/>
      <c r="GYR30" s="1688"/>
      <c r="GYS30" s="1688"/>
      <c r="GYT30" s="1688"/>
      <c r="GYU30" s="1688"/>
      <c r="GYV30" s="1688"/>
      <c r="GYW30" s="1688"/>
      <c r="GYX30" s="1688"/>
      <c r="GYY30" s="1688"/>
      <c r="GYZ30" s="1688"/>
      <c r="GZA30" s="1688"/>
      <c r="GZB30" s="1688"/>
      <c r="GZC30" s="1688"/>
      <c r="GZD30" s="1688"/>
      <c r="GZE30" s="1688"/>
      <c r="GZF30" s="1688"/>
      <c r="GZG30" s="1688"/>
      <c r="GZH30" s="1688"/>
      <c r="GZI30" s="1688"/>
      <c r="GZJ30" s="1688"/>
      <c r="GZK30" s="1688"/>
      <c r="GZL30" s="1688"/>
      <c r="GZM30" s="1688"/>
      <c r="GZN30" s="1688"/>
      <c r="GZO30" s="1688"/>
      <c r="GZP30" s="1688"/>
      <c r="GZQ30" s="1688"/>
      <c r="GZR30" s="1688"/>
      <c r="GZS30" s="1688"/>
      <c r="GZT30" s="1688"/>
      <c r="GZU30" s="1688"/>
      <c r="GZV30" s="1688"/>
      <c r="GZW30" s="1688"/>
      <c r="GZX30" s="1688"/>
      <c r="GZY30" s="1688"/>
      <c r="GZZ30" s="1688"/>
      <c r="HAA30" s="1688"/>
      <c r="HAB30" s="1688"/>
      <c r="HAC30" s="1688"/>
      <c r="HAD30" s="1688"/>
      <c r="HAE30" s="1688"/>
      <c r="HAF30" s="1688"/>
      <c r="HAG30" s="1688"/>
      <c r="HAH30" s="1688"/>
      <c r="HAI30" s="1688"/>
      <c r="HAJ30" s="1688"/>
      <c r="HAK30" s="1688"/>
      <c r="HAL30" s="1688"/>
      <c r="HAM30" s="1688"/>
      <c r="HAN30" s="1688"/>
      <c r="HAO30" s="1688"/>
      <c r="HAP30" s="1688"/>
      <c r="HAQ30" s="1688"/>
      <c r="HAR30" s="1688"/>
      <c r="HAS30" s="1688"/>
      <c r="HAT30" s="1688"/>
      <c r="HAU30" s="1688"/>
      <c r="HAV30" s="1688"/>
      <c r="HAW30" s="1688"/>
      <c r="HAX30" s="1688"/>
      <c r="HAY30" s="1688"/>
      <c r="HAZ30" s="1688"/>
      <c r="HBA30" s="1688"/>
      <c r="HBB30" s="1688"/>
      <c r="HBC30" s="1688"/>
      <c r="HBD30" s="1688"/>
      <c r="HBE30" s="1688"/>
      <c r="HBF30" s="1688"/>
      <c r="HBG30" s="1688"/>
      <c r="HBH30" s="1688"/>
      <c r="HBI30" s="1688"/>
      <c r="HBJ30" s="1688"/>
      <c r="HBK30" s="1688"/>
      <c r="HBL30" s="1688"/>
      <c r="HBM30" s="1688"/>
      <c r="HBN30" s="1688"/>
      <c r="HBO30" s="1688"/>
      <c r="HBP30" s="1688"/>
      <c r="HBQ30" s="1688"/>
      <c r="HBR30" s="1688"/>
      <c r="HBS30" s="1688"/>
      <c r="HBT30" s="1688"/>
      <c r="HBU30" s="1688"/>
      <c r="HBV30" s="1688"/>
      <c r="HBW30" s="1688"/>
      <c r="HBX30" s="1688"/>
      <c r="HBY30" s="1688"/>
      <c r="HBZ30" s="1688"/>
      <c r="HCA30" s="1688"/>
      <c r="HCB30" s="1688"/>
      <c r="HCC30" s="1688"/>
      <c r="HCD30" s="1688"/>
      <c r="HCE30" s="1688"/>
      <c r="HCF30" s="1688"/>
      <c r="HCG30" s="1688"/>
      <c r="HCH30" s="1688"/>
      <c r="HCI30" s="1688"/>
      <c r="HCJ30" s="1688"/>
      <c r="HCK30" s="1688"/>
      <c r="HCL30" s="1688"/>
      <c r="HCM30" s="1688"/>
      <c r="HCN30" s="1688"/>
      <c r="HCO30" s="1688"/>
      <c r="HCP30" s="1688"/>
      <c r="HCQ30" s="1688"/>
      <c r="HCR30" s="1688"/>
      <c r="HCS30" s="1688"/>
      <c r="HCT30" s="1688"/>
      <c r="HCU30" s="1688"/>
      <c r="HCV30" s="1688"/>
      <c r="HCW30" s="1688"/>
      <c r="HCX30" s="1688"/>
      <c r="HCY30" s="1688"/>
      <c r="HCZ30" s="1688"/>
      <c r="HDA30" s="1688"/>
      <c r="HDB30" s="1688"/>
      <c r="HDC30" s="1688"/>
      <c r="HDD30" s="1688"/>
      <c r="HDE30" s="1688"/>
      <c r="HDF30" s="1688"/>
      <c r="HDG30" s="1688"/>
      <c r="HDH30" s="1688"/>
      <c r="HDI30" s="1688"/>
      <c r="HDJ30" s="1688"/>
      <c r="HDK30" s="1688"/>
      <c r="HDL30" s="1688"/>
      <c r="HDM30" s="1688"/>
      <c r="HDN30" s="1688"/>
      <c r="HDO30" s="1688"/>
      <c r="HDP30" s="1688"/>
      <c r="HDQ30" s="1688"/>
      <c r="HDR30" s="1688"/>
      <c r="HDS30" s="1688"/>
      <c r="HDT30" s="1688"/>
      <c r="HDU30" s="1688"/>
      <c r="HDV30" s="1688"/>
      <c r="HDW30" s="1688"/>
      <c r="HDX30" s="1688"/>
      <c r="HDY30" s="1688"/>
      <c r="HDZ30" s="1688"/>
      <c r="HEA30" s="1688"/>
      <c r="HEB30" s="1688"/>
      <c r="HEC30" s="1688"/>
      <c r="HED30" s="1688"/>
      <c r="HEE30" s="1688"/>
      <c r="HEF30" s="1688"/>
      <c r="HEG30" s="1688"/>
      <c r="HEH30" s="1688"/>
      <c r="HEI30" s="1688"/>
      <c r="HEJ30" s="1688"/>
      <c r="HEK30" s="1688"/>
      <c r="HEL30" s="1688"/>
      <c r="HEM30" s="1688"/>
      <c r="HEN30" s="1688"/>
      <c r="HEO30" s="1688"/>
      <c r="HEP30" s="1688"/>
      <c r="HEQ30" s="1688"/>
      <c r="HER30" s="1688"/>
      <c r="HES30" s="1688"/>
      <c r="HET30" s="1688"/>
      <c r="HEU30" s="1688"/>
      <c r="HEV30" s="1688"/>
      <c r="HEW30" s="1688"/>
      <c r="HEX30" s="1688"/>
      <c r="HEY30" s="1688"/>
      <c r="HEZ30" s="1688"/>
      <c r="HFA30" s="1688"/>
      <c r="HFB30" s="1688"/>
      <c r="HFC30" s="1688"/>
      <c r="HFD30" s="1688"/>
      <c r="HFE30" s="1688"/>
      <c r="HFF30" s="1688"/>
      <c r="HFG30" s="1688"/>
      <c r="HFH30" s="1688"/>
      <c r="HFI30" s="1688"/>
      <c r="HFJ30" s="1688"/>
      <c r="HFK30" s="1688"/>
      <c r="HFL30" s="1688"/>
      <c r="HFM30" s="1688"/>
      <c r="HFN30" s="1688"/>
      <c r="HFO30" s="1688"/>
      <c r="HFP30" s="1688"/>
      <c r="HFQ30" s="1688"/>
      <c r="HFR30" s="1688"/>
      <c r="HFS30" s="1688"/>
      <c r="HFT30" s="1688"/>
      <c r="HFU30" s="1688"/>
      <c r="HFV30" s="1688"/>
      <c r="HFW30" s="1688"/>
      <c r="HFX30" s="1688"/>
      <c r="HFY30" s="1688"/>
      <c r="HFZ30" s="1688"/>
      <c r="HGA30" s="1688"/>
      <c r="HGB30" s="1688"/>
      <c r="HGC30" s="1688"/>
      <c r="HGD30" s="1688"/>
      <c r="HGE30" s="1688"/>
      <c r="HGF30" s="1688"/>
      <c r="HGG30" s="1688"/>
      <c r="HGH30" s="1688"/>
      <c r="HGI30" s="1688"/>
      <c r="HGJ30" s="1688"/>
      <c r="HGK30" s="1688"/>
      <c r="HGL30" s="1688"/>
      <c r="HGM30" s="1688"/>
      <c r="HGN30" s="1688"/>
      <c r="HGO30" s="1688"/>
      <c r="HGP30" s="1688"/>
      <c r="HGQ30" s="1688"/>
      <c r="HGR30" s="1688"/>
      <c r="HGS30" s="1688"/>
      <c r="HGT30" s="1688"/>
      <c r="HGU30" s="1688"/>
      <c r="HGV30" s="1688"/>
      <c r="HGW30" s="1688"/>
      <c r="HGX30" s="1688"/>
      <c r="HGY30" s="1688"/>
      <c r="HGZ30" s="1688"/>
      <c r="HHA30" s="1688"/>
      <c r="HHB30" s="1688"/>
      <c r="HHC30" s="1688"/>
      <c r="HHD30" s="1688"/>
      <c r="HHE30" s="1688"/>
      <c r="HHF30" s="1688"/>
      <c r="HHG30" s="1688"/>
      <c r="HHH30" s="1688"/>
      <c r="HHI30" s="1688"/>
      <c r="HHJ30" s="1688"/>
      <c r="HHK30" s="1688"/>
      <c r="HHL30" s="1688"/>
      <c r="HHM30" s="1688"/>
      <c r="HHN30" s="1688"/>
      <c r="HHO30" s="1688"/>
      <c r="HHP30" s="1688"/>
      <c r="HHQ30" s="1688"/>
      <c r="HHR30" s="1688"/>
      <c r="HHS30" s="1688"/>
      <c r="HHT30" s="1688"/>
      <c r="HHU30" s="1688"/>
      <c r="HHV30" s="1688"/>
      <c r="HHW30" s="1688"/>
      <c r="HHX30" s="1688"/>
      <c r="HHY30" s="1688"/>
      <c r="HHZ30" s="1688"/>
      <c r="HIA30" s="1688"/>
      <c r="HIB30" s="1688"/>
      <c r="HIC30" s="1688"/>
      <c r="HID30" s="1688"/>
      <c r="HIE30" s="1688"/>
      <c r="HIF30" s="1688"/>
      <c r="HIG30" s="1688"/>
      <c r="HIH30" s="1688"/>
      <c r="HII30" s="1688"/>
      <c r="HIJ30" s="1688"/>
      <c r="HIK30" s="1688"/>
      <c r="HIL30" s="1688"/>
      <c r="HIM30" s="1688"/>
      <c r="HIN30" s="1688"/>
      <c r="HIO30" s="1688"/>
      <c r="HIP30" s="1688"/>
      <c r="HIQ30" s="1688"/>
      <c r="HIR30" s="1688"/>
      <c r="HIS30" s="1688"/>
      <c r="HIT30" s="1688"/>
      <c r="HIU30" s="1688"/>
      <c r="HIV30" s="1688"/>
      <c r="HIW30" s="1688"/>
      <c r="HIX30" s="1688"/>
      <c r="HIY30" s="1688"/>
      <c r="HIZ30" s="1688"/>
      <c r="HJA30" s="1688"/>
      <c r="HJB30" s="1688"/>
      <c r="HJC30" s="1688"/>
      <c r="HJD30" s="1688"/>
      <c r="HJE30" s="1688"/>
      <c r="HJF30" s="1688"/>
      <c r="HJG30" s="1688"/>
      <c r="HJH30" s="1688"/>
      <c r="HJI30" s="1688"/>
      <c r="HJJ30" s="1688"/>
      <c r="HJK30" s="1688"/>
      <c r="HJL30" s="1688"/>
      <c r="HJM30" s="1688"/>
      <c r="HJN30" s="1688"/>
      <c r="HJO30" s="1688"/>
      <c r="HJP30" s="1688"/>
      <c r="HJQ30" s="1688"/>
      <c r="HJR30" s="1688"/>
      <c r="HJS30" s="1688"/>
      <c r="HJT30" s="1688"/>
      <c r="HJU30" s="1688"/>
      <c r="HJV30" s="1688"/>
      <c r="HJW30" s="1688"/>
      <c r="HJX30" s="1688"/>
      <c r="HJY30" s="1688"/>
      <c r="HJZ30" s="1688"/>
      <c r="HKA30" s="1688"/>
      <c r="HKB30" s="1688"/>
      <c r="HKC30" s="1688"/>
      <c r="HKD30" s="1688"/>
      <c r="HKE30" s="1688"/>
      <c r="HKF30" s="1688"/>
      <c r="HKG30" s="1688"/>
      <c r="HKH30" s="1688"/>
      <c r="HKI30" s="1688"/>
      <c r="HKJ30" s="1688"/>
      <c r="HKK30" s="1688"/>
      <c r="HKL30" s="1688"/>
      <c r="HKM30" s="1688"/>
      <c r="HKN30" s="1688"/>
      <c r="HKO30" s="1688"/>
      <c r="HKP30" s="1688"/>
      <c r="HKQ30" s="1688"/>
      <c r="HKR30" s="1688"/>
      <c r="HKS30" s="1688"/>
      <c r="HKT30" s="1688"/>
      <c r="HKU30" s="1688"/>
      <c r="HKV30" s="1688"/>
      <c r="HKW30" s="1688"/>
      <c r="HKX30" s="1688"/>
      <c r="HKY30" s="1688"/>
      <c r="HKZ30" s="1688"/>
      <c r="HLA30" s="1688"/>
      <c r="HLB30" s="1688"/>
      <c r="HLC30" s="1688"/>
      <c r="HLD30" s="1688"/>
      <c r="HLE30" s="1688"/>
      <c r="HLF30" s="1688"/>
      <c r="HLG30" s="1688"/>
      <c r="HLH30" s="1688"/>
      <c r="HLI30" s="1688"/>
      <c r="HLJ30" s="1688"/>
      <c r="HLK30" s="1688"/>
      <c r="HLL30" s="1688"/>
      <c r="HLM30" s="1688"/>
      <c r="HLN30" s="1688"/>
      <c r="HLO30" s="1688"/>
      <c r="HLP30" s="1688"/>
      <c r="HLQ30" s="1688"/>
      <c r="HLR30" s="1688"/>
      <c r="HLS30" s="1688"/>
      <c r="HLT30" s="1688"/>
      <c r="HLU30" s="1688"/>
      <c r="HLV30" s="1688"/>
      <c r="HLW30" s="1688"/>
      <c r="HLX30" s="1688"/>
      <c r="HLY30" s="1688"/>
      <c r="HLZ30" s="1688"/>
      <c r="HMA30" s="1688"/>
      <c r="HMB30" s="1688"/>
      <c r="HMC30" s="1688"/>
      <c r="HMD30" s="1688"/>
      <c r="HME30" s="1688"/>
      <c r="HMF30" s="1688"/>
      <c r="HMG30" s="1688"/>
      <c r="HMH30" s="1688"/>
      <c r="HMI30" s="1688"/>
      <c r="HMJ30" s="1688"/>
      <c r="HMK30" s="1688"/>
      <c r="HML30" s="1688"/>
      <c r="HMM30" s="1688"/>
      <c r="HMN30" s="1688"/>
      <c r="HMO30" s="1688"/>
      <c r="HMP30" s="1688"/>
      <c r="HMQ30" s="1688"/>
      <c r="HMR30" s="1688"/>
      <c r="HMS30" s="1688"/>
      <c r="HMT30" s="1688"/>
      <c r="HMU30" s="1688"/>
      <c r="HMV30" s="1688"/>
      <c r="HMW30" s="1688"/>
      <c r="HMX30" s="1688"/>
      <c r="HMY30" s="1688"/>
      <c r="HMZ30" s="1688"/>
      <c r="HNA30" s="1688"/>
      <c r="HNB30" s="1688"/>
      <c r="HNC30" s="1688"/>
      <c r="HND30" s="1688"/>
      <c r="HNE30" s="1688"/>
      <c r="HNF30" s="1688"/>
      <c r="HNG30" s="1688"/>
      <c r="HNH30" s="1688"/>
      <c r="HNI30" s="1688"/>
      <c r="HNJ30" s="1688"/>
      <c r="HNK30" s="1688"/>
      <c r="HNL30" s="1688"/>
      <c r="HNM30" s="1688"/>
      <c r="HNN30" s="1688"/>
      <c r="HNO30" s="1688"/>
      <c r="HNP30" s="1688"/>
      <c r="HNQ30" s="1688"/>
      <c r="HNR30" s="1688"/>
      <c r="HNS30" s="1688"/>
      <c r="HNT30" s="1688"/>
      <c r="HNU30" s="1688"/>
      <c r="HNV30" s="1688"/>
      <c r="HNW30" s="1688"/>
      <c r="HNX30" s="1688"/>
      <c r="HNY30" s="1688"/>
      <c r="HNZ30" s="1688"/>
      <c r="HOA30" s="1688"/>
      <c r="HOB30" s="1688"/>
      <c r="HOC30" s="1688"/>
      <c r="HOD30" s="1688"/>
      <c r="HOE30" s="1688"/>
      <c r="HOF30" s="1688"/>
      <c r="HOG30" s="1688"/>
      <c r="HOH30" s="1688"/>
      <c r="HOI30" s="1688"/>
      <c r="HOJ30" s="1688"/>
      <c r="HOK30" s="1688"/>
      <c r="HOL30" s="1688"/>
      <c r="HOM30" s="1688"/>
      <c r="HON30" s="1688"/>
      <c r="HOO30" s="1688"/>
      <c r="HOP30" s="1688"/>
      <c r="HOQ30" s="1688"/>
      <c r="HOR30" s="1688"/>
      <c r="HOS30" s="1688"/>
      <c r="HOT30" s="1688"/>
      <c r="HOU30" s="1688"/>
      <c r="HOV30" s="1688"/>
      <c r="HOW30" s="1688"/>
      <c r="HOX30" s="1688"/>
      <c r="HOY30" s="1688"/>
      <c r="HOZ30" s="1688"/>
      <c r="HPA30" s="1688"/>
      <c r="HPB30" s="1688"/>
      <c r="HPC30" s="1688"/>
      <c r="HPD30" s="1688"/>
      <c r="HPE30" s="1688"/>
      <c r="HPF30" s="1688"/>
      <c r="HPG30" s="1688"/>
      <c r="HPH30" s="1688"/>
      <c r="HPI30" s="1688"/>
      <c r="HPJ30" s="1688"/>
      <c r="HPK30" s="1688"/>
      <c r="HPL30" s="1688"/>
      <c r="HPM30" s="1688"/>
      <c r="HPN30" s="1688"/>
      <c r="HPO30" s="1688"/>
      <c r="HPP30" s="1688"/>
      <c r="HPQ30" s="1688"/>
      <c r="HPR30" s="1688"/>
      <c r="HPS30" s="1688"/>
      <c r="HPT30" s="1688"/>
      <c r="HPU30" s="1688"/>
      <c r="HPV30" s="1688"/>
      <c r="HPW30" s="1688"/>
      <c r="HPX30" s="1688"/>
      <c r="HPY30" s="1688"/>
      <c r="HPZ30" s="1688"/>
      <c r="HQA30" s="1688"/>
      <c r="HQB30" s="1688"/>
      <c r="HQC30" s="1688"/>
      <c r="HQD30" s="1688"/>
      <c r="HQE30" s="1688"/>
      <c r="HQF30" s="1688"/>
      <c r="HQG30" s="1688"/>
      <c r="HQH30" s="1688"/>
      <c r="HQI30" s="1688"/>
      <c r="HQJ30" s="1688"/>
      <c r="HQK30" s="1688"/>
      <c r="HQL30" s="1688"/>
      <c r="HQM30" s="1688"/>
      <c r="HQN30" s="1688"/>
      <c r="HQO30" s="1688"/>
      <c r="HQP30" s="1688"/>
      <c r="HQQ30" s="1688"/>
      <c r="HQR30" s="1688"/>
      <c r="HQS30" s="1688"/>
      <c r="HQT30" s="1688"/>
      <c r="HQU30" s="1688"/>
      <c r="HQV30" s="1688"/>
      <c r="HQW30" s="1688"/>
      <c r="HQX30" s="1688"/>
      <c r="HQY30" s="1688"/>
      <c r="HQZ30" s="1688"/>
      <c r="HRA30" s="1688"/>
      <c r="HRB30" s="1688"/>
      <c r="HRC30" s="1688"/>
      <c r="HRD30" s="1688"/>
      <c r="HRE30" s="1688"/>
      <c r="HRF30" s="1688"/>
      <c r="HRG30" s="1688"/>
      <c r="HRH30" s="1688"/>
      <c r="HRI30" s="1688"/>
      <c r="HRJ30" s="1688"/>
      <c r="HRK30" s="1688"/>
      <c r="HRL30" s="1688"/>
      <c r="HRM30" s="1688"/>
      <c r="HRN30" s="1688"/>
      <c r="HRO30" s="1688"/>
      <c r="HRP30" s="1688"/>
      <c r="HRQ30" s="1688"/>
      <c r="HRR30" s="1688"/>
      <c r="HRS30" s="1688"/>
      <c r="HRT30" s="1688"/>
      <c r="HRU30" s="1688"/>
      <c r="HRV30" s="1688"/>
      <c r="HRW30" s="1688"/>
      <c r="HRX30" s="1688"/>
      <c r="HRY30" s="1688"/>
      <c r="HRZ30" s="1688"/>
      <c r="HSA30" s="1688"/>
      <c r="HSB30" s="1688"/>
      <c r="HSC30" s="1688"/>
      <c r="HSD30" s="1688"/>
      <c r="HSE30" s="1688"/>
      <c r="HSF30" s="1688"/>
      <c r="HSG30" s="1688"/>
      <c r="HSH30" s="1688"/>
      <c r="HSI30" s="1688"/>
      <c r="HSJ30" s="1688"/>
      <c r="HSK30" s="1688"/>
      <c r="HSL30" s="1688"/>
      <c r="HSM30" s="1688"/>
      <c r="HSN30" s="1688"/>
      <c r="HSO30" s="1688"/>
      <c r="HSP30" s="1688"/>
      <c r="HSQ30" s="1688"/>
      <c r="HSR30" s="1688"/>
      <c r="HSS30" s="1688"/>
      <c r="HST30" s="1688"/>
      <c r="HSU30" s="1688"/>
      <c r="HSV30" s="1688"/>
      <c r="HSW30" s="1688"/>
      <c r="HSX30" s="1688"/>
      <c r="HSY30" s="1688"/>
      <c r="HSZ30" s="1688"/>
      <c r="HTA30" s="1688"/>
      <c r="HTB30" s="1688"/>
      <c r="HTC30" s="1688"/>
      <c r="HTD30" s="1688"/>
      <c r="HTE30" s="1688"/>
      <c r="HTF30" s="1688"/>
      <c r="HTG30" s="1688"/>
      <c r="HTH30" s="1688"/>
      <c r="HTI30" s="1688"/>
      <c r="HTJ30" s="1688"/>
      <c r="HTK30" s="1688"/>
      <c r="HTL30" s="1688"/>
      <c r="HTM30" s="1688"/>
      <c r="HTN30" s="1688"/>
      <c r="HTO30" s="1688"/>
      <c r="HTP30" s="1688"/>
      <c r="HTQ30" s="1688"/>
      <c r="HTR30" s="1688"/>
      <c r="HTS30" s="1688"/>
      <c r="HTT30" s="1688"/>
      <c r="HTU30" s="1688"/>
      <c r="HTV30" s="1688"/>
      <c r="HTW30" s="1688"/>
      <c r="HTX30" s="1688"/>
      <c r="HTY30" s="1688"/>
      <c r="HTZ30" s="1688"/>
      <c r="HUA30" s="1688"/>
      <c r="HUB30" s="1688"/>
      <c r="HUC30" s="1688"/>
      <c r="HUD30" s="1688"/>
      <c r="HUE30" s="1688"/>
      <c r="HUF30" s="1688"/>
      <c r="HUG30" s="1688"/>
      <c r="HUH30" s="1688"/>
      <c r="HUI30" s="1688"/>
      <c r="HUJ30" s="1688"/>
      <c r="HUK30" s="1688"/>
      <c r="HUL30" s="1688"/>
      <c r="HUM30" s="1688"/>
      <c r="HUN30" s="1688"/>
      <c r="HUO30" s="1688"/>
      <c r="HUP30" s="1688"/>
      <c r="HUQ30" s="1688"/>
      <c r="HUR30" s="1688"/>
      <c r="HUS30" s="1688"/>
      <c r="HUT30" s="1688"/>
      <c r="HUU30" s="1688"/>
      <c r="HUV30" s="1688"/>
      <c r="HUW30" s="1688"/>
      <c r="HUX30" s="1688"/>
      <c r="HUY30" s="1688"/>
      <c r="HUZ30" s="1688"/>
      <c r="HVA30" s="1688"/>
      <c r="HVB30" s="1688"/>
      <c r="HVC30" s="1688"/>
      <c r="HVD30" s="1688"/>
      <c r="HVE30" s="1688"/>
      <c r="HVF30" s="1688"/>
      <c r="HVG30" s="1688"/>
      <c r="HVH30" s="1688"/>
      <c r="HVI30" s="1688"/>
      <c r="HVJ30" s="1688"/>
      <c r="HVK30" s="1688"/>
      <c r="HVL30" s="1688"/>
      <c r="HVM30" s="1688"/>
      <c r="HVN30" s="1688"/>
      <c r="HVO30" s="1688"/>
      <c r="HVP30" s="1688"/>
      <c r="HVQ30" s="1688"/>
      <c r="HVR30" s="1688"/>
      <c r="HVS30" s="1688"/>
      <c r="HVT30" s="1688"/>
      <c r="HVU30" s="1688"/>
      <c r="HVV30" s="1688"/>
      <c r="HVW30" s="1688"/>
      <c r="HVX30" s="1688"/>
      <c r="HVY30" s="1688"/>
      <c r="HVZ30" s="1688"/>
      <c r="HWA30" s="1688"/>
      <c r="HWB30" s="1688"/>
      <c r="HWC30" s="1688"/>
      <c r="HWD30" s="1688"/>
      <c r="HWE30" s="1688"/>
      <c r="HWF30" s="1688"/>
      <c r="HWG30" s="1688"/>
      <c r="HWH30" s="1688"/>
      <c r="HWI30" s="1688"/>
      <c r="HWJ30" s="1688"/>
      <c r="HWK30" s="1688"/>
      <c r="HWL30" s="1688"/>
      <c r="HWM30" s="1688"/>
      <c r="HWN30" s="1688"/>
      <c r="HWO30" s="1688"/>
      <c r="HWP30" s="1688"/>
      <c r="HWQ30" s="1688"/>
      <c r="HWR30" s="1688"/>
      <c r="HWS30" s="1688"/>
      <c r="HWT30" s="1688"/>
      <c r="HWU30" s="1688"/>
      <c r="HWV30" s="1688"/>
      <c r="HWW30" s="1688"/>
      <c r="HWX30" s="1688"/>
      <c r="HWY30" s="1688"/>
      <c r="HWZ30" s="1688"/>
      <c r="HXA30" s="1688"/>
      <c r="HXB30" s="1688"/>
      <c r="HXC30" s="1688"/>
      <c r="HXD30" s="1688"/>
      <c r="HXE30" s="1688"/>
      <c r="HXF30" s="1688"/>
      <c r="HXG30" s="1688"/>
      <c r="HXH30" s="1688"/>
      <c r="HXI30" s="1688"/>
      <c r="HXJ30" s="1688"/>
      <c r="HXK30" s="1688"/>
      <c r="HXL30" s="1688"/>
      <c r="HXM30" s="1688"/>
      <c r="HXN30" s="1688"/>
      <c r="HXO30" s="1688"/>
      <c r="HXP30" s="1688"/>
      <c r="HXQ30" s="1688"/>
      <c r="HXR30" s="1688"/>
      <c r="HXS30" s="1688"/>
      <c r="HXT30" s="1688"/>
      <c r="HXU30" s="1688"/>
      <c r="HXV30" s="1688"/>
      <c r="HXW30" s="1688"/>
      <c r="HXX30" s="1688"/>
      <c r="HXY30" s="1688"/>
      <c r="HXZ30" s="1688"/>
      <c r="HYA30" s="1688"/>
      <c r="HYB30" s="1688"/>
      <c r="HYC30" s="1688"/>
      <c r="HYD30" s="1688"/>
      <c r="HYE30" s="1688"/>
      <c r="HYF30" s="1688"/>
      <c r="HYG30" s="1688"/>
      <c r="HYH30" s="1688"/>
      <c r="HYI30" s="1688"/>
      <c r="HYJ30" s="1688"/>
      <c r="HYK30" s="1688"/>
      <c r="HYL30" s="1688"/>
      <c r="HYM30" s="1688"/>
      <c r="HYN30" s="1688"/>
      <c r="HYO30" s="1688"/>
      <c r="HYP30" s="1688"/>
      <c r="HYQ30" s="1688"/>
      <c r="HYR30" s="1688"/>
      <c r="HYS30" s="1688"/>
      <c r="HYT30" s="1688"/>
      <c r="HYU30" s="1688"/>
      <c r="HYV30" s="1688"/>
      <c r="HYW30" s="1688"/>
      <c r="HYX30" s="1688"/>
      <c r="HYY30" s="1688"/>
      <c r="HYZ30" s="1688"/>
      <c r="HZA30" s="1688"/>
      <c r="HZB30" s="1688"/>
      <c r="HZC30" s="1688"/>
      <c r="HZD30" s="1688"/>
      <c r="HZE30" s="1688"/>
      <c r="HZF30" s="1688"/>
      <c r="HZG30" s="1688"/>
      <c r="HZH30" s="1688"/>
      <c r="HZI30" s="1688"/>
      <c r="HZJ30" s="1688"/>
      <c r="HZK30" s="1688"/>
      <c r="HZL30" s="1688"/>
      <c r="HZM30" s="1688"/>
      <c r="HZN30" s="1688"/>
      <c r="HZO30" s="1688"/>
      <c r="HZP30" s="1688"/>
      <c r="HZQ30" s="1688"/>
      <c r="HZR30" s="1688"/>
      <c r="HZS30" s="1688"/>
      <c r="HZT30" s="1688"/>
      <c r="HZU30" s="1688"/>
      <c r="HZV30" s="1688"/>
      <c r="HZW30" s="1688"/>
      <c r="HZX30" s="1688"/>
      <c r="HZY30" s="1688"/>
      <c r="HZZ30" s="1688"/>
      <c r="IAA30" s="1688"/>
      <c r="IAB30" s="1688"/>
      <c r="IAC30" s="1688"/>
      <c r="IAD30" s="1688"/>
      <c r="IAE30" s="1688"/>
      <c r="IAF30" s="1688"/>
      <c r="IAG30" s="1688"/>
      <c r="IAH30" s="1688"/>
      <c r="IAI30" s="1688"/>
      <c r="IAJ30" s="1688"/>
      <c r="IAK30" s="1688"/>
      <c r="IAL30" s="1688"/>
      <c r="IAM30" s="1688"/>
      <c r="IAN30" s="1688"/>
      <c r="IAO30" s="1688"/>
      <c r="IAP30" s="1688"/>
      <c r="IAQ30" s="1688"/>
      <c r="IAR30" s="1688"/>
      <c r="IAS30" s="1688"/>
      <c r="IAT30" s="1688"/>
      <c r="IAU30" s="1688"/>
      <c r="IAV30" s="1688"/>
      <c r="IAW30" s="1688"/>
      <c r="IAX30" s="1688"/>
      <c r="IAY30" s="1688"/>
      <c r="IAZ30" s="1688"/>
      <c r="IBA30" s="1688"/>
      <c r="IBB30" s="1688"/>
      <c r="IBC30" s="1688"/>
      <c r="IBD30" s="1688"/>
      <c r="IBE30" s="1688"/>
      <c r="IBF30" s="1688"/>
      <c r="IBG30" s="1688"/>
      <c r="IBH30" s="1688"/>
      <c r="IBI30" s="1688"/>
      <c r="IBJ30" s="1688"/>
      <c r="IBK30" s="1688"/>
      <c r="IBL30" s="1688"/>
      <c r="IBM30" s="1688"/>
      <c r="IBN30" s="1688"/>
      <c r="IBO30" s="1688"/>
      <c r="IBP30" s="1688"/>
      <c r="IBQ30" s="1688"/>
      <c r="IBR30" s="1688"/>
      <c r="IBS30" s="1688"/>
      <c r="IBT30" s="1688"/>
      <c r="IBU30" s="1688"/>
      <c r="IBV30" s="1688"/>
      <c r="IBW30" s="1688"/>
      <c r="IBX30" s="1688"/>
      <c r="IBY30" s="1688"/>
      <c r="IBZ30" s="1688"/>
      <c r="ICA30" s="1688"/>
      <c r="ICB30" s="1688"/>
      <c r="ICC30" s="1688"/>
      <c r="ICD30" s="1688"/>
      <c r="ICE30" s="1688"/>
      <c r="ICF30" s="1688"/>
      <c r="ICG30" s="1688"/>
      <c r="ICH30" s="1688"/>
      <c r="ICI30" s="1688"/>
      <c r="ICJ30" s="1688"/>
      <c r="ICK30" s="1688"/>
      <c r="ICL30" s="1688"/>
      <c r="ICM30" s="1688"/>
      <c r="ICN30" s="1688"/>
      <c r="ICO30" s="1688"/>
      <c r="ICP30" s="1688"/>
      <c r="ICQ30" s="1688"/>
      <c r="ICR30" s="1688"/>
      <c r="ICS30" s="1688"/>
      <c r="ICT30" s="1688"/>
      <c r="ICU30" s="1688"/>
      <c r="ICV30" s="1688"/>
      <c r="ICW30" s="1688"/>
      <c r="ICX30" s="1688"/>
      <c r="ICY30" s="1688"/>
      <c r="ICZ30" s="1688"/>
      <c r="IDA30" s="1688"/>
      <c r="IDB30" s="1688"/>
      <c r="IDC30" s="1688"/>
      <c r="IDD30" s="1688"/>
      <c r="IDE30" s="1688"/>
      <c r="IDF30" s="1688"/>
      <c r="IDG30" s="1688"/>
      <c r="IDH30" s="1688"/>
      <c r="IDI30" s="1688"/>
      <c r="IDJ30" s="1688"/>
      <c r="IDK30" s="1688"/>
      <c r="IDL30" s="1688"/>
      <c r="IDM30" s="1688"/>
      <c r="IDN30" s="1688"/>
      <c r="IDO30" s="1688"/>
      <c r="IDP30" s="1688"/>
      <c r="IDQ30" s="1688"/>
      <c r="IDR30" s="1688"/>
      <c r="IDS30" s="1688"/>
      <c r="IDT30" s="1688"/>
      <c r="IDU30" s="1688"/>
      <c r="IDV30" s="1688"/>
      <c r="IDW30" s="1688"/>
      <c r="IDX30" s="1688"/>
      <c r="IDY30" s="1688"/>
      <c r="IDZ30" s="1688"/>
      <c r="IEA30" s="1688"/>
      <c r="IEB30" s="1688"/>
      <c r="IEC30" s="1688"/>
      <c r="IED30" s="1688"/>
      <c r="IEE30" s="1688"/>
      <c r="IEF30" s="1688"/>
      <c r="IEG30" s="1688"/>
      <c r="IEH30" s="1688"/>
      <c r="IEI30" s="1688"/>
      <c r="IEJ30" s="1688"/>
      <c r="IEK30" s="1688"/>
      <c r="IEL30" s="1688"/>
      <c r="IEM30" s="1688"/>
      <c r="IEN30" s="1688"/>
      <c r="IEO30" s="1688"/>
      <c r="IEP30" s="1688"/>
      <c r="IEQ30" s="1688"/>
      <c r="IER30" s="1688"/>
      <c r="IES30" s="1688"/>
      <c r="IET30" s="1688"/>
      <c r="IEU30" s="1688"/>
      <c r="IEV30" s="1688"/>
      <c r="IEW30" s="1688"/>
      <c r="IEX30" s="1688"/>
      <c r="IEY30" s="1688"/>
      <c r="IEZ30" s="1688"/>
      <c r="IFA30" s="1688"/>
      <c r="IFB30" s="1688"/>
      <c r="IFC30" s="1688"/>
      <c r="IFD30" s="1688"/>
      <c r="IFE30" s="1688"/>
      <c r="IFF30" s="1688"/>
      <c r="IFG30" s="1688"/>
      <c r="IFH30" s="1688"/>
      <c r="IFI30" s="1688"/>
      <c r="IFJ30" s="1688"/>
      <c r="IFK30" s="1688"/>
      <c r="IFL30" s="1688"/>
      <c r="IFM30" s="1688"/>
      <c r="IFN30" s="1688"/>
      <c r="IFO30" s="1688"/>
      <c r="IFP30" s="1688"/>
      <c r="IFQ30" s="1688"/>
      <c r="IFR30" s="1688"/>
      <c r="IFS30" s="1688"/>
      <c r="IFT30" s="1688"/>
      <c r="IFU30" s="1688"/>
      <c r="IFV30" s="1688"/>
      <c r="IFW30" s="1688"/>
      <c r="IFX30" s="1688"/>
      <c r="IFY30" s="1688"/>
      <c r="IFZ30" s="1688"/>
      <c r="IGA30" s="1688"/>
      <c r="IGB30" s="1688"/>
      <c r="IGC30" s="1688"/>
      <c r="IGD30" s="1688"/>
      <c r="IGE30" s="1688"/>
      <c r="IGF30" s="1688"/>
      <c r="IGG30" s="1688"/>
      <c r="IGH30" s="1688"/>
      <c r="IGI30" s="1688"/>
      <c r="IGJ30" s="1688"/>
      <c r="IGK30" s="1688"/>
      <c r="IGL30" s="1688"/>
      <c r="IGM30" s="1688"/>
      <c r="IGN30" s="1688"/>
      <c r="IGO30" s="1688"/>
      <c r="IGP30" s="1688"/>
      <c r="IGQ30" s="1688"/>
      <c r="IGR30" s="1688"/>
      <c r="IGS30" s="1688"/>
      <c r="IGT30" s="1688"/>
      <c r="IGU30" s="1688"/>
      <c r="IGV30" s="1688"/>
      <c r="IGW30" s="1688"/>
      <c r="IGX30" s="1688"/>
      <c r="IGY30" s="1688"/>
      <c r="IGZ30" s="1688"/>
      <c r="IHA30" s="1688"/>
      <c r="IHB30" s="1688"/>
      <c r="IHC30" s="1688"/>
      <c r="IHD30" s="1688"/>
      <c r="IHE30" s="1688"/>
      <c r="IHF30" s="1688"/>
      <c r="IHG30" s="1688"/>
      <c r="IHH30" s="1688"/>
      <c r="IHI30" s="1688"/>
      <c r="IHJ30" s="1688"/>
      <c r="IHK30" s="1688"/>
      <c r="IHL30" s="1688"/>
      <c r="IHM30" s="1688"/>
      <c r="IHN30" s="1688"/>
      <c r="IHO30" s="1688"/>
      <c r="IHP30" s="1688"/>
      <c r="IHQ30" s="1688"/>
      <c r="IHR30" s="1688"/>
      <c r="IHS30" s="1688"/>
      <c r="IHT30" s="1688"/>
      <c r="IHU30" s="1688"/>
      <c r="IHV30" s="1688"/>
      <c r="IHW30" s="1688"/>
      <c r="IHX30" s="1688"/>
      <c r="IHY30" s="1688"/>
      <c r="IHZ30" s="1688"/>
      <c r="IIA30" s="1688"/>
      <c r="IIB30" s="1688"/>
      <c r="IIC30" s="1688"/>
      <c r="IID30" s="1688"/>
      <c r="IIE30" s="1688"/>
      <c r="IIF30" s="1688"/>
      <c r="IIG30" s="1688"/>
      <c r="IIH30" s="1688"/>
      <c r="III30" s="1688"/>
      <c r="IIJ30" s="1688"/>
      <c r="IIK30" s="1688"/>
      <c r="IIL30" s="1688"/>
      <c r="IIM30" s="1688"/>
      <c r="IIN30" s="1688"/>
      <c r="IIO30" s="1688"/>
      <c r="IIP30" s="1688"/>
      <c r="IIQ30" s="1688"/>
      <c r="IIR30" s="1688"/>
      <c r="IIS30" s="1688"/>
      <c r="IIT30" s="1688"/>
      <c r="IIU30" s="1688"/>
      <c r="IIV30" s="1688"/>
      <c r="IIW30" s="1688"/>
      <c r="IIX30" s="1688"/>
      <c r="IIY30" s="1688"/>
      <c r="IIZ30" s="1688"/>
      <c r="IJA30" s="1688"/>
      <c r="IJB30" s="1688"/>
      <c r="IJC30" s="1688"/>
      <c r="IJD30" s="1688"/>
      <c r="IJE30" s="1688"/>
      <c r="IJF30" s="1688"/>
      <c r="IJG30" s="1688"/>
      <c r="IJH30" s="1688"/>
      <c r="IJI30" s="1688"/>
      <c r="IJJ30" s="1688"/>
      <c r="IJK30" s="1688"/>
      <c r="IJL30" s="1688"/>
      <c r="IJM30" s="1688"/>
      <c r="IJN30" s="1688"/>
      <c r="IJO30" s="1688"/>
      <c r="IJP30" s="1688"/>
      <c r="IJQ30" s="1688"/>
      <c r="IJR30" s="1688"/>
      <c r="IJS30" s="1688"/>
      <c r="IJT30" s="1688"/>
      <c r="IJU30" s="1688"/>
      <c r="IJV30" s="1688"/>
      <c r="IJW30" s="1688"/>
      <c r="IJX30" s="1688"/>
      <c r="IJY30" s="1688"/>
      <c r="IJZ30" s="1688"/>
      <c r="IKA30" s="1688"/>
      <c r="IKB30" s="1688"/>
      <c r="IKC30" s="1688"/>
      <c r="IKD30" s="1688"/>
      <c r="IKE30" s="1688"/>
      <c r="IKF30" s="1688"/>
      <c r="IKG30" s="1688"/>
      <c r="IKH30" s="1688"/>
      <c r="IKI30" s="1688"/>
      <c r="IKJ30" s="1688"/>
      <c r="IKK30" s="1688"/>
      <c r="IKL30" s="1688"/>
      <c r="IKM30" s="1688"/>
      <c r="IKN30" s="1688"/>
      <c r="IKO30" s="1688"/>
      <c r="IKP30" s="1688"/>
      <c r="IKQ30" s="1688"/>
      <c r="IKR30" s="1688"/>
      <c r="IKS30" s="1688"/>
      <c r="IKT30" s="1688"/>
      <c r="IKU30" s="1688"/>
      <c r="IKV30" s="1688"/>
      <c r="IKW30" s="1688"/>
      <c r="IKX30" s="1688"/>
      <c r="IKY30" s="1688"/>
      <c r="IKZ30" s="1688"/>
      <c r="ILA30" s="1688"/>
      <c r="ILB30" s="1688"/>
      <c r="ILC30" s="1688"/>
      <c r="ILD30" s="1688"/>
      <c r="ILE30" s="1688"/>
      <c r="ILF30" s="1688"/>
      <c r="ILG30" s="1688"/>
      <c r="ILH30" s="1688"/>
      <c r="ILI30" s="1688"/>
      <c r="ILJ30" s="1688"/>
      <c r="ILK30" s="1688"/>
      <c r="ILL30" s="1688"/>
      <c r="ILM30" s="1688"/>
      <c r="ILN30" s="1688"/>
      <c r="ILO30" s="1688"/>
      <c r="ILP30" s="1688"/>
      <c r="ILQ30" s="1688"/>
      <c r="ILR30" s="1688"/>
      <c r="ILS30" s="1688"/>
      <c r="ILT30" s="1688"/>
      <c r="ILU30" s="1688"/>
      <c r="ILV30" s="1688"/>
      <c r="ILW30" s="1688"/>
      <c r="ILX30" s="1688"/>
      <c r="ILY30" s="1688"/>
      <c r="ILZ30" s="1688"/>
      <c r="IMA30" s="1688"/>
      <c r="IMB30" s="1688"/>
      <c r="IMC30" s="1688"/>
      <c r="IMD30" s="1688"/>
      <c r="IME30" s="1688"/>
      <c r="IMF30" s="1688"/>
      <c r="IMG30" s="1688"/>
      <c r="IMH30" s="1688"/>
      <c r="IMI30" s="1688"/>
      <c r="IMJ30" s="1688"/>
      <c r="IMK30" s="1688"/>
      <c r="IML30" s="1688"/>
      <c r="IMM30" s="1688"/>
      <c r="IMN30" s="1688"/>
      <c r="IMO30" s="1688"/>
      <c r="IMP30" s="1688"/>
      <c r="IMQ30" s="1688"/>
      <c r="IMR30" s="1688"/>
      <c r="IMS30" s="1688"/>
      <c r="IMT30" s="1688"/>
      <c r="IMU30" s="1688"/>
      <c r="IMV30" s="1688"/>
      <c r="IMW30" s="1688"/>
      <c r="IMX30" s="1688"/>
      <c r="IMY30" s="1688"/>
      <c r="IMZ30" s="1688"/>
      <c r="INA30" s="1688"/>
      <c r="INB30" s="1688"/>
      <c r="INC30" s="1688"/>
      <c r="IND30" s="1688"/>
      <c r="INE30" s="1688"/>
      <c r="INF30" s="1688"/>
      <c r="ING30" s="1688"/>
      <c r="INH30" s="1688"/>
      <c r="INI30" s="1688"/>
      <c r="INJ30" s="1688"/>
      <c r="INK30" s="1688"/>
      <c r="INL30" s="1688"/>
      <c r="INM30" s="1688"/>
      <c r="INN30" s="1688"/>
      <c r="INO30" s="1688"/>
      <c r="INP30" s="1688"/>
      <c r="INQ30" s="1688"/>
      <c r="INR30" s="1688"/>
      <c r="INS30" s="1688"/>
      <c r="INT30" s="1688"/>
      <c r="INU30" s="1688"/>
      <c r="INV30" s="1688"/>
      <c r="INW30" s="1688"/>
      <c r="INX30" s="1688"/>
      <c r="INY30" s="1688"/>
      <c r="INZ30" s="1688"/>
      <c r="IOA30" s="1688"/>
      <c r="IOB30" s="1688"/>
      <c r="IOC30" s="1688"/>
      <c r="IOD30" s="1688"/>
      <c r="IOE30" s="1688"/>
      <c r="IOF30" s="1688"/>
      <c r="IOG30" s="1688"/>
      <c r="IOH30" s="1688"/>
      <c r="IOI30" s="1688"/>
      <c r="IOJ30" s="1688"/>
      <c r="IOK30" s="1688"/>
      <c r="IOL30" s="1688"/>
      <c r="IOM30" s="1688"/>
      <c r="ION30" s="1688"/>
      <c r="IOO30" s="1688"/>
      <c r="IOP30" s="1688"/>
      <c r="IOQ30" s="1688"/>
      <c r="IOR30" s="1688"/>
      <c r="IOS30" s="1688"/>
      <c r="IOT30" s="1688"/>
      <c r="IOU30" s="1688"/>
      <c r="IOV30" s="1688"/>
      <c r="IOW30" s="1688"/>
      <c r="IOX30" s="1688"/>
      <c r="IOY30" s="1688"/>
      <c r="IOZ30" s="1688"/>
      <c r="IPA30" s="1688"/>
      <c r="IPB30" s="1688"/>
      <c r="IPC30" s="1688"/>
      <c r="IPD30" s="1688"/>
      <c r="IPE30" s="1688"/>
      <c r="IPF30" s="1688"/>
      <c r="IPG30" s="1688"/>
      <c r="IPH30" s="1688"/>
      <c r="IPI30" s="1688"/>
      <c r="IPJ30" s="1688"/>
      <c r="IPK30" s="1688"/>
      <c r="IPL30" s="1688"/>
      <c r="IPM30" s="1688"/>
      <c r="IPN30" s="1688"/>
      <c r="IPO30" s="1688"/>
      <c r="IPP30" s="1688"/>
      <c r="IPQ30" s="1688"/>
      <c r="IPR30" s="1688"/>
      <c r="IPS30" s="1688"/>
      <c r="IPT30" s="1688"/>
      <c r="IPU30" s="1688"/>
      <c r="IPV30" s="1688"/>
      <c r="IPW30" s="1688"/>
      <c r="IPX30" s="1688"/>
      <c r="IPY30" s="1688"/>
      <c r="IPZ30" s="1688"/>
      <c r="IQA30" s="1688"/>
      <c r="IQB30" s="1688"/>
      <c r="IQC30" s="1688"/>
      <c r="IQD30" s="1688"/>
      <c r="IQE30" s="1688"/>
      <c r="IQF30" s="1688"/>
      <c r="IQG30" s="1688"/>
      <c r="IQH30" s="1688"/>
      <c r="IQI30" s="1688"/>
      <c r="IQJ30" s="1688"/>
      <c r="IQK30" s="1688"/>
      <c r="IQL30" s="1688"/>
      <c r="IQM30" s="1688"/>
      <c r="IQN30" s="1688"/>
      <c r="IQO30" s="1688"/>
      <c r="IQP30" s="1688"/>
      <c r="IQQ30" s="1688"/>
      <c r="IQR30" s="1688"/>
      <c r="IQS30" s="1688"/>
      <c r="IQT30" s="1688"/>
      <c r="IQU30" s="1688"/>
      <c r="IQV30" s="1688"/>
      <c r="IQW30" s="1688"/>
      <c r="IQX30" s="1688"/>
      <c r="IQY30" s="1688"/>
      <c r="IQZ30" s="1688"/>
      <c r="IRA30" s="1688"/>
      <c r="IRB30" s="1688"/>
      <c r="IRC30" s="1688"/>
      <c r="IRD30" s="1688"/>
      <c r="IRE30" s="1688"/>
      <c r="IRF30" s="1688"/>
      <c r="IRG30" s="1688"/>
      <c r="IRH30" s="1688"/>
      <c r="IRI30" s="1688"/>
      <c r="IRJ30" s="1688"/>
      <c r="IRK30" s="1688"/>
      <c r="IRL30" s="1688"/>
      <c r="IRM30" s="1688"/>
      <c r="IRN30" s="1688"/>
      <c r="IRO30" s="1688"/>
      <c r="IRP30" s="1688"/>
      <c r="IRQ30" s="1688"/>
      <c r="IRR30" s="1688"/>
      <c r="IRS30" s="1688"/>
      <c r="IRT30" s="1688"/>
      <c r="IRU30" s="1688"/>
      <c r="IRV30" s="1688"/>
      <c r="IRW30" s="1688"/>
      <c r="IRX30" s="1688"/>
      <c r="IRY30" s="1688"/>
      <c r="IRZ30" s="1688"/>
      <c r="ISA30" s="1688"/>
      <c r="ISB30" s="1688"/>
      <c r="ISC30" s="1688"/>
      <c r="ISD30" s="1688"/>
      <c r="ISE30" s="1688"/>
      <c r="ISF30" s="1688"/>
      <c r="ISG30" s="1688"/>
      <c r="ISH30" s="1688"/>
      <c r="ISI30" s="1688"/>
      <c r="ISJ30" s="1688"/>
      <c r="ISK30" s="1688"/>
      <c r="ISL30" s="1688"/>
      <c r="ISM30" s="1688"/>
      <c r="ISN30" s="1688"/>
      <c r="ISO30" s="1688"/>
      <c r="ISP30" s="1688"/>
      <c r="ISQ30" s="1688"/>
      <c r="ISR30" s="1688"/>
      <c r="ISS30" s="1688"/>
      <c r="IST30" s="1688"/>
      <c r="ISU30" s="1688"/>
      <c r="ISV30" s="1688"/>
      <c r="ISW30" s="1688"/>
      <c r="ISX30" s="1688"/>
      <c r="ISY30" s="1688"/>
      <c r="ISZ30" s="1688"/>
      <c r="ITA30" s="1688"/>
      <c r="ITB30" s="1688"/>
      <c r="ITC30" s="1688"/>
      <c r="ITD30" s="1688"/>
      <c r="ITE30" s="1688"/>
      <c r="ITF30" s="1688"/>
      <c r="ITG30" s="1688"/>
      <c r="ITH30" s="1688"/>
      <c r="ITI30" s="1688"/>
      <c r="ITJ30" s="1688"/>
      <c r="ITK30" s="1688"/>
      <c r="ITL30" s="1688"/>
      <c r="ITM30" s="1688"/>
      <c r="ITN30" s="1688"/>
      <c r="ITO30" s="1688"/>
      <c r="ITP30" s="1688"/>
      <c r="ITQ30" s="1688"/>
      <c r="ITR30" s="1688"/>
      <c r="ITS30" s="1688"/>
      <c r="ITT30" s="1688"/>
      <c r="ITU30" s="1688"/>
      <c r="ITV30" s="1688"/>
      <c r="ITW30" s="1688"/>
      <c r="ITX30" s="1688"/>
      <c r="ITY30" s="1688"/>
      <c r="ITZ30" s="1688"/>
      <c r="IUA30" s="1688"/>
      <c r="IUB30" s="1688"/>
      <c r="IUC30" s="1688"/>
      <c r="IUD30" s="1688"/>
      <c r="IUE30" s="1688"/>
      <c r="IUF30" s="1688"/>
      <c r="IUG30" s="1688"/>
      <c r="IUH30" s="1688"/>
      <c r="IUI30" s="1688"/>
      <c r="IUJ30" s="1688"/>
      <c r="IUK30" s="1688"/>
      <c r="IUL30" s="1688"/>
      <c r="IUM30" s="1688"/>
      <c r="IUN30" s="1688"/>
      <c r="IUO30" s="1688"/>
      <c r="IUP30" s="1688"/>
      <c r="IUQ30" s="1688"/>
      <c r="IUR30" s="1688"/>
      <c r="IUS30" s="1688"/>
      <c r="IUT30" s="1688"/>
      <c r="IUU30" s="1688"/>
      <c r="IUV30" s="1688"/>
      <c r="IUW30" s="1688"/>
      <c r="IUX30" s="1688"/>
      <c r="IUY30" s="1688"/>
      <c r="IUZ30" s="1688"/>
      <c r="IVA30" s="1688"/>
      <c r="IVB30" s="1688"/>
      <c r="IVC30" s="1688"/>
      <c r="IVD30" s="1688"/>
      <c r="IVE30" s="1688"/>
      <c r="IVF30" s="1688"/>
      <c r="IVG30" s="1688"/>
      <c r="IVH30" s="1688"/>
      <c r="IVI30" s="1688"/>
      <c r="IVJ30" s="1688"/>
      <c r="IVK30" s="1688"/>
      <c r="IVL30" s="1688"/>
      <c r="IVM30" s="1688"/>
      <c r="IVN30" s="1688"/>
      <c r="IVO30" s="1688"/>
      <c r="IVP30" s="1688"/>
      <c r="IVQ30" s="1688"/>
      <c r="IVR30" s="1688"/>
      <c r="IVS30" s="1688"/>
      <c r="IVT30" s="1688"/>
      <c r="IVU30" s="1688"/>
      <c r="IVV30" s="1688"/>
      <c r="IVW30" s="1688"/>
      <c r="IVX30" s="1688"/>
      <c r="IVY30" s="1688"/>
      <c r="IVZ30" s="1688"/>
      <c r="IWA30" s="1688"/>
      <c r="IWB30" s="1688"/>
      <c r="IWC30" s="1688"/>
      <c r="IWD30" s="1688"/>
      <c r="IWE30" s="1688"/>
      <c r="IWF30" s="1688"/>
      <c r="IWG30" s="1688"/>
      <c r="IWH30" s="1688"/>
      <c r="IWI30" s="1688"/>
      <c r="IWJ30" s="1688"/>
      <c r="IWK30" s="1688"/>
      <c r="IWL30" s="1688"/>
      <c r="IWM30" s="1688"/>
      <c r="IWN30" s="1688"/>
      <c r="IWO30" s="1688"/>
      <c r="IWP30" s="1688"/>
      <c r="IWQ30" s="1688"/>
      <c r="IWR30" s="1688"/>
      <c r="IWS30" s="1688"/>
      <c r="IWT30" s="1688"/>
      <c r="IWU30" s="1688"/>
      <c r="IWV30" s="1688"/>
      <c r="IWW30" s="1688"/>
      <c r="IWX30" s="1688"/>
      <c r="IWY30" s="1688"/>
      <c r="IWZ30" s="1688"/>
      <c r="IXA30" s="1688"/>
      <c r="IXB30" s="1688"/>
      <c r="IXC30" s="1688"/>
      <c r="IXD30" s="1688"/>
      <c r="IXE30" s="1688"/>
      <c r="IXF30" s="1688"/>
      <c r="IXG30" s="1688"/>
      <c r="IXH30" s="1688"/>
      <c r="IXI30" s="1688"/>
      <c r="IXJ30" s="1688"/>
      <c r="IXK30" s="1688"/>
      <c r="IXL30" s="1688"/>
      <c r="IXM30" s="1688"/>
      <c r="IXN30" s="1688"/>
      <c r="IXO30" s="1688"/>
      <c r="IXP30" s="1688"/>
      <c r="IXQ30" s="1688"/>
      <c r="IXR30" s="1688"/>
      <c r="IXS30" s="1688"/>
      <c r="IXT30" s="1688"/>
      <c r="IXU30" s="1688"/>
      <c r="IXV30" s="1688"/>
      <c r="IXW30" s="1688"/>
      <c r="IXX30" s="1688"/>
      <c r="IXY30" s="1688"/>
      <c r="IXZ30" s="1688"/>
      <c r="IYA30" s="1688"/>
      <c r="IYB30" s="1688"/>
      <c r="IYC30" s="1688"/>
      <c r="IYD30" s="1688"/>
      <c r="IYE30" s="1688"/>
      <c r="IYF30" s="1688"/>
      <c r="IYG30" s="1688"/>
      <c r="IYH30" s="1688"/>
      <c r="IYI30" s="1688"/>
      <c r="IYJ30" s="1688"/>
      <c r="IYK30" s="1688"/>
      <c r="IYL30" s="1688"/>
      <c r="IYM30" s="1688"/>
      <c r="IYN30" s="1688"/>
      <c r="IYO30" s="1688"/>
      <c r="IYP30" s="1688"/>
      <c r="IYQ30" s="1688"/>
      <c r="IYR30" s="1688"/>
      <c r="IYS30" s="1688"/>
      <c r="IYT30" s="1688"/>
      <c r="IYU30" s="1688"/>
      <c r="IYV30" s="1688"/>
      <c r="IYW30" s="1688"/>
      <c r="IYX30" s="1688"/>
      <c r="IYY30" s="1688"/>
      <c r="IYZ30" s="1688"/>
      <c r="IZA30" s="1688"/>
      <c r="IZB30" s="1688"/>
      <c r="IZC30" s="1688"/>
      <c r="IZD30" s="1688"/>
      <c r="IZE30" s="1688"/>
      <c r="IZF30" s="1688"/>
      <c r="IZG30" s="1688"/>
      <c r="IZH30" s="1688"/>
      <c r="IZI30" s="1688"/>
      <c r="IZJ30" s="1688"/>
      <c r="IZK30" s="1688"/>
      <c r="IZL30" s="1688"/>
      <c r="IZM30" s="1688"/>
      <c r="IZN30" s="1688"/>
      <c r="IZO30" s="1688"/>
      <c r="IZP30" s="1688"/>
      <c r="IZQ30" s="1688"/>
      <c r="IZR30" s="1688"/>
      <c r="IZS30" s="1688"/>
      <c r="IZT30" s="1688"/>
      <c r="IZU30" s="1688"/>
      <c r="IZV30" s="1688"/>
      <c r="IZW30" s="1688"/>
      <c r="IZX30" s="1688"/>
      <c r="IZY30" s="1688"/>
      <c r="IZZ30" s="1688"/>
      <c r="JAA30" s="1688"/>
      <c r="JAB30" s="1688"/>
      <c r="JAC30" s="1688"/>
      <c r="JAD30" s="1688"/>
      <c r="JAE30" s="1688"/>
      <c r="JAF30" s="1688"/>
      <c r="JAG30" s="1688"/>
      <c r="JAH30" s="1688"/>
      <c r="JAI30" s="1688"/>
      <c r="JAJ30" s="1688"/>
      <c r="JAK30" s="1688"/>
      <c r="JAL30" s="1688"/>
      <c r="JAM30" s="1688"/>
      <c r="JAN30" s="1688"/>
      <c r="JAO30" s="1688"/>
      <c r="JAP30" s="1688"/>
      <c r="JAQ30" s="1688"/>
      <c r="JAR30" s="1688"/>
      <c r="JAS30" s="1688"/>
      <c r="JAT30" s="1688"/>
      <c r="JAU30" s="1688"/>
      <c r="JAV30" s="1688"/>
      <c r="JAW30" s="1688"/>
      <c r="JAX30" s="1688"/>
      <c r="JAY30" s="1688"/>
      <c r="JAZ30" s="1688"/>
      <c r="JBA30" s="1688"/>
      <c r="JBB30" s="1688"/>
      <c r="JBC30" s="1688"/>
      <c r="JBD30" s="1688"/>
      <c r="JBE30" s="1688"/>
      <c r="JBF30" s="1688"/>
      <c r="JBG30" s="1688"/>
      <c r="JBH30" s="1688"/>
      <c r="JBI30" s="1688"/>
      <c r="JBJ30" s="1688"/>
      <c r="JBK30" s="1688"/>
      <c r="JBL30" s="1688"/>
      <c r="JBM30" s="1688"/>
      <c r="JBN30" s="1688"/>
      <c r="JBO30" s="1688"/>
      <c r="JBP30" s="1688"/>
      <c r="JBQ30" s="1688"/>
      <c r="JBR30" s="1688"/>
      <c r="JBS30" s="1688"/>
      <c r="JBT30" s="1688"/>
      <c r="JBU30" s="1688"/>
      <c r="JBV30" s="1688"/>
      <c r="JBW30" s="1688"/>
      <c r="JBX30" s="1688"/>
      <c r="JBY30" s="1688"/>
      <c r="JBZ30" s="1688"/>
      <c r="JCA30" s="1688"/>
      <c r="JCB30" s="1688"/>
      <c r="JCC30" s="1688"/>
      <c r="JCD30" s="1688"/>
      <c r="JCE30" s="1688"/>
      <c r="JCF30" s="1688"/>
      <c r="JCG30" s="1688"/>
      <c r="JCH30" s="1688"/>
      <c r="JCI30" s="1688"/>
      <c r="JCJ30" s="1688"/>
      <c r="JCK30" s="1688"/>
      <c r="JCL30" s="1688"/>
      <c r="JCM30" s="1688"/>
      <c r="JCN30" s="1688"/>
      <c r="JCO30" s="1688"/>
      <c r="JCP30" s="1688"/>
      <c r="JCQ30" s="1688"/>
      <c r="JCR30" s="1688"/>
      <c r="JCS30" s="1688"/>
      <c r="JCT30" s="1688"/>
      <c r="JCU30" s="1688"/>
      <c r="JCV30" s="1688"/>
      <c r="JCW30" s="1688"/>
      <c r="JCX30" s="1688"/>
      <c r="JCY30" s="1688"/>
      <c r="JCZ30" s="1688"/>
      <c r="JDA30" s="1688"/>
      <c r="JDB30" s="1688"/>
      <c r="JDC30" s="1688"/>
      <c r="JDD30" s="1688"/>
      <c r="JDE30" s="1688"/>
      <c r="JDF30" s="1688"/>
      <c r="JDG30" s="1688"/>
      <c r="JDH30" s="1688"/>
      <c r="JDI30" s="1688"/>
      <c r="JDJ30" s="1688"/>
      <c r="JDK30" s="1688"/>
      <c r="JDL30" s="1688"/>
      <c r="JDM30" s="1688"/>
      <c r="JDN30" s="1688"/>
      <c r="JDO30" s="1688"/>
      <c r="JDP30" s="1688"/>
      <c r="JDQ30" s="1688"/>
      <c r="JDR30" s="1688"/>
      <c r="JDS30" s="1688"/>
      <c r="JDT30" s="1688"/>
      <c r="JDU30" s="1688"/>
      <c r="JDV30" s="1688"/>
      <c r="JDW30" s="1688"/>
      <c r="JDX30" s="1688"/>
      <c r="JDY30" s="1688"/>
      <c r="JDZ30" s="1688"/>
      <c r="JEA30" s="1688"/>
      <c r="JEB30" s="1688"/>
      <c r="JEC30" s="1688"/>
      <c r="JED30" s="1688"/>
      <c r="JEE30" s="1688"/>
      <c r="JEF30" s="1688"/>
      <c r="JEG30" s="1688"/>
      <c r="JEH30" s="1688"/>
      <c r="JEI30" s="1688"/>
      <c r="JEJ30" s="1688"/>
      <c r="JEK30" s="1688"/>
      <c r="JEL30" s="1688"/>
      <c r="JEM30" s="1688"/>
      <c r="JEN30" s="1688"/>
      <c r="JEO30" s="1688"/>
      <c r="JEP30" s="1688"/>
      <c r="JEQ30" s="1688"/>
      <c r="JER30" s="1688"/>
      <c r="JES30" s="1688"/>
      <c r="JET30" s="1688"/>
      <c r="JEU30" s="1688"/>
      <c r="JEV30" s="1688"/>
      <c r="JEW30" s="1688"/>
      <c r="JEX30" s="1688"/>
      <c r="JEY30" s="1688"/>
      <c r="JEZ30" s="1688"/>
      <c r="JFA30" s="1688"/>
      <c r="JFB30" s="1688"/>
      <c r="JFC30" s="1688"/>
      <c r="JFD30" s="1688"/>
      <c r="JFE30" s="1688"/>
      <c r="JFF30" s="1688"/>
      <c r="JFG30" s="1688"/>
      <c r="JFH30" s="1688"/>
      <c r="JFI30" s="1688"/>
      <c r="JFJ30" s="1688"/>
      <c r="JFK30" s="1688"/>
      <c r="JFL30" s="1688"/>
      <c r="JFM30" s="1688"/>
      <c r="JFN30" s="1688"/>
      <c r="JFO30" s="1688"/>
      <c r="JFP30" s="1688"/>
      <c r="JFQ30" s="1688"/>
      <c r="JFR30" s="1688"/>
      <c r="JFS30" s="1688"/>
      <c r="JFT30" s="1688"/>
      <c r="JFU30" s="1688"/>
      <c r="JFV30" s="1688"/>
      <c r="JFW30" s="1688"/>
      <c r="JFX30" s="1688"/>
      <c r="JFY30" s="1688"/>
      <c r="JFZ30" s="1688"/>
      <c r="JGA30" s="1688"/>
      <c r="JGB30" s="1688"/>
      <c r="JGC30" s="1688"/>
      <c r="JGD30" s="1688"/>
      <c r="JGE30" s="1688"/>
      <c r="JGF30" s="1688"/>
      <c r="JGG30" s="1688"/>
      <c r="JGH30" s="1688"/>
      <c r="JGI30" s="1688"/>
      <c r="JGJ30" s="1688"/>
      <c r="JGK30" s="1688"/>
      <c r="JGL30" s="1688"/>
      <c r="JGM30" s="1688"/>
      <c r="JGN30" s="1688"/>
      <c r="JGO30" s="1688"/>
      <c r="JGP30" s="1688"/>
      <c r="JGQ30" s="1688"/>
      <c r="JGR30" s="1688"/>
      <c r="JGS30" s="1688"/>
      <c r="JGT30" s="1688"/>
      <c r="JGU30" s="1688"/>
      <c r="JGV30" s="1688"/>
      <c r="JGW30" s="1688"/>
      <c r="JGX30" s="1688"/>
      <c r="JGY30" s="1688"/>
      <c r="JGZ30" s="1688"/>
      <c r="JHA30" s="1688"/>
      <c r="JHB30" s="1688"/>
      <c r="JHC30" s="1688"/>
      <c r="JHD30" s="1688"/>
      <c r="JHE30" s="1688"/>
      <c r="JHF30" s="1688"/>
      <c r="JHG30" s="1688"/>
      <c r="JHH30" s="1688"/>
      <c r="JHI30" s="1688"/>
      <c r="JHJ30" s="1688"/>
      <c r="JHK30" s="1688"/>
      <c r="JHL30" s="1688"/>
      <c r="JHM30" s="1688"/>
      <c r="JHN30" s="1688"/>
      <c r="JHO30" s="1688"/>
      <c r="JHP30" s="1688"/>
      <c r="JHQ30" s="1688"/>
      <c r="JHR30" s="1688"/>
      <c r="JHS30" s="1688"/>
      <c r="JHT30" s="1688"/>
      <c r="JHU30" s="1688"/>
      <c r="JHV30" s="1688"/>
      <c r="JHW30" s="1688"/>
      <c r="JHX30" s="1688"/>
      <c r="JHY30" s="1688"/>
      <c r="JHZ30" s="1688"/>
      <c r="JIA30" s="1688"/>
      <c r="JIB30" s="1688"/>
      <c r="JIC30" s="1688"/>
      <c r="JID30" s="1688"/>
      <c r="JIE30" s="1688"/>
      <c r="JIF30" s="1688"/>
      <c r="JIG30" s="1688"/>
      <c r="JIH30" s="1688"/>
      <c r="JII30" s="1688"/>
      <c r="JIJ30" s="1688"/>
      <c r="JIK30" s="1688"/>
      <c r="JIL30" s="1688"/>
      <c r="JIM30" s="1688"/>
      <c r="JIN30" s="1688"/>
      <c r="JIO30" s="1688"/>
      <c r="JIP30" s="1688"/>
      <c r="JIQ30" s="1688"/>
      <c r="JIR30" s="1688"/>
      <c r="JIS30" s="1688"/>
      <c r="JIT30" s="1688"/>
      <c r="JIU30" s="1688"/>
      <c r="JIV30" s="1688"/>
      <c r="JIW30" s="1688"/>
      <c r="JIX30" s="1688"/>
      <c r="JIY30" s="1688"/>
      <c r="JIZ30" s="1688"/>
      <c r="JJA30" s="1688"/>
      <c r="JJB30" s="1688"/>
      <c r="JJC30" s="1688"/>
      <c r="JJD30" s="1688"/>
      <c r="JJE30" s="1688"/>
      <c r="JJF30" s="1688"/>
      <c r="JJG30" s="1688"/>
      <c r="JJH30" s="1688"/>
      <c r="JJI30" s="1688"/>
      <c r="JJJ30" s="1688"/>
      <c r="JJK30" s="1688"/>
      <c r="JJL30" s="1688"/>
      <c r="JJM30" s="1688"/>
      <c r="JJN30" s="1688"/>
      <c r="JJO30" s="1688"/>
      <c r="JJP30" s="1688"/>
      <c r="JJQ30" s="1688"/>
      <c r="JJR30" s="1688"/>
      <c r="JJS30" s="1688"/>
      <c r="JJT30" s="1688"/>
      <c r="JJU30" s="1688"/>
      <c r="JJV30" s="1688"/>
      <c r="JJW30" s="1688"/>
      <c r="JJX30" s="1688"/>
      <c r="JJY30" s="1688"/>
      <c r="JJZ30" s="1688"/>
      <c r="JKA30" s="1688"/>
      <c r="JKB30" s="1688"/>
      <c r="JKC30" s="1688"/>
      <c r="JKD30" s="1688"/>
      <c r="JKE30" s="1688"/>
      <c r="JKF30" s="1688"/>
      <c r="JKG30" s="1688"/>
      <c r="JKH30" s="1688"/>
      <c r="JKI30" s="1688"/>
      <c r="JKJ30" s="1688"/>
      <c r="JKK30" s="1688"/>
      <c r="JKL30" s="1688"/>
      <c r="JKM30" s="1688"/>
      <c r="JKN30" s="1688"/>
      <c r="JKO30" s="1688"/>
      <c r="JKP30" s="1688"/>
      <c r="JKQ30" s="1688"/>
      <c r="JKR30" s="1688"/>
      <c r="JKS30" s="1688"/>
      <c r="JKT30" s="1688"/>
      <c r="JKU30" s="1688"/>
      <c r="JKV30" s="1688"/>
      <c r="JKW30" s="1688"/>
      <c r="JKX30" s="1688"/>
      <c r="JKY30" s="1688"/>
      <c r="JKZ30" s="1688"/>
      <c r="JLA30" s="1688"/>
      <c r="JLB30" s="1688"/>
      <c r="JLC30" s="1688"/>
      <c r="JLD30" s="1688"/>
      <c r="JLE30" s="1688"/>
      <c r="JLF30" s="1688"/>
      <c r="JLG30" s="1688"/>
      <c r="JLH30" s="1688"/>
      <c r="JLI30" s="1688"/>
      <c r="JLJ30" s="1688"/>
      <c r="JLK30" s="1688"/>
      <c r="JLL30" s="1688"/>
      <c r="JLM30" s="1688"/>
      <c r="JLN30" s="1688"/>
      <c r="JLO30" s="1688"/>
      <c r="JLP30" s="1688"/>
      <c r="JLQ30" s="1688"/>
      <c r="JLR30" s="1688"/>
      <c r="JLS30" s="1688"/>
      <c r="JLT30" s="1688"/>
      <c r="JLU30" s="1688"/>
      <c r="JLV30" s="1688"/>
      <c r="JLW30" s="1688"/>
      <c r="JLX30" s="1688"/>
      <c r="JLY30" s="1688"/>
      <c r="JLZ30" s="1688"/>
      <c r="JMA30" s="1688"/>
      <c r="JMB30" s="1688"/>
      <c r="JMC30" s="1688"/>
      <c r="JMD30" s="1688"/>
      <c r="JME30" s="1688"/>
      <c r="JMF30" s="1688"/>
      <c r="JMG30" s="1688"/>
      <c r="JMH30" s="1688"/>
      <c r="JMI30" s="1688"/>
      <c r="JMJ30" s="1688"/>
      <c r="JMK30" s="1688"/>
      <c r="JML30" s="1688"/>
      <c r="JMM30" s="1688"/>
      <c r="JMN30" s="1688"/>
      <c r="JMO30" s="1688"/>
      <c r="JMP30" s="1688"/>
      <c r="JMQ30" s="1688"/>
      <c r="JMR30" s="1688"/>
      <c r="JMS30" s="1688"/>
      <c r="JMT30" s="1688"/>
      <c r="JMU30" s="1688"/>
      <c r="JMV30" s="1688"/>
      <c r="JMW30" s="1688"/>
      <c r="JMX30" s="1688"/>
      <c r="JMY30" s="1688"/>
      <c r="JMZ30" s="1688"/>
      <c r="JNA30" s="1688"/>
      <c r="JNB30" s="1688"/>
      <c r="JNC30" s="1688"/>
      <c r="JND30" s="1688"/>
      <c r="JNE30" s="1688"/>
      <c r="JNF30" s="1688"/>
      <c r="JNG30" s="1688"/>
      <c r="JNH30" s="1688"/>
      <c r="JNI30" s="1688"/>
      <c r="JNJ30" s="1688"/>
      <c r="JNK30" s="1688"/>
      <c r="JNL30" s="1688"/>
      <c r="JNM30" s="1688"/>
      <c r="JNN30" s="1688"/>
      <c r="JNO30" s="1688"/>
      <c r="JNP30" s="1688"/>
      <c r="JNQ30" s="1688"/>
      <c r="JNR30" s="1688"/>
      <c r="JNS30" s="1688"/>
      <c r="JNT30" s="1688"/>
      <c r="JNU30" s="1688"/>
      <c r="JNV30" s="1688"/>
      <c r="JNW30" s="1688"/>
      <c r="JNX30" s="1688"/>
      <c r="JNY30" s="1688"/>
      <c r="JNZ30" s="1688"/>
      <c r="JOA30" s="1688"/>
      <c r="JOB30" s="1688"/>
      <c r="JOC30" s="1688"/>
      <c r="JOD30" s="1688"/>
      <c r="JOE30" s="1688"/>
      <c r="JOF30" s="1688"/>
      <c r="JOG30" s="1688"/>
      <c r="JOH30" s="1688"/>
      <c r="JOI30" s="1688"/>
      <c r="JOJ30" s="1688"/>
      <c r="JOK30" s="1688"/>
      <c r="JOL30" s="1688"/>
      <c r="JOM30" s="1688"/>
      <c r="JON30" s="1688"/>
      <c r="JOO30" s="1688"/>
      <c r="JOP30" s="1688"/>
      <c r="JOQ30" s="1688"/>
      <c r="JOR30" s="1688"/>
      <c r="JOS30" s="1688"/>
      <c r="JOT30" s="1688"/>
      <c r="JOU30" s="1688"/>
      <c r="JOV30" s="1688"/>
      <c r="JOW30" s="1688"/>
      <c r="JOX30" s="1688"/>
      <c r="JOY30" s="1688"/>
      <c r="JOZ30" s="1688"/>
      <c r="JPA30" s="1688"/>
      <c r="JPB30" s="1688"/>
      <c r="JPC30" s="1688"/>
      <c r="JPD30" s="1688"/>
      <c r="JPE30" s="1688"/>
      <c r="JPF30" s="1688"/>
      <c r="JPG30" s="1688"/>
      <c r="JPH30" s="1688"/>
      <c r="JPI30" s="1688"/>
      <c r="JPJ30" s="1688"/>
      <c r="JPK30" s="1688"/>
      <c r="JPL30" s="1688"/>
      <c r="JPM30" s="1688"/>
      <c r="JPN30" s="1688"/>
      <c r="JPO30" s="1688"/>
      <c r="JPP30" s="1688"/>
      <c r="JPQ30" s="1688"/>
      <c r="JPR30" s="1688"/>
      <c r="JPS30" s="1688"/>
      <c r="JPT30" s="1688"/>
      <c r="JPU30" s="1688"/>
      <c r="JPV30" s="1688"/>
      <c r="JPW30" s="1688"/>
      <c r="JPX30" s="1688"/>
      <c r="JPY30" s="1688"/>
      <c r="JPZ30" s="1688"/>
      <c r="JQA30" s="1688"/>
      <c r="JQB30" s="1688"/>
      <c r="JQC30" s="1688"/>
      <c r="JQD30" s="1688"/>
      <c r="JQE30" s="1688"/>
      <c r="JQF30" s="1688"/>
      <c r="JQG30" s="1688"/>
      <c r="JQH30" s="1688"/>
      <c r="JQI30" s="1688"/>
      <c r="JQJ30" s="1688"/>
      <c r="JQK30" s="1688"/>
      <c r="JQL30" s="1688"/>
      <c r="JQM30" s="1688"/>
      <c r="JQN30" s="1688"/>
      <c r="JQO30" s="1688"/>
      <c r="JQP30" s="1688"/>
      <c r="JQQ30" s="1688"/>
      <c r="JQR30" s="1688"/>
      <c r="JQS30" s="1688"/>
      <c r="JQT30" s="1688"/>
      <c r="JQU30" s="1688"/>
      <c r="JQV30" s="1688"/>
      <c r="JQW30" s="1688"/>
      <c r="JQX30" s="1688"/>
      <c r="JQY30" s="1688"/>
      <c r="JQZ30" s="1688"/>
      <c r="JRA30" s="1688"/>
      <c r="JRB30" s="1688"/>
      <c r="JRC30" s="1688"/>
      <c r="JRD30" s="1688"/>
      <c r="JRE30" s="1688"/>
      <c r="JRF30" s="1688"/>
      <c r="JRG30" s="1688"/>
      <c r="JRH30" s="1688"/>
      <c r="JRI30" s="1688"/>
      <c r="JRJ30" s="1688"/>
      <c r="JRK30" s="1688"/>
      <c r="JRL30" s="1688"/>
      <c r="JRM30" s="1688"/>
      <c r="JRN30" s="1688"/>
      <c r="JRO30" s="1688"/>
      <c r="JRP30" s="1688"/>
      <c r="JRQ30" s="1688"/>
      <c r="JRR30" s="1688"/>
      <c r="JRS30" s="1688"/>
      <c r="JRT30" s="1688"/>
      <c r="JRU30" s="1688"/>
      <c r="JRV30" s="1688"/>
      <c r="JRW30" s="1688"/>
      <c r="JRX30" s="1688"/>
      <c r="JRY30" s="1688"/>
      <c r="JRZ30" s="1688"/>
      <c r="JSA30" s="1688"/>
      <c r="JSB30" s="1688"/>
      <c r="JSC30" s="1688"/>
      <c r="JSD30" s="1688"/>
      <c r="JSE30" s="1688"/>
      <c r="JSF30" s="1688"/>
      <c r="JSG30" s="1688"/>
      <c r="JSH30" s="1688"/>
      <c r="JSI30" s="1688"/>
      <c r="JSJ30" s="1688"/>
      <c r="JSK30" s="1688"/>
      <c r="JSL30" s="1688"/>
      <c r="JSM30" s="1688"/>
      <c r="JSN30" s="1688"/>
      <c r="JSO30" s="1688"/>
      <c r="JSP30" s="1688"/>
      <c r="JSQ30" s="1688"/>
      <c r="JSR30" s="1688"/>
      <c r="JSS30" s="1688"/>
      <c r="JST30" s="1688"/>
      <c r="JSU30" s="1688"/>
      <c r="JSV30" s="1688"/>
      <c r="JSW30" s="1688"/>
      <c r="JSX30" s="1688"/>
      <c r="JSY30" s="1688"/>
      <c r="JSZ30" s="1688"/>
      <c r="JTA30" s="1688"/>
      <c r="JTB30" s="1688"/>
      <c r="JTC30" s="1688"/>
      <c r="JTD30" s="1688"/>
      <c r="JTE30" s="1688"/>
      <c r="JTF30" s="1688"/>
      <c r="JTG30" s="1688"/>
      <c r="JTH30" s="1688"/>
      <c r="JTI30" s="1688"/>
      <c r="JTJ30" s="1688"/>
      <c r="JTK30" s="1688"/>
      <c r="JTL30" s="1688"/>
      <c r="JTM30" s="1688"/>
      <c r="JTN30" s="1688"/>
      <c r="JTO30" s="1688"/>
      <c r="JTP30" s="1688"/>
      <c r="JTQ30" s="1688"/>
      <c r="JTR30" s="1688"/>
      <c r="JTS30" s="1688"/>
      <c r="JTT30" s="1688"/>
      <c r="JTU30" s="1688"/>
      <c r="JTV30" s="1688"/>
      <c r="JTW30" s="1688"/>
      <c r="JTX30" s="1688"/>
      <c r="JTY30" s="1688"/>
      <c r="JTZ30" s="1688"/>
      <c r="JUA30" s="1688"/>
      <c r="JUB30" s="1688"/>
      <c r="JUC30" s="1688"/>
      <c r="JUD30" s="1688"/>
      <c r="JUE30" s="1688"/>
      <c r="JUF30" s="1688"/>
      <c r="JUG30" s="1688"/>
      <c r="JUH30" s="1688"/>
      <c r="JUI30" s="1688"/>
      <c r="JUJ30" s="1688"/>
      <c r="JUK30" s="1688"/>
      <c r="JUL30" s="1688"/>
      <c r="JUM30" s="1688"/>
      <c r="JUN30" s="1688"/>
      <c r="JUO30" s="1688"/>
      <c r="JUP30" s="1688"/>
      <c r="JUQ30" s="1688"/>
      <c r="JUR30" s="1688"/>
      <c r="JUS30" s="1688"/>
      <c r="JUT30" s="1688"/>
      <c r="JUU30" s="1688"/>
      <c r="JUV30" s="1688"/>
      <c r="JUW30" s="1688"/>
      <c r="JUX30" s="1688"/>
      <c r="JUY30" s="1688"/>
      <c r="JUZ30" s="1688"/>
      <c r="JVA30" s="1688"/>
      <c r="JVB30" s="1688"/>
      <c r="JVC30" s="1688"/>
      <c r="JVD30" s="1688"/>
      <c r="JVE30" s="1688"/>
      <c r="JVF30" s="1688"/>
      <c r="JVG30" s="1688"/>
      <c r="JVH30" s="1688"/>
      <c r="JVI30" s="1688"/>
      <c r="JVJ30" s="1688"/>
      <c r="JVK30" s="1688"/>
      <c r="JVL30" s="1688"/>
      <c r="JVM30" s="1688"/>
      <c r="JVN30" s="1688"/>
      <c r="JVO30" s="1688"/>
      <c r="JVP30" s="1688"/>
      <c r="JVQ30" s="1688"/>
      <c r="JVR30" s="1688"/>
      <c r="JVS30" s="1688"/>
      <c r="JVT30" s="1688"/>
      <c r="JVU30" s="1688"/>
      <c r="JVV30" s="1688"/>
      <c r="JVW30" s="1688"/>
      <c r="JVX30" s="1688"/>
      <c r="JVY30" s="1688"/>
      <c r="JVZ30" s="1688"/>
      <c r="JWA30" s="1688"/>
      <c r="JWB30" s="1688"/>
      <c r="JWC30" s="1688"/>
      <c r="JWD30" s="1688"/>
      <c r="JWE30" s="1688"/>
      <c r="JWF30" s="1688"/>
      <c r="JWG30" s="1688"/>
      <c r="JWH30" s="1688"/>
      <c r="JWI30" s="1688"/>
      <c r="JWJ30" s="1688"/>
      <c r="JWK30" s="1688"/>
      <c r="JWL30" s="1688"/>
      <c r="JWM30" s="1688"/>
      <c r="JWN30" s="1688"/>
      <c r="JWO30" s="1688"/>
      <c r="JWP30" s="1688"/>
      <c r="JWQ30" s="1688"/>
      <c r="JWR30" s="1688"/>
      <c r="JWS30" s="1688"/>
      <c r="JWT30" s="1688"/>
      <c r="JWU30" s="1688"/>
      <c r="JWV30" s="1688"/>
      <c r="JWW30" s="1688"/>
      <c r="JWX30" s="1688"/>
      <c r="JWY30" s="1688"/>
      <c r="JWZ30" s="1688"/>
      <c r="JXA30" s="1688"/>
      <c r="JXB30" s="1688"/>
      <c r="JXC30" s="1688"/>
      <c r="JXD30" s="1688"/>
      <c r="JXE30" s="1688"/>
      <c r="JXF30" s="1688"/>
      <c r="JXG30" s="1688"/>
      <c r="JXH30" s="1688"/>
      <c r="JXI30" s="1688"/>
      <c r="JXJ30" s="1688"/>
      <c r="JXK30" s="1688"/>
      <c r="JXL30" s="1688"/>
      <c r="JXM30" s="1688"/>
      <c r="JXN30" s="1688"/>
      <c r="JXO30" s="1688"/>
      <c r="JXP30" s="1688"/>
      <c r="JXQ30" s="1688"/>
      <c r="JXR30" s="1688"/>
      <c r="JXS30" s="1688"/>
      <c r="JXT30" s="1688"/>
      <c r="JXU30" s="1688"/>
      <c r="JXV30" s="1688"/>
      <c r="JXW30" s="1688"/>
      <c r="JXX30" s="1688"/>
      <c r="JXY30" s="1688"/>
      <c r="JXZ30" s="1688"/>
      <c r="JYA30" s="1688"/>
      <c r="JYB30" s="1688"/>
      <c r="JYC30" s="1688"/>
      <c r="JYD30" s="1688"/>
      <c r="JYE30" s="1688"/>
      <c r="JYF30" s="1688"/>
      <c r="JYG30" s="1688"/>
      <c r="JYH30" s="1688"/>
      <c r="JYI30" s="1688"/>
      <c r="JYJ30" s="1688"/>
      <c r="JYK30" s="1688"/>
      <c r="JYL30" s="1688"/>
      <c r="JYM30" s="1688"/>
      <c r="JYN30" s="1688"/>
      <c r="JYO30" s="1688"/>
      <c r="JYP30" s="1688"/>
      <c r="JYQ30" s="1688"/>
      <c r="JYR30" s="1688"/>
      <c r="JYS30" s="1688"/>
      <c r="JYT30" s="1688"/>
      <c r="JYU30" s="1688"/>
      <c r="JYV30" s="1688"/>
      <c r="JYW30" s="1688"/>
      <c r="JYX30" s="1688"/>
      <c r="JYY30" s="1688"/>
      <c r="JYZ30" s="1688"/>
      <c r="JZA30" s="1688"/>
      <c r="JZB30" s="1688"/>
      <c r="JZC30" s="1688"/>
      <c r="JZD30" s="1688"/>
      <c r="JZE30" s="1688"/>
      <c r="JZF30" s="1688"/>
      <c r="JZG30" s="1688"/>
      <c r="JZH30" s="1688"/>
      <c r="JZI30" s="1688"/>
      <c r="JZJ30" s="1688"/>
      <c r="JZK30" s="1688"/>
      <c r="JZL30" s="1688"/>
      <c r="JZM30" s="1688"/>
      <c r="JZN30" s="1688"/>
      <c r="JZO30" s="1688"/>
      <c r="JZP30" s="1688"/>
      <c r="JZQ30" s="1688"/>
      <c r="JZR30" s="1688"/>
      <c r="JZS30" s="1688"/>
      <c r="JZT30" s="1688"/>
      <c r="JZU30" s="1688"/>
      <c r="JZV30" s="1688"/>
      <c r="JZW30" s="1688"/>
      <c r="JZX30" s="1688"/>
      <c r="JZY30" s="1688"/>
      <c r="JZZ30" s="1688"/>
      <c r="KAA30" s="1688"/>
      <c r="KAB30" s="1688"/>
      <c r="KAC30" s="1688"/>
      <c r="KAD30" s="1688"/>
      <c r="KAE30" s="1688"/>
      <c r="KAF30" s="1688"/>
      <c r="KAG30" s="1688"/>
      <c r="KAH30" s="1688"/>
      <c r="KAI30" s="1688"/>
      <c r="KAJ30" s="1688"/>
      <c r="KAK30" s="1688"/>
      <c r="KAL30" s="1688"/>
      <c r="KAM30" s="1688"/>
      <c r="KAN30" s="1688"/>
      <c r="KAO30" s="1688"/>
      <c r="KAP30" s="1688"/>
      <c r="KAQ30" s="1688"/>
      <c r="KAR30" s="1688"/>
      <c r="KAS30" s="1688"/>
      <c r="KAT30" s="1688"/>
      <c r="KAU30" s="1688"/>
      <c r="KAV30" s="1688"/>
      <c r="KAW30" s="1688"/>
      <c r="KAX30" s="1688"/>
      <c r="KAY30" s="1688"/>
      <c r="KAZ30" s="1688"/>
      <c r="KBA30" s="1688"/>
      <c r="KBB30" s="1688"/>
      <c r="KBC30" s="1688"/>
      <c r="KBD30" s="1688"/>
      <c r="KBE30" s="1688"/>
      <c r="KBF30" s="1688"/>
      <c r="KBG30" s="1688"/>
      <c r="KBH30" s="1688"/>
      <c r="KBI30" s="1688"/>
      <c r="KBJ30" s="1688"/>
      <c r="KBK30" s="1688"/>
      <c r="KBL30" s="1688"/>
      <c r="KBM30" s="1688"/>
      <c r="KBN30" s="1688"/>
      <c r="KBO30" s="1688"/>
      <c r="KBP30" s="1688"/>
      <c r="KBQ30" s="1688"/>
      <c r="KBR30" s="1688"/>
      <c r="KBS30" s="1688"/>
      <c r="KBT30" s="1688"/>
      <c r="KBU30" s="1688"/>
      <c r="KBV30" s="1688"/>
      <c r="KBW30" s="1688"/>
      <c r="KBX30" s="1688"/>
      <c r="KBY30" s="1688"/>
      <c r="KBZ30" s="1688"/>
      <c r="KCA30" s="1688"/>
      <c r="KCB30" s="1688"/>
      <c r="KCC30" s="1688"/>
      <c r="KCD30" s="1688"/>
      <c r="KCE30" s="1688"/>
      <c r="KCF30" s="1688"/>
      <c r="KCG30" s="1688"/>
      <c r="KCH30" s="1688"/>
      <c r="KCI30" s="1688"/>
      <c r="KCJ30" s="1688"/>
      <c r="KCK30" s="1688"/>
      <c r="KCL30" s="1688"/>
      <c r="KCM30" s="1688"/>
      <c r="KCN30" s="1688"/>
      <c r="KCO30" s="1688"/>
      <c r="KCP30" s="1688"/>
      <c r="KCQ30" s="1688"/>
      <c r="KCR30" s="1688"/>
      <c r="KCS30" s="1688"/>
      <c r="KCT30" s="1688"/>
      <c r="KCU30" s="1688"/>
      <c r="KCV30" s="1688"/>
      <c r="KCW30" s="1688"/>
      <c r="KCX30" s="1688"/>
      <c r="KCY30" s="1688"/>
      <c r="KCZ30" s="1688"/>
      <c r="KDA30" s="1688"/>
      <c r="KDB30" s="1688"/>
      <c r="KDC30" s="1688"/>
      <c r="KDD30" s="1688"/>
      <c r="KDE30" s="1688"/>
      <c r="KDF30" s="1688"/>
      <c r="KDG30" s="1688"/>
      <c r="KDH30" s="1688"/>
      <c r="KDI30" s="1688"/>
      <c r="KDJ30" s="1688"/>
      <c r="KDK30" s="1688"/>
      <c r="KDL30" s="1688"/>
      <c r="KDM30" s="1688"/>
      <c r="KDN30" s="1688"/>
      <c r="KDO30" s="1688"/>
      <c r="KDP30" s="1688"/>
      <c r="KDQ30" s="1688"/>
      <c r="KDR30" s="1688"/>
      <c r="KDS30" s="1688"/>
      <c r="KDT30" s="1688"/>
      <c r="KDU30" s="1688"/>
      <c r="KDV30" s="1688"/>
      <c r="KDW30" s="1688"/>
      <c r="KDX30" s="1688"/>
      <c r="KDY30" s="1688"/>
      <c r="KDZ30" s="1688"/>
      <c r="KEA30" s="1688"/>
      <c r="KEB30" s="1688"/>
      <c r="KEC30" s="1688"/>
      <c r="KED30" s="1688"/>
      <c r="KEE30" s="1688"/>
      <c r="KEF30" s="1688"/>
      <c r="KEG30" s="1688"/>
      <c r="KEH30" s="1688"/>
      <c r="KEI30" s="1688"/>
      <c r="KEJ30" s="1688"/>
      <c r="KEK30" s="1688"/>
      <c r="KEL30" s="1688"/>
      <c r="KEM30" s="1688"/>
      <c r="KEN30" s="1688"/>
      <c r="KEO30" s="1688"/>
      <c r="KEP30" s="1688"/>
      <c r="KEQ30" s="1688"/>
      <c r="KER30" s="1688"/>
      <c r="KES30" s="1688"/>
      <c r="KET30" s="1688"/>
      <c r="KEU30" s="1688"/>
      <c r="KEV30" s="1688"/>
      <c r="KEW30" s="1688"/>
      <c r="KEX30" s="1688"/>
      <c r="KEY30" s="1688"/>
      <c r="KEZ30" s="1688"/>
      <c r="KFA30" s="1688"/>
      <c r="KFB30" s="1688"/>
      <c r="KFC30" s="1688"/>
      <c r="KFD30" s="1688"/>
      <c r="KFE30" s="1688"/>
      <c r="KFF30" s="1688"/>
      <c r="KFG30" s="1688"/>
      <c r="KFH30" s="1688"/>
      <c r="KFI30" s="1688"/>
      <c r="KFJ30" s="1688"/>
      <c r="KFK30" s="1688"/>
      <c r="KFL30" s="1688"/>
      <c r="KFM30" s="1688"/>
      <c r="KFN30" s="1688"/>
      <c r="KFO30" s="1688"/>
      <c r="KFP30" s="1688"/>
      <c r="KFQ30" s="1688"/>
      <c r="KFR30" s="1688"/>
      <c r="KFS30" s="1688"/>
      <c r="KFT30" s="1688"/>
      <c r="KFU30" s="1688"/>
      <c r="KFV30" s="1688"/>
      <c r="KFW30" s="1688"/>
      <c r="KFX30" s="1688"/>
      <c r="KFY30" s="1688"/>
      <c r="KFZ30" s="1688"/>
      <c r="KGA30" s="1688"/>
      <c r="KGB30" s="1688"/>
      <c r="KGC30" s="1688"/>
      <c r="KGD30" s="1688"/>
      <c r="KGE30" s="1688"/>
      <c r="KGF30" s="1688"/>
      <c r="KGG30" s="1688"/>
      <c r="KGH30" s="1688"/>
      <c r="KGI30" s="1688"/>
      <c r="KGJ30" s="1688"/>
      <c r="KGK30" s="1688"/>
      <c r="KGL30" s="1688"/>
      <c r="KGM30" s="1688"/>
      <c r="KGN30" s="1688"/>
      <c r="KGO30" s="1688"/>
      <c r="KGP30" s="1688"/>
      <c r="KGQ30" s="1688"/>
      <c r="KGR30" s="1688"/>
      <c r="KGS30" s="1688"/>
      <c r="KGT30" s="1688"/>
      <c r="KGU30" s="1688"/>
      <c r="KGV30" s="1688"/>
      <c r="KGW30" s="1688"/>
      <c r="KGX30" s="1688"/>
      <c r="KGY30" s="1688"/>
      <c r="KGZ30" s="1688"/>
      <c r="KHA30" s="1688"/>
      <c r="KHB30" s="1688"/>
      <c r="KHC30" s="1688"/>
      <c r="KHD30" s="1688"/>
      <c r="KHE30" s="1688"/>
      <c r="KHF30" s="1688"/>
      <c r="KHG30" s="1688"/>
      <c r="KHH30" s="1688"/>
      <c r="KHI30" s="1688"/>
      <c r="KHJ30" s="1688"/>
      <c r="KHK30" s="1688"/>
      <c r="KHL30" s="1688"/>
      <c r="KHM30" s="1688"/>
      <c r="KHN30" s="1688"/>
      <c r="KHO30" s="1688"/>
      <c r="KHP30" s="1688"/>
      <c r="KHQ30" s="1688"/>
      <c r="KHR30" s="1688"/>
      <c r="KHS30" s="1688"/>
      <c r="KHT30" s="1688"/>
      <c r="KHU30" s="1688"/>
      <c r="KHV30" s="1688"/>
      <c r="KHW30" s="1688"/>
      <c r="KHX30" s="1688"/>
      <c r="KHY30" s="1688"/>
      <c r="KHZ30" s="1688"/>
      <c r="KIA30" s="1688"/>
      <c r="KIB30" s="1688"/>
      <c r="KIC30" s="1688"/>
      <c r="KID30" s="1688"/>
      <c r="KIE30" s="1688"/>
      <c r="KIF30" s="1688"/>
      <c r="KIG30" s="1688"/>
      <c r="KIH30" s="1688"/>
      <c r="KII30" s="1688"/>
      <c r="KIJ30" s="1688"/>
      <c r="KIK30" s="1688"/>
      <c r="KIL30" s="1688"/>
      <c r="KIM30" s="1688"/>
      <c r="KIN30" s="1688"/>
      <c r="KIO30" s="1688"/>
      <c r="KIP30" s="1688"/>
      <c r="KIQ30" s="1688"/>
      <c r="KIR30" s="1688"/>
      <c r="KIS30" s="1688"/>
      <c r="KIT30" s="1688"/>
      <c r="KIU30" s="1688"/>
      <c r="KIV30" s="1688"/>
      <c r="KIW30" s="1688"/>
      <c r="KIX30" s="1688"/>
      <c r="KIY30" s="1688"/>
      <c r="KIZ30" s="1688"/>
      <c r="KJA30" s="1688"/>
      <c r="KJB30" s="1688"/>
      <c r="KJC30" s="1688"/>
      <c r="KJD30" s="1688"/>
      <c r="KJE30" s="1688"/>
      <c r="KJF30" s="1688"/>
      <c r="KJG30" s="1688"/>
      <c r="KJH30" s="1688"/>
      <c r="KJI30" s="1688"/>
      <c r="KJJ30" s="1688"/>
      <c r="KJK30" s="1688"/>
      <c r="KJL30" s="1688"/>
      <c r="KJM30" s="1688"/>
      <c r="KJN30" s="1688"/>
      <c r="KJO30" s="1688"/>
      <c r="KJP30" s="1688"/>
      <c r="KJQ30" s="1688"/>
      <c r="KJR30" s="1688"/>
      <c r="KJS30" s="1688"/>
      <c r="KJT30" s="1688"/>
      <c r="KJU30" s="1688"/>
      <c r="KJV30" s="1688"/>
      <c r="KJW30" s="1688"/>
      <c r="KJX30" s="1688"/>
      <c r="KJY30" s="1688"/>
      <c r="KJZ30" s="1688"/>
      <c r="KKA30" s="1688"/>
      <c r="KKB30" s="1688"/>
      <c r="KKC30" s="1688"/>
      <c r="KKD30" s="1688"/>
      <c r="KKE30" s="1688"/>
      <c r="KKF30" s="1688"/>
      <c r="KKG30" s="1688"/>
      <c r="KKH30" s="1688"/>
      <c r="KKI30" s="1688"/>
      <c r="KKJ30" s="1688"/>
      <c r="KKK30" s="1688"/>
      <c r="KKL30" s="1688"/>
      <c r="KKM30" s="1688"/>
      <c r="KKN30" s="1688"/>
      <c r="KKO30" s="1688"/>
      <c r="KKP30" s="1688"/>
      <c r="KKQ30" s="1688"/>
      <c r="KKR30" s="1688"/>
      <c r="KKS30" s="1688"/>
      <c r="KKT30" s="1688"/>
      <c r="KKU30" s="1688"/>
      <c r="KKV30" s="1688"/>
      <c r="KKW30" s="1688"/>
      <c r="KKX30" s="1688"/>
      <c r="KKY30" s="1688"/>
      <c r="KKZ30" s="1688"/>
      <c r="KLA30" s="1688"/>
      <c r="KLB30" s="1688"/>
      <c r="KLC30" s="1688"/>
      <c r="KLD30" s="1688"/>
      <c r="KLE30" s="1688"/>
      <c r="KLF30" s="1688"/>
      <c r="KLG30" s="1688"/>
      <c r="KLH30" s="1688"/>
      <c r="KLI30" s="1688"/>
      <c r="KLJ30" s="1688"/>
      <c r="KLK30" s="1688"/>
      <c r="KLL30" s="1688"/>
      <c r="KLM30" s="1688"/>
      <c r="KLN30" s="1688"/>
      <c r="KLO30" s="1688"/>
      <c r="KLP30" s="1688"/>
      <c r="KLQ30" s="1688"/>
      <c r="KLR30" s="1688"/>
      <c r="KLS30" s="1688"/>
      <c r="KLT30" s="1688"/>
      <c r="KLU30" s="1688"/>
      <c r="KLV30" s="1688"/>
      <c r="KLW30" s="1688"/>
      <c r="KLX30" s="1688"/>
      <c r="KLY30" s="1688"/>
      <c r="KLZ30" s="1688"/>
      <c r="KMA30" s="1688"/>
      <c r="KMB30" s="1688"/>
      <c r="KMC30" s="1688"/>
      <c r="KMD30" s="1688"/>
      <c r="KME30" s="1688"/>
      <c r="KMF30" s="1688"/>
      <c r="KMG30" s="1688"/>
      <c r="KMH30" s="1688"/>
      <c r="KMI30" s="1688"/>
      <c r="KMJ30" s="1688"/>
      <c r="KMK30" s="1688"/>
      <c r="KML30" s="1688"/>
      <c r="KMM30" s="1688"/>
      <c r="KMN30" s="1688"/>
      <c r="KMO30" s="1688"/>
      <c r="KMP30" s="1688"/>
      <c r="KMQ30" s="1688"/>
      <c r="KMR30" s="1688"/>
      <c r="KMS30" s="1688"/>
      <c r="KMT30" s="1688"/>
      <c r="KMU30" s="1688"/>
      <c r="KMV30" s="1688"/>
      <c r="KMW30" s="1688"/>
      <c r="KMX30" s="1688"/>
      <c r="KMY30" s="1688"/>
      <c r="KMZ30" s="1688"/>
      <c r="KNA30" s="1688"/>
      <c r="KNB30" s="1688"/>
      <c r="KNC30" s="1688"/>
      <c r="KND30" s="1688"/>
      <c r="KNE30" s="1688"/>
      <c r="KNF30" s="1688"/>
      <c r="KNG30" s="1688"/>
      <c r="KNH30" s="1688"/>
      <c r="KNI30" s="1688"/>
      <c r="KNJ30" s="1688"/>
      <c r="KNK30" s="1688"/>
      <c r="KNL30" s="1688"/>
      <c r="KNM30" s="1688"/>
      <c r="KNN30" s="1688"/>
      <c r="KNO30" s="1688"/>
      <c r="KNP30" s="1688"/>
      <c r="KNQ30" s="1688"/>
      <c r="KNR30" s="1688"/>
      <c r="KNS30" s="1688"/>
      <c r="KNT30" s="1688"/>
      <c r="KNU30" s="1688"/>
      <c r="KNV30" s="1688"/>
      <c r="KNW30" s="1688"/>
      <c r="KNX30" s="1688"/>
      <c r="KNY30" s="1688"/>
      <c r="KNZ30" s="1688"/>
      <c r="KOA30" s="1688"/>
      <c r="KOB30" s="1688"/>
      <c r="KOC30" s="1688"/>
      <c r="KOD30" s="1688"/>
      <c r="KOE30" s="1688"/>
      <c r="KOF30" s="1688"/>
      <c r="KOG30" s="1688"/>
      <c r="KOH30" s="1688"/>
      <c r="KOI30" s="1688"/>
      <c r="KOJ30" s="1688"/>
      <c r="KOK30" s="1688"/>
      <c r="KOL30" s="1688"/>
      <c r="KOM30" s="1688"/>
      <c r="KON30" s="1688"/>
      <c r="KOO30" s="1688"/>
      <c r="KOP30" s="1688"/>
      <c r="KOQ30" s="1688"/>
      <c r="KOR30" s="1688"/>
      <c r="KOS30" s="1688"/>
      <c r="KOT30" s="1688"/>
      <c r="KOU30" s="1688"/>
      <c r="KOV30" s="1688"/>
      <c r="KOW30" s="1688"/>
      <c r="KOX30" s="1688"/>
      <c r="KOY30" s="1688"/>
      <c r="KOZ30" s="1688"/>
      <c r="KPA30" s="1688"/>
      <c r="KPB30" s="1688"/>
      <c r="KPC30" s="1688"/>
      <c r="KPD30" s="1688"/>
      <c r="KPE30" s="1688"/>
      <c r="KPF30" s="1688"/>
      <c r="KPG30" s="1688"/>
      <c r="KPH30" s="1688"/>
      <c r="KPI30" s="1688"/>
      <c r="KPJ30" s="1688"/>
      <c r="KPK30" s="1688"/>
      <c r="KPL30" s="1688"/>
      <c r="KPM30" s="1688"/>
      <c r="KPN30" s="1688"/>
      <c r="KPO30" s="1688"/>
      <c r="KPP30" s="1688"/>
      <c r="KPQ30" s="1688"/>
      <c r="KPR30" s="1688"/>
      <c r="KPS30" s="1688"/>
      <c r="KPT30" s="1688"/>
      <c r="KPU30" s="1688"/>
      <c r="KPV30" s="1688"/>
      <c r="KPW30" s="1688"/>
      <c r="KPX30" s="1688"/>
      <c r="KPY30" s="1688"/>
      <c r="KPZ30" s="1688"/>
      <c r="KQA30" s="1688"/>
      <c r="KQB30" s="1688"/>
      <c r="KQC30" s="1688"/>
      <c r="KQD30" s="1688"/>
      <c r="KQE30" s="1688"/>
      <c r="KQF30" s="1688"/>
      <c r="KQG30" s="1688"/>
      <c r="KQH30" s="1688"/>
      <c r="KQI30" s="1688"/>
      <c r="KQJ30" s="1688"/>
      <c r="KQK30" s="1688"/>
      <c r="KQL30" s="1688"/>
      <c r="KQM30" s="1688"/>
      <c r="KQN30" s="1688"/>
      <c r="KQO30" s="1688"/>
      <c r="KQP30" s="1688"/>
      <c r="KQQ30" s="1688"/>
      <c r="KQR30" s="1688"/>
      <c r="KQS30" s="1688"/>
      <c r="KQT30" s="1688"/>
      <c r="KQU30" s="1688"/>
      <c r="KQV30" s="1688"/>
      <c r="KQW30" s="1688"/>
      <c r="KQX30" s="1688"/>
      <c r="KQY30" s="1688"/>
      <c r="KQZ30" s="1688"/>
      <c r="KRA30" s="1688"/>
      <c r="KRB30" s="1688"/>
      <c r="KRC30" s="1688"/>
      <c r="KRD30" s="1688"/>
      <c r="KRE30" s="1688"/>
      <c r="KRF30" s="1688"/>
      <c r="KRG30" s="1688"/>
      <c r="KRH30" s="1688"/>
      <c r="KRI30" s="1688"/>
      <c r="KRJ30" s="1688"/>
      <c r="KRK30" s="1688"/>
      <c r="KRL30" s="1688"/>
      <c r="KRM30" s="1688"/>
      <c r="KRN30" s="1688"/>
      <c r="KRO30" s="1688"/>
      <c r="KRP30" s="1688"/>
      <c r="KRQ30" s="1688"/>
      <c r="KRR30" s="1688"/>
      <c r="KRS30" s="1688"/>
      <c r="KRT30" s="1688"/>
      <c r="KRU30" s="1688"/>
      <c r="KRV30" s="1688"/>
      <c r="KRW30" s="1688"/>
      <c r="KRX30" s="1688"/>
      <c r="KRY30" s="1688"/>
      <c r="KRZ30" s="1688"/>
      <c r="KSA30" s="1688"/>
      <c r="KSB30" s="1688"/>
      <c r="KSC30" s="1688"/>
      <c r="KSD30" s="1688"/>
      <c r="KSE30" s="1688"/>
      <c r="KSF30" s="1688"/>
      <c r="KSG30" s="1688"/>
      <c r="KSH30" s="1688"/>
      <c r="KSI30" s="1688"/>
      <c r="KSJ30" s="1688"/>
      <c r="KSK30" s="1688"/>
      <c r="KSL30" s="1688"/>
      <c r="KSM30" s="1688"/>
      <c r="KSN30" s="1688"/>
      <c r="KSO30" s="1688"/>
      <c r="KSP30" s="1688"/>
      <c r="KSQ30" s="1688"/>
      <c r="KSR30" s="1688"/>
      <c r="KSS30" s="1688"/>
      <c r="KST30" s="1688"/>
      <c r="KSU30" s="1688"/>
      <c r="KSV30" s="1688"/>
      <c r="KSW30" s="1688"/>
      <c r="KSX30" s="1688"/>
      <c r="KSY30" s="1688"/>
      <c r="KSZ30" s="1688"/>
      <c r="KTA30" s="1688"/>
      <c r="KTB30" s="1688"/>
      <c r="KTC30" s="1688"/>
      <c r="KTD30" s="1688"/>
      <c r="KTE30" s="1688"/>
      <c r="KTF30" s="1688"/>
      <c r="KTG30" s="1688"/>
      <c r="KTH30" s="1688"/>
      <c r="KTI30" s="1688"/>
      <c r="KTJ30" s="1688"/>
      <c r="KTK30" s="1688"/>
      <c r="KTL30" s="1688"/>
      <c r="KTM30" s="1688"/>
      <c r="KTN30" s="1688"/>
      <c r="KTO30" s="1688"/>
      <c r="KTP30" s="1688"/>
      <c r="KTQ30" s="1688"/>
      <c r="KTR30" s="1688"/>
      <c r="KTS30" s="1688"/>
      <c r="KTT30" s="1688"/>
      <c r="KTU30" s="1688"/>
      <c r="KTV30" s="1688"/>
      <c r="KTW30" s="1688"/>
      <c r="KTX30" s="1688"/>
      <c r="KTY30" s="1688"/>
      <c r="KTZ30" s="1688"/>
      <c r="KUA30" s="1688"/>
      <c r="KUB30" s="1688"/>
      <c r="KUC30" s="1688"/>
      <c r="KUD30" s="1688"/>
      <c r="KUE30" s="1688"/>
      <c r="KUF30" s="1688"/>
      <c r="KUG30" s="1688"/>
      <c r="KUH30" s="1688"/>
      <c r="KUI30" s="1688"/>
      <c r="KUJ30" s="1688"/>
      <c r="KUK30" s="1688"/>
      <c r="KUL30" s="1688"/>
      <c r="KUM30" s="1688"/>
      <c r="KUN30" s="1688"/>
      <c r="KUO30" s="1688"/>
      <c r="KUP30" s="1688"/>
      <c r="KUQ30" s="1688"/>
      <c r="KUR30" s="1688"/>
      <c r="KUS30" s="1688"/>
      <c r="KUT30" s="1688"/>
      <c r="KUU30" s="1688"/>
      <c r="KUV30" s="1688"/>
      <c r="KUW30" s="1688"/>
      <c r="KUX30" s="1688"/>
      <c r="KUY30" s="1688"/>
      <c r="KUZ30" s="1688"/>
      <c r="KVA30" s="1688"/>
      <c r="KVB30" s="1688"/>
      <c r="KVC30" s="1688"/>
      <c r="KVD30" s="1688"/>
      <c r="KVE30" s="1688"/>
      <c r="KVF30" s="1688"/>
      <c r="KVG30" s="1688"/>
      <c r="KVH30" s="1688"/>
      <c r="KVI30" s="1688"/>
      <c r="KVJ30" s="1688"/>
      <c r="KVK30" s="1688"/>
      <c r="KVL30" s="1688"/>
      <c r="KVM30" s="1688"/>
      <c r="KVN30" s="1688"/>
      <c r="KVO30" s="1688"/>
      <c r="KVP30" s="1688"/>
      <c r="KVQ30" s="1688"/>
      <c r="KVR30" s="1688"/>
      <c r="KVS30" s="1688"/>
      <c r="KVT30" s="1688"/>
      <c r="KVU30" s="1688"/>
      <c r="KVV30" s="1688"/>
      <c r="KVW30" s="1688"/>
      <c r="KVX30" s="1688"/>
      <c r="KVY30" s="1688"/>
      <c r="KVZ30" s="1688"/>
      <c r="KWA30" s="1688"/>
      <c r="KWB30" s="1688"/>
      <c r="KWC30" s="1688"/>
      <c r="KWD30" s="1688"/>
      <c r="KWE30" s="1688"/>
      <c r="KWF30" s="1688"/>
      <c r="KWG30" s="1688"/>
      <c r="KWH30" s="1688"/>
      <c r="KWI30" s="1688"/>
      <c r="KWJ30" s="1688"/>
      <c r="KWK30" s="1688"/>
      <c r="KWL30" s="1688"/>
      <c r="KWM30" s="1688"/>
      <c r="KWN30" s="1688"/>
      <c r="KWO30" s="1688"/>
      <c r="KWP30" s="1688"/>
      <c r="KWQ30" s="1688"/>
      <c r="KWR30" s="1688"/>
      <c r="KWS30" s="1688"/>
      <c r="KWT30" s="1688"/>
      <c r="KWU30" s="1688"/>
      <c r="KWV30" s="1688"/>
      <c r="KWW30" s="1688"/>
      <c r="KWX30" s="1688"/>
      <c r="KWY30" s="1688"/>
      <c r="KWZ30" s="1688"/>
      <c r="KXA30" s="1688"/>
      <c r="KXB30" s="1688"/>
      <c r="KXC30" s="1688"/>
      <c r="KXD30" s="1688"/>
      <c r="KXE30" s="1688"/>
      <c r="KXF30" s="1688"/>
      <c r="KXG30" s="1688"/>
      <c r="KXH30" s="1688"/>
      <c r="KXI30" s="1688"/>
      <c r="KXJ30" s="1688"/>
      <c r="KXK30" s="1688"/>
      <c r="KXL30" s="1688"/>
      <c r="KXM30" s="1688"/>
      <c r="KXN30" s="1688"/>
      <c r="KXO30" s="1688"/>
      <c r="KXP30" s="1688"/>
      <c r="KXQ30" s="1688"/>
      <c r="KXR30" s="1688"/>
      <c r="KXS30" s="1688"/>
      <c r="KXT30" s="1688"/>
      <c r="KXU30" s="1688"/>
      <c r="KXV30" s="1688"/>
      <c r="KXW30" s="1688"/>
      <c r="KXX30" s="1688"/>
      <c r="KXY30" s="1688"/>
      <c r="KXZ30" s="1688"/>
      <c r="KYA30" s="1688"/>
      <c r="KYB30" s="1688"/>
      <c r="KYC30" s="1688"/>
      <c r="KYD30" s="1688"/>
      <c r="KYE30" s="1688"/>
      <c r="KYF30" s="1688"/>
      <c r="KYG30" s="1688"/>
      <c r="KYH30" s="1688"/>
      <c r="KYI30" s="1688"/>
      <c r="KYJ30" s="1688"/>
      <c r="KYK30" s="1688"/>
      <c r="KYL30" s="1688"/>
      <c r="KYM30" s="1688"/>
      <c r="KYN30" s="1688"/>
      <c r="KYO30" s="1688"/>
      <c r="KYP30" s="1688"/>
      <c r="KYQ30" s="1688"/>
      <c r="KYR30" s="1688"/>
      <c r="KYS30" s="1688"/>
      <c r="KYT30" s="1688"/>
      <c r="KYU30" s="1688"/>
      <c r="KYV30" s="1688"/>
      <c r="KYW30" s="1688"/>
      <c r="KYX30" s="1688"/>
      <c r="KYY30" s="1688"/>
      <c r="KYZ30" s="1688"/>
      <c r="KZA30" s="1688"/>
      <c r="KZB30" s="1688"/>
      <c r="KZC30" s="1688"/>
      <c r="KZD30" s="1688"/>
      <c r="KZE30" s="1688"/>
      <c r="KZF30" s="1688"/>
      <c r="KZG30" s="1688"/>
      <c r="KZH30" s="1688"/>
      <c r="KZI30" s="1688"/>
      <c r="KZJ30" s="1688"/>
      <c r="KZK30" s="1688"/>
      <c r="KZL30" s="1688"/>
      <c r="KZM30" s="1688"/>
      <c r="KZN30" s="1688"/>
      <c r="KZO30" s="1688"/>
      <c r="KZP30" s="1688"/>
      <c r="KZQ30" s="1688"/>
      <c r="KZR30" s="1688"/>
      <c r="KZS30" s="1688"/>
      <c r="KZT30" s="1688"/>
      <c r="KZU30" s="1688"/>
      <c r="KZV30" s="1688"/>
      <c r="KZW30" s="1688"/>
      <c r="KZX30" s="1688"/>
      <c r="KZY30" s="1688"/>
      <c r="KZZ30" s="1688"/>
      <c r="LAA30" s="1688"/>
      <c r="LAB30" s="1688"/>
      <c r="LAC30" s="1688"/>
      <c r="LAD30" s="1688"/>
      <c r="LAE30" s="1688"/>
      <c r="LAF30" s="1688"/>
      <c r="LAG30" s="1688"/>
      <c r="LAH30" s="1688"/>
      <c r="LAI30" s="1688"/>
      <c r="LAJ30" s="1688"/>
      <c r="LAK30" s="1688"/>
      <c r="LAL30" s="1688"/>
      <c r="LAM30" s="1688"/>
      <c r="LAN30" s="1688"/>
      <c r="LAO30" s="1688"/>
      <c r="LAP30" s="1688"/>
      <c r="LAQ30" s="1688"/>
      <c r="LAR30" s="1688"/>
      <c r="LAS30" s="1688"/>
      <c r="LAT30" s="1688"/>
      <c r="LAU30" s="1688"/>
      <c r="LAV30" s="1688"/>
      <c r="LAW30" s="1688"/>
      <c r="LAX30" s="1688"/>
      <c r="LAY30" s="1688"/>
      <c r="LAZ30" s="1688"/>
      <c r="LBA30" s="1688"/>
      <c r="LBB30" s="1688"/>
      <c r="LBC30" s="1688"/>
      <c r="LBD30" s="1688"/>
      <c r="LBE30" s="1688"/>
      <c r="LBF30" s="1688"/>
      <c r="LBG30" s="1688"/>
      <c r="LBH30" s="1688"/>
      <c r="LBI30" s="1688"/>
      <c r="LBJ30" s="1688"/>
      <c r="LBK30" s="1688"/>
      <c r="LBL30" s="1688"/>
      <c r="LBM30" s="1688"/>
      <c r="LBN30" s="1688"/>
      <c r="LBO30" s="1688"/>
      <c r="LBP30" s="1688"/>
      <c r="LBQ30" s="1688"/>
      <c r="LBR30" s="1688"/>
      <c r="LBS30" s="1688"/>
      <c r="LBT30" s="1688"/>
      <c r="LBU30" s="1688"/>
      <c r="LBV30" s="1688"/>
      <c r="LBW30" s="1688"/>
      <c r="LBX30" s="1688"/>
      <c r="LBY30" s="1688"/>
      <c r="LBZ30" s="1688"/>
      <c r="LCA30" s="1688"/>
      <c r="LCB30" s="1688"/>
      <c r="LCC30" s="1688"/>
      <c r="LCD30" s="1688"/>
      <c r="LCE30" s="1688"/>
      <c r="LCF30" s="1688"/>
      <c r="LCG30" s="1688"/>
      <c r="LCH30" s="1688"/>
      <c r="LCI30" s="1688"/>
      <c r="LCJ30" s="1688"/>
      <c r="LCK30" s="1688"/>
      <c r="LCL30" s="1688"/>
      <c r="LCM30" s="1688"/>
      <c r="LCN30" s="1688"/>
      <c r="LCO30" s="1688"/>
      <c r="LCP30" s="1688"/>
      <c r="LCQ30" s="1688"/>
      <c r="LCR30" s="1688"/>
      <c r="LCS30" s="1688"/>
      <c r="LCT30" s="1688"/>
      <c r="LCU30" s="1688"/>
      <c r="LCV30" s="1688"/>
      <c r="LCW30" s="1688"/>
      <c r="LCX30" s="1688"/>
      <c r="LCY30" s="1688"/>
      <c r="LCZ30" s="1688"/>
      <c r="LDA30" s="1688"/>
      <c r="LDB30" s="1688"/>
      <c r="LDC30" s="1688"/>
      <c r="LDD30" s="1688"/>
      <c r="LDE30" s="1688"/>
      <c r="LDF30" s="1688"/>
      <c r="LDG30" s="1688"/>
      <c r="LDH30" s="1688"/>
      <c r="LDI30" s="1688"/>
      <c r="LDJ30" s="1688"/>
      <c r="LDK30" s="1688"/>
      <c r="LDL30" s="1688"/>
      <c r="LDM30" s="1688"/>
      <c r="LDN30" s="1688"/>
      <c r="LDO30" s="1688"/>
      <c r="LDP30" s="1688"/>
      <c r="LDQ30" s="1688"/>
      <c r="LDR30" s="1688"/>
      <c r="LDS30" s="1688"/>
      <c r="LDT30" s="1688"/>
      <c r="LDU30" s="1688"/>
      <c r="LDV30" s="1688"/>
      <c r="LDW30" s="1688"/>
      <c r="LDX30" s="1688"/>
      <c r="LDY30" s="1688"/>
      <c r="LDZ30" s="1688"/>
      <c r="LEA30" s="1688"/>
      <c r="LEB30" s="1688"/>
      <c r="LEC30" s="1688"/>
      <c r="LED30" s="1688"/>
      <c r="LEE30" s="1688"/>
      <c r="LEF30" s="1688"/>
      <c r="LEG30" s="1688"/>
      <c r="LEH30" s="1688"/>
      <c r="LEI30" s="1688"/>
      <c r="LEJ30" s="1688"/>
      <c r="LEK30" s="1688"/>
      <c r="LEL30" s="1688"/>
      <c r="LEM30" s="1688"/>
      <c r="LEN30" s="1688"/>
      <c r="LEO30" s="1688"/>
      <c r="LEP30" s="1688"/>
      <c r="LEQ30" s="1688"/>
      <c r="LER30" s="1688"/>
      <c r="LES30" s="1688"/>
      <c r="LET30" s="1688"/>
      <c r="LEU30" s="1688"/>
      <c r="LEV30" s="1688"/>
      <c r="LEW30" s="1688"/>
      <c r="LEX30" s="1688"/>
      <c r="LEY30" s="1688"/>
      <c r="LEZ30" s="1688"/>
      <c r="LFA30" s="1688"/>
      <c r="LFB30" s="1688"/>
      <c r="LFC30" s="1688"/>
      <c r="LFD30" s="1688"/>
      <c r="LFE30" s="1688"/>
      <c r="LFF30" s="1688"/>
      <c r="LFG30" s="1688"/>
      <c r="LFH30" s="1688"/>
      <c r="LFI30" s="1688"/>
      <c r="LFJ30" s="1688"/>
      <c r="LFK30" s="1688"/>
      <c r="LFL30" s="1688"/>
      <c r="LFM30" s="1688"/>
      <c r="LFN30" s="1688"/>
      <c r="LFO30" s="1688"/>
      <c r="LFP30" s="1688"/>
      <c r="LFQ30" s="1688"/>
      <c r="LFR30" s="1688"/>
      <c r="LFS30" s="1688"/>
      <c r="LFT30" s="1688"/>
      <c r="LFU30" s="1688"/>
      <c r="LFV30" s="1688"/>
      <c r="LFW30" s="1688"/>
      <c r="LFX30" s="1688"/>
      <c r="LFY30" s="1688"/>
      <c r="LFZ30" s="1688"/>
      <c r="LGA30" s="1688"/>
      <c r="LGB30" s="1688"/>
      <c r="LGC30" s="1688"/>
      <c r="LGD30" s="1688"/>
      <c r="LGE30" s="1688"/>
      <c r="LGF30" s="1688"/>
      <c r="LGG30" s="1688"/>
      <c r="LGH30" s="1688"/>
      <c r="LGI30" s="1688"/>
      <c r="LGJ30" s="1688"/>
      <c r="LGK30" s="1688"/>
      <c r="LGL30" s="1688"/>
      <c r="LGM30" s="1688"/>
      <c r="LGN30" s="1688"/>
      <c r="LGO30" s="1688"/>
      <c r="LGP30" s="1688"/>
      <c r="LGQ30" s="1688"/>
      <c r="LGR30" s="1688"/>
      <c r="LGS30" s="1688"/>
      <c r="LGT30" s="1688"/>
      <c r="LGU30" s="1688"/>
      <c r="LGV30" s="1688"/>
      <c r="LGW30" s="1688"/>
      <c r="LGX30" s="1688"/>
      <c r="LGY30" s="1688"/>
      <c r="LGZ30" s="1688"/>
      <c r="LHA30" s="1688"/>
      <c r="LHB30" s="1688"/>
      <c r="LHC30" s="1688"/>
      <c r="LHD30" s="1688"/>
      <c r="LHE30" s="1688"/>
      <c r="LHF30" s="1688"/>
      <c r="LHG30" s="1688"/>
      <c r="LHH30" s="1688"/>
      <c r="LHI30" s="1688"/>
      <c r="LHJ30" s="1688"/>
      <c r="LHK30" s="1688"/>
      <c r="LHL30" s="1688"/>
      <c r="LHM30" s="1688"/>
      <c r="LHN30" s="1688"/>
      <c r="LHO30" s="1688"/>
      <c r="LHP30" s="1688"/>
      <c r="LHQ30" s="1688"/>
      <c r="LHR30" s="1688"/>
      <c r="LHS30" s="1688"/>
      <c r="LHT30" s="1688"/>
      <c r="LHU30" s="1688"/>
      <c r="LHV30" s="1688"/>
      <c r="LHW30" s="1688"/>
      <c r="LHX30" s="1688"/>
      <c r="LHY30" s="1688"/>
      <c r="LHZ30" s="1688"/>
      <c r="LIA30" s="1688"/>
      <c r="LIB30" s="1688"/>
      <c r="LIC30" s="1688"/>
      <c r="LID30" s="1688"/>
      <c r="LIE30" s="1688"/>
      <c r="LIF30" s="1688"/>
      <c r="LIG30" s="1688"/>
      <c r="LIH30" s="1688"/>
      <c r="LII30" s="1688"/>
      <c r="LIJ30" s="1688"/>
      <c r="LIK30" s="1688"/>
      <c r="LIL30" s="1688"/>
      <c r="LIM30" s="1688"/>
      <c r="LIN30" s="1688"/>
      <c r="LIO30" s="1688"/>
      <c r="LIP30" s="1688"/>
      <c r="LIQ30" s="1688"/>
      <c r="LIR30" s="1688"/>
      <c r="LIS30" s="1688"/>
      <c r="LIT30" s="1688"/>
      <c r="LIU30" s="1688"/>
      <c r="LIV30" s="1688"/>
      <c r="LIW30" s="1688"/>
      <c r="LIX30" s="1688"/>
      <c r="LIY30" s="1688"/>
      <c r="LIZ30" s="1688"/>
      <c r="LJA30" s="1688"/>
      <c r="LJB30" s="1688"/>
      <c r="LJC30" s="1688"/>
      <c r="LJD30" s="1688"/>
      <c r="LJE30" s="1688"/>
      <c r="LJF30" s="1688"/>
      <c r="LJG30" s="1688"/>
      <c r="LJH30" s="1688"/>
      <c r="LJI30" s="1688"/>
      <c r="LJJ30" s="1688"/>
      <c r="LJK30" s="1688"/>
      <c r="LJL30" s="1688"/>
      <c r="LJM30" s="1688"/>
      <c r="LJN30" s="1688"/>
      <c r="LJO30" s="1688"/>
      <c r="LJP30" s="1688"/>
      <c r="LJQ30" s="1688"/>
      <c r="LJR30" s="1688"/>
      <c r="LJS30" s="1688"/>
      <c r="LJT30" s="1688"/>
      <c r="LJU30" s="1688"/>
      <c r="LJV30" s="1688"/>
      <c r="LJW30" s="1688"/>
      <c r="LJX30" s="1688"/>
      <c r="LJY30" s="1688"/>
      <c r="LJZ30" s="1688"/>
      <c r="LKA30" s="1688"/>
      <c r="LKB30" s="1688"/>
      <c r="LKC30" s="1688"/>
      <c r="LKD30" s="1688"/>
      <c r="LKE30" s="1688"/>
      <c r="LKF30" s="1688"/>
      <c r="LKG30" s="1688"/>
      <c r="LKH30" s="1688"/>
      <c r="LKI30" s="1688"/>
      <c r="LKJ30" s="1688"/>
      <c r="LKK30" s="1688"/>
      <c r="LKL30" s="1688"/>
      <c r="LKM30" s="1688"/>
      <c r="LKN30" s="1688"/>
      <c r="LKO30" s="1688"/>
      <c r="LKP30" s="1688"/>
      <c r="LKQ30" s="1688"/>
      <c r="LKR30" s="1688"/>
      <c r="LKS30" s="1688"/>
      <c r="LKT30" s="1688"/>
      <c r="LKU30" s="1688"/>
      <c r="LKV30" s="1688"/>
      <c r="LKW30" s="1688"/>
      <c r="LKX30" s="1688"/>
      <c r="LKY30" s="1688"/>
      <c r="LKZ30" s="1688"/>
      <c r="LLA30" s="1688"/>
      <c r="LLB30" s="1688"/>
      <c r="LLC30" s="1688"/>
      <c r="LLD30" s="1688"/>
      <c r="LLE30" s="1688"/>
      <c r="LLF30" s="1688"/>
      <c r="LLG30" s="1688"/>
      <c r="LLH30" s="1688"/>
      <c r="LLI30" s="1688"/>
      <c r="LLJ30" s="1688"/>
      <c r="LLK30" s="1688"/>
      <c r="LLL30" s="1688"/>
      <c r="LLM30" s="1688"/>
      <c r="LLN30" s="1688"/>
      <c r="LLO30" s="1688"/>
      <c r="LLP30" s="1688"/>
      <c r="LLQ30" s="1688"/>
      <c r="LLR30" s="1688"/>
      <c r="LLS30" s="1688"/>
      <c r="LLT30" s="1688"/>
      <c r="LLU30" s="1688"/>
      <c r="LLV30" s="1688"/>
      <c r="LLW30" s="1688"/>
      <c r="LLX30" s="1688"/>
      <c r="LLY30" s="1688"/>
      <c r="LLZ30" s="1688"/>
      <c r="LMA30" s="1688"/>
      <c r="LMB30" s="1688"/>
      <c r="LMC30" s="1688"/>
      <c r="LMD30" s="1688"/>
      <c r="LME30" s="1688"/>
      <c r="LMF30" s="1688"/>
      <c r="LMG30" s="1688"/>
      <c r="LMH30" s="1688"/>
      <c r="LMI30" s="1688"/>
      <c r="LMJ30" s="1688"/>
      <c r="LMK30" s="1688"/>
      <c r="LML30" s="1688"/>
      <c r="LMM30" s="1688"/>
      <c r="LMN30" s="1688"/>
      <c r="LMO30" s="1688"/>
      <c r="LMP30" s="1688"/>
      <c r="LMQ30" s="1688"/>
      <c r="LMR30" s="1688"/>
      <c r="LMS30" s="1688"/>
      <c r="LMT30" s="1688"/>
      <c r="LMU30" s="1688"/>
      <c r="LMV30" s="1688"/>
      <c r="LMW30" s="1688"/>
      <c r="LMX30" s="1688"/>
      <c r="LMY30" s="1688"/>
      <c r="LMZ30" s="1688"/>
      <c r="LNA30" s="1688"/>
      <c r="LNB30" s="1688"/>
      <c r="LNC30" s="1688"/>
      <c r="LND30" s="1688"/>
      <c r="LNE30" s="1688"/>
      <c r="LNF30" s="1688"/>
      <c r="LNG30" s="1688"/>
      <c r="LNH30" s="1688"/>
      <c r="LNI30" s="1688"/>
      <c r="LNJ30" s="1688"/>
      <c r="LNK30" s="1688"/>
      <c r="LNL30" s="1688"/>
      <c r="LNM30" s="1688"/>
      <c r="LNN30" s="1688"/>
      <c r="LNO30" s="1688"/>
      <c r="LNP30" s="1688"/>
      <c r="LNQ30" s="1688"/>
      <c r="LNR30" s="1688"/>
      <c r="LNS30" s="1688"/>
      <c r="LNT30" s="1688"/>
      <c r="LNU30" s="1688"/>
      <c r="LNV30" s="1688"/>
      <c r="LNW30" s="1688"/>
      <c r="LNX30" s="1688"/>
      <c r="LNY30" s="1688"/>
      <c r="LNZ30" s="1688"/>
      <c r="LOA30" s="1688"/>
      <c r="LOB30" s="1688"/>
      <c r="LOC30" s="1688"/>
      <c r="LOD30" s="1688"/>
      <c r="LOE30" s="1688"/>
      <c r="LOF30" s="1688"/>
      <c r="LOG30" s="1688"/>
      <c r="LOH30" s="1688"/>
      <c r="LOI30" s="1688"/>
      <c r="LOJ30" s="1688"/>
      <c r="LOK30" s="1688"/>
      <c r="LOL30" s="1688"/>
      <c r="LOM30" s="1688"/>
      <c r="LON30" s="1688"/>
      <c r="LOO30" s="1688"/>
      <c r="LOP30" s="1688"/>
      <c r="LOQ30" s="1688"/>
      <c r="LOR30" s="1688"/>
      <c r="LOS30" s="1688"/>
      <c r="LOT30" s="1688"/>
      <c r="LOU30" s="1688"/>
      <c r="LOV30" s="1688"/>
      <c r="LOW30" s="1688"/>
      <c r="LOX30" s="1688"/>
      <c r="LOY30" s="1688"/>
      <c r="LOZ30" s="1688"/>
      <c r="LPA30" s="1688"/>
      <c r="LPB30" s="1688"/>
      <c r="LPC30" s="1688"/>
      <c r="LPD30" s="1688"/>
      <c r="LPE30" s="1688"/>
      <c r="LPF30" s="1688"/>
      <c r="LPG30" s="1688"/>
      <c r="LPH30" s="1688"/>
      <c r="LPI30" s="1688"/>
      <c r="LPJ30" s="1688"/>
      <c r="LPK30" s="1688"/>
      <c r="LPL30" s="1688"/>
      <c r="LPM30" s="1688"/>
      <c r="LPN30" s="1688"/>
      <c r="LPO30" s="1688"/>
      <c r="LPP30" s="1688"/>
      <c r="LPQ30" s="1688"/>
      <c r="LPR30" s="1688"/>
      <c r="LPS30" s="1688"/>
      <c r="LPT30" s="1688"/>
      <c r="LPU30" s="1688"/>
      <c r="LPV30" s="1688"/>
      <c r="LPW30" s="1688"/>
      <c r="LPX30" s="1688"/>
      <c r="LPY30" s="1688"/>
      <c r="LPZ30" s="1688"/>
      <c r="LQA30" s="1688"/>
      <c r="LQB30" s="1688"/>
      <c r="LQC30" s="1688"/>
      <c r="LQD30" s="1688"/>
      <c r="LQE30" s="1688"/>
      <c r="LQF30" s="1688"/>
      <c r="LQG30" s="1688"/>
      <c r="LQH30" s="1688"/>
      <c r="LQI30" s="1688"/>
      <c r="LQJ30" s="1688"/>
      <c r="LQK30" s="1688"/>
      <c r="LQL30" s="1688"/>
      <c r="LQM30" s="1688"/>
      <c r="LQN30" s="1688"/>
      <c r="LQO30" s="1688"/>
      <c r="LQP30" s="1688"/>
      <c r="LQQ30" s="1688"/>
      <c r="LQR30" s="1688"/>
      <c r="LQS30" s="1688"/>
      <c r="LQT30" s="1688"/>
      <c r="LQU30" s="1688"/>
      <c r="LQV30" s="1688"/>
      <c r="LQW30" s="1688"/>
      <c r="LQX30" s="1688"/>
      <c r="LQY30" s="1688"/>
      <c r="LQZ30" s="1688"/>
      <c r="LRA30" s="1688"/>
      <c r="LRB30" s="1688"/>
      <c r="LRC30" s="1688"/>
      <c r="LRD30" s="1688"/>
      <c r="LRE30" s="1688"/>
      <c r="LRF30" s="1688"/>
      <c r="LRG30" s="1688"/>
      <c r="LRH30" s="1688"/>
      <c r="LRI30" s="1688"/>
      <c r="LRJ30" s="1688"/>
      <c r="LRK30" s="1688"/>
      <c r="LRL30" s="1688"/>
      <c r="LRM30" s="1688"/>
      <c r="LRN30" s="1688"/>
      <c r="LRO30" s="1688"/>
      <c r="LRP30" s="1688"/>
      <c r="LRQ30" s="1688"/>
      <c r="LRR30" s="1688"/>
      <c r="LRS30" s="1688"/>
      <c r="LRT30" s="1688"/>
      <c r="LRU30" s="1688"/>
      <c r="LRV30" s="1688"/>
      <c r="LRW30" s="1688"/>
      <c r="LRX30" s="1688"/>
      <c r="LRY30" s="1688"/>
      <c r="LRZ30" s="1688"/>
      <c r="LSA30" s="1688"/>
      <c r="LSB30" s="1688"/>
      <c r="LSC30" s="1688"/>
      <c r="LSD30" s="1688"/>
      <c r="LSE30" s="1688"/>
      <c r="LSF30" s="1688"/>
      <c r="LSG30" s="1688"/>
      <c r="LSH30" s="1688"/>
      <c r="LSI30" s="1688"/>
      <c r="LSJ30" s="1688"/>
      <c r="LSK30" s="1688"/>
      <c r="LSL30" s="1688"/>
      <c r="LSM30" s="1688"/>
      <c r="LSN30" s="1688"/>
      <c r="LSO30" s="1688"/>
      <c r="LSP30" s="1688"/>
      <c r="LSQ30" s="1688"/>
      <c r="LSR30" s="1688"/>
      <c r="LSS30" s="1688"/>
      <c r="LST30" s="1688"/>
      <c r="LSU30" s="1688"/>
      <c r="LSV30" s="1688"/>
      <c r="LSW30" s="1688"/>
      <c r="LSX30" s="1688"/>
      <c r="LSY30" s="1688"/>
      <c r="LSZ30" s="1688"/>
      <c r="LTA30" s="1688"/>
      <c r="LTB30" s="1688"/>
      <c r="LTC30" s="1688"/>
      <c r="LTD30" s="1688"/>
      <c r="LTE30" s="1688"/>
      <c r="LTF30" s="1688"/>
      <c r="LTG30" s="1688"/>
      <c r="LTH30" s="1688"/>
      <c r="LTI30" s="1688"/>
      <c r="LTJ30" s="1688"/>
      <c r="LTK30" s="1688"/>
      <c r="LTL30" s="1688"/>
      <c r="LTM30" s="1688"/>
      <c r="LTN30" s="1688"/>
      <c r="LTO30" s="1688"/>
      <c r="LTP30" s="1688"/>
      <c r="LTQ30" s="1688"/>
      <c r="LTR30" s="1688"/>
      <c r="LTS30" s="1688"/>
      <c r="LTT30" s="1688"/>
      <c r="LTU30" s="1688"/>
      <c r="LTV30" s="1688"/>
      <c r="LTW30" s="1688"/>
      <c r="LTX30" s="1688"/>
      <c r="LTY30" s="1688"/>
      <c r="LTZ30" s="1688"/>
      <c r="LUA30" s="1688"/>
      <c r="LUB30" s="1688"/>
      <c r="LUC30" s="1688"/>
      <c r="LUD30" s="1688"/>
      <c r="LUE30" s="1688"/>
      <c r="LUF30" s="1688"/>
      <c r="LUG30" s="1688"/>
      <c r="LUH30" s="1688"/>
      <c r="LUI30" s="1688"/>
      <c r="LUJ30" s="1688"/>
      <c r="LUK30" s="1688"/>
      <c r="LUL30" s="1688"/>
      <c r="LUM30" s="1688"/>
      <c r="LUN30" s="1688"/>
      <c r="LUO30" s="1688"/>
      <c r="LUP30" s="1688"/>
      <c r="LUQ30" s="1688"/>
      <c r="LUR30" s="1688"/>
      <c r="LUS30" s="1688"/>
      <c r="LUT30" s="1688"/>
      <c r="LUU30" s="1688"/>
      <c r="LUV30" s="1688"/>
      <c r="LUW30" s="1688"/>
      <c r="LUX30" s="1688"/>
      <c r="LUY30" s="1688"/>
      <c r="LUZ30" s="1688"/>
      <c r="LVA30" s="1688"/>
      <c r="LVB30" s="1688"/>
      <c r="LVC30" s="1688"/>
      <c r="LVD30" s="1688"/>
      <c r="LVE30" s="1688"/>
      <c r="LVF30" s="1688"/>
      <c r="LVG30" s="1688"/>
      <c r="LVH30" s="1688"/>
      <c r="LVI30" s="1688"/>
      <c r="LVJ30" s="1688"/>
      <c r="LVK30" s="1688"/>
      <c r="LVL30" s="1688"/>
      <c r="LVM30" s="1688"/>
      <c r="LVN30" s="1688"/>
      <c r="LVO30" s="1688"/>
      <c r="LVP30" s="1688"/>
      <c r="LVQ30" s="1688"/>
      <c r="LVR30" s="1688"/>
      <c r="LVS30" s="1688"/>
      <c r="LVT30" s="1688"/>
      <c r="LVU30" s="1688"/>
      <c r="LVV30" s="1688"/>
      <c r="LVW30" s="1688"/>
      <c r="LVX30" s="1688"/>
      <c r="LVY30" s="1688"/>
      <c r="LVZ30" s="1688"/>
      <c r="LWA30" s="1688"/>
      <c r="LWB30" s="1688"/>
      <c r="LWC30" s="1688"/>
      <c r="LWD30" s="1688"/>
      <c r="LWE30" s="1688"/>
      <c r="LWF30" s="1688"/>
      <c r="LWG30" s="1688"/>
      <c r="LWH30" s="1688"/>
      <c r="LWI30" s="1688"/>
      <c r="LWJ30" s="1688"/>
      <c r="LWK30" s="1688"/>
      <c r="LWL30" s="1688"/>
      <c r="LWM30" s="1688"/>
      <c r="LWN30" s="1688"/>
      <c r="LWO30" s="1688"/>
      <c r="LWP30" s="1688"/>
      <c r="LWQ30" s="1688"/>
      <c r="LWR30" s="1688"/>
      <c r="LWS30" s="1688"/>
      <c r="LWT30" s="1688"/>
      <c r="LWU30" s="1688"/>
      <c r="LWV30" s="1688"/>
      <c r="LWW30" s="1688"/>
      <c r="LWX30" s="1688"/>
      <c r="LWY30" s="1688"/>
      <c r="LWZ30" s="1688"/>
      <c r="LXA30" s="1688"/>
      <c r="LXB30" s="1688"/>
      <c r="LXC30" s="1688"/>
      <c r="LXD30" s="1688"/>
      <c r="LXE30" s="1688"/>
      <c r="LXF30" s="1688"/>
      <c r="LXG30" s="1688"/>
      <c r="LXH30" s="1688"/>
      <c r="LXI30" s="1688"/>
      <c r="LXJ30" s="1688"/>
      <c r="LXK30" s="1688"/>
      <c r="LXL30" s="1688"/>
      <c r="LXM30" s="1688"/>
      <c r="LXN30" s="1688"/>
      <c r="LXO30" s="1688"/>
      <c r="LXP30" s="1688"/>
      <c r="LXQ30" s="1688"/>
      <c r="LXR30" s="1688"/>
      <c r="LXS30" s="1688"/>
      <c r="LXT30" s="1688"/>
      <c r="LXU30" s="1688"/>
      <c r="LXV30" s="1688"/>
      <c r="LXW30" s="1688"/>
      <c r="LXX30" s="1688"/>
      <c r="LXY30" s="1688"/>
      <c r="LXZ30" s="1688"/>
      <c r="LYA30" s="1688"/>
      <c r="LYB30" s="1688"/>
      <c r="LYC30" s="1688"/>
      <c r="LYD30" s="1688"/>
      <c r="LYE30" s="1688"/>
      <c r="LYF30" s="1688"/>
      <c r="LYG30" s="1688"/>
      <c r="LYH30" s="1688"/>
      <c r="LYI30" s="1688"/>
      <c r="LYJ30" s="1688"/>
      <c r="LYK30" s="1688"/>
      <c r="LYL30" s="1688"/>
      <c r="LYM30" s="1688"/>
      <c r="LYN30" s="1688"/>
      <c r="LYO30" s="1688"/>
      <c r="LYP30" s="1688"/>
      <c r="LYQ30" s="1688"/>
      <c r="LYR30" s="1688"/>
      <c r="LYS30" s="1688"/>
      <c r="LYT30" s="1688"/>
      <c r="LYU30" s="1688"/>
      <c r="LYV30" s="1688"/>
      <c r="LYW30" s="1688"/>
      <c r="LYX30" s="1688"/>
      <c r="LYY30" s="1688"/>
      <c r="LYZ30" s="1688"/>
      <c r="LZA30" s="1688"/>
      <c r="LZB30" s="1688"/>
      <c r="LZC30" s="1688"/>
      <c r="LZD30" s="1688"/>
      <c r="LZE30" s="1688"/>
      <c r="LZF30" s="1688"/>
      <c r="LZG30" s="1688"/>
      <c r="LZH30" s="1688"/>
      <c r="LZI30" s="1688"/>
      <c r="LZJ30" s="1688"/>
      <c r="LZK30" s="1688"/>
      <c r="LZL30" s="1688"/>
      <c r="LZM30" s="1688"/>
      <c r="LZN30" s="1688"/>
      <c r="LZO30" s="1688"/>
      <c r="LZP30" s="1688"/>
      <c r="LZQ30" s="1688"/>
      <c r="LZR30" s="1688"/>
      <c r="LZS30" s="1688"/>
      <c r="LZT30" s="1688"/>
      <c r="LZU30" s="1688"/>
      <c r="LZV30" s="1688"/>
      <c r="LZW30" s="1688"/>
      <c r="LZX30" s="1688"/>
      <c r="LZY30" s="1688"/>
      <c r="LZZ30" s="1688"/>
      <c r="MAA30" s="1688"/>
      <c r="MAB30" s="1688"/>
      <c r="MAC30" s="1688"/>
      <c r="MAD30" s="1688"/>
      <c r="MAE30" s="1688"/>
      <c r="MAF30" s="1688"/>
      <c r="MAG30" s="1688"/>
      <c r="MAH30" s="1688"/>
      <c r="MAI30" s="1688"/>
      <c r="MAJ30" s="1688"/>
      <c r="MAK30" s="1688"/>
      <c r="MAL30" s="1688"/>
      <c r="MAM30" s="1688"/>
      <c r="MAN30" s="1688"/>
      <c r="MAO30" s="1688"/>
      <c r="MAP30" s="1688"/>
      <c r="MAQ30" s="1688"/>
      <c r="MAR30" s="1688"/>
      <c r="MAS30" s="1688"/>
      <c r="MAT30" s="1688"/>
      <c r="MAU30" s="1688"/>
      <c r="MAV30" s="1688"/>
      <c r="MAW30" s="1688"/>
      <c r="MAX30" s="1688"/>
      <c r="MAY30" s="1688"/>
      <c r="MAZ30" s="1688"/>
      <c r="MBA30" s="1688"/>
      <c r="MBB30" s="1688"/>
      <c r="MBC30" s="1688"/>
      <c r="MBD30" s="1688"/>
      <c r="MBE30" s="1688"/>
      <c r="MBF30" s="1688"/>
      <c r="MBG30" s="1688"/>
      <c r="MBH30" s="1688"/>
      <c r="MBI30" s="1688"/>
      <c r="MBJ30" s="1688"/>
      <c r="MBK30" s="1688"/>
      <c r="MBL30" s="1688"/>
      <c r="MBM30" s="1688"/>
      <c r="MBN30" s="1688"/>
      <c r="MBO30" s="1688"/>
      <c r="MBP30" s="1688"/>
      <c r="MBQ30" s="1688"/>
      <c r="MBR30" s="1688"/>
      <c r="MBS30" s="1688"/>
      <c r="MBT30" s="1688"/>
      <c r="MBU30" s="1688"/>
      <c r="MBV30" s="1688"/>
      <c r="MBW30" s="1688"/>
      <c r="MBX30" s="1688"/>
      <c r="MBY30" s="1688"/>
      <c r="MBZ30" s="1688"/>
      <c r="MCA30" s="1688"/>
      <c r="MCB30" s="1688"/>
      <c r="MCC30" s="1688"/>
      <c r="MCD30" s="1688"/>
      <c r="MCE30" s="1688"/>
      <c r="MCF30" s="1688"/>
      <c r="MCG30" s="1688"/>
      <c r="MCH30" s="1688"/>
      <c r="MCI30" s="1688"/>
      <c r="MCJ30" s="1688"/>
      <c r="MCK30" s="1688"/>
      <c r="MCL30" s="1688"/>
      <c r="MCM30" s="1688"/>
      <c r="MCN30" s="1688"/>
      <c r="MCO30" s="1688"/>
      <c r="MCP30" s="1688"/>
      <c r="MCQ30" s="1688"/>
      <c r="MCR30" s="1688"/>
      <c r="MCS30" s="1688"/>
      <c r="MCT30" s="1688"/>
      <c r="MCU30" s="1688"/>
      <c r="MCV30" s="1688"/>
      <c r="MCW30" s="1688"/>
      <c r="MCX30" s="1688"/>
      <c r="MCY30" s="1688"/>
      <c r="MCZ30" s="1688"/>
      <c r="MDA30" s="1688"/>
      <c r="MDB30" s="1688"/>
      <c r="MDC30" s="1688"/>
      <c r="MDD30" s="1688"/>
      <c r="MDE30" s="1688"/>
      <c r="MDF30" s="1688"/>
      <c r="MDG30" s="1688"/>
      <c r="MDH30" s="1688"/>
      <c r="MDI30" s="1688"/>
      <c r="MDJ30" s="1688"/>
      <c r="MDK30" s="1688"/>
      <c r="MDL30" s="1688"/>
      <c r="MDM30" s="1688"/>
      <c r="MDN30" s="1688"/>
      <c r="MDO30" s="1688"/>
      <c r="MDP30" s="1688"/>
      <c r="MDQ30" s="1688"/>
      <c r="MDR30" s="1688"/>
      <c r="MDS30" s="1688"/>
      <c r="MDT30" s="1688"/>
      <c r="MDU30" s="1688"/>
      <c r="MDV30" s="1688"/>
      <c r="MDW30" s="1688"/>
      <c r="MDX30" s="1688"/>
      <c r="MDY30" s="1688"/>
      <c r="MDZ30" s="1688"/>
      <c r="MEA30" s="1688"/>
      <c r="MEB30" s="1688"/>
      <c r="MEC30" s="1688"/>
      <c r="MED30" s="1688"/>
      <c r="MEE30" s="1688"/>
      <c r="MEF30" s="1688"/>
      <c r="MEG30" s="1688"/>
      <c r="MEH30" s="1688"/>
      <c r="MEI30" s="1688"/>
      <c r="MEJ30" s="1688"/>
      <c r="MEK30" s="1688"/>
      <c r="MEL30" s="1688"/>
      <c r="MEM30" s="1688"/>
      <c r="MEN30" s="1688"/>
      <c r="MEO30" s="1688"/>
      <c r="MEP30" s="1688"/>
      <c r="MEQ30" s="1688"/>
      <c r="MER30" s="1688"/>
      <c r="MES30" s="1688"/>
      <c r="MET30" s="1688"/>
      <c r="MEU30" s="1688"/>
      <c r="MEV30" s="1688"/>
      <c r="MEW30" s="1688"/>
      <c r="MEX30" s="1688"/>
      <c r="MEY30" s="1688"/>
      <c r="MEZ30" s="1688"/>
      <c r="MFA30" s="1688"/>
      <c r="MFB30" s="1688"/>
      <c r="MFC30" s="1688"/>
      <c r="MFD30" s="1688"/>
      <c r="MFE30" s="1688"/>
      <c r="MFF30" s="1688"/>
      <c r="MFG30" s="1688"/>
      <c r="MFH30" s="1688"/>
      <c r="MFI30" s="1688"/>
      <c r="MFJ30" s="1688"/>
      <c r="MFK30" s="1688"/>
      <c r="MFL30" s="1688"/>
      <c r="MFM30" s="1688"/>
      <c r="MFN30" s="1688"/>
      <c r="MFO30" s="1688"/>
      <c r="MFP30" s="1688"/>
      <c r="MFQ30" s="1688"/>
      <c r="MFR30" s="1688"/>
      <c r="MFS30" s="1688"/>
      <c r="MFT30" s="1688"/>
      <c r="MFU30" s="1688"/>
      <c r="MFV30" s="1688"/>
      <c r="MFW30" s="1688"/>
      <c r="MFX30" s="1688"/>
      <c r="MFY30" s="1688"/>
      <c r="MFZ30" s="1688"/>
      <c r="MGA30" s="1688"/>
      <c r="MGB30" s="1688"/>
      <c r="MGC30" s="1688"/>
      <c r="MGD30" s="1688"/>
      <c r="MGE30" s="1688"/>
      <c r="MGF30" s="1688"/>
      <c r="MGG30" s="1688"/>
      <c r="MGH30" s="1688"/>
      <c r="MGI30" s="1688"/>
      <c r="MGJ30" s="1688"/>
      <c r="MGK30" s="1688"/>
      <c r="MGL30" s="1688"/>
      <c r="MGM30" s="1688"/>
      <c r="MGN30" s="1688"/>
      <c r="MGO30" s="1688"/>
      <c r="MGP30" s="1688"/>
      <c r="MGQ30" s="1688"/>
      <c r="MGR30" s="1688"/>
      <c r="MGS30" s="1688"/>
      <c r="MGT30" s="1688"/>
      <c r="MGU30" s="1688"/>
      <c r="MGV30" s="1688"/>
      <c r="MGW30" s="1688"/>
      <c r="MGX30" s="1688"/>
      <c r="MGY30" s="1688"/>
      <c r="MGZ30" s="1688"/>
      <c r="MHA30" s="1688"/>
      <c r="MHB30" s="1688"/>
      <c r="MHC30" s="1688"/>
      <c r="MHD30" s="1688"/>
      <c r="MHE30" s="1688"/>
      <c r="MHF30" s="1688"/>
      <c r="MHG30" s="1688"/>
      <c r="MHH30" s="1688"/>
      <c r="MHI30" s="1688"/>
      <c r="MHJ30" s="1688"/>
      <c r="MHK30" s="1688"/>
      <c r="MHL30" s="1688"/>
      <c r="MHM30" s="1688"/>
      <c r="MHN30" s="1688"/>
      <c r="MHO30" s="1688"/>
      <c r="MHP30" s="1688"/>
      <c r="MHQ30" s="1688"/>
      <c r="MHR30" s="1688"/>
      <c r="MHS30" s="1688"/>
      <c r="MHT30" s="1688"/>
      <c r="MHU30" s="1688"/>
      <c r="MHV30" s="1688"/>
      <c r="MHW30" s="1688"/>
      <c r="MHX30" s="1688"/>
      <c r="MHY30" s="1688"/>
      <c r="MHZ30" s="1688"/>
      <c r="MIA30" s="1688"/>
      <c r="MIB30" s="1688"/>
      <c r="MIC30" s="1688"/>
      <c r="MID30" s="1688"/>
      <c r="MIE30" s="1688"/>
      <c r="MIF30" s="1688"/>
      <c r="MIG30" s="1688"/>
      <c r="MIH30" s="1688"/>
      <c r="MII30" s="1688"/>
      <c r="MIJ30" s="1688"/>
      <c r="MIK30" s="1688"/>
      <c r="MIL30" s="1688"/>
      <c r="MIM30" s="1688"/>
      <c r="MIN30" s="1688"/>
      <c r="MIO30" s="1688"/>
      <c r="MIP30" s="1688"/>
      <c r="MIQ30" s="1688"/>
      <c r="MIR30" s="1688"/>
      <c r="MIS30" s="1688"/>
      <c r="MIT30" s="1688"/>
      <c r="MIU30" s="1688"/>
      <c r="MIV30" s="1688"/>
      <c r="MIW30" s="1688"/>
      <c r="MIX30" s="1688"/>
      <c r="MIY30" s="1688"/>
      <c r="MIZ30" s="1688"/>
      <c r="MJA30" s="1688"/>
      <c r="MJB30" s="1688"/>
      <c r="MJC30" s="1688"/>
      <c r="MJD30" s="1688"/>
      <c r="MJE30" s="1688"/>
      <c r="MJF30" s="1688"/>
      <c r="MJG30" s="1688"/>
      <c r="MJH30" s="1688"/>
      <c r="MJI30" s="1688"/>
      <c r="MJJ30" s="1688"/>
      <c r="MJK30" s="1688"/>
      <c r="MJL30" s="1688"/>
      <c r="MJM30" s="1688"/>
      <c r="MJN30" s="1688"/>
      <c r="MJO30" s="1688"/>
      <c r="MJP30" s="1688"/>
      <c r="MJQ30" s="1688"/>
      <c r="MJR30" s="1688"/>
      <c r="MJS30" s="1688"/>
      <c r="MJT30" s="1688"/>
      <c r="MJU30" s="1688"/>
      <c r="MJV30" s="1688"/>
      <c r="MJW30" s="1688"/>
      <c r="MJX30" s="1688"/>
      <c r="MJY30" s="1688"/>
      <c r="MJZ30" s="1688"/>
      <c r="MKA30" s="1688"/>
      <c r="MKB30" s="1688"/>
      <c r="MKC30" s="1688"/>
      <c r="MKD30" s="1688"/>
      <c r="MKE30" s="1688"/>
      <c r="MKF30" s="1688"/>
      <c r="MKG30" s="1688"/>
      <c r="MKH30" s="1688"/>
      <c r="MKI30" s="1688"/>
      <c r="MKJ30" s="1688"/>
      <c r="MKK30" s="1688"/>
      <c r="MKL30" s="1688"/>
      <c r="MKM30" s="1688"/>
      <c r="MKN30" s="1688"/>
      <c r="MKO30" s="1688"/>
      <c r="MKP30" s="1688"/>
      <c r="MKQ30" s="1688"/>
      <c r="MKR30" s="1688"/>
      <c r="MKS30" s="1688"/>
      <c r="MKT30" s="1688"/>
      <c r="MKU30" s="1688"/>
      <c r="MKV30" s="1688"/>
      <c r="MKW30" s="1688"/>
      <c r="MKX30" s="1688"/>
      <c r="MKY30" s="1688"/>
      <c r="MKZ30" s="1688"/>
      <c r="MLA30" s="1688"/>
      <c r="MLB30" s="1688"/>
      <c r="MLC30" s="1688"/>
      <c r="MLD30" s="1688"/>
      <c r="MLE30" s="1688"/>
      <c r="MLF30" s="1688"/>
      <c r="MLG30" s="1688"/>
      <c r="MLH30" s="1688"/>
      <c r="MLI30" s="1688"/>
      <c r="MLJ30" s="1688"/>
      <c r="MLK30" s="1688"/>
      <c r="MLL30" s="1688"/>
      <c r="MLM30" s="1688"/>
      <c r="MLN30" s="1688"/>
      <c r="MLO30" s="1688"/>
      <c r="MLP30" s="1688"/>
      <c r="MLQ30" s="1688"/>
      <c r="MLR30" s="1688"/>
      <c r="MLS30" s="1688"/>
      <c r="MLT30" s="1688"/>
      <c r="MLU30" s="1688"/>
      <c r="MLV30" s="1688"/>
      <c r="MLW30" s="1688"/>
      <c r="MLX30" s="1688"/>
      <c r="MLY30" s="1688"/>
      <c r="MLZ30" s="1688"/>
      <c r="MMA30" s="1688"/>
      <c r="MMB30" s="1688"/>
      <c r="MMC30" s="1688"/>
      <c r="MMD30" s="1688"/>
      <c r="MME30" s="1688"/>
      <c r="MMF30" s="1688"/>
      <c r="MMG30" s="1688"/>
      <c r="MMH30" s="1688"/>
      <c r="MMI30" s="1688"/>
      <c r="MMJ30" s="1688"/>
      <c r="MMK30" s="1688"/>
      <c r="MML30" s="1688"/>
      <c r="MMM30" s="1688"/>
      <c r="MMN30" s="1688"/>
      <c r="MMO30" s="1688"/>
      <c r="MMP30" s="1688"/>
      <c r="MMQ30" s="1688"/>
      <c r="MMR30" s="1688"/>
      <c r="MMS30" s="1688"/>
      <c r="MMT30" s="1688"/>
      <c r="MMU30" s="1688"/>
      <c r="MMV30" s="1688"/>
      <c r="MMW30" s="1688"/>
      <c r="MMX30" s="1688"/>
      <c r="MMY30" s="1688"/>
      <c r="MMZ30" s="1688"/>
      <c r="MNA30" s="1688"/>
      <c r="MNB30" s="1688"/>
      <c r="MNC30" s="1688"/>
      <c r="MND30" s="1688"/>
      <c r="MNE30" s="1688"/>
      <c r="MNF30" s="1688"/>
      <c r="MNG30" s="1688"/>
      <c r="MNH30" s="1688"/>
      <c r="MNI30" s="1688"/>
      <c r="MNJ30" s="1688"/>
      <c r="MNK30" s="1688"/>
      <c r="MNL30" s="1688"/>
      <c r="MNM30" s="1688"/>
      <c r="MNN30" s="1688"/>
      <c r="MNO30" s="1688"/>
      <c r="MNP30" s="1688"/>
      <c r="MNQ30" s="1688"/>
      <c r="MNR30" s="1688"/>
      <c r="MNS30" s="1688"/>
      <c r="MNT30" s="1688"/>
      <c r="MNU30" s="1688"/>
      <c r="MNV30" s="1688"/>
      <c r="MNW30" s="1688"/>
      <c r="MNX30" s="1688"/>
      <c r="MNY30" s="1688"/>
      <c r="MNZ30" s="1688"/>
      <c r="MOA30" s="1688"/>
      <c r="MOB30" s="1688"/>
      <c r="MOC30" s="1688"/>
      <c r="MOD30" s="1688"/>
      <c r="MOE30" s="1688"/>
      <c r="MOF30" s="1688"/>
      <c r="MOG30" s="1688"/>
      <c r="MOH30" s="1688"/>
      <c r="MOI30" s="1688"/>
      <c r="MOJ30" s="1688"/>
      <c r="MOK30" s="1688"/>
      <c r="MOL30" s="1688"/>
      <c r="MOM30" s="1688"/>
      <c r="MON30" s="1688"/>
      <c r="MOO30" s="1688"/>
      <c r="MOP30" s="1688"/>
      <c r="MOQ30" s="1688"/>
      <c r="MOR30" s="1688"/>
      <c r="MOS30" s="1688"/>
      <c r="MOT30" s="1688"/>
      <c r="MOU30" s="1688"/>
      <c r="MOV30" s="1688"/>
      <c r="MOW30" s="1688"/>
      <c r="MOX30" s="1688"/>
      <c r="MOY30" s="1688"/>
      <c r="MOZ30" s="1688"/>
      <c r="MPA30" s="1688"/>
      <c r="MPB30" s="1688"/>
      <c r="MPC30" s="1688"/>
      <c r="MPD30" s="1688"/>
      <c r="MPE30" s="1688"/>
      <c r="MPF30" s="1688"/>
      <c r="MPG30" s="1688"/>
      <c r="MPH30" s="1688"/>
      <c r="MPI30" s="1688"/>
      <c r="MPJ30" s="1688"/>
      <c r="MPK30" s="1688"/>
      <c r="MPL30" s="1688"/>
      <c r="MPM30" s="1688"/>
      <c r="MPN30" s="1688"/>
      <c r="MPO30" s="1688"/>
      <c r="MPP30" s="1688"/>
      <c r="MPQ30" s="1688"/>
      <c r="MPR30" s="1688"/>
      <c r="MPS30" s="1688"/>
      <c r="MPT30" s="1688"/>
      <c r="MPU30" s="1688"/>
      <c r="MPV30" s="1688"/>
      <c r="MPW30" s="1688"/>
      <c r="MPX30" s="1688"/>
      <c r="MPY30" s="1688"/>
      <c r="MPZ30" s="1688"/>
      <c r="MQA30" s="1688"/>
      <c r="MQB30" s="1688"/>
      <c r="MQC30" s="1688"/>
      <c r="MQD30" s="1688"/>
      <c r="MQE30" s="1688"/>
      <c r="MQF30" s="1688"/>
      <c r="MQG30" s="1688"/>
      <c r="MQH30" s="1688"/>
      <c r="MQI30" s="1688"/>
      <c r="MQJ30" s="1688"/>
      <c r="MQK30" s="1688"/>
      <c r="MQL30" s="1688"/>
      <c r="MQM30" s="1688"/>
      <c r="MQN30" s="1688"/>
      <c r="MQO30" s="1688"/>
      <c r="MQP30" s="1688"/>
      <c r="MQQ30" s="1688"/>
      <c r="MQR30" s="1688"/>
      <c r="MQS30" s="1688"/>
      <c r="MQT30" s="1688"/>
      <c r="MQU30" s="1688"/>
      <c r="MQV30" s="1688"/>
      <c r="MQW30" s="1688"/>
      <c r="MQX30" s="1688"/>
      <c r="MQY30" s="1688"/>
      <c r="MQZ30" s="1688"/>
      <c r="MRA30" s="1688"/>
      <c r="MRB30" s="1688"/>
      <c r="MRC30" s="1688"/>
      <c r="MRD30" s="1688"/>
      <c r="MRE30" s="1688"/>
      <c r="MRF30" s="1688"/>
      <c r="MRG30" s="1688"/>
      <c r="MRH30" s="1688"/>
      <c r="MRI30" s="1688"/>
      <c r="MRJ30" s="1688"/>
      <c r="MRK30" s="1688"/>
      <c r="MRL30" s="1688"/>
      <c r="MRM30" s="1688"/>
      <c r="MRN30" s="1688"/>
      <c r="MRO30" s="1688"/>
      <c r="MRP30" s="1688"/>
      <c r="MRQ30" s="1688"/>
      <c r="MRR30" s="1688"/>
      <c r="MRS30" s="1688"/>
      <c r="MRT30" s="1688"/>
      <c r="MRU30" s="1688"/>
      <c r="MRV30" s="1688"/>
      <c r="MRW30" s="1688"/>
      <c r="MRX30" s="1688"/>
      <c r="MRY30" s="1688"/>
      <c r="MRZ30" s="1688"/>
      <c r="MSA30" s="1688"/>
      <c r="MSB30" s="1688"/>
      <c r="MSC30" s="1688"/>
      <c r="MSD30" s="1688"/>
      <c r="MSE30" s="1688"/>
      <c r="MSF30" s="1688"/>
      <c r="MSG30" s="1688"/>
      <c r="MSH30" s="1688"/>
      <c r="MSI30" s="1688"/>
      <c r="MSJ30" s="1688"/>
      <c r="MSK30" s="1688"/>
      <c r="MSL30" s="1688"/>
      <c r="MSM30" s="1688"/>
      <c r="MSN30" s="1688"/>
      <c r="MSO30" s="1688"/>
      <c r="MSP30" s="1688"/>
      <c r="MSQ30" s="1688"/>
      <c r="MSR30" s="1688"/>
      <c r="MSS30" s="1688"/>
      <c r="MST30" s="1688"/>
      <c r="MSU30" s="1688"/>
      <c r="MSV30" s="1688"/>
      <c r="MSW30" s="1688"/>
      <c r="MSX30" s="1688"/>
      <c r="MSY30" s="1688"/>
      <c r="MSZ30" s="1688"/>
      <c r="MTA30" s="1688"/>
      <c r="MTB30" s="1688"/>
      <c r="MTC30" s="1688"/>
      <c r="MTD30" s="1688"/>
      <c r="MTE30" s="1688"/>
      <c r="MTF30" s="1688"/>
      <c r="MTG30" s="1688"/>
      <c r="MTH30" s="1688"/>
      <c r="MTI30" s="1688"/>
      <c r="MTJ30" s="1688"/>
      <c r="MTK30" s="1688"/>
      <c r="MTL30" s="1688"/>
      <c r="MTM30" s="1688"/>
      <c r="MTN30" s="1688"/>
      <c r="MTO30" s="1688"/>
      <c r="MTP30" s="1688"/>
      <c r="MTQ30" s="1688"/>
      <c r="MTR30" s="1688"/>
      <c r="MTS30" s="1688"/>
      <c r="MTT30" s="1688"/>
      <c r="MTU30" s="1688"/>
      <c r="MTV30" s="1688"/>
      <c r="MTW30" s="1688"/>
      <c r="MTX30" s="1688"/>
      <c r="MTY30" s="1688"/>
      <c r="MTZ30" s="1688"/>
      <c r="MUA30" s="1688"/>
      <c r="MUB30" s="1688"/>
      <c r="MUC30" s="1688"/>
      <c r="MUD30" s="1688"/>
      <c r="MUE30" s="1688"/>
      <c r="MUF30" s="1688"/>
      <c r="MUG30" s="1688"/>
      <c r="MUH30" s="1688"/>
      <c r="MUI30" s="1688"/>
      <c r="MUJ30" s="1688"/>
      <c r="MUK30" s="1688"/>
      <c r="MUL30" s="1688"/>
      <c r="MUM30" s="1688"/>
      <c r="MUN30" s="1688"/>
      <c r="MUO30" s="1688"/>
      <c r="MUP30" s="1688"/>
      <c r="MUQ30" s="1688"/>
      <c r="MUR30" s="1688"/>
      <c r="MUS30" s="1688"/>
      <c r="MUT30" s="1688"/>
      <c r="MUU30" s="1688"/>
      <c r="MUV30" s="1688"/>
      <c r="MUW30" s="1688"/>
      <c r="MUX30" s="1688"/>
      <c r="MUY30" s="1688"/>
      <c r="MUZ30" s="1688"/>
      <c r="MVA30" s="1688"/>
      <c r="MVB30" s="1688"/>
      <c r="MVC30" s="1688"/>
      <c r="MVD30" s="1688"/>
      <c r="MVE30" s="1688"/>
      <c r="MVF30" s="1688"/>
      <c r="MVG30" s="1688"/>
      <c r="MVH30" s="1688"/>
      <c r="MVI30" s="1688"/>
      <c r="MVJ30" s="1688"/>
      <c r="MVK30" s="1688"/>
      <c r="MVL30" s="1688"/>
      <c r="MVM30" s="1688"/>
      <c r="MVN30" s="1688"/>
      <c r="MVO30" s="1688"/>
      <c r="MVP30" s="1688"/>
      <c r="MVQ30" s="1688"/>
      <c r="MVR30" s="1688"/>
      <c r="MVS30" s="1688"/>
      <c r="MVT30" s="1688"/>
      <c r="MVU30" s="1688"/>
      <c r="MVV30" s="1688"/>
      <c r="MVW30" s="1688"/>
      <c r="MVX30" s="1688"/>
      <c r="MVY30" s="1688"/>
      <c r="MVZ30" s="1688"/>
      <c r="MWA30" s="1688"/>
      <c r="MWB30" s="1688"/>
      <c r="MWC30" s="1688"/>
      <c r="MWD30" s="1688"/>
      <c r="MWE30" s="1688"/>
      <c r="MWF30" s="1688"/>
      <c r="MWG30" s="1688"/>
      <c r="MWH30" s="1688"/>
      <c r="MWI30" s="1688"/>
      <c r="MWJ30" s="1688"/>
      <c r="MWK30" s="1688"/>
      <c r="MWL30" s="1688"/>
      <c r="MWM30" s="1688"/>
      <c r="MWN30" s="1688"/>
      <c r="MWO30" s="1688"/>
      <c r="MWP30" s="1688"/>
      <c r="MWQ30" s="1688"/>
      <c r="MWR30" s="1688"/>
      <c r="MWS30" s="1688"/>
      <c r="MWT30" s="1688"/>
      <c r="MWU30" s="1688"/>
      <c r="MWV30" s="1688"/>
      <c r="MWW30" s="1688"/>
      <c r="MWX30" s="1688"/>
      <c r="MWY30" s="1688"/>
      <c r="MWZ30" s="1688"/>
      <c r="MXA30" s="1688"/>
      <c r="MXB30" s="1688"/>
      <c r="MXC30" s="1688"/>
      <c r="MXD30" s="1688"/>
      <c r="MXE30" s="1688"/>
      <c r="MXF30" s="1688"/>
      <c r="MXG30" s="1688"/>
      <c r="MXH30" s="1688"/>
      <c r="MXI30" s="1688"/>
      <c r="MXJ30" s="1688"/>
      <c r="MXK30" s="1688"/>
      <c r="MXL30" s="1688"/>
      <c r="MXM30" s="1688"/>
      <c r="MXN30" s="1688"/>
      <c r="MXO30" s="1688"/>
      <c r="MXP30" s="1688"/>
      <c r="MXQ30" s="1688"/>
      <c r="MXR30" s="1688"/>
      <c r="MXS30" s="1688"/>
      <c r="MXT30" s="1688"/>
      <c r="MXU30" s="1688"/>
      <c r="MXV30" s="1688"/>
      <c r="MXW30" s="1688"/>
      <c r="MXX30" s="1688"/>
      <c r="MXY30" s="1688"/>
      <c r="MXZ30" s="1688"/>
      <c r="MYA30" s="1688"/>
      <c r="MYB30" s="1688"/>
      <c r="MYC30" s="1688"/>
      <c r="MYD30" s="1688"/>
      <c r="MYE30" s="1688"/>
      <c r="MYF30" s="1688"/>
      <c r="MYG30" s="1688"/>
      <c r="MYH30" s="1688"/>
      <c r="MYI30" s="1688"/>
      <c r="MYJ30" s="1688"/>
      <c r="MYK30" s="1688"/>
      <c r="MYL30" s="1688"/>
      <c r="MYM30" s="1688"/>
      <c r="MYN30" s="1688"/>
      <c r="MYO30" s="1688"/>
      <c r="MYP30" s="1688"/>
      <c r="MYQ30" s="1688"/>
      <c r="MYR30" s="1688"/>
      <c r="MYS30" s="1688"/>
      <c r="MYT30" s="1688"/>
      <c r="MYU30" s="1688"/>
      <c r="MYV30" s="1688"/>
      <c r="MYW30" s="1688"/>
      <c r="MYX30" s="1688"/>
      <c r="MYY30" s="1688"/>
      <c r="MYZ30" s="1688"/>
      <c r="MZA30" s="1688"/>
      <c r="MZB30" s="1688"/>
      <c r="MZC30" s="1688"/>
      <c r="MZD30" s="1688"/>
      <c r="MZE30" s="1688"/>
      <c r="MZF30" s="1688"/>
      <c r="MZG30" s="1688"/>
      <c r="MZH30" s="1688"/>
      <c r="MZI30" s="1688"/>
      <c r="MZJ30" s="1688"/>
      <c r="MZK30" s="1688"/>
      <c r="MZL30" s="1688"/>
      <c r="MZM30" s="1688"/>
      <c r="MZN30" s="1688"/>
      <c r="MZO30" s="1688"/>
      <c r="MZP30" s="1688"/>
      <c r="MZQ30" s="1688"/>
      <c r="MZR30" s="1688"/>
      <c r="MZS30" s="1688"/>
      <c r="MZT30" s="1688"/>
      <c r="MZU30" s="1688"/>
      <c r="MZV30" s="1688"/>
      <c r="MZW30" s="1688"/>
      <c r="MZX30" s="1688"/>
      <c r="MZY30" s="1688"/>
      <c r="MZZ30" s="1688"/>
      <c r="NAA30" s="1688"/>
      <c r="NAB30" s="1688"/>
      <c r="NAC30" s="1688"/>
      <c r="NAD30" s="1688"/>
      <c r="NAE30" s="1688"/>
      <c r="NAF30" s="1688"/>
      <c r="NAG30" s="1688"/>
      <c r="NAH30" s="1688"/>
      <c r="NAI30" s="1688"/>
      <c r="NAJ30" s="1688"/>
      <c r="NAK30" s="1688"/>
      <c r="NAL30" s="1688"/>
      <c r="NAM30" s="1688"/>
      <c r="NAN30" s="1688"/>
      <c r="NAO30" s="1688"/>
      <c r="NAP30" s="1688"/>
      <c r="NAQ30" s="1688"/>
      <c r="NAR30" s="1688"/>
      <c r="NAS30" s="1688"/>
      <c r="NAT30" s="1688"/>
      <c r="NAU30" s="1688"/>
      <c r="NAV30" s="1688"/>
      <c r="NAW30" s="1688"/>
      <c r="NAX30" s="1688"/>
      <c r="NAY30" s="1688"/>
      <c r="NAZ30" s="1688"/>
      <c r="NBA30" s="1688"/>
      <c r="NBB30" s="1688"/>
      <c r="NBC30" s="1688"/>
      <c r="NBD30" s="1688"/>
      <c r="NBE30" s="1688"/>
      <c r="NBF30" s="1688"/>
      <c r="NBG30" s="1688"/>
      <c r="NBH30" s="1688"/>
      <c r="NBI30" s="1688"/>
      <c r="NBJ30" s="1688"/>
      <c r="NBK30" s="1688"/>
      <c r="NBL30" s="1688"/>
      <c r="NBM30" s="1688"/>
      <c r="NBN30" s="1688"/>
      <c r="NBO30" s="1688"/>
      <c r="NBP30" s="1688"/>
      <c r="NBQ30" s="1688"/>
      <c r="NBR30" s="1688"/>
      <c r="NBS30" s="1688"/>
      <c r="NBT30" s="1688"/>
      <c r="NBU30" s="1688"/>
      <c r="NBV30" s="1688"/>
      <c r="NBW30" s="1688"/>
      <c r="NBX30" s="1688"/>
      <c r="NBY30" s="1688"/>
      <c r="NBZ30" s="1688"/>
      <c r="NCA30" s="1688"/>
      <c r="NCB30" s="1688"/>
      <c r="NCC30" s="1688"/>
      <c r="NCD30" s="1688"/>
      <c r="NCE30" s="1688"/>
      <c r="NCF30" s="1688"/>
      <c r="NCG30" s="1688"/>
      <c r="NCH30" s="1688"/>
      <c r="NCI30" s="1688"/>
      <c r="NCJ30" s="1688"/>
      <c r="NCK30" s="1688"/>
      <c r="NCL30" s="1688"/>
      <c r="NCM30" s="1688"/>
      <c r="NCN30" s="1688"/>
      <c r="NCO30" s="1688"/>
      <c r="NCP30" s="1688"/>
      <c r="NCQ30" s="1688"/>
      <c r="NCR30" s="1688"/>
      <c r="NCS30" s="1688"/>
      <c r="NCT30" s="1688"/>
      <c r="NCU30" s="1688"/>
      <c r="NCV30" s="1688"/>
      <c r="NCW30" s="1688"/>
      <c r="NCX30" s="1688"/>
      <c r="NCY30" s="1688"/>
      <c r="NCZ30" s="1688"/>
      <c r="NDA30" s="1688"/>
      <c r="NDB30" s="1688"/>
      <c r="NDC30" s="1688"/>
      <c r="NDD30" s="1688"/>
      <c r="NDE30" s="1688"/>
      <c r="NDF30" s="1688"/>
      <c r="NDG30" s="1688"/>
      <c r="NDH30" s="1688"/>
      <c r="NDI30" s="1688"/>
      <c r="NDJ30" s="1688"/>
      <c r="NDK30" s="1688"/>
      <c r="NDL30" s="1688"/>
      <c r="NDM30" s="1688"/>
      <c r="NDN30" s="1688"/>
      <c r="NDO30" s="1688"/>
      <c r="NDP30" s="1688"/>
      <c r="NDQ30" s="1688"/>
      <c r="NDR30" s="1688"/>
      <c r="NDS30" s="1688"/>
      <c r="NDT30" s="1688"/>
      <c r="NDU30" s="1688"/>
      <c r="NDV30" s="1688"/>
      <c r="NDW30" s="1688"/>
      <c r="NDX30" s="1688"/>
      <c r="NDY30" s="1688"/>
      <c r="NDZ30" s="1688"/>
      <c r="NEA30" s="1688"/>
      <c r="NEB30" s="1688"/>
      <c r="NEC30" s="1688"/>
      <c r="NED30" s="1688"/>
      <c r="NEE30" s="1688"/>
      <c r="NEF30" s="1688"/>
      <c r="NEG30" s="1688"/>
      <c r="NEH30" s="1688"/>
      <c r="NEI30" s="1688"/>
      <c r="NEJ30" s="1688"/>
      <c r="NEK30" s="1688"/>
      <c r="NEL30" s="1688"/>
      <c r="NEM30" s="1688"/>
      <c r="NEN30" s="1688"/>
      <c r="NEO30" s="1688"/>
      <c r="NEP30" s="1688"/>
      <c r="NEQ30" s="1688"/>
      <c r="NER30" s="1688"/>
      <c r="NES30" s="1688"/>
      <c r="NET30" s="1688"/>
      <c r="NEU30" s="1688"/>
      <c r="NEV30" s="1688"/>
      <c r="NEW30" s="1688"/>
      <c r="NEX30" s="1688"/>
      <c r="NEY30" s="1688"/>
      <c r="NEZ30" s="1688"/>
      <c r="NFA30" s="1688"/>
      <c r="NFB30" s="1688"/>
      <c r="NFC30" s="1688"/>
      <c r="NFD30" s="1688"/>
      <c r="NFE30" s="1688"/>
      <c r="NFF30" s="1688"/>
      <c r="NFG30" s="1688"/>
      <c r="NFH30" s="1688"/>
      <c r="NFI30" s="1688"/>
      <c r="NFJ30" s="1688"/>
      <c r="NFK30" s="1688"/>
      <c r="NFL30" s="1688"/>
      <c r="NFM30" s="1688"/>
      <c r="NFN30" s="1688"/>
      <c r="NFO30" s="1688"/>
      <c r="NFP30" s="1688"/>
      <c r="NFQ30" s="1688"/>
      <c r="NFR30" s="1688"/>
      <c r="NFS30" s="1688"/>
      <c r="NFT30" s="1688"/>
      <c r="NFU30" s="1688"/>
      <c r="NFV30" s="1688"/>
      <c r="NFW30" s="1688"/>
      <c r="NFX30" s="1688"/>
      <c r="NFY30" s="1688"/>
      <c r="NFZ30" s="1688"/>
      <c r="NGA30" s="1688"/>
      <c r="NGB30" s="1688"/>
      <c r="NGC30" s="1688"/>
      <c r="NGD30" s="1688"/>
      <c r="NGE30" s="1688"/>
      <c r="NGF30" s="1688"/>
      <c r="NGG30" s="1688"/>
      <c r="NGH30" s="1688"/>
      <c r="NGI30" s="1688"/>
      <c r="NGJ30" s="1688"/>
      <c r="NGK30" s="1688"/>
      <c r="NGL30" s="1688"/>
      <c r="NGM30" s="1688"/>
      <c r="NGN30" s="1688"/>
      <c r="NGO30" s="1688"/>
      <c r="NGP30" s="1688"/>
      <c r="NGQ30" s="1688"/>
      <c r="NGR30" s="1688"/>
      <c r="NGS30" s="1688"/>
      <c r="NGT30" s="1688"/>
      <c r="NGU30" s="1688"/>
      <c r="NGV30" s="1688"/>
      <c r="NGW30" s="1688"/>
      <c r="NGX30" s="1688"/>
      <c r="NGY30" s="1688"/>
      <c r="NGZ30" s="1688"/>
      <c r="NHA30" s="1688"/>
      <c r="NHB30" s="1688"/>
      <c r="NHC30" s="1688"/>
      <c r="NHD30" s="1688"/>
      <c r="NHE30" s="1688"/>
      <c r="NHF30" s="1688"/>
      <c r="NHG30" s="1688"/>
      <c r="NHH30" s="1688"/>
      <c r="NHI30" s="1688"/>
      <c r="NHJ30" s="1688"/>
      <c r="NHK30" s="1688"/>
      <c r="NHL30" s="1688"/>
      <c r="NHM30" s="1688"/>
      <c r="NHN30" s="1688"/>
      <c r="NHO30" s="1688"/>
      <c r="NHP30" s="1688"/>
      <c r="NHQ30" s="1688"/>
      <c r="NHR30" s="1688"/>
      <c r="NHS30" s="1688"/>
      <c r="NHT30" s="1688"/>
      <c r="NHU30" s="1688"/>
      <c r="NHV30" s="1688"/>
      <c r="NHW30" s="1688"/>
      <c r="NHX30" s="1688"/>
      <c r="NHY30" s="1688"/>
      <c r="NHZ30" s="1688"/>
      <c r="NIA30" s="1688"/>
      <c r="NIB30" s="1688"/>
      <c r="NIC30" s="1688"/>
      <c r="NID30" s="1688"/>
      <c r="NIE30" s="1688"/>
      <c r="NIF30" s="1688"/>
      <c r="NIG30" s="1688"/>
      <c r="NIH30" s="1688"/>
      <c r="NII30" s="1688"/>
      <c r="NIJ30" s="1688"/>
      <c r="NIK30" s="1688"/>
      <c r="NIL30" s="1688"/>
      <c r="NIM30" s="1688"/>
      <c r="NIN30" s="1688"/>
      <c r="NIO30" s="1688"/>
      <c r="NIP30" s="1688"/>
      <c r="NIQ30" s="1688"/>
      <c r="NIR30" s="1688"/>
      <c r="NIS30" s="1688"/>
      <c r="NIT30" s="1688"/>
      <c r="NIU30" s="1688"/>
      <c r="NIV30" s="1688"/>
      <c r="NIW30" s="1688"/>
      <c r="NIX30" s="1688"/>
      <c r="NIY30" s="1688"/>
      <c r="NIZ30" s="1688"/>
      <c r="NJA30" s="1688"/>
      <c r="NJB30" s="1688"/>
      <c r="NJC30" s="1688"/>
      <c r="NJD30" s="1688"/>
      <c r="NJE30" s="1688"/>
      <c r="NJF30" s="1688"/>
      <c r="NJG30" s="1688"/>
      <c r="NJH30" s="1688"/>
      <c r="NJI30" s="1688"/>
      <c r="NJJ30" s="1688"/>
      <c r="NJK30" s="1688"/>
      <c r="NJL30" s="1688"/>
      <c r="NJM30" s="1688"/>
      <c r="NJN30" s="1688"/>
      <c r="NJO30" s="1688"/>
      <c r="NJP30" s="1688"/>
      <c r="NJQ30" s="1688"/>
      <c r="NJR30" s="1688"/>
      <c r="NJS30" s="1688"/>
      <c r="NJT30" s="1688"/>
      <c r="NJU30" s="1688"/>
      <c r="NJV30" s="1688"/>
      <c r="NJW30" s="1688"/>
      <c r="NJX30" s="1688"/>
      <c r="NJY30" s="1688"/>
      <c r="NJZ30" s="1688"/>
      <c r="NKA30" s="1688"/>
      <c r="NKB30" s="1688"/>
      <c r="NKC30" s="1688"/>
      <c r="NKD30" s="1688"/>
      <c r="NKE30" s="1688"/>
      <c r="NKF30" s="1688"/>
      <c r="NKG30" s="1688"/>
      <c r="NKH30" s="1688"/>
      <c r="NKI30" s="1688"/>
      <c r="NKJ30" s="1688"/>
      <c r="NKK30" s="1688"/>
      <c r="NKL30" s="1688"/>
      <c r="NKM30" s="1688"/>
      <c r="NKN30" s="1688"/>
      <c r="NKO30" s="1688"/>
      <c r="NKP30" s="1688"/>
      <c r="NKQ30" s="1688"/>
      <c r="NKR30" s="1688"/>
      <c r="NKS30" s="1688"/>
      <c r="NKT30" s="1688"/>
      <c r="NKU30" s="1688"/>
      <c r="NKV30" s="1688"/>
      <c r="NKW30" s="1688"/>
      <c r="NKX30" s="1688"/>
      <c r="NKY30" s="1688"/>
      <c r="NKZ30" s="1688"/>
      <c r="NLA30" s="1688"/>
      <c r="NLB30" s="1688"/>
      <c r="NLC30" s="1688"/>
      <c r="NLD30" s="1688"/>
      <c r="NLE30" s="1688"/>
      <c r="NLF30" s="1688"/>
      <c r="NLG30" s="1688"/>
      <c r="NLH30" s="1688"/>
      <c r="NLI30" s="1688"/>
      <c r="NLJ30" s="1688"/>
      <c r="NLK30" s="1688"/>
      <c r="NLL30" s="1688"/>
      <c r="NLM30" s="1688"/>
      <c r="NLN30" s="1688"/>
      <c r="NLO30" s="1688"/>
      <c r="NLP30" s="1688"/>
      <c r="NLQ30" s="1688"/>
      <c r="NLR30" s="1688"/>
      <c r="NLS30" s="1688"/>
      <c r="NLT30" s="1688"/>
      <c r="NLU30" s="1688"/>
      <c r="NLV30" s="1688"/>
      <c r="NLW30" s="1688"/>
      <c r="NLX30" s="1688"/>
      <c r="NLY30" s="1688"/>
      <c r="NLZ30" s="1688"/>
      <c r="NMA30" s="1688"/>
      <c r="NMB30" s="1688"/>
      <c r="NMC30" s="1688"/>
      <c r="NMD30" s="1688"/>
      <c r="NME30" s="1688"/>
      <c r="NMF30" s="1688"/>
      <c r="NMG30" s="1688"/>
      <c r="NMH30" s="1688"/>
      <c r="NMI30" s="1688"/>
      <c r="NMJ30" s="1688"/>
      <c r="NMK30" s="1688"/>
      <c r="NML30" s="1688"/>
      <c r="NMM30" s="1688"/>
      <c r="NMN30" s="1688"/>
      <c r="NMO30" s="1688"/>
      <c r="NMP30" s="1688"/>
      <c r="NMQ30" s="1688"/>
      <c r="NMR30" s="1688"/>
      <c r="NMS30" s="1688"/>
      <c r="NMT30" s="1688"/>
      <c r="NMU30" s="1688"/>
      <c r="NMV30" s="1688"/>
      <c r="NMW30" s="1688"/>
      <c r="NMX30" s="1688"/>
      <c r="NMY30" s="1688"/>
      <c r="NMZ30" s="1688"/>
      <c r="NNA30" s="1688"/>
      <c r="NNB30" s="1688"/>
      <c r="NNC30" s="1688"/>
      <c r="NND30" s="1688"/>
      <c r="NNE30" s="1688"/>
      <c r="NNF30" s="1688"/>
      <c r="NNG30" s="1688"/>
      <c r="NNH30" s="1688"/>
      <c r="NNI30" s="1688"/>
      <c r="NNJ30" s="1688"/>
      <c r="NNK30" s="1688"/>
      <c r="NNL30" s="1688"/>
      <c r="NNM30" s="1688"/>
      <c r="NNN30" s="1688"/>
      <c r="NNO30" s="1688"/>
      <c r="NNP30" s="1688"/>
      <c r="NNQ30" s="1688"/>
      <c r="NNR30" s="1688"/>
      <c r="NNS30" s="1688"/>
      <c r="NNT30" s="1688"/>
      <c r="NNU30" s="1688"/>
      <c r="NNV30" s="1688"/>
      <c r="NNW30" s="1688"/>
      <c r="NNX30" s="1688"/>
      <c r="NNY30" s="1688"/>
      <c r="NNZ30" s="1688"/>
      <c r="NOA30" s="1688"/>
      <c r="NOB30" s="1688"/>
      <c r="NOC30" s="1688"/>
      <c r="NOD30" s="1688"/>
      <c r="NOE30" s="1688"/>
      <c r="NOF30" s="1688"/>
      <c r="NOG30" s="1688"/>
      <c r="NOH30" s="1688"/>
      <c r="NOI30" s="1688"/>
      <c r="NOJ30" s="1688"/>
      <c r="NOK30" s="1688"/>
      <c r="NOL30" s="1688"/>
      <c r="NOM30" s="1688"/>
      <c r="NON30" s="1688"/>
      <c r="NOO30" s="1688"/>
      <c r="NOP30" s="1688"/>
      <c r="NOQ30" s="1688"/>
      <c r="NOR30" s="1688"/>
      <c r="NOS30" s="1688"/>
      <c r="NOT30" s="1688"/>
      <c r="NOU30" s="1688"/>
      <c r="NOV30" s="1688"/>
      <c r="NOW30" s="1688"/>
      <c r="NOX30" s="1688"/>
      <c r="NOY30" s="1688"/>
      <c r="NOZ30" s="1688"/>
      <c r="NPA30" s="1688"/>
      <c r="NPB30" s="1688"/>
      <c r="NPC30" s="1688"/>
      <c r="NPD30" s="1688"/>
      <c r="NPE30" s="1688"/>
      <c r="NPF30" s="1688"/>
      <c r="NPG30" s="1688"/>
      <c r="NPH30" s="1688"/>
      <c r="NPI30" s="1688"/>
      <c r="NPJ30" s="1688"/>
      <c r="NPK30" s="1688"/>
      <c r="NPL30" s="1688"/>
      <c r="NPM30" s="1688"/>
      <c r="NPN30" s="1688"/>
      <c r="NPO30" s="1688"/>
      <c r="NPP30" s="1688"/>
      <c r="NPQ30" s="1688"/>
      <c r="NPR30" s="1688"/>
      <c r="NPS30" s="1688"/>
      <c r="NPT30" s="1688"/>
      <c r="NPU30" s="1688"/>
      <c r="NPV30" s="1688"/>
      <c r="NPW30" s="1688"/>
      <c r="NPX30" s="1688"/>
      <c r="NPY30" s="1688"/>
      <c r="NPZ30" s="1688"/>
      <c r="NQA30" s="1688"/>
      <c r="NQB30" s="1688"/>
      <c r="NQC30" s="1688"/>
      <c r="NQD30" s="1688"/>
      <c r="NQE30" s="1688"/>
      <c r="NQF30" s="1688"/>
      <c r="NQG30" s="1688"/>
      <c r="NQH30" s="1688"/>
      <c r="NQI30" s="1688"/>
      <c r="NQJ30" s="1688"/>
      <c r="NQK30" s="1688"/>
      <c r="NQL30" s="1688"/>
      <c r="NQM30" s="1688"/>
      <c r="NQN30" s="1688"/>
      <c r="NQO30" s="1688"/>
      <c r="NQP30" s="1688"/>
      <c r="NQQ30" s="1688"/>
      <c r="NQR30" s="1688"/>
      <c r="NQS30" s="1688"/>
      <c r="NQT30" s="1688"/>
      <c r="NQU30" s="1688"/>
      <c r="NQV30" s="1688"/>
      <c r="NQW30" s="1688"/>
      <c r="NQX30" s="1688"/>
      <c r="NQY30" s="1688"/>
      <c r="NQZ30" s="1688"/>
      <c r="NRA30" s="1688"/>
      <c r="NRB30" s="1688"/>
      <c r="NRC30" s="1688"/>
      <c r="NRD30" s="1688"/>
      <c r="NRE30" s="1688"/>
      <c r="NRF30" s="1688"/>
      <c r="NRG30" s="1688"/>
      <c r="NRH30" s="1688"/>
      <c r="NRI30" s="1688"/>
      <c r="NRJ30" s="1688"/>
      <c r="NRK30" s="1688"/>
      <c r="NRL30" s="1688"/>
      <c r="NRM30" s="1688"/>
      <c r="NRN30" s="1688"/>
      <c r="NRO30" s="1688"/>
      <c r="NRP30" s="1688"/>
      <c r="NRQ30" s="1688"/>
      <c r="NRR30" s="1688"/>
      <c r="NRS30" s="1688"/>
      <c r="NRT30" s="1688"/>
      <c r="NRU30" s="1688"/>
      <c r="NRV30" s="1688"/>
      <c r="NRW30" s="1688"/>
      <c r="NRX30" s="1688"/>
      <c r="NRY30" s="1688"/>
      <c r="NRZ30" s="1688"/>
      <c r="NSA30" s="1688"/>
      <c r="NSB30" s="1688"/>
      <c r="NSC30" s="1688"/>
      <c r="NSD30" s="1688"/>
      <c r="NSE30" s="1688"/>
      <c r="NSF30" s="1688"/>
      <c r="NSG30" s="1688"/>
      <c r="NSH30" s="1688"/>
      <c r="NSI30" s="1688"/>
      <c r="NSJ30" s="1688"/>
      <c r="NSK30" s="1688"/>
      <c r="NSL30" s="1688"/>
      <c r="NSM30" s="1688"/>
      <c r="NSN30" s="1688"/>
      <c r="NSO30" s="1688"/>
      <c r="NSP30" s="1688"/>
      <c r="NSQ30" s="1688"/>
      <c r="NSR30" s="1688"/>
      <c r="NSS30" s="1688"/>
      <c r="NST30" s="1688"/>
      <c r="NSU30" s="1688"/>
      <c r="NSV30" s="1688"/>
      <c r="NSW30" s="1688"/>
      <c r="NSX30" s="1688"/>
      <c r="NSY30" s="1688"/>
      <c r="NSZ30" s="1688"/>
      <c r="NTA30" s="1688"/>
      <c r="NTB30" s="1688"/>
      <c r="NTC30" s="1688"/>
      <c r="NTD30" s="1688"/>
      <c r="NTE30" s="1688"/>
      <c r="NTF30" s="1688"/>
      <c r="NTG30" s="1688"/>
      <c r="NTH30" s="1688"/>
      <c r="NTI30" s="1688"/>
      <c r="NTJ30" s="1688"/>
      <c r="NTK30" s="1688"/>
      <c r="NTL30" s="1688"/>
      <c r="NTM30" s="1688"/>
      <c r="NTN30" s="1688"/>
      <c r="NTO30" s="1688"/>
      <c r="NTP30" s="1688"/>
      <c r="NTQ30" s="1688"/>
      <c r="NTR30" s="1688"/>
      <c r="NTS30" s="1688"/>
      <c r="NTT30" s="1688"/>
      <c r="NTU30" s="1688"/>
      <c r="NTV30" s="1688"/>
      <c r="NTW30" s="1688"/>
      <c r="NTX30" s="1688"/>
      <c r="NTY30" s="1688"/>
      <c r="NTZ30" s="1688"/>
      <c r="NUA30" s="1688"/>
      <c r="NUB30" s="1688"/>
      <c r="NUC30" s="1688"/>
      <c r="NUD30" s="1688"/>
      <c r="NUE30" s="1688"/>
      <c r="NUF30" s="1688"/>
      <c r="NUG30" s="1688"/>
      <c r="NUH30" s="1688"/>
      <c r="NUI30" s="1688"/>
      <c r="NUJ30" s="1688"/>
      <c r="NUK30" s="1688"/>
      <c r="NUL30" s="1688"/>
      <c r="NUM30" s="1688"/>
      <c r="NUN30" s="1688"/>
      <c r="NUO30" s="1688"/>
      <c r="NUP30" s="1688"/>
      <c r="NUQ30" s="1688"/>
      <c r="NUR30" s="1688"/>
      <c r="NUS30" s="1688"/>
      <c r="NUT30" s="1688"/>
      <c r="NUU30" s="1688"/>
      <c r="NUV30" s="1688"/>
      <c r="NUW30" s="1688"/>
      <c r="NUX30" s="1688"/>
      <c r="NUY30" s="1688"/>
      <c r="NUZ30" s="1688"/>
      <c r="NVA30" s="1688"/>
      <c r="NVB30" s="1688"/>
      <c r="NVC30" s="1688"/>
      <c r="NVD30" s="1688"/>
      <c r="NVE30" s="1688"/>
      <c r="NVF30" s="1688"/>
      <c r="NVG30" s="1688"/>
      <c r="NVH30" s="1688"/>
      <c r="NVI30" s="1688"/>
      <c r="NVJ30" s="1688"/>
      <c r="NVK30" s="1688"/>
      <c r="NVL30" s="1688"/>
      <c r="NVM30" s="1688"/>
      <c r="NVN30" s="1688"/>
      <c r="NVO30" s="1688"/>
      <c r="NVP30" s="1688"/>
      <c r="NVQ30" s="1688"/>
      <c r="NVR30" s="1688"/>
      <c r="NVS30" s="1688"/>
      <c r="NVT30" s="1688"/>
      <c r="NVU30" s="1688"/>
      <c r="NVV30" s="1688"/>
      <c r="NVW30" s="1688"/>
      <c r="NVX30" s="1688"/>
      <c r="NVY30" s="1688"/>
      <c r="NVZ30" s="1688"/>
      <c r="NWA30" s="1688"/>
      <c r="NWB30" s="1688"/>
      <c r="NWC30" s="1688"/>
      <c r="NWD30" s="1688"/>
      <c r="NWE30" s="1688"/>
      <c r="NWF30" s="1688"/>
      <c r="NWG30" s="1688"/>
      <c r="NWH30" s="1688"/>
      <c r="NWI30" s="1688"/>
      <c r="NWJ30" s="1688"/>
      <c r="NWK30" s="1688"/>
      <c r="NWL30" s="1688"/>
      <c r="NWM30" s="1688"/>
      <c r="NWN30" s="1688"/>
      <c r="NWO30" s="1688"/>
      <c r="NWP30" s="1688"/>
      <c r="NWQ30" s="1688"/>
      <c r="NWR30" s="1688"/>
      <c r="NWS30" s="1688"/>
      <c r="NWT30" s="1688"/>
      <c r="NWU30" s="1688"/>
      <c r="NWV30" s="1688"/>
      <c r="NWW30" s="1688"/>
      <c r="NWX30" s="1688"/>
      <c r="NWY30" s="1688"/>
      <c r="NWZ30" s="1688"/>
      <c r="NXA30" s="1688"/>
      <c r="NXB30" s="1688"/>
      <c r="NXC30" s="1688"/>
      <c r="NXD30" s="1688"/>
      <c r="NXE30" s="1688"/>
      <c r="NXF30" s="1688"/>
      <c r="NXG30" s="1688"/>
      <c r="NXH30" s="1688"/>
      <c r="NXI30" s="1688"/>
      <c r="NXJ30" s="1688"/>
      <c r="NXK30" s="1688"/>
      <c r="NXL30" s="1688"/>
      <c r="NXM30" s="1688"/>
      <c r="NXN30" s="1688"/>
      <c r="NXO30" s="1688"/>
      <c r="NXP30" s="1688"/>
      <c r="NXQ30" s="1688"/>
      <c r="NXR30" s="1688"/>
      <c r="NXS30" s="1688"/>
      <c r="NXT30" s="1688"/>
      <c r="NXU30" s="1688"/>
      <c r="NXV30" s="1688"/>
      <c r="NXW30" s="1688"/>
      <c r="NXX30" s="1688"/>
      <c r="NXY30" s="1688"/>
      <c r="NXZ30" s="1688"/>
      <c r="NYA30" s="1688"/>
      <c r="NYB30" s="1688"/>
      <c r="NYC30" s="1688"/>
      <c r="NYD30" s="1688"/>
      <c r="NYE30" s="1688"/>
      <c r="NYF30" s="1688"/>
      <c r="NYG30" s="1688"/>
      <c r="NYH30" s="1688"/>
      <c r="NYI30" s="1688"/>
      <c r="NYJ30" s="1688"/>
      <c r="NYK30" s="1688"/>
      <c r="NYL30" s="1688"/>
      <c r="NYM30" s="1688"/>
      <c r="NYN30" s="1688"/>
      <c r="NYO30" s="1688"/>
      <c r="NYP30" s="1688"/>
      <c r="NYQ30" s="1688"/>
      <c r="NYR30" s="1688"/>
      <c r="NYS30" s="1688"/>
      <c r="NYT30" s="1688"/>
      <c r="NYU30" s="1688"/>
      <c r="NYV30" s="1688"/>
      <c r="NYW30" s="1688"/>
      <c r="NYX30" s="1688"/>
      <c r="NYY30" s="1688"/>
      <c r="NYZ30" s="1688"/>
      <c r="NZA30" s="1688"/>
      <c r="NZB30" s="1688"/>
      <c r="NZC30" s="1688"/>
      <c r="NZD30" s="1688"/>
      <c r="NZE30" s="1688"/>
      <c r="NZF30" s="1688"/>
      <c r="NZG30" s="1688"/>
      <c r="NZH30" s="1688"/>
      <c r="NZI30" s="1688"/>
      <c r="NZJ30" s="1688"/>
      <c r="NZK30" s="1688"/>
      <c r="NZL30" s="1688"/>
      <c r="NZM30" s="1688"/>
      <c r="NZN30" s="1688"/>
      <c r="NZO30" s="1688"/>
      <c r="NZP30" s="1688"/>
      <c r="NZQ30" s="1688"/>
      <c r="NZR30" s="1688"/>
      <c r="NZS30" s="1688"/>
      <c r="NZT30" s="1688"/>
      <c r="NZU30" s="1688"/>
      <c r="NZV30" s="1688"/>
      <c r="NZW30" s="1688"/>
      <c r="NZX30" s="1688"/>
      <c r="NZY30" s="1688"/>
      <c r="NZZ30" s="1688"/>
      <c r="OAA30" s="1688"/>
      <c r="OAB30" s="1688"/>
      <c r="OAC30" s="1688"/>
      <c r="OAD30" s="1688"/>
      <c r="OAE30" s="1688"/>
      <c r="OAF30" s="1688"/>
      <c r="OAG30" s="1688"/>
      <c r="OAH30" s="1688"/>
      <c r="OAI30" s="1688"/>
      <c r="OAJ30" s="1688"/>
      <c r="OAK30" s="1688"/>
      <c r="OAL30" s="1688"/>
      <c r="OAM30" s="1688"/>
      <c r="OAN30" s="1688"/>
      <c r="OAO30" s="1688"/>
      <c r="OAP30" s="1688"/>
      <c r="OAQ30" s="1688"/>
      <c r="OAR30" s="1688"/>
      <c r="OAS30" s="1688"/>
      <c r="OAT30" s="1688"/>
      <c r="OAU30" s="1688"/>
      <c r="OAV30" s="1688"/>
      <c r="OAW30" s="1688"/>
      <c r="OAX30" s="1688"/>
      <c r="OAY30" s="1688"/>
      <c r="OAZ30" s="1688"/>
      <c r="OBA30" s="1688"/>
      <c r="OBB30" s="1688"/>
      <c r="OBC30" s="1688"/>
      <c r="OBD30" s="1688"/>
      <c r="OBE30" s="1688"/>
      <c r="OBF30" s="1688"/>
      <c r="OBG30" s="1688"/>
      <c r="OBH30" s="1688"/>
      <c r="OBI30" s="1688"/>
      <c r="OBJ30" s="1688"/>
      <c r="OBK30" s="1688"/>
      <c r="OBL30" s="1688"/>
      <c r="OBM30" s="1688"/>
      <c r="OBN30" s="1688"/>
      <c r="OBO30" s="1688"/>
      <c r="OBP30" s="1688"/>
      <c r="OBQ30" s="1688"/>
      <c r="OBR30" s="1688"/>
      <c r="OBS30" s="1688"/>
      <c r="OBT30" s="1688"/>
      <c r="OBU30" s="1688"/>
      <c r="OBV30" s="1688"/>
      <c r="OBW30" s="1688"/>
      <c r="OBX30" s="1688"/>
      <c r="OBY30" s="1688"/>
      <c r="OBZ30" s="1688"/>
      <c r="OCA30" s="1688"/>
      <c r="OCB30" s="1688"/>
      <c r="OCC30" s="1688"/>
      <c r="OCD30" s="1688"/>
      <c r="OCE30" s="1688"/>
      <c r="OCF30" s="1688"/>
      <c r="OCG30" s="1688"/>
      <c r="OCH30" s="1688"/>
      <c r="OCI30" s="1688"/>
      <c r="OCJ30" s="1688"/>
      <c r="OCK30" s="1688"/>
      <c r="OCL30" s="1688"/>
      <c r="OCM30" s="1688"/>
      <c r="OCN30" s="1688"/>
      <c r="OCO30" s="1688"/>
      <c r="OCP30" s="1688"/>
      <c r="OCQ30" s="1688"/>
      <c r="OCR30" s="1688"/>
      <c r="OCS30" s="1688"/>
      <c r="OCT30" s="1688"/>
      <c r="OCU30" s="1688"/>
      <c r="OCV30" s="1688"/>
      <c r="OCW30" s="1688"/>
      <c r="OCX30" s="1688"/>
      <c r="OCY30" s="1688"/>
      <c r="OCZ30" s="1688"/>
      <c r="ODA30" s="1688"/>
      <c r="ODB30" s="1688"/>
      <c r="ODC30" s="1688"/>
      <c r="ODD30" s="1688"/>
      <c r="ODE30" s="1688"/>
      <c r="ODF30" s="1688"/>
      <c r="ODG30" s="1688"/>
      <c r="ODH30" s="1688"/>
      <c r="ODI30" s="1688"/>
      <c r="ODJ30" s="1688"/>
      <c r="ODK30" s="1688"/>
      <c r="ODL30" s="1688"/>
      <c r="ODM30" s="1688"/>
      <c r="ODN30" s="1688"/>
      <c r="ODO30" s="1688"/>
      <c r="ODP30" s="1688"/>
      <c r="ODQ30" s="1688"/>
      <c r="ODR30" s="1688"/>
      <c r="ODS30" s="1688"/>
      <c r="ODT30" s="1688"/>
      <c r="ODU30" s="1688"/>
      <c r="ODV30" s="1688"/>
      <c r="ODW30" s="1688"/>
      <c r="ODX30" s="1688"/>
      <c r="ODY30" s="1688"/>
      <c r="ODZ30" s="1688"/>
      <c r="OEA30" s="1688"/>
      <c r="OEB30" s="1688"/>
      <c r="OEC30" s="1688"/>
      <c r="OED30" s="1688"/>
      <c r="OEE30" s="1688"/>
      <c r="OEF30" s="1688"/>
      <c r="OEG30" s="1688"/>
      <c r="OEH30" s="1688"/>
      <c r="OEI30" s="1688"/>
      <c r="OEJ30" s="1688"/>
      <c r="OEK30" s="1688"/>
      <c r="OEL30" s="1688"/>
      <c r="OEM30" s="1688"/>
      <c r="OEN30" s="1688"/>
      <c r="OEO30" s="1688"/>
      <c r="OEP30" s="1688"/>
      <c r="OEQ30" s="1688"/>
      <c r="OER30" s="1688"/>
      <c r="OES30" s="1688"/>
      <c r="OET30" s="1688"/>
      <c r="OEU30" s="1688"/>
      <c r="OEV30" s="1688"/>
      <c r="OEW30" s="1688"/>
      <c r="OEX30" s="1688"/>
      <c r="OEY30" s="1688"/>
      <c r="OEZ30" s="1688"/>
      <c r="OFA30" s="1688"/>
      <c r="OFB30" s="1688"/>
      <c r="OFC30" s="1688"/>
      <c r="OFD30" s="1688"/>
      <c r="OFE30" s="1688"/>
      <c r="OFF30" s="1688"/>
      <c r="OFG30" s="1688"/>
      <c r="OFH30" s="1688"/>
      <c r="OFI30" s="1688"/>
      <c r="OFJ30" s="1688"/>
      <c r="OFK30" s="1688"/>
      <c r="OFL30" s="1688"/>
      <c r="OFM30" s="1688"/>
      <c r="OFN30" s="1688"/>
      <c r="OFO30" s="1688"/>
      <c r="OFP30" s="1688"/>
      <c r="OFQ30" s="1688"/>
      <c r="OFR30" s="1688"/>
      <c r="OFS30" s="1688"/>
      <c r="OFT30" s="1688"/>
      <c r="OFU30" s="1688"/>
      <c r="OFV30" s="1688"/>
      <c r="OFW30" s="1688"/>
      <c r="OFX30" s="1688"/>
      <c r="OFY30" s="1688"/>
      <c r="OFZ30" s="1688"/>
      <c r="OGA30" s="1688"/>
      <c r="OGB30" s="1688"/>
      <c r="OGC30" s="1688"/>
      <c r="OGD30" s="1688"/>
      <c r="OGE30" s="1688"/>
      <c r="OGF30" s="1688"/>
      <c r="OGG30" s="1688"/>
      <c r="OGH30" s="1688"/>
      <c r="OGI30" s="1688"/>
      <c r="OGJ30" s="1688"/>
      <c r="OGK30" s="1688"/>
      <c r="OGL30" s="1688"/>
      <c r="OGM30" s="1688"/>
      <c r="OGN30" s="1688"/>
      <c r="OGO30" s="1688"/>
      <c r="OGP30" s="1688"/>
      <c r="OGQ30" s="1688"/>
      <c r="OGR30" s="1688"/>
      <c r="OGS30" s="1688"/>
      <c r="OGT30" s="1688"/>
      <c r="OGU30" s="1688"/>
      <c r="OGV30" s="1688"/>
      <c r="OGW30" s="1688"/>
      <c r="OGX30" s="1688"/>
      <c r="OGY30" s="1688"/>
      <c r="OGZ30" s="1688"/>
      <c r="OHA30" s="1688"/>
      <c r="OHB30" s="1688"/>
      <c r="OHC30" s="1688"/>
      <c r="OHD30" s="1688"/>
      <c r="OHE30" s="1688"/>
      <c r="OHF30" s="1688"/>
      <c r="OHG30" s="1688"/>
      <c r="OHH30" s="1688"/>
      <c r="OHI30" s="1688"/>
      <c r="OHJ30" s="1688"/>
      <c r="OHK30" s="1688"/>
      <c r="OHL30" s="1688"/>
      <c r="OHM30" s="1688"/>
      <c r="OHN30" s="1688"/>
      <c r="OHO30" s="1688"/>
      <c r="OHP30" s="1688"/>
      <c r="OHQ30" s="1688"/>
      <c r="OHR30" s="1688"/>
      <c r="OHS30" s="1688"/>
      <c r="OHT30" s="1688"/>
      <c r="OHU30" s="1688"/>
      <c r="OHV30" s="1688"/>
      <c r="OHW30" s="1688"/>
      <c r="OHX30" s="1688"/>
      <c r="OHY30" s="1688"/>
      <c r="OHZ30" s="1688"/>
      <c r="OIA30" s="1688"/>
      <c r="OIB30" s="1688"/>
      <c r="OIC30" s="1688"/>
      <c r="OID30" s="1688"/>
      <c r="OIE30" s="1688"/>
      <c r="OIF30" s="1688"/>
      <c r="OIG30" s="1688"/>
      <c r="OIH30" s="1688"/>
      <c r="OII30" s="1688"/>
      <c r="OIJ30" s="1688"/>
      <c r="OIK30" s="1688"/>
      <c r="OIL30" s="1688"/>
      <c r="OIM30" s="1688"/>
      <c r="OIN30" s="1688"/>
      <c r="OIO30" s="1688"/>
      <c r="OIP30" s="1688"/>
      <c r="OIQ30" s="1688"/>
      <c r="OIR30" s="1688"/>
      <c r="OIS30" s="1688"/>
      <c r="OIT30" s="1688"/>
      <c r="OIU30" s="1688"/>
      <c r="OIV30" s="1688"/>
      <c r="OIW30" s="1688"/>
      <c r="OIX30" s="1688"/>
      <c r="OIY30" s="1688"/>
      <c r="OIZ30" s="1688"/>
      <c r="OJA30" s="1688"/>
      <c r="OJB30" s="1688"/>
      <c r="OJC30" s="1688"/>
      <c r="OJD30" s="1688"/>
      <c r="OJE30" s="1688"/>
      <c r="OJF30" s="1688"/>
      <c r="OJG30" s="1688"/>
      <c r="OJH30" s="1688"/>
      <c r="OJI30" s="1688"/>
      <c r="OJJ30" s="1688"/>
      <c r="OJK30" s="1688"/>
      <c r="OJL30" s="1688"/>
      <c r="OJM30" s="1688"/>
      <c r="OJN30" s="1688"/>
      <c r="OJO30" s="1688"/>
      <c r="OJP30" s="1688"/>
      <c r="OJQ30" s="1688"/>
      <c r="OJR30" s="1688"/>
      <c r="OJS30" s="1688"/>
      <c r="OJT30" s="1688"/>
      <c r="OJU30" s="1688"/>
      <c r="OJV30" s="1688"/>
      <c r="OJW30" s="1688"/>
      <c r="OJX30" s="1688"/>
      <c r="OJY30" s="1688"/>
      <c r="OJZ30" s="1688"/>
      <c r="OKA30" s="1688"/>
      <c r="OKB30" s="1688"/>
      <c r="OKC30" s="1688"/>
      <c r="OKD30" s="1688"/>
      <c r="OKE30" s="1688"/>
      <c r="OKF30" s="1688"/>
      <c r="OKG30" s="1688"/>
      <c r="OKH30" s="1688"/>
      <c r="OKI30" s="1688"/>
      <c r="OKJ30" s="1688"/>
      <c r="OKK30" s="1688"/>
      <c r="OKL30" s="1688"/>
      <c r="OKM30" s="1688"/>
      <c r="OKN30" s="1688"/>
      <c r="OKO30" s="1688"/>
      <c r="OKP30" s="1688"/>
      <c r="OKQ30" s="1688"/>
      <c r="OKR30" s="1688"/>
      <c r="OKS30" s="1688"/>
      <c r="OKT30" s="1688"/>
      <c r="OKU30" s="1688"/>
      <c r="OKV30" s="1688"/>
      <c r="OKW30" s="1688"/>
      <c r="OKX30" s="1688"/>
      <c r="OKY30" s="1688"/>
      <c r="OKZ30" s="1688"/>
      <c r="OLA30" s="1688"/>
      <c r="OLB30" s="1688"/>
      <c r="OLC30" s="1688"/>
      <c r="OLD30" s="1688"/>
      <c r="OLE30" s="1688"/>
      <c r="OLF30" s="1688"/>
      <c r="OLG30" s="1688"/>
      <c r="OLH30" s="1688"/>
      <c r="OLI30" s="1688"/>
      <c r="OLJ30" s="1688"/>
      <c r="OLK30" s="1688"/>
      <c r="OLL30" s="1688"/>
      <c r="OLM30" s="1688"/>
      <c r="OLN30" s="1688"/>
      <c r="OLO30" s="1688"/>
      <c r="OLP30" s="1688"/>
      <c r="OLQ30" s="1688"/>
      <c r="OLR30" s="1688"/>
      <c r="OLS30" s="1688"/>
      <c r="OLT30" s="1688"/>
      <c r="OLU30" s="1688"/>
      <c r="OLV30" s="1688"/>
      <c r="OLW30" s="1688"/>
      <c r="OLX30" s="1688"/>
      <c r="OLY30" s="1688"/>
      <c r="OLZ30" s="1688"/>
      <c r="OMA30" s="1688"/>
      <c r="OMB30" s="1688"/>
      <c r="OMC30" s="1688"/>
      <c r="OMD30" s="1688"/>
      <c r="OME30" s="1688"/>
      <c r="OMF30" s="1688"/>
      <c r="OMG30" s="1688"/>
      <c r="OMH30" s="1688"/>
      <c r="OMI30" s="1688"/>
      <c r="OMJ30" s="1688"/>
      <c r="OMK30" s="1688"/>
      <c r="OML30" s="1688"/>
      <c r="OMM30" s="1688"/>
      <c r="OMN30" s="1688"/>
      <c r="OMO30" s="1688"/>
      <c r="OMP30" s="1688"/>
      <c r="OMQ30" s="1688"/>
      <c r="OMR30" s="1688"/>
      <c r="OMS30" s="1688"/>
      <c r="OMT30" s="1688"/>
      <c r="OMU30" s="1688"/>
      <c r="OMV30" s="1688"/>
      <c r="OMW30" s="1688"/>
      <c r="OMX30" s="1688"/>
      <c r="OMY30" s="1688"/>
      <c r="OMZ30" s="1688"/>
      <c r="ONA30" s="1688"/>
      <c r="ONB30" s="1688"/>
      <c r="ONC30" s="1688"/>
      <c r="OND30" s="1688"/>
      <c r="ONE30" s="1688"/>
      <c r="ONF30" s="1688"/>
      <c r="ONG30" s="1688"/>
      <c r="ONH30" s="1688"/>
      <c r="ONI30" s="1688"/>
      <c r="ONJ30" s="1688"/>
      <c r="ONK30" s="1688"/>
      <c r="ONL30" s="1688"/>
      <c r="ONM30" s="1688"/>
      <c r="ONN30" s="1688"/>
      <c r="ONO30" s="1688"/>
      <c r="ONP30" s="1688"/>
      <c r="ONQ30" s="1688"/>
      <c r="ONR30" s="1688"/>
      <c r="ONS30" s="1688"/>
      <c r="ONT30" s="1688"/>
      <c r="ONU30" s="1688"/>
      <c r="ONV30" s="1688"/>
      <c r="ONW30" s="1688"/>
      <c r="ONX30" s="1688"/>
      <c r="ONY30" s="1688"/>
      <c r="ONZ30" s="1688"/>
      <c r="OOA30" s="1688"/>
      <c r="OOB30" s="1688"/>
      <c r="OOC30" s="1688"/>
      <c r="OOD30" s="1688"/>
      <c r="OOE30" s="1688"/>
      <c r="OOF30" s="1688"/>
      <c r="OOG30" s="1688"/>
      <c r="OOH30" s="1688"/>
      <c r="OOI30" s="1688"/>
      <c r="OOJ30" s="1688"/>
      <c r="OOK30" s="1688"/>
      <c r="OOL30" s="1688"/>
      <c r="OOM30" s="1688"/>
      <c r="OON30" s="1688"/>
      <c r="OOO30" s="1688"/>
      <c r="OOP30" s="1688"/>
      <c r="OOQ30" s="1688"/>
      <c r="OOR30" s="1688"/>
      <c r="OOS30" s="1688"/>
      <c r="OOT30" s="1688"/>
      <c r="OOU30" s="1688"/>
      <c r="OOV30" s="1688"/>
      <c r="OOW30" s="1688"/>
      <c r="OOX30" s="1688"/>
      <c r="OOY30" s="1688"/>
      <c r="OOZ30" s="1688"/>
      <c r="OPA30" s="1688"/>
      <c r="OPB30" s="1688"/>
      <c r="OPC30" s="1688"/>
      <c r="OPD30" s="1688"/>
      <c r="OPE30" s="1688"/>
      <c r="OPF30" s="1688"/>
      <c r="OPG30" s="1688"/>
      <c r="OPH30" s="1688"/>
      <c r="OPI30" s="1688"/>
      <c r="OPJ30" s="1688"/>
      <c r="OPK30" s="1688"/>
      <c r="OPL30" s="1688"/>
      <c r="OPM30" s="1688"/>
      <c r="OPN30" s="1688"/>
      <c r="OPO30" s="1688"/>
      <c r="OPP30" s="1688"/>
      <c r="OPQ30" s="1688"/>
      <c r="OPR30" s="1688"/>
      <c r="OPS30" s="1688"/>
      <c r="OPT30" s="1688"/>
      <c r="OPU30" s="1688"/>
      <c r="OPV30" s="1688"/>
      <c r="OPW30" s="1688"/>
      <c r="OPX30" s="1688"/>
      <c r="OPY30" s="1688"/>
      <c r="OPZ30" s="1688"/>
      <c r="OQA30" s="1688"/>
      <c r="OQB30" s="1688"/>
      <c r="OQC30" s="1688"/>
      <c r="OQD30" s="1688"/>
      <c r="OQE30" s="1688"/>
      <c r="OQF30" s="1688"/>
      <c r="OQG30" s="1688"/>
      <c r="OQH30" s="1688"/>
      <c r="OQI30" s="1688"/>
      <c r="OQJ30" s="1688"/>
      <c r="OQK30" s="1688"/>
      <c r="OQL30" s="1688"/>
      <c r="OQM30" s="1688"/>
      <c r="OQN30" s="1688"/>
      <c r="OQO30" s="1688"/>
      <c r="OQP30" s="1688"/>
      <c r="OQQ30" s="1688"/>
      <c r="OQR30" s="1688"/>
      <c r="OQS30" s="1688"/>
      <c r="OQT30" s="1688"/>
      <c r="OQU30" s="1688"/>
      <c r="OQV30" s="1688"/>
      <c r="OQW30" s="1688"/>
      <c r="OQX30" s="1688"/>
      <c r="OQY30" s="1688"/>
      <c r="OQZ30" s="1688"/>
      <c r="ORA30" s="1688"/>
      <c r="ORB30" s="1688"/>
      <c r="ORC30" s="1688"/>
      <c r="ORD30" s="1688"/>
      <c r="ORE30" s="1688"/>
      <c r="ORF30" s="1688"/>
      <c r="ORG30" s="1688"/>
      <c r="ORH30" s="1688"/>
      <c r="ORI30" s="1688"/>
      <c r="ORJ30" s="1688"/>
      <c r="ORK30" s="1688"/>
      <c r="ORL30" s="1688"/>
      <c r="ORM30" s="1688"/>
      <c r="ORN30" s="1688"/>
      <c r="ORO30" s="1688"/>
      <c r="ORP30" s="1688"/>
      <c r="ORQ30" s="1688"/>
      <c r="ORR30" s="1688"/>
      <c r="ORS30" s="1688"/>
      <c r="ORT30" s="1688"/>
      <c r="ORU30" s="1688"/>
      <c r="ORV30" s="1688"/>
      <c r="ORW30" s="1688"/>
      <c r="ORX30" s="1688"/>
      <c r="ORY30" s="1688"/>
      <c r="ORZ30" s="1688"/>
      <c r="OSA30" s="1688"/>
      <c r="OSB30" s="1688"/>
      <c r="OSC30" s="1688"/>
      <c r="OSD30" s="1688"/>
      <c r="OSE30" s="1688"/>
      <c r="OSF30" s="1688"/>
      <c r="OSG30" s="1688"/>
      <c r="OSH30" s="1688"/>
      <c r="OSI30" s="1688"/>
      <c r="OSJ30" s="1688"/>
      <c r="OSK30" s="1688"/>
      <c r="OSL30" s="1688"/>
      <c r="OSM30" s="1688"/>
      <c r="OSN30" s="1688"/>
      <c r="OSO30" s="1688"/>
      <c r="OSP30" s="1688"/>
      <c r="OSQ30" s="1688"/>
      <c r="OSR30" s="1688"/>
      <c r="OSS30" s="1688"/>
      <c r="OST30" s="1688"/>
      <c r="OSU30" s="1688"/>
      <c r="OSV30" s="1688"/>
      <c r="OSW30" s="1688"/>
      <c r="OSX30" s="1688"/>
      <c r="OSY30" s="1688"/>
      <c r="OSZ30" s="1688"/>
      <c r="OTA30" s="1688"/>
      <c r="OTB30" s="1688"/>
      <c r="OTC30" s="1688"/>
      <c r="OTD30" s="1688"/>
      <c r="OTE30" s="1688"/>
      <c r="OTF30" s="1688"/>
      <c r="OTG30" s="1688"/>
      <c r="OTH30" s="1688"/>
      <c r="OTI30" s="1688"/>
      <c r="OTJ30" s="1688"/>
      <c r="OTK30" s="1688"/>
      <c r="OTL30" s="1688"/>
      <c r="OTM30" s="1688"/>
      <c r="OTN30" s="1688"/>
      <c r="OTO30" s="1688"/>
      <c r="OTP30" s="1688"/>
      <c r="OTQ30" s="1688"/>
      <c r="OTR30" s="1688"/>
      <c r="OTS30" s="1688"/>
      <c r="OTT30" s="1688"/>
      <c r="OTU30" s="1688"/>
      <c r="OTV30" s="1688"/>
      <c r="OTW30" s="1688"/>
      <c r="OTX30" s="1688"/>
      <c r="OTY30" s="1688"/>
      <c r="OTZ30" s="1688"/>
      <c r="OUA30" s="1688"/>
      <c r="OUB30" s="1688"/>
      <c r="OUC30" s="1688"/>
      <c r="OUD30" s="1688"/>
      <c r="OUE30" s="1688"/>
      <c r="OUF30" s="1688"/>
      <c r="OUG30" s="1688"/>
      <c r="OUH30" s="1688"/>
      <c r="OUI30" s="1688"/>
      <c r="OUJ30" s="1688"/>
      <c r="OUK30" s="1688"/>
      <c r="OUL30" s="1688"/>
      <c r="OUM30" s="1688"/>
      <c r="OUN30" s="1688"/>
      <c r="OUO30" s="1688"/>
      <c r="OUP30" s="1688"/>
      <c r="OUQ30" s="1688"/>
      <c r="OUR30" s="1688"/>
      <c r="OUS30" s="1688"/>
      <c r="OUT30" s="1688"/>
      <c r="OUU30" s="1688"/>
      <c r="OUV30" s="1688"/>
      <c r="OUW30" s="1688"/>
      <c r="OUX30" s="1688"/>
      <c r="OUY30" s="1688"/>
      <c r="OUZ30" s="1688"/>
      <c r="OVA30" s="1688"/>
      <c r="OVB30" s="1688"/>
      <c r="OVC30" s="1688"/>
      <c r="OVD30" s="1688"/>
      <c r="OVE30" s="1688"/>
      <c r="OVF30" s="1688"/>
      <c r="OVG30" s="1688"/>
      <c r="OVH30" s="1688"/>
      <c r="OVI30" s="1688"/>
      <c r="OVJ30" s="1688"/>
      <c r="OVK30" s="1688"/>
      <c r="OVL30" s="1688"/>
      <c r="OVM30" s="1688"/>
      <c r="OVN30" s="1688"/>
      <c r="OVO30" s="1688"/>
      <c r="OVP30" s="1688"/>
      <c r="OVQ30" s="1688"/>
      <c r="OVR30" s="1688"/>
      <c r="OVS30" s="1688"/>
      <c r="OVT30" s="1688"/>
      <c r="OVU30" s="1688"/>
      <c r="OVV30" s="1688"/>
      <c r="OVW30" s="1688"/>
      <c r="OVX30" s="1688"/>
      <c r="OVY30" s="1688"/>
      <c r="OVZ30" s="1688"/>
      <c r="OWA30" s="1688"/>
      <c r="OWB30" s="1688"/>
      <c r="OWC30" s="1688"/>
      <c r="OWD30" s="1688"/>
      <c r="OWE30" s="1688"/>
      <c r="OWF30" s="1688"/>
      <c r="OWG30" s="1688"/>
      <c r="OWH30" s="1688"/>
      <c r="OWI30" s="1688"/>
      <c r="OWJ30" s="1688"/>
      <c r="OWK30" s="1688"/>
      <c r="OWL30" s="1688"/>
      <c r="OWM30" s="1688"/>
      <c r="OWN30" s="1688"/>
      <c r="OWO30" s="1688"/>
      <c r="OWP30" s="1688"/>
      <c r="OWQ30" s="1688"/>
      <c r="OWR30" s="1688"/>
      <c r="OWS30" s="1688"/>
      <c r="OWT30" s="1688"/>
      <c r="OWU30" s="1688"/>
      <c r="OWV30" s="1688"/>
      <c r="OWW30" s="1688"/>
      <c r="OWX30" s="1688"/>
      <c r="OWY30" s="1688"/>
      <c r="OWZ30" s="1688"/>
      <c r="OXA30" s="1688"/>
      <c r="OXB30" s="1688"/>
      <c r="OXC30" s="1688"/>
      <c r="OXD30" s="1688"/>
      <c r="OXE30" s="1688"/>
      <c r="OXF30" s="1688"/>
      <c r="OXG30" s="1688"/>
      <c r="OXH30" s="1688"/>
      <c r="OXI30" s="1688"/>
      <c r="OXJ30" s="1688"/>
      <c r="OXK30" s="1688"/>
      <c r="OXL30" s="1688"/>
      <c r="OXM30" s="1688"/>
      <c r="OXN30" s="1688"/>
      <c r="OXO30" s="1688"/>
      <c r="OXP30" s="1688"/>
      <c r="OXQ30" s="1688"/>
      <c r="OXR30" s="1688"/>
      <c r="OXS30" s="1688"/>
      <c r="OXT30" s="1688"/>
      <c r="OXU30" s="1688"/>
      <c r="OXV30" s="1688"/>
      <c r="OXW30" s="1688"/>
      <c r="OXX30" s="1688"/>
      <c r="OXY30" s="1688"/>
      <c r="OXZ30" s="1688"/>
      <c r="OYA30" s="1688"/>
      <c r="OYB30" s="1688"/>
      <c r="OYC30" s="1688"/>
      <c r="OYD30" s="1688"/>
      <c r="OYE30" s="1688"/>
      <c r="OYF30" s="1688"/>
      <c r="OYG30" s="1688"/>
      <c r="OYH30" s="1688"/>
      <c r="OYI30" s="1688"/>
      <c r="OYJ30" s="1688"/>
      <c r="OYK30" s="1688"/>
      <c r="OYL30" s="1688"/>
      <c r="OYM30" s="1688"/>
      <c r="OYN30" s="1688"/>
      <c r="OYO30" s="1688"/>
      <c r="OYP30" s="1688"/>
      <c r="OYQ30" s="1688"/>
      <c r="OYR30" s="1688"/>
      <c r="OYS30" s="1688"/>
      <c r="OYT30" s="1688"/>
      <c r="OYU30" s="1688"/>
      <c r="OYV30" s="1688"/>
      <c r="OYW30" s="1688"/>
      <c r="OYX30" s="1688"/>
      <c r="OYY30" s="1688"/>
      <c r="OYZ30" s="1688"/>
      <c r="OZA30" s="1688"/>
      <c r="OZB30" s="1688"/>
      <c r="OZC30" s="1688"/>
      <c r="OZD30" s="1688"/>
      <c r="OZE30" s="1688"/>
      <c r="OZF30" s="1688"/>
      <c r="OZG30" s="1688"/>
      <c r="OZH30" s="1688"/>
      <c r="OZI30" s="1688"/>
      <c r="OZJ30" s="1688"/>
      <c r="OZK30" s="1688"/>
      <c r="OZL30" s="1688"/>
      <c r="OZM30" s="1688"/>
      <c r="OZN30" s="1688"/>
      <c r="OZO30" s="1688"/>
      <c r="OZP30" s="1688"/>
      <c r="OZQ30" s="1688"/>
      <c r="OZR30" s="1688"/>
      <c r="OZS30" s="1688"/>
      <c r="OZT30" s="1688"/>
      <c r="OZU30" s="1688"/>
      <c r="OZV30" s="1688"/>
      <c r="OZW30" s="1688"/>
      <c r="OZX30" s="1688"/>
      <c r="OZY30" s="1688"/>
      <c r="OZZ30" s="1688"/>
      <c r="PAA30" s="1688"/>
      <c r="PAB30" s="1688"/>
      <c r="PAC30" s="1688"/>
      <c r="PAD30" s="1688"/>
      <c r="PAE30" s="1688"/>
      <c r="PAF30" s="1688"/>
      <c r="PAG30" s="1688"/>
      <c r="PAH30" s="1688"/>
      <c r="PAI30" s="1688"/>
      <c r="PAJ30" s="1688"/>
      <c r="PAK30" s="1688"/>
      <c r="PAL30" s="1688"/>
      <c r="PAM30" s="1688"/>
      <c r="PAN30" s="1688"/>
      <c r="PAO30" s="1688"/>
      <c r="PAP30" s="1688"/>
      <c r="PAQ30" s="1688"/>
      <c r="PAR30" s="1688"/>
      <c r="PAS30" s="1688"/>
      <c r="PAT30" s="1688"/>
      <c r="PAU30" s="1688"/>
      <c r="PAV30" s="1688"/>
      <c r="PAW30" s="1688"/>
      <c r="PAX30" s="1688"/>
      <c r="PAY30" s="1688"/>
      <c r="PAZ30" s="1688"/>
      <c r="PBA30" s="1688"/>
      <c r="PBB30" s="1688"/>
      <c r="PBC30" s="1688"/>
      <c r="PBD30" s="1688"/>
      <c r="PBE30" s="1688"/>
      <c r="PBF30" s="1688"/>
      <c r="PBG30" s="1688"/>
      <c r="PBH30" s="1688"/>
      <c r="PBI30" s="1688"/>
      <c r="PBJ30" s="1688"/>
      <c r="PBK30" s="1688"/>
      <c r="PBL30" s="1688"/>
      <c r="PBM30" s="1688"/>
      <c r="PBN30" s="1688"/>
      <c r="PBO30" s="1688"/>
      <c r="PBP30" s="1688"/>
      <c r="PBQ30" s="1688"/>
      <c r="PBR30" s="1688"/>
      <c r="PBS30" s="1688"/>
      <c r="PBT30" s="1688"/>
      <c r="PBU30" s="1688"/>
      <c r="PBV30" s="1688"/>
      <c r="PBW30" s="1688"/>
      <c r="PBX30" s="1688"/>
      <c r="PBY30" s="1688"/>
      <c r="PBZ30" s="1688"/>
      <c r="PCA30" s="1688"/>
      <c r="PCB30" s="1688"/>
      <c r="PCC30" s="1688"/>
      <c r="PCD30" s="1688"/>
      <c r="PCE30" s="1688"/>
      <c r="PCF30" s="1688"/>
      <c r="PCG30" s="1688"/>
      <c r="PCH30" s="1688"/>
      <c r="PCI30" s="1688"/>
      <c r="PCJ30" s="1688"/>
      <c r="PCK30" s="1688"/>
      <c r="PCL30" s="1688"/>
      <c r="PCM30" s="1688"/>
      <c r="PCN30" s="1688"/>
      <c r="PCO30" s="1688"/>
      <c r="PCP30" s="1688"/>
      <c r="PCQ30" s="1688"/>
      <c r="PCR30" s="1688"/>
      <c r="PCS30" s="1688"/>
      <c r="PCT30" s="1688"/>
      <c r="PCU30" s="1688"/>
      <c r="PCV30" s="1688"/>
      <c r="PCW30" s="1688"/>
      <c r="PCX30" s="1688"/>
      <c r="PCY30" s="1688"/>
      <c r="PCZ30" s="1688"/>
      <c r="PDA30" s="1688"/>
      <c r="PDB30" s="1688"/>
      <c r="PDC30" s="1688"/>
      <c r="PDD30" s="1688"/>
      <c r="PDE30" s="1688"/>
      <c r="PDF30" s="1688"/>
      <c r="PDG30" s="1688"/>
      <c r="PDH30" s="1688"/>
      <c r="PDI30" s="1688"/>
      <c r="PDJ30" s="1688"/>
      <c r="PDK30" s="1688"/>
      <c r="PDL30" s="1688"/>
      <c r="PDM30" s="1688"/>
      <c r="PDN30" s="1688"/>
      <c r="PDO30" s="1688"/>
      <c r="PDP30" s="1688"/>
      <c r="PDQ30" s="1688"/>
      <c r="PDR30" s="1688"/>
      <c r="PDS30" s="1688"/>
      <c r="PDT30" s="1688"/>
      <c r="PDU30" s="1688"/>
      <c r="PDV30" s="1688"/>
      <c r="PDW30" s="1688"/>
      <c r="PDX30" s="1688"/>
      <c r="PDY30" s="1688"/>
      <c r="PDZ30" s="1688"/>
      <c r="PEA30" s="1688"/>
      <c r="PEB30" s="1688"/>
      <c r="PEC30" s="1688"/>
      <c r="PED30" s="1688"/>
      <c r="PEE30" s="1688"/>
      <c r="PEF30" s="1688"/>
      <c r="PEG30" s="1688"/>
      <c r="PEH30" s="1688"/>
      <c r="PEI30" s="1688"/>
      <c r="PEJ30" s="1688"/>
      <c r="PEK30" s="1688"/>
      <c r="PEL30" s="1688"/>
      <c r="PEM30" s="1688"/>
      <c r="PEN30" s="1688"/>
      <c r="PEO30" s="1688"/>
      <c r="PEP30" s="1688"/>
      <c r="PEQ30" s="1688"/>
      <c r="PER30" s="1688"/>
      <c r="PES30" s="1688"/>
      <c r="PET30" s="1688"/>
      <c r="PEU30" s="1688"/>
      <c r="PEV30" s="1688"/>
      <c r="PEW30" s="1688"/>
      <c r="PEX30" s="1688"/>
      <c r="PEY30" s="1688"/>
      <c r="PEZ30" s="1688"/>
      <c r="PFA30" s="1688"/>
      <c r="PFB30" s="1688"/>
      <c r="PFC30" s="1688"/>
      <c r="PFD30" s="1688"/>
      <c r="PFE30" s="1688"/>
      <c r="PFF30" s="1688"/>
      <c r="PFG30" s="1688"/>
      <c r="PFH30" s="1688"/>
      <c r="PFI30" s="1688"/>
      <c r="PFJ30" s="1688"/>
      <c r="PFK30" s="1688"/>
      <c r="PFL30" s="1688"/>
      <c r="PFM30" s="1688"/>
      <c r="PFN30" s="1688"/>
      <c r="PFO30" s="1688"/>
      <c r="PFP30" s="1688"/>
      <c r="PFQ30" s="1688"/>
      <c r="PFR30" s="1688"/>
      <c r="PFS30" s="1688"/>
      <c r="PFT30" s="1688"/>
      <c r="PFU30" s="1688"/>
      <c r="PFV30" s="1688"/>
      <c r="PFW30" s="1688"/>
      <c r="PFX30" s="1688"/>
      <c r="PFY30" s="1688"/>
      <c r="PFZ30" s="1688"/>
      <c r="PGA30" s="1688"/>
      <c r="PGB30" s="1688"/>
      <c r="PGC30" s="1688"/>
      <c r="PGD30" s="1688"/>
      <c r="PGE30" s="1688"/>
      <c r="PGF30" s="1688"/>
      <c r="PGG30" s="1688"/>
      <c r="PGH30" s="1688"/>
      <c r="PGI30" s="1688"/>
      <c r="PGJ30" s="1688"/>
      <c r="PGK30" s="1688"/>
      <c r="PGL30" s="1688"/>
      <c r="PGM30" s="1688"/>
      <c r="PGN30" s="1688"/>
      <c r="PGO30" s="1688"/>
      <c r="PGP30" s="1688"/>
      <c r="PGQ30" s="1688"/>
      <c r="PGR30" s="1688"/>
      <c r="PGS30" s="1688"/>
      <c r="PGT30" s="1688"/>
      <c r="PGU30" s="1688"/>
      <c r="PGV30" s="1688"/>
      <c r="PGW30" s="1688"/>
      <c r="PGX30" s="1688"/>
      <c r="PGY30" s="1688"/>
      <c r="PGZ30" s="1688"/>
      <c r="PHA30" s="1688"/>
      <c r="PHB30" s="1688"/>
      <c r="PHC30" s="1688"/>
      <c r="PHD30" s="1688"/>
      <c r="PHE30" s="1688"/>
      <c r="PHF30" s="1688"/>
      <c r="PHG30" s="1688"/>
      <c r="PHH30" s="1688"/>
      <c r="PHI30" s="1688"/>
      <c r="PHJ30" s="1688"/>
      <c r="PHK30" s="1688"/>
      <c r="PHL30" s="1688"/>
      <c r="PHM30" s="1688"/>
      <c r="PHN30" s="1688"/>
      <c r="PHO30" s="1688"/>
      <c r="PHP30" s="1688"/>
      <c r="PHQ30" s="1688"/>
      <c r="PHR30" s="1688"/>
      <c r="PHS30" s="1688"/>
      <c r="PHT30" s="1688"/>
      <c r="PHU30" s="1688"/>
      <c r="PHV30" s="1688"/>
      <c r="PHW30" s="1688"/>
      <c r="PHX30" s="1688"/>
      <c r="PHY30" s="1688"/>
      <c r="PHZ30" s="1688"/>
      <c r="PIA30" s="1688"/>
      <c r="PIB30" s="1688"/>
      <c r="PIC30" s="1688"/>
      <c r="PID30" s="1688"/>
      <c r="PIE30" s="1688"/>
      <c r="PIF30" s="1688"/>
      <c r="PIG30" s="1688"/>
      <c r="PIH30" s="1688"/>
      <c r="PII30" s="1688"/>
      <c r="PIJ30" s="1688"/>
      <c r="PIK30" s="1688"/>
      <c r="PIL30" s="1688"/>
      <c r="PIM30" s="1688"/>
      <c r="PIN30" s="1688"/>
      <c r="PIO30" s="1688"/>
      <c r="PIP30" s="1688"/>
      <c r="PIQ30" s="1688"/>
      <c r="PIR30" s="1688"/>
      <c r="PIS30" s="1688"/>
      <c r="PIT30" s="1688"/>
      <c r="PIU30" s="1688"/>
      <c r="PIV30" s="1688"/>
      <c r="PIW30" s="1688"/>
      <c r="PIX30" s="1688"/>
      <c r="PIY30" s="1688"/>
      <c r="PIZ30" s="1688"/>
      <c r="PJA30" s="1688"/>
      <c r="PJB30" s="1688"/>
      <c r="PJC30" s="1688"/>
      <c r="PJD30" s="1688"/>
      <c r="PJE30" s="1688"/>
      <c r="PJF30" s="1688"/>
      <c r="PJG30" s="1688"/>
      <c r="PJH30" s="1688"/>
      <c r="PJI30" s="1688"/>
      <c r="PJJ30" s="1688"/>
      <c r="PJK30" s="1688"/>
      <c r="PJL30" s="1688"/>
      <c r="PJM30" s="1688"/>
      <c r="PJN30" s="1688"/>
      <c r="PJO30" s="1688"/>
      <c r="PJP30" s="1688"/>
      <c r="PJQ30" s="1688"/>
      <c r="PJR30" s="1688"/>
      <c r="PJS30" s="1688"/>
      <c r="PJT30" s="1688"/>
      <c r="PJU30" s="1688"/>
      <c r="PJV30" s="1688"/>
      <c r="PJW30" s="1688"/>
      <c r="PJX30" s="1688"/>
      <c r="PJY30" s="1688"/>
      <c r="PJZ30" s="1688"/>
      <c r="PKA30" s="1688"/>
      <c r="PKB30" s="1688"/>
      <c r="PKC30" s="1688"/>
      <c r="PKD30" s="1688"/>
      <c r="PKE30" s="1688"/>
      <c r="PKF30" s="1688"/>
      <c r="PKG30" s="1688"/>
      <c r="PKH30" s="1688"/>
      <c r="PKI30" s="1688"/>
      <c r="PKJ30" s="1688"/>
      <c r="PKK30" s="1688"/>
      <c r="PKL30" s="1688"/>
      <c r="PKM30" s="1688"/>
      <c r="PKN30" s="1688"/>
      <c r="PKO30" s="1688"/>
      <c r="PKP30" s="1688"/>
      <c r="PKQ30" s="1688"/>
      <c r="PKR30" s="1688"/>
      <c r="PKS30" s="1688"/>
      <c r="PKT30" s="1688"/>
      <c r="PKU30" s="1688"/>
      <c r="PKV30" s="1688"/>
      <c r="PKW30" s="1688"/>
      <c r="PKX30" s="1688"/>
      <c r="PKY30" s="1688"/>
      <c r="PKZ30" s="1688"/>
      <c r="PLA30" s="1688"/>
      <c r="PLB30" s="1688"/>
      <c r="PLC30" s="1688"/>
      <c r="PLD30" s="1688"/>
      <c r="PLE30" s="1688"/>
      <c r="PLF30" s="1688"/>
      <c r="PLG30" s="1688"/>
      <c r="PLH30" s="1688"/>
      <c r="PLI30" s="1688"/>
      <c r="PLJ30" s="1688"/>
      <c r="PLK30" s="1688"/>
      <c r="PLL30" s="1688"/>
      <c r="PLM30" s="1688"/>
      <c r="PLN30" s="1688"/>
      <c r="PLO30" s="1688"/>
      <c r="PLP30" s="1688"/>
      <c r="PLQ30" s="1688"/>
      <c r="PLR30" s="1688"/>
      <c r="PLS30" s="1688"/>
      <c r="PLT30" s="1688"/>
      <c r="PLU30" s="1688"/>
      <c r="PLV30" s="1688"/>
      <c r="PLW30" s="1688"/>
      <c r="PLX30" s="1688"/>
      <c r="PLY30" s="1688"/>
      <c r="PLZ30" s="1688"/>
      <c r="PMA30" s="1688"/>
      <c r="PMB30" s="1688"/>
      <c r="PMC30" s="1688"/>
      <c r="PMD30" s="1688"/>
      <c r="PME30" s="1688"/>
      <c r="PMF30" s="1688"/>
      <c r="PMG30" s="1688"/>
      <c r="PMH30" s="1688"/>
      <c r="PMI30" s="1688"/>
      <c r="PMJ30" s="1688"/>
      <c r="PMK30" s="1688"/>
      <c r="PML30" s="1688"/>
      <c r="PMM30" s="1688"/>
      <c r="PMN30" s="1688"/>
      <c r="PMO30" s="1688"/>
      <c r="PMP30" s="1688"/>
      <c r="PMQ30" s="1688"/>
      <c r="PMR30" s="1688"/>
      <c r="PMS30" s="1688"/>
      <c r="PMT30" s="1688"/>
      <c r="PMU30" s="1688"/>
      <c r="PMV30" s="1688"/>
      <c r="PMW30" s="1688"/>
      <c r="PMX30" s="1688"/>
      <c r="PMY30" s="1688"/>
      <c r="PMZ30" s="1688"/>
      <c r="PNA30" s="1688"/>
      <c r="PNB30" s="1688"/>
      <c r="PNC30" s="1688"/>
      <c r="PND30" s="1688"/>
      <c r="PNE30" s="1688"/>
      <c r="PNF30" s="1688"/>
      <c r="PNG30" s="1688"/>
      <c r="PNH30" s="1688"/>
      <c r="PNI30" s="1688"/>
      <c r="PNJ30" s="1688"/>
      <c r="PNK30" s="1688"/>
      <c r="PNL30" s="1688"/>
      <c r="PNM30" s="1688"/>
      <c r="PNN30" s="1688"/>
      <c r="PNO30" s="1688"/>
      <c r="PNP30" s="1688"/>
      <c r="PNQ30" s="1688"/>
      <c r="PNR30" s="1688"/>
      <c r="PNS30" s="1688"/>
      <c r="PNT30" s="1688"/>
      <c r="PNU30" s="1688"/>
      <c r="PNV30" s="1688"/>
      <c r="PNW30" s="1688"/>
      <c r="PNX30" s="1688"/>
      <c r="PNY30" s="1688"/>
      <c r="PNZ30" s="1688"/>
      <c r="POA30" s="1688"/>
      <c r="POB30" s="1688"/>
      <c r="POC30" s="1688"/>
      <c r="POD30" s="1688"/>
      <c r="POE30" s="1688"/>
      <c r="POF30" s="1688"/>
      <c r="POG30" s="1688"/>
      <c r="POH30" s="1688"/>
      <c r="POI30" s="1688"/>
      <c r="POJ30" s="1688"/>
      <c r="POK30" s="1688"/>
      <c r="POL30" s="1688"/>
      <c r="POM30" s="1688"/>
      <c r="PON30" s="1688"/>
      <c r="POO30" s="1688"/>
      <c r="POP30" s="1688"/>
      <c r="POQ30" s="1688"/>
      <c r="POR30" s="1688"/>
      <c r="POS30" s="1688"/>
      <c r="POT30" s="1688"/>
      <c r="POU30" s="1688"/>
      <c r="POV30" s="1688"/>
      <c r="POW30" s="1688"/>
      <c r="POX30" s="1688"/>
      <c r="POY30" s="1688"/>
      <c r="POZ30" s="1688"/>
      <c r="PPA30" s="1688"/>
      <c r="PPB30" s="1688"/>
      <c r="PPC30" s="1688"/>
      <c r="PPD30" s="1688"/>
      <c r="PPE30" s="1688"/>
      <c r="PPF30" s="1688"/>
      <c r="PPG30" s="1688"/>
      <c r="PPH30" s="1688"/>
      <c r="PPI30" s="1688"/>
      <c r="PPJ30" s="1688"/>
      <c r="PPK30" s="1688"/>
      <c r="PPL30" s="1688"/>
      <c r="PPM30" s="1688"/>
      <c r="PPN30" s="1688"/>
      <c r="PPO30" s="1688"/>
      <c r="PPP30" s="1688"/>
      <c r="PPQ30" s="1688"/>
      <c r="PPR30" s="1688"/>
      <c r="PPS30" s="1688"/>
      <c r="PPT30" s="1688"/>
      <c r="PPU30" s="1688"/>
      <c r="PPV30" s="1688"/>
      <c r="PPW30" s="1688"/>
      <c r="PPX30" s="1688"/>
      <c r="PPY30" s="1688"/>
      <c r="PPZ30" s="1688"/>
      <c r="PQA30" s="1688"/>
      <c r="PQB30" s="1688"/>
      <c r="PQC30" s="1688"/>
      <c r="PQD30" s="1688"/>
      <c r="PQE30" s="1688"/>
      <c r="PQF30" s="1688"/>
      <c r="PQG30" s="1688"/>
      <c r="PQH30" s="1688"/>
      <c r="PQI30" s="1688"/>
      <c r="PQJ30" s="1688"/>
      <c r="PQK30" s="1688"/>
      <c r="PQL30" s="1688"/>
      <c r="PQM30" s="1688"/>
      <c r="PQN30" s="1688"/>
      <c r="PQO30" s="1688"/>
      <c r="PQP30" s="1688"/>
      <c r="PQQ30" s="1688"/>
      <c r="PQR30" s="1688"/>
      <c r="PQS30" s="1688"/>
      <c r="PQT30" s="1688"/>
      <c r="PQU30" s="1688"/>
      <c r="PQV30" s="1688"/>
      <c r="PQW30" s="1688"/>
      <c r="PQX30" s="1688"/>
      <c r="PQY30" s="1688"/>
      <c r="PQZ30" s="1688"/>
      <c r="PRA30" s="1688"/>
      <c r="PRB30" s="1688"/>
      <c r="PRC30" s="1688"/>
      <c r="PRD30" s="1688"/>
      <c r="PRE30" s="1688"/>
      <c r="PRF30" s="1688"/>
      <c r="PRG30" s="1688"/>
      <c r="PRH30" s="1688"/>
      <c r="PRI30" s="1688"/>
      <c r="PRJ30" s="1688"/>
      <c r="PRK30" s="1688"/>
      <c r="PRL30" s="1688"/>
      <c r="PRM30" s="1688"/>
      <c r="PRN30" s="1688"/>
      <c r="PRO30" s="1688"/>
      <c r="PRP30" s="1688"/>
      <c r="PRQ30" s="1688"/>
      <c r="PRR30" s="1688"/>
      <c r="PRS30" s="1688"/>
      <c r="PRT30" s="1688"/>
      <c r="PRU30" s="1688"/>
      <c r="PRV30" s="1688"/>
      <c r="PRW30" s="1688"/>
      <c r="PRX30" s="1688"/>
      <c r="PRY30" s="1688"/>
      <c r="PRZ30" s="1688"/>
      <c r="PSA30" s="1688"/>
      <c r="PSB30" s="1688"/>
      <c r="PSC30" s="1688"/>
      <c r="PSD30" s="1688"/>
      <c r="PSE30" s="1688"/>
      <c r="PSF30" s="1688"/>
      <c r="PSG30" s="1688"/>
      <c r="PSH30" s="1688"/>
      <c r="PSI30" s="1688"/>
      <c r="PSJ30" s="1688"/>
      <c r="PSK30" s="1688"/>
      <c r="PSL30" s="1688"/>
      <c r="PSM30" s="1688"/>
      <c r="PSN30" s="1688"/>
      <c r="PSO30" s="1688"/>
      <c r="PSP30" s="1688"/>
      <c r="PSQ30" s="1688"/>
      <c r="PSR30" s="1688"/>
      <c r="PSS30" s="1688"/>
      <c r="PST30" s="1688"/>
      <c r="PSU30" s="1688"/>
      <c r="PSV30" s="1688"/>
      <c r="PSW30" s="1688"/>
      <c r="PSX30" s="1688"/>
      <c r="PSY30" s="1688"/>
      <c r="PSZ30" s="1688"/>
      <c r="PTA30" s="1688"/>
      <c r="PTB30" s="1688"/>
      <c r="PTC30" s="1688"/>
      <c r="PTD30" s="1688"/>
      <c r="PTE30" s="1688"/>
      <c r="PTF30" s="1688"/>
      <c r="PTG30" s="1688"/>
      <c r="PTH30" s="1688"/>
      <c r="PTI30" s="1688"/>
      <c r="PTJ30" s="1688"/>
      <c r="PTK30" s="1688"/>
      <c r="PTL30" s="1688"/>
      <c r="PTM30" s="1688"/>
      <c r="PTN30" s="1688"/>
      <c r="PTO30" s="1688"/>
      <c r="PTP30" s="1688"/>
      <c r="PTQ30" s="1688"/>
      <c r="PTR30" s="1688"/>
      <c r="PTS30" s="1688"/>
      <c r="PTT30" s="1688"/>
      <c r="PTU30" s="1688"/>
      <c r="PTV30" s="1688"/>
      <c r="PTW30" s="1688"/>
      <c r="PTX30" s="1688"/>
      <c r="PTY30" s="1688"/>
      <c r="PTZ30" s="1688"/>
      <c r="PUA30" s="1688"/>
      <c r="PUB30" s="1688"/>
      <c r="PUC30" s="1688"/>
      <c r="PUD30" s="1688"/>
      <c r="PUE30" s="1688"/>
      <c r="PUF30" s="1688"/>
      <c r="PUG30" s="1688"/>
      <c r="PUH30" s="1688"/>
      <c r="PUI30" s="1688"/>
      <c r="PUJ30" s="1688"/>
      <c r="PUK30" s="1688"/>
      <c r="PUL30" s="1688"/>
      <c r="PUM30" s="1688"/>
      <c r="PUN30" s="1688"/>
      <c r="PUO30" s="1688"/>
      <c r="PUP30" s="1688"/>
      <c r="PUQ30" s="1688"/>
      <c r="PUR30" s="1688"/>
      <c r="PUS30" s="1688"/>
      <c r="PUT30" s="1688"/>
      <c r="PUU30" s="1688"/>
      <c r="PUV30" s="1688"/>
      <c r="PUW30" s="1688"/>
      <c r="PUX30" s="1688"/>
      <c r="PUY30" s="1688"/>
      <c r="PUZ30" s="1688"/>
      <c r="PVA30" s="1688"/>
      <c r="PVB30" s="1688"/>
      <c r="PVC30" s="1688"/>
      <c r="PVD30" s="1688"/>
      <c r="PVE30" s="1688"/>
      <c r="PVF30" s="1688"/>
      <c r="PVG30" s="1688"/>
      <c r="PVH30" s="1688"/>
      <c r="PVI30" s="1688"/>
      <c r="PVJ30" s="1688"/>
      <c r="PVK30" s="1688"/>
      <c r="PVL30" s="1688"/>
      <c r="PVM30" s="1688"/>
      <c r="PVN30" s="1688"/>
      <c r="PVO30" s="1688"/>
      <c r="PVP30" s="1688"/>
      <c r="PVQ30" s="1688"/>
      <c r="PVR30" s="1688"/>
      <c r="PVS30" s="1688"/>
      <c r="PVT30" s="1688"/>
      <c r="PVU30" s="1688"/>
      <c r="PVV30" s="1688"/>
      <c r="PVW30" s="1688"/>
      <c r="PVX30" s="1688"/>
      <c r="PVY30" s="1688"/>
      <c r="PVZ30" s="1688"/>
      <c r="PWA30" s="1688"/>
      <c r="PWB30" s="1688"/>
      <c r="PWC30" s="1688"/>
      <c r="PWD30" s="1688"/>
      <c r="PWE30" s="1688"/>
      <c r="PWF30" s="1688"/>
      <c r="PWG30" s="1688"/>
      <c r="PWH30" s="1688"/>
      <c r="PWI30" s="1688"/>
      <c r="PWJ30" s="1688"/>
      <c r="PWK30" s="1688"/>
      <c r="PWL30" s="1688"/>
      <c r="PWM30" s="1688"/>
      <c r="PWN30" s="1688"/>
      <c r="PWO30" s="1688"/>
      <c r="PWP30" s="1688"/>
      <c r="PWQ30" s="1688"/>
      <c r="PWR30" s="1688"/>
      <c r="PWS30" s="1688"/>
      <c r="PWT30" s="1688"/>
      <c r="PWU30" s="1688"/>
      <c r="PWV30" s="1688"/>
      <c r="PWW30" s="1688"/>
      <c r="PWX30" s="1688"/>
      <c r="PWY30" s="1688"/>
      <c r="PWZ30" s="1688"/>
      <c r="PXA30" s="1688"/>
      <c r="PXB30" s="1688"/>
      <c r="PXC30" s="1688"/>
      <c r="PXD30" s="1688"/>
      <c r="PXE30" s="1688"/>
      <c r="PXF30" s="1688"/>
      <c r="PXG30" s="1688"/>
      <c r="PXH30" s="1688"/>
      <c r="PXI30" s="1688"/>
      <c r="PXJ30" s="1688"/>
      <c r="PXK30" s="1688"/>
      <c r="PXL30" s="1688"/>
      <c r="PXM30" s="1688"/>
      <c r="PXN30" s="1688"/>
      <c r="PXO30" s="1688"/>
      <c r="PXP30" s="1688"/>
      <c r="PXQ30" s="1688"/>
      <c r="PXR30" s="1688"/>
      <c r="PXS30" s="1688"/>
      <c r="PXT30" s="1688"/>
      <c r="PXU30" s="1688"/>
      <c r="PXV30" s="1688"/>
      <c r="PXW30" s="1688"/>
      <c r="PXX30" s="1688"/>
      <c r="PXY30" s="1688"/>
      <c r="PXZ30" s="1688"/>
      <c r="PYA30" s="1688"/>
      <c r="PYB30" s="1688"/>
      <c r="PYC30" s="1688"/>
      <c r="PYD30" s="1688"/>
      <c r="PYE30" s="1688"/>
      <c r="PYF30" s="1688"/>
      <c r="PYG30" s="1688"/>
      <c r="PYH30" s="1688"/>
      <c r="PYI30" s="1688"/>
      <c r="PYJ30" s="1688"/>
      <c r="PYK30" s="1688"/>
      <c r="PYL30" s="1688"/>
      <c r="PYM30" s="1688"/>
      <c r="PYN30" s="1688"/>
      <c r="PYO30" s="1688"/>
      <c r="PYP30" s="1688"/>
      <c r="PYQ30" s="1688"/>
      <c r="PYR30" s="1688"/>
      <c r="PYS30" s="1688"/>
      <c r="PYT30" s="1688"/>
      <c r="PYU30" s="1688"/>
      <c r="PYV30" s="1688"/>
      <c r="PYW30" s="1688"/>
      <c r="PYX30" s="1688"/>
      <c r="PYY30" s="1688"/>
      <c r="PYZ30" s="1688"/>
      <c r="PZA30" s="1688"/>
      <c r="PZB30" s="1688"/>
      <c r="PZC30" s="1688"/>
      <c r="PZD30" s="1688"/>
      <c r="PZE30" s="1688"/>
      <c r="PZF30" s="1688"/>
      <c r="PZG30" s="1688"/>
      <c r="PZH30" s="1688"/>
      <c r="PZI30" s="1688"/>
      <c r="PZJ30" s="1688"/>
      <c r="PZK30" s="1688"/>
      <c r="PZL30" s="1688"/>
      <c r="PZM30" s="1688"/>
      <c r="PZN30" s="1688"/>
      <c r="PZO30" s="1688"/>
      <c r="PZP30" s="1688"/>
      <c r="PZQ30" s="1688"/>
      <c r="PZR30" s="1688"/>
      <c r="PZS30" s="1688"/>
      <c r="PZT30" s="1688"/>
      <c r="PZU30" s="1688"/>
      <c r="PZV30" s="1688"/>
      <c r="PZW30" s="1688"/>
      <c r="PZX30" s="1688"/>
      <c r="PZY30" s="1688"/>
      <c r="PZZ30" s="1688"/>
      <c r="QAA30" s="1688"/>
      <c r="QAB30" s="1688"/>
      <c r="QAC30" s="1688"/>
      <c r="QAD30" s="1688"/>
      <c r="QAE30" s="1688"/>
      <c r="QAF30" s="1688"/>
      <c r="QAG30" s="1688"/>
      <c r="QAH30" s="1688"/>
      <c r="QAI30" s="1688"/>
      <c r="QAJ30" s="1688"/>
      <c r="QAK30" s="1688"/>
      <c r="QAL30" s="1688"/>
      <c r="QAM30" s="1688"/>
      <c r="QAN30" s="1688"/>
      <c r="QAO30" s="1688"/>
      <c r="QAP30" s="1688"/>
      <c r="QAQ30" s="1688"/>
      <c r="QAR30" s="1688"/>
      <c r="QAS30" s="1688"/>
      <c r="QAT30" s="1688"/>
      <c r="QAU30" s="1688"/>
      <c r="QAV30" s="1688"/>
      <c r="QAW30" s="1688"/>
      <c r="QAX30" s="1688"/>
      <c r="QAY30" s="1688"/>
      <c r="QAZ30" s="1688"/>
      <c r="QBA30" s="1688"/>
      <c r="QBB30" s="1688"/>
      <c r="QBC30" s="1688"/>
      <c r="QBD30" s="1688"/>
      <c r="QBE30" s="1688"/>
      <c r="QBF30" s="1688"/>
      <c r="QBG30" s="1688"/>
      <c r="QBH30" s="1688"/>
      <c r="QBI30" s="1688"/>
      <c r="QBJ30" s="1688"/>
      <c r="QBK30" s="1688"/>
      <c r="QBL30" s="1688"/>
      <c r="QBM30" s="1688"/>
      <c r="QBN30" s="1688"/>
      <c r="QBO30" s="1688"/>
      <c r="QBP30" s="1688"/>
      <c r="QBQ30" s="1688"/>
      <c r="QBR30" s="1688"/>
      <c r="QBS30" s="1688"/>
      <c r="QBT30" s="1688"/>
      <c r="QBU30" s="1688"/>
      <c r="QBV30" s="1688"/>
      <c r="QBW30" s="1688"/>
      <c r="QBX30" s="1688"/>
      <c r="QBY30" s="1688"/>
      <c r="QBZ30" s="1688"/>
      <c r="QCA30" s="1688"/>
      <c r="QCB30" s="1688"/>
      <c r="QCC30" s="1688"/>
      <c r="QCD30" s="1688"/>
      <c r="QCE30" s="1688"/>
      <c r="QCF30" s="1688"/>
      <c r="QCG30" s="1688"/>
      <c r="QCH30" s="1688"/>
      <c r="QCI30" s="1688"/>
      <c r="QCJ30" s="1688"/>
      <c r="QCK30" s="1688"/>
      <c r="QCL30" s="1688"/>
      <c r="QCM30" s="1688"/>
      <c r="QCN30" s="1688"/>
      <c r="QCO30" s="1688"/>
      <c r="QCP30" s="1688"/>
      <c r="QCQ30" s="1688"/>
      <c r="QCR30" s="1688"/>
      <c r="QCS30" s="1688"/>
      <c r="QCT30" s="1688"/>
      <c r="QCU30" s="1688"/>
      <c r="QCV30" s="1688"/>
      <c r="QCW30" s="1688"/>
      <c r="QCX30" s="1688"/>
      <c r="QCY30" s="1688"/>
      <c r="QCZ30" s="1688"/>
      <c r="QDA30" s="1688"/>
      <c r="QDB30" s="1688"/>
      <c r="QDC30" s="1688"/>
      <c r="QDD30" s="1688"/>
      <c r="QDE30" s="1688"/>
      <c r="QDF30" s="1688"/>
      <c r="QDG30" s="1688"/>
      <c r="QDH30" s="1688"/>
      <c r="QDI30" s="1688"/>
      <c r="QDJ30" s="1688"/>
      <c r="QDK30" s="1688"/>
      <c r="QDL30" s="1688"/>
      <c r="QDM30" s="1688"/>
      <c r="QDN30" s="1688"/>
      <c r="QDO30" s="1688"/>
      <c r="QDP30" s="1688"/>
      <c r="QDQ30" s="1688"/>
      <c r="QDR30" s="1688"/>
      <c r="QDS30" s="1688"/>
      <c r="QDT30" s="1688"/>
      <c r="QDU30" s="1688"/>
      <c r="QDV30" s="1688"/>
      <c r="QDW30" s="1688"/>
      <c r="QDX30" s="1688"/>
      <c r="QDY30" s="1688"/>
      <c r="QDZ30" s="1688"/>
      <c r="QEA30" s="1688"/>
      <c r="QEB30" s="1688"/>
      <c r="QEC30" s="1688"/>
      <c r="QED30" s="1688"/>
      <c r="QEE30" s="1688"/>
      <c r="QEF30" s="1688"/>
      <c r="QEG30" s="1688"/>
      <c r="QEH30" s="1688"/>
      <c r="QEI30" s="1688"/>
      <c r="QEJ30" s="1688"/>
      <c r="QEK30" s="1688"/>
      <c r="QEL30" s="1688"/>
      <c r="QEM30" s="1688"/>
      <c r="QEN30" s="1688"/>
      <c r="QEO30" s="1688"/>
      <c r="QEP30" s="1688"/>
      <c r="QEQ30" s="1688"/>
      <c r="QER30" s="1688"/>
      <c r="QES30" s="1688"/>
      <c r="QET30" s="1688"/>
      <c r="QEU30" s="1688"/>
      <c r="QEV30" s="1688"/>
      <c r="QEW30" s="1688"/>
      <c r="QEX30" s="1688"/>
      <c r="QEY30" s="1688"/>
      <c r="QEZ30" s="1688"/>
      <c r="QFA30" s="1688"/>
      <c r="QFB30" s="1688"/>
      <c r="QFC30" s="1688"/>
      <c r="QFD30" s="1688"/>
      <c r="QFE30" s="1688"/>
      <c r="QFF30" s="1688"/>
      <c r="QFG30" s="1688"/>
      <c r="QFH30" s="1688"/>
      <c r="QFI30" s="1688"/>
      <c r="QFJ30" s="1688"/>
      <c r="QFK30" s="1688"/>
      <c r="QFL30" s="1688"/>
      <c r="QFM30" s="1688"/>
      <c r="QFN30" s="1688"/>
      <c r="QFO30" s="1688"/>
      <c r="QFP30" s="1688"/>
      <c r="QFQ30" s="1688"/>
      <c r="QFR30" s="1688"/>
      <c r="QFS30" s="1688"/>
      <c r="QFT30" s="1688"/>
      <c r="QFU30" s="1688"/>
      <c r="QFV30" s="1688"/>
      <c r="QFW30" s="1688"/>
      <c r="QFX30" s="1688"/>
      <c r="QFY30" s="1688"/>
      <c r="QFZ30" s="1688"/>
      <c r="QGA30" s="1688"/>
      <c r="QGB30" s="1688"/>
      <c r="QGC30" s="1688"/>
      <c r="QGD30" s="1688"/>
      <c r="QGE30" s="1688"/>
      <c r="QGF30" s="1688"/>
      <c r="QGG30" s="1688"/>
      <c r="QGH30" s="1688"/>
      <c r="QGI30" s="1688"/>
      <c r="QGJ30" s="1688"/>
      <c r="QGK30" s="1688"/>
      <c r="QGL30" s="1688"/>
      <c r="QGM30" s="1688"/>
      <c r="QGN30" s="1688"/>
      <c r="QGO30" s="1688"/>
      <c r="QGP30" s="1688"/>
      <c r="QGQ30" s="1688"/>
      <c r="QGR30" s="1688"/>
      <c r="QGS30" s="1688"/>
      <c r="QGT30" s="1688"/>
      <c r="QGU30" s="1688"/>
      <c r="QGV30" s="1688"/>
      <c r="QGW30" s="1688"/>
      <c r="QGX30" s="1688"/>
      <c r="QGY30" s="1688"/>
      <c r="QGZ30" s="1688"/>
      <c r="QHA30" s="1688"/>
      <c r="QHB30" s="1688"/>
      <c r="QHC30" s="1688"/>
      <c r="QHD30" s="1688"/>
      <c r="QHE30" s="1688"/>
      <c r="QHF30" s="1688"/>
      <c r="QHG30" s="1688"/>
      <c r="QHH30" s="1688"/>
      <c r="QHI30" s="1688"/>
      <c r="QHJ30" s="1688"/>
      <c r="QHK30" s="1688"/>
      <c r="QHL30" s="1688"/>
      <c r="QHM30" s="1688"/>
      <c r="QHN30" s="1688"/>
      <c r="QHO30" s="1688"/>
      <c r="QHP30" s="1688"/>
      <c r="QHQ30" s="1688"/>
      <c r="QHR30" s="1688"/>
      <c r="QHS30" s="1688"/>
      <c r="QHT30" s="1688"/>
      <c r="QHU30" s="1688"/>
      <c r="QHV30" s="1688"/>
      <c r="QHW30" s="1688"/>
      <c r="QHX30" s="1688"/>
      <c r="QHY30" s="1688"/>
      <c r="QHZ30" s="1688"/>
      <c r="QIA30" s="1688"/>
      <c r="QIB30" s="1688"/>
      <c r="QIC30" s="1688"/>
      <c r="QID30" s="1688"/>
      <c r="QIE30" s="1688"/>
      <c r="QIF30" s="1688"/>
      <c r="QIG30" s="1688"/>
      <c r="QIH30" s="1688"/>
      <c r="QII30" s="1688"/>
      <c r="QIJ30" s="1688"/>
      <c r="QIK30" s="1688"/>
      <c r="QIL30" s="1688"/>
      <c r="QIM30" s="1688"/>
      <c r="QIN30" s="1688"/>
      <c r="QIO30" s="1688"/>
      <c r="QIP30" s="1688"/>
      <c r="QIQ30" s="1688"/>
      <c r="QIR30" s="1688"/>
      <c r="QIS30" s="1688"/>
      <c r="QIT30" s="1688"/>
      <c r="QIU30" s="1688"/>
      <c r="QIV30" s="1688"/>
      <c r="QIW30" s="1688"/>
      <c r="QIX30" s="1688"/>
      <c r="QIY30" s="1688"/>
      <c r="QIZ30" s="1688"/>
      <c r="QJA30" s="1688"/>
      <c r="QJB30" s="1688"/>
      <c r="QJC30" s="1688"/>
      <c r="QJD30" s="1688"/>
      <c r="QJE30" s="1688"/>
      <c r="QJF30" s="1688"/>
      <c r="QJG30" s="1688"/>
      <c r="QJH30" s="1688"/>
      <c r="QJI30" s="1688"/>
      <c r="QJJ30" s="1688"/>
      <c r="QJK30" s="1688"/>
      <c r="QJL30" s="1688"/>
      <c r="QJM30" s="1688"/>
      <c r="QJN30" s="1688"/>
      <c r="QJO30" s="1688"/>
      <c r="QJP30" s="1688"/>
      <c r="QJQ30" s="1688"/>
      <c r="QJR30" s="1688"/>
      <c r="QJS30" s="1688"/>
      <c r="QJT30" s="1688"/>
      <c r="QJU30" s="1688"/>
      <c r="QJV30" s="1688"/>
      <c r="QJW30" s="1688"/>
      <c r="QJX30" s="1688"/>
      <c r="QJY30" s="1688"/>
      <c r="QJZ30" s="1688"/>
      <c r="QKA30" s="1688"/>
      <c r="QKB30" s="1688"/>
      <c r="QKC30" s="1688"/>
      <c r="QKD30" s="1688"/>
      <c r="QKE30" s="1688"/>
      <c r="QKF30" s="1688"/>
      <c r="QKG30" s="1688"/>
      <c r="QKH30" s="1688"/>
      <c r="QKI30" s="1688"/>
      <c r="QKJ30" s="1688"/>
      <c r="QKK30" s="1688"/>
      <c r="QKL30" s="1688"/>
      <c r="QKM30" s="1688"/>
      <c r="QKN30" s="1688"/>
      <c r="QKO30" s="1688"/>
      <c r="QKP30" s="1688"/>
      <c r="QKQ30" s="1688"/>
      <c r="QKR30" s="1688"/>
      <c r="QKS30" s="1688"/>
      <c r="QKT30" s="1688"/>
      <c r="QKU30" s="1688"/>
      <c r="QKV30" s="1688"/>
      <c r="QKW30" s="1688"/>
      <c r="QKX30" s="1688"/>
      <c r="QKY30" s="1688"/>
      <c r="QKZ30" s="1688"/>
      <c r="QLA30" s="1688"/>
      <c r="QLB30" s="1688"/>
      <c r="QLC30" s="1688"/>
      <c r="QLD30" s="1688"/>
      <c r="QLE30" s="1688"/>
      <c r="QLF30" s="1688"/>
      <c r="QLG30" s="1688"/>
      <c r="QLH30" s="1688"/>
      <c r="QLI30" s="1688"/>
      <c r="QLJ30" s="1688"/>
      <c r="QLK30" s="1688"/>
      <c r="QLL30" s="1688"/>
      <c r="QLM30" s="1688"/>
      <c r="QLN30" s="1688"/>
      <c r="QLO30" s="1688"/>
      <c r="QLP30" s="1688"/>
      <c r="QLQ30" s="1688"/>
      <c r="QLR30" s="1688"/>
      <c r="QLS30" s="1688"/>
      <c r="QLT30" s="1688"/>
      <c r="QLU30" s="1688"/>
      <c r="QLV30" s="1688"/>
      <c r="QLW30" s="1688"/>
      <c r="QLX30" s="1688"/>
      <c r="QLY30" s="1688"/>
      <c r="QLZ30" s="1688"/>
      <c r="QMA30" s="1688"/>
      <c r="QMB30" s="1688"/>
      <c r="QMC30" s="1688"/>
      <c r="QMD30" s="1688"/>
      <c r="QME30" s="1688"/>
      <c r="QMF30" s="1688"/>
      <c r="QMG30" s="1688"/>
      <c r="QMH30" s="1688"/>
      <c r="QMI30" s="1688"/>
      <c r="QMJ30" s="1688"/>
      <c r="QMK30" s="1688"/>
      <c r="QML30" s="1688"/>
      <c r="QMM30" s="1688"/>
      <c r="QMN30" s="1688"/>
      <c r="QMO30" s="1688"/>
      <c r="QMP30" s="1688"/>
      <c r="QMQ30" s="1688"/>
      <c r="QMR30" s="1688"/>
      <c r="QMS30" s="1688"/>
      <c r="QMT30" s="1688"/>
      <c r="QMU30" s="1688"/>
      <c r="QMV30" s="1688"/>
      <c r="QMW30" s="1688"/>
      <c r="QMX30" s="1688"/>
      <c r="QMY30" s="1688"/>
      <c r="QMZ30" s="1688"/>
      <c r="QNA30" s="1688"/>
      <c r="QNB30" s="1688"/>
      <c r="QNC30" s="1688"/>
      <c r="QND30" s="1688"/>
      <c r="QNE30" s="1688"/>
      <c r="QNF30" s="1688"/>
      <c r="QNG30" s="1688"/>
      <c r="QNH30" s="1688"/>
      <c r="QNI30" s="1688"/>
      <c r="QNJ30" s="1688"/>
      <c r="QNK30" s="1688"/>
      <c r="QNL30" s="1688"/>
      <c r="QNM30" s="1688"/>
      <c r="QNN30" s="1688"/>
      <c r="QNO30" s="1688"/>
      <c r="QNP30" s="1688"/>
      <c r="QNQ30" s="1688"/>
      <c r="QNR30" s="1688"/>
      <c r="QNS30" s="1688"/>
      <c r="QNT30" s="1688"/>
      <c r="QNU30" s="1688"/>
      <c r="QNV30" s="1688"/>
      <c r="QNW30" s="1688"/>
      <c r="QNX30" s="1688"/>
      <c r="QNY30" s="1688"/>
      <c r="QNZ30" s="1688"/>
      <c r="QOA30" s="1688"/>
      <c r="QOB30" s="1688"/>
      <c r="QOC30" s="1688"/>
      <c r="QOD30" s="1688"/>
      <c r="QOE30" s="1688"/>
      <c r="QOF30" s="1688"/>
      <c r="QOG30" s="1688"/>
      <c r="QOH30" s="1688"/>
      <c r="QOI30" s="1688"/>
      <c r="QOJ30" s="1688"/>
      <c r="QOK30" s="1688"/>
      <c r="QOL30" s="1688"/>
      <c r="QOM30" s="1688"/>
      <c r="QON30" s="1688"/>
      <c r="QOO30" s="1688"/>
      <c r="QOP30" s="1688"/>
      <c r="QOQ30" s="1688"/>
      <c r="QOR30" s="1688"/>
      <c r="QOS30" s="1688"/>
      <c r="QOT30" s="1688"/>
      <c r="QOU30" s="1688"/>
      <c r="QOV30" s="1688"/>
      <c r="QOW30" s="1688"/>
      <c r="QOX30" s="1688"/>
      <c r="QOY30" s="1688"/>
      <c r="QOZ30" s="1688"/>
      <c r="QPA30" s="1688"/>
      <c r="QPB30" s="1688"/>
      <c r="QPC30" s="1688"/>
      <c r="QPD30" s="1688"/>
      <c r="QPE30" s="1688"/>
      <c r="QPF30" s="1688"/>
      <c r="QPG30" s="1688"/>
      <c r="QPH30" s="1688"/>
      <c r="QPI30" s="1688"/>
      <c r="QPJ30" s="1688"/>
      <c r="QPK30" s="1688"/>
      <c r="QPL30" s="1688"/>
      <c r="QPM30" s="1688"/>
      <c r="QPN30" s="1688"/>
      <c r="QPO30" s="1688"/>
      <c r="QPP30" s="1688"/>
      <c r="QPQ30" s="1688"/>
      <c r="QPR30" s="1688"/>
      <c r="QPS30" s="1688"/>
      <c r="QPT30" s="1688"/>
      <c r="QPU30" s="1688"/>
      <c r="QPV30" s="1688"/>
      <c r="QPW30" s="1688"/>
      <c r="QPX30" s="1688"/>
      <c r="QPY30" s="1688"/>
      <c r="QPZ30" s="1688"/>
      <c r="QQA30" s="1688"/>
      <c r="QQB30" s="1688"/>
      <c r="QQC30" s="1688"/>
      <c r="QQD30" s="1688"/>
      <c r="QQE30" s="1688"/>
      <c r="QQF30" s="1688"/>
      <c r="QQG30" s="1688"/>
      <c r="QQH30" s="1688"/>
      <c r="QQI30" s="1688"/>
      <c r="QQJ30" s="1688"/>
      <c r="QQK30" s="1688"/>
      <c r="QQL30" s="1688"/>
      <c r="QQM30" s="1688"/>
      <c r="QQN30" s="1688"/>
      <c r="QQO30" s="1688"/>
      <c r="QQP30" s="1688"/>
      <c r="QQQ30" s="1688"/>
      <c r="QQR30" s="1688"/>
      <c r="QQS30" s="1688"/>
      <c r="QQT30" s="1688"/>
      <c r="QQU30" s="1688"/>
      <c r="QQV30" s="1688"/>
      <c r="QQW30" s="1688"/>
      <c r="QQX30" s="1688"/>
      <c r="QQY30" s="1688"/>
      <c r="QQZ30" s="1688"/>
      <c r="QRA30" s="1688"/>
      <c r="QRB30" s="1688"/>
      <c r="QRC30" s="1688"/>
      <c r="QRD30" s="1688"/>
      <c r="QRE30" s="1688"/>
      <c r="QRF30" s="1688"/>
      <c r="QRG30" s="1688"/>
      <c r="QRH30" s="1688"/>
      <c r="QRI30" s="1688"/>
      <c r="QRJ30" s="1688"/>
      <c r="QRK30" s="1688"/>
      <c r="QRL30" s="1688"/>
      <c r="QRM30" s="1688"/>
      <c r="QRN30" s="1688"/>
      <c r="QRO30" s="1688"/>
      <c r="QRP30" s="1688"/>
      <c r="QRQ30" s="1688"/>
      <c r="QRR30" s="1688"/>
      <c r="QRS30" s="1688"/>
      <c r="QRT30" s="1688"/>
      <c r="QRU30" s="1688"/>
      <c r="QRV30" s="1688"/>
      <c r="QRW30" s="1688"/>
      <c r="QRX30" s="1688"/>
      <c r="QRY30" s="1688"/>
      <c r="QRZ30" s="1688"/>
      <c r="QSA30" s="1688"/>
      <c r="QSB30" s="1688"/>
      <c r="QSC30" s="1688"/>
      <c r="QSD30" s="1688"/>
      <c r="QSE30" s="1688"/>
      <c r="QSF30" s="1688"/>
      <c r="QSG30" s="1688"/>
      <c r="QSH30" s="1688"/>
      <c r="QSI30" s="1688"/>
      <c r="QSJ30" s="1688"/>
      <c r="QSK30" s="1688"/>
      <c r="QSL30" s="1688"/>
      <c r="QSM30" s="1688"/>
      <c r="QSN30" s="1688"/>
      <c r="QSO30" s="1688"/>
      <c r="QSP30" s="1688"/>
      <c r="QSQ30" s="1688"/>
      <c r="QSR30" s="1688"/>
      <c r="QSS30" s="1688"/>
      <c r="QST30" s="1688"/>
      <c r="QSU30" s="1688"/>
      <c r="QSV30" s="1688"/>
      <c r="QSW30" s="1688"/>
      <c r="QSX30" s="1688"/>
      <c r="QSY30" s="1688"/>
      <c r="QSZ30" s="1688"/>
      <c r="QTA30" s="1688"/>
      <c r="QTB30" s="1688"/>
      <c r="QTC30" s="1688"/>
      <c r="QTD30" s="1688"/>
      <c r="QTE30" s="1688"/>
      <c r="QTF30" s="1688"/>
      <c r="QTG30" s="1688"/>
      <c r="QTH30" s="1688"/>
      <c r="QTI30" s="1688"/>
      <c r="QTJ30" s="1688"/>
      <c r="QTK30" s="1688"/>
      <c r="QTL30" s="1688"/>
      <c r="QTM30" s="1688"/>
      <c r="QTN30" s="1688"/>
      <c r="QTO30" s="1688"/>
      <c r="QTP30" s="1688"/>
      <c r="QTQ30" s="1688"/>
      <c r="QTR30" s="1688"/>
      <c r="QTS30" s="1688"/>
      <c r="QTT30" s="1688"/>
      <c r="QTU30" s="1688"/>
      <c r="QTV30" s="1688"/>
      <c r="QTW30" s="1688"/>
      <c r="QTX30" s="1688"/>
      <c r="QTY30" s="1688"/>
      <c r="QTZ30" s="1688"/>
      <c r="QUA30" s="1688"/>
      <c r="QUB30" s="1688"/>
      <c r="QUC30" s="1688"/>
      <c r="QUD30" s="1688"/>
      <c r="QUE30" s="1688"/>
      <c r="QUF30" s="1688"/>
      <c r="QUG30" s="1688"/>
      <c r="QUH30" s="1688"/>
      <c r="QUI30" s="1688"/>
      <c r="QUJ30" s="1688"/>
      <c r="QUK30" s="1688"/>
      <c r="QUL30" s="1688"/>
      <c r="QUM30" s="1688"/>
      <c r="QUN30" s="1688"/>
      <c r="QUO30" s="1688"/>
      <c r="QUP30" s="1688"/>
      <c r="QUQ30" s="1688"/>
      <c r="QUR30" s="1688"/>
      <c r="QUS30" s="1688"/>
      <c r="QUT30" s="1688"/>
      <c r="QUU30" s="1688"/>
      <c r="QUV30" s="1688"/>
      <c r="QUW30" s="1688"/>
      <c r="QUX30" s="1688"/>
      <c r="QUY30" s="1688"/>
      <c r="QUZ30" s="1688"/>
      <c r="QVA30" s="1688"/>
      <c r="QVB30" s="1688"/>
      <c r="QVC30" s="1688"/>
      <c r="QVD30" s="1688"/>
      <c r="QVE30" s="1688"/>
      <c r="QVF30" s="1688"/>
      <c r="QVG30" s="1688"/>
      <c r="QVH30" s="1688"/>
      <c r="QVI30" s="1688"/>
      <c r="QVJ30" s="1688"/>
      <c r="QVK30" s="1688"/>
      <c r="QVL30" s="1688"/>
      <c r="QVM30" s="1688"/>
      <c r="QVN30" s="1688"/>
      <c r="QVO30" s="1688"/>
      <c r="QVP30" s="1688"/>
      <c r="QVQ30" s="1688"/>
      <c r="QVR30" s="1688"/>
      <c r="QVS30" s="1688"/>
      <c r="QVT30" s="1688"/>
      <c r="QVU30" s="1688"/>
      <c r="QVV30" s="1688"/>
      <c r="QVW30" s="1688"/>
      <c r="QVX30" s="1688"/>
      <c r="QVY30" s="1688"/>
      <c r="QVZ30" s="1688"/>
      <c r="QWA30" s="1688"/>
      <c r="QWB30" s="1688"/>
      <c r="QWC30" s="1688"/>
      <c r="QWD30" s="1688"/>
      <c r="QWE30" s="1688"/>
      <c r="QWF30" s="1688"/>
      <c r="QWG30" s="1688"/>
      <c r="QWH30" s="1688"/>
      <c r="QWI30" s="1688"/>
      <c r="QWJ30" s="1688"/>
      <c r="QWK30" s="1688"/>
      <c r="QWL30" s="1688"/>
      <c r="QWM30" s="1688"/>
      <c r="QWN30" s="1688"/>
      <c r="QWO30" s="1688"/>
      <c r="QWP30" s="1688"/>
      <c r="QWQ30" s="1688"/>
      <c r="QWR30" s="1688"/>
      <c r="QWS30" s="1688"/>
      <c r="QWT30" s="1688"/>
      <c r="QWU30" s="1688"/>
      <c r="QWV30" s="1688"/>
      <c r="QWW30" s="1688"/>
      <c r="QWX30" s="1688"/>
      <c r="QWY30" s="1688"/>
      <c r="QWZ30" s="1688"/>
      <c r="QXA30" s="1688"/>
      <c r="QXB30" s="1688"/>
      <c r="QXC30" s="1688"/>
      <c r="QXD30" s="1688"/>
      <c r="QXE30" s="1688"/>
      <c r="QXF30" s="1688"/>
      <c r="QXG30" s="1688"/>
      <c r="QXH30" s="1688"/>
      <c r="QXI30" s="1688"/>
      <c r="QXJ30" s="1688"/>
      <c r="QXK30" s="1688"/>
      <c r="QXL30" s="1688"/>
      <c r="QXM30" s="1688"/>
      <c r="QXN30" s="1688"/>
      <c r="QXO30" s="1688"/>
      <c r="QXP30" s="1688"/>
      <c r="QXQ30" s="1688"/>
      <c r="QXR30" s="1688"/>
      <c r="QXS30" s="1688"/>
      <c r="QXT30" s="1688"/>
      <c r="QXU30" s="1688"/>
      <c r="QXV30" s="1688"/>
      <c r="QXW30" s="1688"/>
      <c r="QXX30" s="1688"/>
      <c r="QXY30" s="1688"/>
      <c r="QXZ30" s="1688"/>
      <c r="QYA30" s="1688"/>
      <c r="QYB30" s="1688"/>
      <c r="QYC30" s="1688"/>
      <c r="QYD30" s="1688"/>
      <c r="QYE30" s="1688"/>
      <c r="QYF30" s="1688"/>
      <c r="QYG30" s="1688"/>
      <c r="QYH30" s="1688"/>
      <c r="QYI30" s="1688"/>
      <c r="QYJ30" s="1688"/>
      <c r="QYK30" s="1688"/>
      <c r="QYL30" s="1688"/>
      <c r="QYM30" s="1688"/>
      <c r="QYN30" s="1688"/>
      <c r="QYO30" s="1688"/>
      <c r="QYP30" s="1688"/>
      <c r="QYQ30" s="1688"/>
      <c r="QYR30" s="1688"/>
      <c r="QYS30" s="1688"/>
      <c r="QYT30" s="1688"/>
      <c r="QYU30" s="1688"/>
      <c r="QYV30" s="1688"/>
      <c r="QYW30" s="1688"/>
      <c r="QYX30" s="1688"/>
      <c r="QYY30" s="1688"/>
      <c r="QYZ30" s="1688"/>
      <c r="QZA30" s="1688"/>
      <c r="QZB30" s="1688"/>
      <c r="QZC30" s="1688"/>
      <c r="QZD30" s="1688"/>
      <c r="QZE30" s="1688"/>
      <c r="QZF30" s="1688"/>
      <c r="QZG30" s="1688"/>
      <c r="QZH30" s="1688"/>
      <c r="QZI30" s="1688"/>
      <c r="QZJ30" s="1688"/>
      <c r="QZK30" s="1688"/>
      <c r="QZL30" s="1688"/>
      <c r="QZM30" s="1688"/>
      <c r="QZN30" s="1688"/>
      <c r="QZO30" s="1688"/>
      <c r="QZP30" s="1688"/>
      <c r="QZQ30" s="1688"/>
      <c r="QZR30" s="1688"/>
      <c r="QZS30" s="1688"/>
      <c r="QZT30" s="1688"/>
      <c r="QZU30" s="1688"/>
      <c r="QZV30" s="1688"/>
      <c r="QZW30" s="1688"/>
      <c r="QZX30" s="1688"/>
      <c r="QZY30" s="1688"/>
      <c r="QZZ30" s="1688"/>
      <c r="RAA30" s="1688"/>
      <c r="RAB30" s="1688"/>
      <c r="RAC30" s="1688"/>
      <c r="RAD30" s="1688"/>
      <c r="RAE30" s="1688"/>
      <c r="RAF30" s="1688"/>
      <c r="RAG30" s="1688"/>
      <c r="RAH30" s="1688"/>
      <c r="RAI30" s="1688"/>
      <c r="RAJ30" s="1688"/>
      <c r="RAK30" s="1688"/>
      <c r="RAL30" s="1688"/>
      <c r="RAM30" s="1688"/>
      <c r="RAN30" s="1688"/>
      <c r="RAO30" s="1688"/>
      <c r="RAP30" s="1688"/>
      <c r="RAQ30" s="1688"/>
      <c r="RAR30" s="1688"/>
      <c r="RAS30" s="1688"/>
      <c r="RAT30" s="1688"/>
      <c r="RAU30" s="1688"/>
      <c r="RAV30" s="1688"/>
      <c r="RAW30" s="1688"/>
      <c r="RAX30" s="1688"/>
      <c r="RAY30" s="1688"/>
      <c r="RAZ30" s="1688"/>
      <c r="RBA30" s="1688"/>
      <c r="RBB30" s="1688"/>
      <c r="RBC30" s="1688"/>
      <c r="RBD30" s="1688"/>
      <c r="RBE30" s="1688"/>
      <c r="RBF30" s="1688"/>
      <c r="RBG30" s="1688"/>
      <c r="RBH30" s="1688"/>
      <c r="RBI30" s="1688"/>
      <c r="RBJ30" s="1688"/>
      <c r="RBK30" s="1688"/>
      <c r="RBL30" s="1688"/>
      <c r="RBM30" s="1688"/>
      <c r="RBN30" s="1688"/>
      <c r="RBO30" s="1688"/>
      <c r="RBP30" s="1688"/>
      <c r="RBQ30" s="1688"/>
      <c r="RBR30" s="1688"/>
      <c r="RBS30" s="1688"/>
      <c r="RBT30" s="1688"/>
      <c r="RBU30" s="1688"/>
      <c r="RBV30" s="1688"/>
      <c r="RBW30" s="1688"/>
      <c r="RBX30" s="1688"/>
      <c r="RBY30" s="1688"/>
      <c r="RBZ30" s="1688"/>
      <c r="RCA30" s="1688"/>
      <c r="RCB30" s="1688"/>
      <c r="RCC30" s="1688"/>
      <c r="RCD30" s="1688"/>
      <c r="RCE30" s="1688"/>
      <c r="RCF30" s="1688"/>
      <c r="RCG30" s="1688"/>
      <c r="RCH30" s="1688"/>
      <c r="RCI30" s="1688"/>
      <c r="RCJ30" s="1688"/>
      <c r="RCK30" s="1688"/>
      <c r="RCL30" s="1688"/>
      <c r="RCM30" s="1688"/>
      <c r="RCN30" s="1688"/>
      <c r="RCO30" s="1688"/>
      <c r="RCP30" s="1688"/>
      <c r="RCQ30" s="1688"/>
      <c r="RCR30" s="1688"/>
      <c r="RCS30" s="1688"/>
      <c r="RCT30" s="1688"/>
      <c r="RCU30" s="1688"/>
      <c r="RCV30" s="1688"/>
      <c r="RCW30" s="1688"/>
      <c r="RCX30" s="1688"/>
      <c r="RCY30" s="1688"/>
      <c r="RCZ30" s="1688"/>
      <c r="RDA30" s="1688"/>
      <c r="RDB30" s="1688"/>
      <c r="RDC30" s="1688"/>
      <c r="RDD30" s="1688"/>
      <c r="RDE30" s="1688"/>
      <c r="RDF30" s="1688"/>
      <c r="RDG30" s="1688"/>
      <c r="RDH30" s="1688"/>
      <c r="RDI30" s="1688"/>
      <c r="RDJ30" s="1688"/>
      <c r="RDK30" s="1688"/>
      <c r="RDL30" s="1688"/>
      <c r="RDM30" s="1688"/>
      <c r="RDN30" s="1688"/>
      <c r="RDO30" s="1688"/>
      <c r="RDP30" s="1688"/>
      <c r="RDQ30" s="1688"/>
      <c r="RDR30" s="1688"/>
      <c r="RDS30" s="1688"/>
      <c r="RDT30" s="1688"/>
      <c r="RDU30" s="1688"/>
      <c r="RDV30" s="1688"/>
      <c r="RDW30" s="1688"/>
      <c r="RDX30" s="1688"/>
      <c r="RDY30" s="1688"/>
      <c r="RDZ30" s="1688"/>
      <c r="REA30" s="1688"/>
      <c r="REB30" s="1688"/>
      <c r="REC30" s="1688"/>
      <c r="RED30" s="1688"/>
      <c r="REE30" s="1688"/>
      <c r="REF30" s="1688"/>
      <c r="REG30" s="1688"/>
      <c r="REH30" s="1688"/>
      <c r="REI30" s="1688"/>
      <c r="REJ30" s="1688"/>
      <c r="REK30" s="1688"/>
      <c r="REL30" s="1688"/>
      <c r="REM30" s="1688"/>
      <c r="REN30" s="1688"/>
      <c r="REO30" s="1688"/>
      <c r="REP30" s="1688"/>
      <c r="REQ30" s="1688"/>
      <c r="RER30" s="1688"/>
      <c r="RES30" s="1688"/>
      <c r="RET30" s="1688"/>
      <c r="REU30" s="1688"/>
      <c r="REV30" s="1688"/>
      <c r="REW30" s="1688"/>
      <c r="REX30" s="1688"/>
      <c r="REY30" s="1688"/>
      <c r="REZ30" s="1688"/>
      <c r="RFA30" s="1688"/>
      <c r="RFB30" s="1688"/>
      <c r="RFC30" s="1688"/>
      <c r="RFD30" s="1688"/>
      <c r="RFE30" s="1688"/>
      <c r="RFF30" s="1688"/>
      <c r="RFG30" s="1688"/>
      <c r="RFH30" s="1688"/>
      <c r="RFI30" s="1688"/>
      <c r="RFJ30" s="1688"/>
      <c r="RFK30" s="1688"/>
      <c r="RFL30" s="1688"/>
      <c r="RFM30" s="1688"/>
      <c r="RFN30" s="1688"/>
      <c r="RFO30" s="1688"/>
      <c r="RFP30" s="1688"/>
      <c r="RFQ30" s="1688"/>
      <c r="RFR30" s="1688"/>
      <c r="RFS30" s="1688"/>
      <c r="RFT30" s="1688"/>
      <c r="RFU30" s="1688"/>
      <c r="RFV30" s="1688"/>
      <c r="RFW30" s="1688"/>
      <c r="RFX30" s="1688"/>
      <c r="RFY30" s="1688"/>
      <c r="RFZ30" s="1688"/>
      <c r="RGA30" s="1688"/>
      <c r="RGB30" s="1688"/>
      <c r="RGC30" s="1688"/>
      <c r="RGD30" s="1688"/>
      <c r="RGE30" s="1688"/>
      <c r="RGF30" s="1688"/>
      <c r="RGG30" s="1688"/>
      <c r="RGH30" s="1688"/>
      <c r="RGI30" s="1688"/>
      <c r="RGJ30" s="1688"/>
      <c r="RGK30" s="1688"/>
      <c r="RGL30" s="1688"/>
      <c r="RGM30" s="1688"/>
      <c r="RGN30" s="1688"/>
      <c r="RGO30" s="1688"/>
      <c r="RGP30" s="1688"/>
      <c r="RGQ30" s="1688"/>
      <c r="RGR30" s="1688"/>
      <c r="RGS30" s="1688"/>
      <c r="RGT30" s="1688"/>
      <c r="RGU30" s="1688"/>
      <c r="RGV30" s="1688"/>
      <c r="RGW30" s="1688"/>
      <c r="RGX30" s="1688"/>
      <c r="RGY30" s="1688"/>
      <c r="RGZ30" s="1688"/>
      <c r="RHA30" s="1688"/>
      <c r="RHB30" s="1688"/>
      <c r="RHC30" s="1688"/>
      <c r="RHD30" s="1688"/>
      <c r="RHE30" s="1688"/>
      <c r="RHF30" s="1688"/>
      <c r="RHG30" s="1688"/>
      <c r="RHH30" s="1688"/>
      <c r="RHI30" s="1688"/>
      <c r="RHJ30" s="1688"/>
      <c r="RHK30" s="1688"/>
      <c r="RHL30" s="1688"/>
      <c r="RHM30" s="1688"/>
      <c r="RHN30" s="1688"/>
      <c r="RHO30" s="1688"/>
      <c r="RHP30" s="1688"/>
      <c r="RHQ30" s="1688"/>
      <c r="RHR30" s="1688"/>
      <c r="RHS30" s="1688"/>
      <c r="RHT30" s="1688"/>
      <c r="RHU30" s="1688"/>
      <c r="RHV30" s="1688"/>
      <c r="RHW30" s="1688"/>
      <c r="RHX30" s="1688"/>
      <c r="RHY30" s="1688"/>
      <c r="RHZ30" s="1688"/>
      <c r="RIA30" s="1688"/>
      <c r="RIB30" s="1688"/>
      <c r="RIC30" s="1688"/>
      <c r="RID30" s="1688"/>
      <c r="RIE30" s="1688"/>
      <c r="RIF30" s="1688"/>
      <c r="RIG30" s="1688"/>
      <c r="RIH30" s="1688"/>
      <c r="RII30" s="1688"/>
      <c r="RIJ30" s="1688"/>
      <c r="RIK30" s="1688"/>
      <c r="RIL30" s="1688"/>
      <c r="RIM30" s="1688"/>
      <c r="RIN30" s="1688"/>
      <c r="RIO30" s="1688"/>
      <c r="RIP30" s="1688"/>
      <c r="RIQ30" s="1688"/>
      <c r="RIR30" s="1688"/>
      <c r="RIS30" s="1688"/>
      <c r="RIT30" s="1688"/>
      <c r="RIU30" s="1688"/>
      <c r="RIV30" s="1688"/>
      <c r="RIW30" s="1688"/>
      <c r="RIX30" s="1688"/>
      <c r="RIY30" s="1688"/>
      <c r="RIZ30" s="1688"/>
      <c r="RJA30" s="1688"/>
      <c r="RJB30" s="1688"/>
      <c r="RJC30" s="1688"/>
      <c r="RJD30" s="1688"/>
      <c r="RJE30" s="1688"/>
      <c r="RJF30" s="1688"/>
      <c r="RJG30" s="1688"/>
      <c r="RJH30" s="1688"/>
      <c r="RJI30" s="1688"/>
      <c r="RJJ30" s="1688"/>
      <c r="RJK30" s="1688"/>
      <c r="RJL30" s="1688"/>
      <c r="RJM30" s="1688"/>
      <c r="RJN30" s="1688"/>
      <c r="RJO30" s="1688"/>
      <c r="RJP30" s="1688"/>
      <c r="RJQ30" s="1688"/>
      <c r="RJR30" s="1688"/>
      <c r="RJS30" s="1688"/>
      <c r="RJT30" s="1688"/>
      <c r="RJU30" s="1688"/>
      <c r="RJV30" s="1688"/>
      <c r="RJW30" s="1688"/>
      <c r="RJX30" s="1688"/>
      <c r="RJY30" s="1688"/>
      <c r="RJZ30" s="1688"/>
      <c r="RKA30" s="1688"/>
      <c r="RKB30" s="1688"/>
      <c r="RKC30" s="1688"/>
      <c r="RKD30" s="1688"/>
      <c r="RKE30" s="1688"/>
      <c r="RKF30" s="1688"/>
      <c r="RKG30" s="1688"/>
      <c r="RKH30" s="1688"/>
      <c r="RKI30" s="1688"/>
      <c r="RKJ30" s="1688"/>
      <c r="RKK30" s="1688"/>
      <c r="RKL30" s="1688"/>
      <c r="RKM30" s="1688"/>
      <c r="RKN30" s="1688"/>
      <c r="RKO30" s="1688"/>
      <c r="RKP30" s="1688"/>
      <c r="RKQ30" s="1688"/>
      <c r="RKR30" s="1688"/>
      <c r="RKS30" s="1688"/>
      <c r="RKT30" s="1688"/>
      <c r="RKU30" s="1688"/>
      <c r="RKV30" s="1688"/>
      <c r="RKW30" s="1688"/>
      <c r="RKX30" s="1688"/>
      <c r="RKY30" s="1688"/>
      <c r="RKZ30" s="1688"/>
      <c r="RLA30" s="1688"/>
      <c r="RLB30" s="1688"/>
      <c r="RLC30" s="1688"/>
      <c r="RLD30" s="1688"/>
      <c r="RLE30" s="1688"/>
      <c r="RLF30" s="1688"/>
      <c r="RLG30" s="1688"/>
      <c r="RLH30" s="1688"/>
      <c r="RLI30" s="1688"/>
      <c r="RLJ30" s="1688"/>
      <c r="RLK30" s="1688"/>
      <c r="RLL30" s="1688"/>
      <c r="RLM30" s="1688"/>
      <c r="RLN30" s="1688"/>
      <c r="RLO30" s="1688"/>
      <c r="RLP30" s="1688"/>
      <c r="RLQ30" s="1688"/>
      <c r="RLR30" s="1688"/>
      <c r="RLS30" s="1688"/>
      <c r="RLT30" s="1688"/>
      <c r="RLU30" s="1688"/>
      <c r="RLV30" s="1688"/>
      <c r="RLW30" s="1688"/>
      <c r="RLX30" s="1688"/>
      <c r="RLY30" s="1688"/>
      <c r="RLZ30" s="1688"/>
      <c r="RMA30" s="1688"/>
      <c r="RMB30" s="1688"/>
      <c r="RMC30" s="1688"/>
      <c r="RMD30" s="1688"/>
      <c r="RME30" s="1688"/>
      <c r="RMF30" s="1688"/>
      <c r="RMG30" s="1688"/>
      <c r="RMH30" s="1688"/>
      <c r="RMI30" s="1688"/>
      <c r="RMJ30" s="1688"/>
      <c r="RMK30" s="1688"/>
      <c r="RML30" s="1688"/>
      <c r="RMM30" s="1688"/>
      <c r="RMN30" s="1688"/>
      <c r="RMO30" s="1688"/>
      <c r="RMP30" s="1688"/>
      <c r="RMQ30" s="1688"/>
      <c r="RMR30" s="1688"/>
      <c r="RMS30" s="1688"/>
      <c r="RMT30" s="1688"/>
      <c r="RMU30" s="1688"/>
      <c r="RMV30" s="1688"/>
      <c r="RMW30" s="1688"/>
      <c r="RMX30" s="1688"/>
      <c r="RMY30" s="1688"/>
      <c r="RMZ30" s="1688"/>
      <c r="RNA30" s="1688"/>
      <c r="RNB30" s="1688"/>
      <c r="RNC30" s="1688"/>
      <c r="RND30" s="1688"/>
      <c r="RNE30" s="1688"/>
      <c r="RNF30" s="1688"/>
      <c r="RNG30" s="1688"/>
      <c r="RNH30" s="1688"/>
      <c r="RNI30" s="1688"/>
      <c r="RNJ30" s="1688"/>
      <c r="RNK30" s="1688"/>
      <c r="RNL30" s="1688"/>
      <c r="RNM30" s="1688"/>
      <c r="RNN30" s="1688"/>
      <c r="RNO30" s="1688"/>
      <c r="RNP30" s="1688"/>
      <c r="RNQ30" s="1688"/>
      <c r="RNR30" s="1688"/>
      <c r="RNS30" s="1688"/>
      <c r="RNT30" s="1688"/>
      <c r="RNU30" s="1688"/>
      <c r="RNV30" s="1688"/>
      <c r="RNW30" s="1688"/>
      <c r="RNX30" s="1688"/>
      <c r="RNY30" s="1688"/>
      <c r="RNZ30" s="1688"/>
      <c r="ROA30" s="1688"/>
      <c r="ROB30" s="1688"/>
      <c r="ROC30" s="1688"/>
      <c r="ROD30" s="1688"/>
      <c r="ROE30" s="1688"/>
      <c r="ROF30" s="1688"/>
      <c r="ROG30" s="1688"/>
      <c r="ROH30" s="1688"/>
      <c r="ROI30" s="1688"/>
      <c r="ROJ30" s="1688"/>
      <c r="ROK30" s="1688"/>
      <c r="ROL30" s="1688"/>
      <c r="ROM30" s="1688"/>
      <c r="RON30" s="1688"/>
      <c r="ROO30" s="1688"/>
      <c r="ROP30" s="1688"/>
      <c r="ROQ30" s="1688"/>
      <c r="ROR30" s="1688"/>
      <c r="ROS30" s="1688"/>
      <c r="ROT30" s="1688"/>
      <c r="ROU30" s="1688"/>
      <c r="ROV30" s="1688"/>
      <c r="ROW30" s="1688"/>
      <c r="ROX30" s="1688"/>
      <c r="ROY30" s="1688"/>
      <c r="ROZ30" s="1688"/>
      <c r="RPA30" s="1688"/>
      <c r="RPB30" s="1688"/>
      <c r="RPC30" s="1688"/>
      <c r="RPD30" s="1688"/>
      <c r="RPE30" s="1688"/>
      <c r="RPF30" s="1688"/>
      <c r="RPG30" s="1688"/>
      <c r="RPH30" s="1688"/>
      <c r="RPI30" s="1688"/>
      <c r="RPJ30" s="1688"/>
      <c r="RPK30" s="1688"/>
      <c r="RPL30" s="1688"/>
      <c r="RPM30" s="1688"/>
      <c r="RPN30" s="1688"/>
      <c r="RPO30" s="1688"/>
      <c r="RPP30" s="1688"/>
      <c r="RPQ30" s="1688"/>
      <c r="RPR30" s="1688"/>
      <c r="RPS30" s="1688"/>
      <c r="RPT30" s="1688"/>
      <c r="RPU30" s="1688"/>
      <c r="RPV30" s="1688"/>
      <c r="RPW30" s="1688"/>
      <c r="RPX30" s="1688"/>
      <c r="RPY30" s="1688"/>
      <c r="RPZ30" s="1688"/>
      <c r="RQA30" s="1688"/>
      <c r="RQB30" s="1688"/>
      <c r="RQC30" s="1688"/>
      <c r="RQD30" s="1688"/>
      <c r="RQE30" s="1688"/>
      <c r="RQF30" s="1688"/>
      <c r="RQG30" s="1688"/>
      <c r="RQH30" s="1688"/>
      <c r="RQI30" s="1688"/>
      <c r="RQJ30" s="1688"/>
      <c r="RQK30" s="1688"/>
      <c r="RQL30" s="1688"/>
      <c r="RQM30" s="1688"/>
      <c r="RQN30" s="1688"/>
      <c r="RQO30" s="1688"/>
      <c r="RQP30" s="1688"/>
      <c r="RQQ30" s="1688"/>
      <c r="RQR30" s="1688"/>
      <c r="RQS30" s="1688"/>
      <c r="RQT30" s="1688"/>
      <c r="RQU30" s="1688"/>
      <c r="RQV30" s="1688"/>
      <c r="RQW30" s="1688"/>
      <c r="RQX30" s="1688"/>
      <c r="RQY30" s="1688"/>
      <c r="RQZ30" s="1688"/>
      <c r="RRA30" s="1688"/>
      <c r="RRB30" s="1688"/>
      <c r="RRC30" s="1688"/>
      <c r="RRD30" s="1688"/>
      <c r="RRE30" s="1688"/>
      <c r="RRF30" s="1688"/>
      <c r="RRG30" s="1688"/>
      <c r="RRH30" s="1688"/>
      <c r="RRI30" s="1688"/>
      <c r="RRJ30" s="1688"/>
      <c r="RRK30" s="1688"/>
      <c r="RRL30" s="1688"/>
      <c r="RRM30" s="1688"/>
      <c r="RRN30" s="1688"/>
      <c r="RRO30" s="1688"/>
      <c r="RRP30" s="1688"/>
      <c r="RRQ30" s="1688"/>
      <c r="RRR30" s="1688"/>
      <c r="RRS30" s="1688"/>
      <c r="RRT30" s="1688"/>
      <c r="RRU30" s="1688"/>
      <c r="RRV30" s="1688"/>
      <c r="RRW30" s="1688"/>
      <c r="RRX30" s="1688"/>
      <c r="RRY30" s="1688"/>
      <c r="RRZ30" s="1688"/>
      <c r="RSA30" s="1688"/>
      <c r="RSB30" s="1688"/>
      <c r="RSC30" s="1688"/>
      <c r="RSD30" s="1688"/>
      <c r="RSE30" s="1688"/>
      <c r="RSF30" s="1688"/>
      <c r="RSG30" s="1688"/>
      <c r="RSH30" s="1688"/>
      <c r="RSI30" s="1688"/>
      <c r="RSJ30" s="1688"/>
      <c r="RSK30" s="1688"/>
      <c r="RSL30" s="1688"/>
      <c r="RSM30" s="1688"/>
      <c r="RSN30" s="1688"/>
      <c r="RSO30" s="1688"/>
      <c r="RSP30" s="1688"/>
      <c r="RSQ30" s="1688"/>
      <c r="RSR30" s="1688"/>
      <c r="RSS30" s="1688"/>
      <c r="RST30" s="1688"/>
      <c r="RSU30" s="1688"/>
      <c r="RSV30" s="1688"/>
      <c r="RSW30" s="1688"/>
      <c r="RSX30" s="1688"/>
      <c r="RSY30" s="1688"/>
      <c r="RSZ30" s="1688"/>
      <c r="RTA30" s="1688"/>
      <c r="RTB30" s="1688"/>
      <c r="RTC30" s="1688"/>
      <c r="RTD30" s="1688"/>
      <c r="RTE30" s="1688"/>
      <c r="RTF30" s="1688"/>
      <c r="RTG30" s="1688"/>
      <c r="RTH30" s="1688"/>
      <c r="RTI30" s="1688"/>
      <c r="RTJ30" s="1688"/>
      <c r="RTK30" s="1688"/>
      <c r="RTL30" s="1688"/>
      <c r="RTM30" s="1688"/>
      <c r="RTN30" s="1688"/>
      <c r="RTO30" s="1688"/>
      <c r="RTP30" s="1688"/>
      <c r="RTQ30" s="1688"/>
      <c r="RTR30" s="1688"/>
      <c r="RTS30" s="1688"/>
      <c r="RTT30" s="1688"/>
      <c r="RTU30" s="1688"/>
      <c r="RTV30" s="1688"/>
      <c r="RTW30" s="1688"/>
      <c r="RTX30" s="1688"/>
      <c r="RTY30" s="1688"/>
      <c r="RTZ30" s="1688"/>
      <c r="RUA30" s="1688"/>
      <c r="RUB30" s="1688"/>
      <c r="RUC30" s="1688"/>
      <c r="RUD30" s="1688"/>
      <c r="RUE30" s="1688"/>
      <c r="RUF30" s="1688"/>
      <c r="RUG30" s="1688"/>
      <c r="RUH30" s="1688"/>
      <c r="RUI30" s="1688"/>
      <c r="RUJ30" s="1688"/>
      <c r="RUK30" s="1688"/>
      <c r="RUL30" s="1688"/>
      <c r="RUM30" s="1688"/>
      <c r="RUN30" s="1688"/>
      <c r="RUO30" s="1688"/>
      <c r="RUP30" s="1688"/>
      <c r="RUQ30" s="1688"/>
      <c r="RUR30" s="1688"/>
      <c r="RUS30" s="1688"/>
      <c r="RUT30" s="1688"/>
      <c r="RUU30" s="1688"/>
      <c r="RUV30" s="1688"/>
      <c r="RUW30" s="1688"/>
      <c r="RUX30" s="1688"/>
      <c r="RUY30" s="1688"/>
      <c r="RUZ30" s="1688"/>
      <c r="RVA30" s="1688"/>
      <c r="RVB30" s="1688"/>
      <c r="RVC30" s="1688"/>
      <c r="RVD30" s="1688"/>
      <c r="RVE30" s="1688"/>
      <c r="RVF30" s="1688"/>
      <c r="RVG30" s="1688"/>
      <c r="RVH30" s="1688"/>
      <c r="RVI30" s="1688"/>
      <c r="RVJ30" s="1688"/>
      <c r="RVK30" s="1688"/>
      <c r="RVL30" s="1688"/>
      <c r="RVM30" s="1688"/>
      <c r="RVN30" s="1688"/>
      <c r="RVO30" s="1688"/>
      <c r="RVP30" s="1688"/>
      <c r="RVQ30" s="1688"/>
      <c r="RVR30" s="1688"/>
      <c r="RVS30" s="1688"/>
      <c r="RVT30" s="1688"/>
      <c r="RVU30" s="1688"/>
      <c r="RVV30" s="1688"/>
      <c r="RVW30" s="1688"/>
      <c r="RVX30" s="1688"/>
      <c r="RVY30" s="1688"/>
      <c r="RVZ30" s="1688"/>
      <c r="RWA30" s="1688"/>
      <c r="RWB30" s="1688"/>
      <c r="RWC30" s="1688"/>
      <c r="RWD30" s="1688"/>
      <c r="RWE30" s="1688"/>
      <c r="RWF30" s="1688"/>
      <c r="RWG30" s="1688"/>
      <c r="RWH30" s="1688"/>
      <c r="RWI30" s="1688"/>
      <c r="RWJ30" s="1688"/>
      <c r="RWK30" s="1688"/>
      <c r="RWL30" s="1688"/>
      <c r="RWM30" s="1688"/>
      <c r="RWN30" s="1688"/>
      <c r="RWO30" s="1688"/>
      <c r="RWP30" s="1688"/>
      <c r="RWQ30" s="1688"/>
      <c r="RWR30" s="1688"/>
      <c r="RWS30" s="1688"/>
      <c r="RWT30" s="1688"/>
      <c r="RWU30" s="1688"/>
      <c r="RWV30" s="1688"/>
      <c r="RWW30" s="1688"/>
      <c r="RWX30" s="1688"/>
      <c r="RWY30" s="1688"/>
      <c r="RWZ30" s="1688"/>
      <c r="RXA30" s="1688"/>
      <c r="RXB30" s="1688"/>
      <c r="RXC30" s="1688"/>
      <c r="RXD30" s="1688"/>
      <c r="RXE30" s="1688"/>
      <c r="RXF30" s="1688"/>
      <c r="RXG30" s="1688"/>
      <c r="RXH30" s="1688"/>
      <c r="RXI30" s="1688"/>
      <c r="RXJ30" s="1688"/>
      <c r="RXK30" s="1688"/>
      <c r="RXL30" s="1688"/>
      <c r="RXM30" s="1688"/>
      <c r="RXN30" s="1688"/>
      <c r="RXO30" s="1688"/>
      <c r="RXP30" s="1688"/>
      <c r="RXQ30" s="1688"/>
      <c r="RXR30" s="1688"/>
      <c r="RXS30" s="1688"/>
      <c r="RXT30" s="1688"/>
      <c r="RXU30" s="1688"/>
      <c r="RXV30" s="1688"/>
      <c r="RXW30" s="1688"/>
      <c r="RXX30" s="1688"/>
      <c r="RXY30" s="1688"/>
      <c r="RXZ30" s="1688"/>
      <c r="RYA30" s="1688"/>
      <c r="RYB30" s="1688"/>
      <c r="RYC30" s="1688"/>
      <c r="RYD30" s="1688"/>
      <c r="RYE30" s="1688"/>
      <c r="RYF30" s="1688"/>
      <c r="RYG30" s="1688"/>
      <c r="RYH30" s="1688"/>
      <c r="RYI30" s="1688"/>
      <c r="RYJ30" s="1688"/>
      <c r="RYK30" s="1688"/>
      <c r="RYL30" s="1688"/>
      <c r="RYM30" s="1688"/>
      <c r="RYN30" s="1688"/>
      <c r="RYO30" s="1688"/>
      <c r="RYP30" s="1688"/>
      <c r="RYQ30" s="1688"/>
      <c r="RYR30" s="1688"/>
      <c r="RYS30" s="1688"/>
      <c r="RYT30" s="1688"/>
      <c r="RYU30" s="1688"/>
      <c r="RYV30" s="1688"/>
      <c r="RYW30" s="1688"/>
      <c r="RYX30" s="1688"/>
      <c r="RYY30" s="1688"/>
      <c r="RYZ30" s="1688"/>
      <c r="RZA30" s="1688"/>
      <c r="RZB30" s="1688"/>
      <c r="RZC30" s="1688"/>
      <c r="RZD30" s="1688"/>
      <c r="RZE30" s="1688"/>
      <c r="RZF30" s="1688"/>
      <c r="RZG30" s="1688"/>
      <c r="RZH30" s="1688"/>
      <c r="RZI30" s="1688"/>
      <c r="RZJ30" s="1688"/>
      <c r="RZK30" s="1688"/>
      <c r="RZL30" s="1688"/>
      <c r="RZM30" s="1688"/>
      <c r="RZN30" s="1688"/>
      <c r="RZO30" s="1688"/>
      <c r="RZP30" s="1688"/>
      <c r="RZQ30" s="1688"/>
      <c r="RZR30" s="1688"/>
      <c r="RZS30" s="1688"/>
      <c r="RZT30" s="1688"/>
      <c r="RZU30" s="1688"/>
      <c r="RZV30" s="1688"/>
      <c r="RZW30" s="1688"/>
      <c r="RZX30" s="1688"/>
      <c r="RZY30" s="1688"/>
      <c r="RZZ30" s="1688"/>
      <c r="SAA30" s="1688"/>
      <c r="SAB30" s="1688"/>
      <c r="SAC30" s="1688"/>
      <c r="SAD30" s="1688"/>
      <c r="SAE30" s="1688"/>
      <c r="SAF30" s="1688"/>
      <c r="SAG30" s="1688"/>
      <c r="SAH30" s="1688"/>
      <c r="SAI30" s="1688"/>
      <c r="SAJ30" s="1688"/>
      <c r="SAK30" s="1688"/>
      <c r="SAL30" s="1688"/>
      <c r="SAM30" s="1688"/>
      <c r="SAN30" s="1688"/>
      <c r="SAO30" s="1688"/>
      <c r="SAP30" s="1688"/>
      <c r="SAQ30" s="1688"/>
      <c r="SAR30" s="1688"/>
      <c r="SAS30" s="1688"/>
      <c r="SAT30" s="1688"/>
      <c r="SAU30" s="1688"/>
      <c r="SAV30" s="1688"/>
      <c r="SAW30" s="1688"/>
      <c r="SAX30" s="1688"/>
      <c r="SAY30" s="1688"/>
      <c r="SAZ30" s="1688"/>
      <c r="SBA30" s="1688"/>
      <c r="SBB30" s="1688"/>
      <c r="SBC30" s="1688"/>
      <c r="SBD30" s="1688"/>
      <c r="SBE30" s="1688"/>
      <c r="SBF30" s="1688"/>
      <c r="SBG30" s="1688"/>
      <c r="SBH30" s="1688"/>
      <c r="SBI30" s="1688"/>
      <c r="SBJ30" s="1688"/>
      <c r="SBK30" s="1688"/>
      <c r="SBL30" s="1688"/>
      <c r="SBM30" s="1688"/>
      <c r="SBN30" s="1688"/>
      <c r="SBO30" s="1688"/>
      <c r="SBP30" s="1688"/>
      <c r="SBQ30" s="1688"/>
      <c r="SBR30" s="1688"/>
      <c r="SBS30" s="1688"/>
      <c r="SBT30" s="1688"/>
      <c r="SBU30" s="1688"/>
      <c r="SBV30" s="1688"/>
      <c r="SBW30" s="1688"/>
      <c r="SBX30" s="1688"/>
      <c r="SBY30" s="1688"/>
      <c r="SBZ30" s="1688"/>
      <c r="SCA30" s="1688"/>
      <c r="SCB30" s="1688"/>
      <c r="SCC30" s="1688"/>
      <c r="SCD30" s="1688"/>
      <c r="SCE30" s="1688"/>
      <c r="SCF30" s="1688"/>
      <c r="SCG30" s="1688"/>
      <c r="SCH30" s="1688"/>
      <c r="SCI30" s="1688"/>
      <c r="SCJ30" s="1688"/>
      <c r="SCK30" s="1688"/>
      <c r="SCL30" s="1688"/>
      <c r="SCM30" s="1688"/>
      <c r="SCN30" s="1688"/>
      <c r="SCO30" s="1688"/>
      <c r="SCP30" s="1688"/>
      <c r="SCQ30" s="1688"/>
      <c r="SCR30" s="1688"/>
      <c r="SCS30" s="1688"/>
      <c r="SCT30" s="1688"/>
      <c r="SCU30" s="1688"/>
      <c r="SCV30" s="1688"/>
      <c r="SCW30" s="1688"/>
      <c r="SCX30" s="1688"/>
      <c r="SCY30" s="1688"/>
      <c r="SCZ30" s="1688"/>
      <c r="SDA30" s="1688"/>
      <c r="SDB30" s="1688"/>
      <c r="SDC30" s="1688"/>
      <c r="SDD30" s="1688"/>
      <c r="SDE30" s="1688"/>
      <c r="SDF30" s="1688"/>
      <c r="SDG30" s="1688"/>
      <c r="SDH30" s="1688"/>
      <c r="SDI30" s="1688"/>
      <c r="SDJ30" s="1688"/>
      <c r="SDK30" s="1688"/>
      <c r="SDL30" s="1688"/>
      <c r="SDM30" s="1688"/>
      <c r="SDN30" s="1688"/>
      <c r="SDO30" s="1688"/>
      <c r="SDP30" s="1688"/>
      <c r="SDQ30" s="1688"/>
      <c r="SDR30" s="1688"/>
      <c r="SDS30" s="1688"/>
      <c r="SDT30" s="1688"/>
      <c r="SDU30" s="1688"/>
      <c r="SDV30" s="1688"/>
      <c r="SDW30" s="1688"/>
      <c r="SDX30" s="1688"/>
      <c r="SDY30" s="1688"/>
      <c r="SDZ30" s="1688"/>
      <c r="SEA30" s="1688"/>
      <c r="SEB30" s="1688"/>
      <c r="SEC30" s="1688"/>
      <c r="SED30" s="1688"/>
      <c r="SEE30" s="1688"/>
      <c r="SEF30" s="1688"/>
      <c r="SEG30" s="1688"/>
      <c r="SEH30" s="1688"/>
      <c r="SEI30" s="1688"/>
      <c r="SEJ30" s="1688"/>
      <c r="SEK30" s="1688"/>
      <c r="SEL30" s="1688"/>
      <c r="SEM30" s="1688"/>
      <c r="SEN30" s="1688"/>
      <c r="SEO30" s="1688"/>
      <c r="SEP30" s="1688"/>
      <c r="SEQ30" s="1688"/>
      <c r="SER30" s="1688"/>
      <c r="SES30" s="1688"/>
      <c r="SET30" s="1688"/>
      <c r="SEU30" s="1688"/>
      <c r="SEV30" s="1688"/>
      <c r="SEW30" s="1688"/>
      <c r="SEX30" s="1688"/>
      <c r="SEY30" s="1688"/>
      <c r="SEZ30" s="1688"/>
      <c r="SFA30" s="1688"/>
      <c r="SFB30" s="1688"/>
      <c r="SFC30" s="1688"/>
      <c r="SFD30" s="1688"/>
      <c r="SFE30" s="1688"/>
      <c r="SFF30" s="1688"/>
      <c r="SFG30" s="1688"/>
      <c r="SFH30" s="1688"/>
      <c r="SFI30" s="1688"/>
      <c r="SFJ30" s="1688"/>
      <c r="SFK30" s="1688"/>
      <c r="SFL30" s="1688"/>
      <c r="SFM30" s="1688"/>
      <c r="SFN30" s="1688"/>
      <c r="SFO30" s="1688"/>
      <c r="SFP30" s="1688"/>
      <c r="SFQ30" s="1688"/>
      <c r="SFR30" s="1688"/>
      <c r="SFS30" s="1688"/>
      <c r="SFT30" s="1688"/>
      <c r="SFU30" s="1688"/>
      <c r="SFV30" s="1688"/>
      <c r="SFW30" s="1688"/>
      <c r="SFX30" s="1688"/>
      <c r="SFY30" s="1688"/>
      <c r="SFZ30" s="1688"/>
      <c r="SGA30" s="1688"/>
      <c r="SGB30" s="1688"/>
      <c r="SGC30" s="1688"/>
      <c r="SGD30" s="1688"/>
      <c r="SGE30" s="1688"/>
      <c r="SGF30" s="1688"/>
      <c r="SGG30" s="1688"/>
      <c r="SGH30" s="1688"/>
      <c r="SGI30" s="1688"/>
      <c r="SGJ30" s="1688"/>
      <c r="SGK30" s="1688"/>
      <c r="SGL30" s="1688"/>
      <c r="SGM30" s="1688"/>
      <c r="SGN30" s="1688"/>
      <c r="SGO30" s="1688"/>
      <c r="SGP30" s="1688"/>
      <c r="SGQ30" s="1688"/>
      <c r="SGR30" s="1688"/>
      <c r="SGS30" s="1688"/>
      <c r="SGT30" s="1688"/>
      <c r="SGU30" s="1688"/>
      <c r="SGV30" s="1688"/>
      <c r="SGW30" s="1688"/>
      <c r="SGX30" s="1688"/>
      <c r="SGY30" s="1688"/>
      <c r="SGZ30" s="1688"/>
      <c r="SHA30" s="1688"/>
      <c r="SHB30" s="1688"/>
      <c r="SHC30" s="1688"/>
      <c r="SHD30" s="1688"/>
      <c r="SHE30" s="1688"/>
      <c r="SHF30" s="1688"/>
      <c r="SHG30" s="1688"/>
      <c r="SHH30" s="1688"/>
      <c r="SHI30" s="1688"/>
      <c r="SHJ30" s="1688"/>
      <c r="SHK30" s="1688"/>
      <c r="SHL30" s="1688"/>
      <c r="SHM30" s="1688"/>
      <c r="SHN30" s="1688"/>
      <c r="SHO30" s="1688"/>
      <c r="SHP30" s="1688"/>
      <c r="SHQ30" s="1688"/>
      <c r="SHR30" s="1688"/>
      <c r="SHS30" s="1688"/>
      <c r="SHT30" s="1688"/>
      <c r="SHU30" s="1688"/>
      <c r="SHV30" s="1688"/>
      <c r="SHW30" s="1688"/>
      <c r="SHX30" s="1688"/>
      <c r="SHY30" s="1688"/>
      <c r="SHZ30" s="1688"/>
      <c r="SIA30" s="1688"/>
      <c r="SIB30" s="1688"/>
      <c r="SIC30" s="1688"/>
      <c r="SID30" s="1688"/>
      <c r="SIE30" s="1688"/>
      <c r="SIF30" s="1688"/>
      <c r="SIG30" s="1688"/>
      <c r="SIH30" s="1688"/>
      <c r="SII30" s="1688"/>
      <c r="SIJ30" s="1688"/>
      <c r="SIK30" s="1688"/>
      <c r="SIL30" s="1688"/>
      <c r="SIM30" s="1688"/>
      <c r="SIN30" s="1688"/>
      <c r="SIO30" s="1688"/>
      <c r="SIP30" s="1688"/>
      <c r="SIQ30" s="1688"/>
      <c r="SIR30" s="1688"/>
      <c r="SIS30" s="1688"/>
      <c r="SIT30" s="1688"/>
      <c r="SIU30" s="1688"/>
      <c r="SIV30" s="1688"/>
      <c r="SIW30" s="1688"/>
      <c r="SIX30" s="1688"/>
      <c r="SIY30" s="1688"/>
      <c r="SIZ30" s="1688"/>
      <c r="SJA30" s="1688"/>
      <c r="SJB30" s="1688"/>
      <c r="SJC30" s="1688"/>
      <c r="SJD30" s="1688"/>
      <c r="SJE30" s="1688"/>
      <c r="SJF30" s="1688"/>
      <c r="SJG30" s="1688"/>
      <c r="SJH30" s="1688"/>
      <c r="SJI30" s="1688"/>
      <c r="SJJ30" s="1688"/>
      <c r="SJK30" s="1688"/>
      <c r="SJL30" s="1688"/>
      <c r="SJM30" s="1688"/>
      <c r="SJN30" s="1688"/>
      <c r="SJO30" s="1688"/>
      <c r="SJP30" s="1688"/>
      <c r="SJQ30" s="1688"/>
      <c r="SJR30" s="1688"/>
      <c r="SJS30" s="1688"/>
      <c r="SJT30" s="1688"/>
      <c r="SJU30" s="1688"/>
      <c r="SJV30" s="1688"/>
      <c r="SJW30" s="1688"/>
      <c r="SJX30" s="1688"/>
      <c r="SJY30" s="1688"/>
      <c r="SJZ30" s="1688"/>
      <c r="SKA30" s="1688"/>
      <c r="SKB30" s="1688"/>
      <c r="SKC30" s="1688"/>
      <c r="SKD30" s="1688"/>
      <c r="SKE30" s="1688"/>
      <c r="SKF30" s="1688"/>
      <c r="SKG30" s="1688"/>
      <c r="SKH30" s="1688"/>
      <c r="SKI30" s="1688"/>
      <c r="SKJ30" s="1688"/>
      <c r="SKK30" s="1688"/>
      <c r="SKL30" s="1688"/>
      <c r="SKM30" s="1688"/>
      <c r="SKN30" s="1688"/>
      <c r="SKO30" s="1688"/>
      <c r="SKP30" s="1688"/>
      <c r="SKQ30" s="1688"/>
      <c r="SKR30" s="1688"/>
      <c r="SKS30" s="1688"/>
      <c r="SKT30" s="1688"/>
      <c r="SKU30" s="1688"/>
      <c r="SKV30" s="1688"/>
      <c r="SKW30" s="1688"/>
      <c r="SKX30" s="1688"/>
      <c r="SKY30" s="1688"/>
      <c r="SKZ30" s="1688"/>
      <c r="SLA30" s="1688"/>
      <c r="SLB30" s="1688"/>
      <c r="SLC30" s="1688"/>
      <c r="SLD30" s="1688"/>
      <c r="SLE30" s="1688"/>
      <c r="SLF30" s="1688"/>
      <c r="SLG30" s="1688"/>
      <c r="SLH30" s="1688"/>
      <c r="SLI30" s="1688"/>
      <c r="SLJ30" s="1688"/>
      <c r="SLK30" s="1688"/>
      <c r="SLL30" s="1688"/>
      <c r="SLM30" s="1688"/>
      <c r="SLN30" s="1688"/>
      <c r="SLO30" s="1688"/>
      <c r="SLP30" s="1688"/>
      <c r="SLQ30" s="1688"/>
      <c r="SLR30" s="1688"/>
      <c r="SLS30" s="1688"/>
      <c r="SLT30" s="1688"/>
      <c r="SLU30" s="1688"/>
      <c r="SLV30" s="1688"/>
      <c r="SLW30" s="1688"/>
      <c r="SLX30" s="1688"/>
      <c r="SLY30" s="1688"/>
      <c r="SLZ30" s="1688"/>
      <c r="SMA30" s="1688"/>
      <c r="SMB30" s="1688"/>
      <c r="SMC30" s="1688"/>
      <c r="SMD30" s="1688"/>
      <c r="SME30" s="1688"/>
      <c r="SMF30" s="1688"/>
      <c r="SMG30" s="1688"/>
      <c r="SMH30" s="1688"/>
      <c r="SMI30" s="1688"/>
      <c r="SMJ30" s="1688"/>
      <c r="SMK30" s="1688"/>
      <c r="SML30" s="1688"/>
      <c r="SMM30" s="1688"/>
      <c r="SMN30" s="1688"/>
      <c r="SMO30" s="1688"/>
      <c r="SMP30" s="1688"/>
      <c r="SMQ30" s="1688"/>
      <c r="SMR30" s="1688"/>
      <c r="SMS30" s="1688"/>
      <c r="SMT30" s="1688"/>
      <c r="SMU30" s="1688"/>
      <c r="SMV30" s="1688"/>
      <c r="SMW30" s="1688"/>
      <c r="SMX30" s="1688"/>
      <c r="SMY30" s="1688"/>
      <c r="SMZ30" s="1688"/>
      <c r="SNA30" s="1688"/>
      <c r="SNB30" s="1688"/>
      <c r="SNC30" s="1688"/>
      <c r="SND30" s="1688"/>
      <c r="SNE30" s="1688"/>
      <c r="SNF30" s="1688"/>
      <c r="SNG30" s="1688"/>
      <c r="SNH30" s="1688"/>
      <c r="SNI30" s="1688"/>
      <c r="SNJ30" s="1688"/>
      <c r="SNK30" s="1688"/>
      <c r="SNL30" s="1688"/>
      <c r="SNM30" s="1688"/>
      <c r="SNN30" s="1688"/>
      <c r="SNO30" s="1688"/>
      <c r="SNP30" s="1688"/>
      <c r="SNQ30" s="1688"/>
      <c r="SNR30" s="1688"/>
      <c r="SNS30" s="1688"/>
      <c r="SNT30" s="1688"/>
      <c r="SNU30" s="1688"/>
      <c r="SNV30" s="1688"/>
      <c r="SNW30" s="1688"/>
      <c r="SNX30" s="1688"/>
      <c r="SNY30" s="1688"/>
      <c r="SNZ30" s="1688"/>
      <c r="SOA30" s="1688"/>
      <c r="SOB30" s="1688"/>
      <c r="SOC30" s="1688"/>
      <c r="SOD30" s="1688"/>
      <c r="SOE30" s="1688"/>
      <c r="SOF30" s="1688"/>
      <c r="SOG30" s="1688"/>
      <c r="SOH30" s="1688"/>
      <c r="SOI30" s="1688"/>
      <c r="SOJ30" s="1688"/>
      <c r="SOK30" s="1688"/>
      <c r="SOL30" s="1688"/>
      <c r="SOM30" s="1688"/>
      <c r="SON30" s="1688"/>
      <c r="SOO30" s="1688"/>
      <c r="SOP30" s="1688"/>
      <c r="SOQ30" s="1688"/>
      <c r="SOR30" s="1688"/>
      <c r="SOS30" s="1688"/>
      <c r="SOT30" s="1688"/>
      <c r="SOU30" s="1688"/>
      <c r="SOV30" s="1688"/>
      <c r="SOW30" s="1688"/>
      <c r="SOX30" s="1688"/>
      <c r="SOY30" s="1688"/>
      <c r="SOZ30" s="1688"/>
      <c r="SPA30" s="1688"/>
      <c r="SPB30" s="1688"/>
      <c r="SPC30" s="1688"/>
      <c r="SPD30" s="1688"/>
      <c r="SPE30" s="1688"/>
      <c r="SPF30" s="1688"/>
      <c r="SPG30" s="1688"/>
      <c r="SPH30" s="1688"/>
      <c r="SPI30" s="1688"/>
      <c r="SPJ30" s="1688"/>
      <c r="SPK30" s="1688"/>
      <c r="SPL30" s="1688"/>
      <c r="SPM30" s="1688"/>
      <c r="SPN30" s="1688"/>
      <c r="SPO30" s="1688"/>
      <c r="SPP30" s="1688"/>
      <c r="SPQ30" s="1688"/>
      <c r="SPR30" s="1688"/>
      <c r="SPS30" s="1688"/>
      <c r="SPT30" s="1688"/>
      <c r="SPU30" s="1688"/>
      <c r="SPV30" s="1688"/>
      <c r="SPW30" s="1688"/>
      <c r="SPX30" s="1688"/>
      <c r="SPY30" s="1688"/>
      <c r="SPZ30" s="1688"/>
      <c r="SQA30" s="1688"/>
      <c r="SQB30" s="1688"/>
      <c r="SQC30" s="1688"/>
      <c r="SQD30" s="1688"/>
      <c r="SQE30" s="1688"/>
      <c r="SQF30" s="1688"/>
      <c r="SQG30" s="1688"/>
      <c r="SQH30" s="1688"/>
      <c r="SQI30" s="1688"/>
      <c r="SQJ30" s="1688"/>
      <c r="SQK30" s="1688"/>
      <c r="SQL30" s="1688"/>
      <c r="SQM30" s="1688"/>
      <c r="SQN30" s="1688"/>
      <c r="SQO30" s="1688"/>
      <c r="SQP30" s="1688"/>
      <c r="SQQ30" s="1688"/>
      <c r="SQR30" s="1688"/>
      <c r="SQS30" s="1688"/>
      <c r="SQT30" s="1688"/>
      <c r="SQU30" s="1688"/>
      <c r="SQV30" s="1688"/>
      <c r="SQW30" s="1688"/>
      <c r="SQX30" s="1688"/>
      <c r="SQY30" s="1688"/>
      <c r="SQZ30" s="1688"/>
      <c r="SRA30" s="1688"/>
      <c r="SRB30" s="1688"/>
      <c r="SRC30" s="1688"/>
      <c r="SRD30" s="1688"/>
      <c r="SRE30" s="1688"/>
      <c r="SRF30" s="1688"/>
      <c r="SRG30" s="1688"/>
      <c r="SRH30" s="1688"/>
      <c r="SRI30" s="1688"/>
      <c r="SRJ30" s="1688"/>
      <c r="SRK30" s="1688"/>
      <c r="SRL30" s="1688"/>
      <c r="SRM30" s="1688"/>
      <c r="SRN30" s="1688"/>
      <c r="SRO30" s="1688"/>
      <c r="SRP30" s="1688"/>
      <c r="SRQ30" s="1688"/>
      <c r="SRR30" s="1688"/>
      <c r="SRS30" s="1688"/>
      <c r="SRT30" s="1688"/>
      <c r="SRU30" s="1688"/>
      <c r="SRV30" s="1688"/>
      <c r="SRW30" s="1688"/>
      <c r="SRX30" s="1688"/>
      <c r="SRY30" s="1688"/>
      <c r="SRZ30" s="1688"/>
      <c r="SSA30" s="1688"/>
      <c r="SSB30" s="1688"/>
      <c r="SSC30" s="1688"/>
      <c r="SSD30" s="1688"/>
      <c r="SSE30" s="1688"/>
      <c r="SSF30" s="1688"/>
      <c r="SSG30" s="1688"/>
      <c r="SSH30" s="1688"/>
      <c r="SSI30" s="1688"/>
      <c r="SSJ30" s="1688"/>
      <c r="SSK30" s="1688"/>
      <c r="SSL30" s="1688"/>
      <c r="SSM30" s="1688"/>
      <c r="SSN30" s="1688"/>
      <c r="SSO30" s="1688"/>
      <c r="SSP30" s="1688"/>
      <c r="SSQ30" s="1688"/>
      <c r="SSR30" s="1688"/>
      <c r="SSS30" s="1688"/>
      <c r="SST30" s="1688"/>
      <c r="SSU30" s="1688"/>
      <c r="SSV30" s="1688"/>
      <c r="SSW30" s="1688"/>
      <c r="SSX30" s="1688"/>
      <c r="SSY30" s="1688"/>
      <c r="SSZ30" s="1688"/>
      <c r="STA30" s="1688"/>
      <c r="STB30" s="1688"/>
      <c r="STC30" s="1688"/>
      <c r="STD30" s="1688"/>
      <c r="STE30" s="1688"/>
      <c r="STF30" s="1688"/>
      <c r="STG30" s="1688"/>
      <c r="STH30" s="1688"/>
      <c r="STI30" s="1688"/>
      <c r="STJ30" s="1688"/>
      <c r="STK30" s="1688"/>
      <c r="STL30" s="1688"/>
      <c r="STM30" s="1688"/>
      <c r="STN30" s="1688"/>
      <c r="STO30" s="1688"/>
      <c r="STP30" s="1688"/>
      <c r="STQ30" s="1688"/>
      <c r="STR30" s="1688"/>
      <c r="STS30" s="1688"/>
      <c r="STT30" s="1688"/>
      <c r="STU30" s="1688"/>
      <c r="STV30" s="1688"/>
      <c r="STW30" s="1688"/>
      <c r="STX30" s="1688"/>
      <c r="STY30" s="1688"/>
      <c r="STZ30" s="1688"/>
      <c r="SUA30" s="1688"/>
      <c r="SUB30" s="1688"/>
      <c r="SUC30" s="1688"/>
      <c r="SUD30" s="1688"/>
      <c r="SUE30" s="1688"/>
      <c r="SUF30" s="1688"/>
      <c r="SUG30" s="1688"/>
      <c r="SUH30" s="1688"/>
      <c r="SUI30" s="1688"/>
      <c r="SUJ30" s="1688"/>
      <c r="SUK30" s="1688"/>
      <c r="SUL30" s="1688"/>
      <c r="SUM30" s="1688"/>
      <c r="SUN30" s="1688"/>
      <c r="SUO30" s="1688"/>
      <c r="SUP30" s="1688"/>
      <c r="SUQ30" s="1688"/>
      <c r="SUR30" s="1688"/>
      <c r="SUS30" s="1688"/>
      <c r="SUT30" s="1688"/>
      <c r="SUU30" s="1688"/>
      <c r="SUV30" s="1688"/>
      <c r="SUW30" s="1688"/>
      <c r="SUX30" s="1688"/>
      <c r="SUY30" s="1688"/>
      <c r="SUZ30" s="1688"/>
      <c r="SVA30" s="1688"/>
      <c r="SVB30" s="1688"/>
      <c r="SVC30" s="1688"/>
      <c r="SVD30" s="1688"/>
      <c r="SVE30" s="1688"/>
      <c r="SVF30" s="1688"/>
      <c r="SVG30" s="1688"/>
      <c r="SVH30" s="1688"/>
      <c r="SVI30" s="1688"/>
      <c r="SVJ30" s="1688"/>
      <c r="SVK30" s="1688"/>
      <c r="SVL30" s="1688"/>
      <c r="SVM30" s="1688"/>
      <c r="SVN30" s="1688"/>
      <c r="SVO30" s="1688"/>
      <c r="SVP30" s="1688"/>
      <c r="SVQ30" s="1688"/>
      <c r="SVR30" s="1688"/>
      <c r="SVS30" s="1688"/>
      <c r="SVT30" s="1688"/>
      <c r="SVU30" s="1688"/>
      <c r="SVV30" s="1688"/>
      <c r="SVW30" s="1688"/>
      <c r="SVX30" s="1688"/>
      <c r="SVY30" s="1688"/>
      <c r="SVZ30" s="1688"/>
      <c r="SWA30" s="1688"/>
      <c r="SWB30" s="1688"/>
      <c r="SWC30" s="1688"/>
      <c r="SWD30" s="1688"/>
      <c r="SWE30" s="1688"/>
      <c r="SWF30" s="1688"/>
      <c r="SWG30" s="1688"/>
      <c r="SWH30" s="1688"/>
      <c r="SWI30" s="1688"/>
      <c r="SWJ30" s="1688"/>
      <c r="SWK30" s="1688"/>
      <c r="SWL30" s="1688"/>
      <c r="SWM30" s="1688"/>
      <c r="SWN30" s="1688"/>
      <c r="SWO30" s="1688"/>
      <c r="SWP30" s="1688"/>
      <c r="SWQ30" s="1688"/>
      <c r="SWR30" s="1688"/>
      <c r="SWS30" s="1688"/>
      <c r="SWT30" s="1688"/>
      <c r="SWU30" s="1688"/>
      <c r="SWV30" s="1688"/>
      <c r="SWW30" s="1688"/>
      <c r="SWX30" s="1688"/>
      <c r="SWY30" s="1688"/>
      <c r="SWZ30" s="1688"/>
      <c r="SXA30" s="1688"/>
      <c r="SXB30" s="1688"/>
      <c r="SXC30" s="1688"/>
      <c r="SXD30" s="1688"/>
      <c r="SXE30" s="1688"/>
      <c r="SXF30" s="1688"/>
      <c r="SXG30" s="1688"/>
      <c r="SXH30" s="1688"/>
      <c r="SXI30" s="1688"/>
      <c r="SXJ30" s="1688"/>
      <c r="SXK30" s="1688"/>
      <c r="SXL30" s="1688"/>
      <c r="SXM30" s="1688"/>
      <c r="SXN30" s="1688"/>
      <c r="SXO30" s="1688"/>
      <c r="SXP30" s="1688"/>
      <c r="SXQ30" s="1688"/>
      <c r="SXR30" s="1688"/>
      <c r="SXS30" s="1688"/>
      <c r="SXT30" s="1688"/>
      <c r="SXU30" s="1688"/>
      <c r="SXV30" s="1688"/>
      <c r="SXW30" s="1688"/>
      <c r="SXX30" s="1688"/>
      <c r="SXY30" s="1688"/>
      <c r="SXZ30" s="1688"/>
      <c r="SYA30" s="1688"/>
      <c r="SYB30" s="1688"/>
      <c r="SYC30" s="1688"/>
      <c r="SYD30" s="1688"/>
      <c r="SYE30" s="1688"/>
      <c r="SYF30" s="1688"/>
      <c r="SYG30" s="1688"/>
      <c r="SYH30" s="1688"/>
      <c r="SYI30" s="1688"/>
      <c r="SYJ30" s="1688"/>
      <c r="SYK30" s="1688"/>
      <c r="SYL30" s="1688"/>
      <c r="SYM30" s="1688"/>
      <c r="SYN30" s="1688"/>
      <c r="SYO30" s="1688"/>
      <c r="SYP30" s="1688"/>
      <c r="SYQ30" s="1688"/>
      <c r="SYR30" s="1688"/>
      <c r="SYS30" s="1688"/>
      <c r="SYT30" s="1688"/>
      <c r="SYU30" s="1688"/>
      <c r="SYV30" s="1688"/>
      <c r="SYW30" s="1688"/>
      <c r="SYX30" s="1688"/>
      <c r="SYY30" s="1688"/>
      <c r="SYZ30" s="1688"/>
      <c r="SZA30" s="1688"/>
      <c r="SZB30" s="1688"/>
      <c r="SZC30" s="1688"/>
      <c r="SZD30" s="1688"/>
      <c r="SZE30" s="1688"/>
      <c r="SZF30" s="1688"/>
      <c r="SZG30" s="1688"/>
      <c r="SZH30" s="1688"/>
      <c r="SZI30" s="1688"/>
      <c r="SZJ30" s="1688"/>
      <c r="SZK30" s="1688"/>
      <c r="SZL30" s="1688"/>
      <c r="SZM30" s="1688"/>
      <c r="SZN30" s="1688"/>
      <c r="SZO30" s="1688"/>
      <c r="SZP30" s="1688"/>
      <c r="SZQ30" s="1688"/>
      <c r="SZR30" s="1688"/>
      <c r="SZS30" s="1688"/>
      <c r="SZT30" s="1688"/>
      <c r="SZU30" s="1688"/>
      <c r="SZV30" s="1688"/>
      <c r="SZW30" s="1688"/>
      <c r="SZX30" s="1688"/>
      <c r="SZY30" s="1688"/>
      <c r="SZZ30" s="1688"/>
      <c r="TAA30" s="1688"/>
      <c r="TAB30" s="1688"/>
      <c r="TAC30" s="1688"/>
      <c r="TAD30" s="1688"/>
      <c r="TAE30" s="1688"/>
      <c r="TAF30" s="1688"/>
      <c r="TAG30" s="1688"/>
      <c r="TAH30" s="1688"/>
      <c r="TAI30" s="1688"/>
      <c r="TAJ30" s="1688"/>
      <c r="TAK30" s="1688"/>
      <c r="TAL30" s="1688"/>
      <c r="TAM30" s="1688"/>
      <c r="TAN30" s="1688"/>
      <c r="TAO30" s="1688"/>
      <c r="TAP30" s="1688"/>
      <c r="TAQ30" s="1688"/>
      <c r="TAR30" s="1688"/>
      <c r="TAS30" s="1688"/>
      <c r="TAT30" s="1688"/>
      <c r="TAU30" s="1688"/>
      <c r="TAV30" s="1688"/>
      <c r="TAW30" s="1688"/>
      <c r="TAX30" s="1688"/>
      <c r="TAY30" s="1688"/>
      <c r="TAZ30" s="1688"/>
      <c r="TBA30" s="1688"/>
      <c r="TBB30" s="1688"/>
      <c r="TBC30" s="1688"/>
      <c r="TBD30" s="1688"/>
      <c r="TBE30" s="1688"/>
      <c r="TBF30" s="1688"/>
      <c r="TBG30" s="1688"/>
      <c r="TBH30" s="1688"/>
      <c r="TBI30" s="1688"/>
      <c r="TBJ30" s="1688"/>
      <c r="TBK30" s="1688"/>
      <c r="TBL30" s="1688"/>
      <c r="TBM30" s="1688"/>
      <c r="TBN30" s="1688"/>
      <c r="TBO30" s="1688"/>
      <c r="TBP30" s="1688"/>
      <c r="TBQ30" s="1688"/>
      <c r="TBR30" s="1688"/>
      <c r="TBS30" s="1688"/>
      <c r="TBT30" s="1688"/>
      <c r="TBU30" s="1688"/>
      <c r="TBV30" s="1688"/>
      <c r="TBW30" s="1688"/>
      <c r="TBX30" s="1688"/>
      <c r="TBY30" s="1688"/>
      <c r="TBZ30" s="1688"/>
      <c r="TCA30" s="1688"/>
      <c r="TCB30" s="1688"/>
      <c r="TCC30" s="1688"/>
      <c r="TCD30" s="1688"/>
      <c r="TCE30" s="1688"/>
      <c r="TCF30" s="1688"/>
      <c r="TCG30" s="1688"/>
      <c r="TCH30" s="1688"/>
      <c r="TCI30" s="1688"/>
      <c r="TCJ30" s="1688"/>
      <c r="TCK30" s="1688"/>
      <c r="TCL30" s="1688"/>
      <c r="TCM30" s="1688"/>
      <c r="TCN30" s="1688"/>
      <c r="TCO30" s="1688"/>
      <c r="TCP30" s="1688"/>
      <c r="TCQ30" s="1688"/>
      <c r="TCR30" s="1688"/>
      <c r="TCS30" s="1688"/>
      <c r="TCT30" s="1688"/>
      <c r="TCU30" s="1688"/>
      <c r="TCV30" s="1688"/>
      <c r="TCW30" s="1688"/>
      <c r="TCX30" s="1688"/>
      <c r="TCY30" s="1688"/>
      <c r="TCZ30" s="1688"/>
      <c r="TDA30" s="1688"/>
      <c r="TDB30" s="1688"/>
      <c r="TDC30" s="1688"/>
      <c r="TDD30" s="1688"/>
      <c r="TDE30" s="1688"/>
      <c r="TDF30" s="1688"/>
      <c r="TDG30" s="1688"/>
      <c r="TDH30" s="1688"/>
      <c r="TDI30" s="1688"/>
      <c r="TDJ30" s="1688"/>
      <c r="TDK30" s="1688"/>
      <c r="TDL30" s="1688"/>
      <c r="TDM30" s="1688"/>
      <c r="TDN30" s="1688"/>
      <c r="TDO30" s="1688"/>
      <c r="TDP30" s="1688"/>
      <c r="TDQ30" s="1688"/>
      <c r="TDR30" s="1688"/>
      <c r="TDS30" s="1688"/>
      <c r="TDT30" s="1688"/>
      <c r="TDU30" s="1688"/>
      <c r="TDV30" s="1688"/>
      <c r="TDW30" s="1688"/>
      <c r="TDX30" s="1688"/>
      <c r="TDY30" s="1688"/>
      <c r="TDZ30" s="1688"/>
      <c r="TEA30" s="1688"/>
      <c r="TEB30" s="1688"/>
      <c r="TEC30" s="1688"/>
      <c r="TED30" s="1688"/>
      <c r="TEE30" s="1688"/>
      <c r="TEF30" s="1688"/>
      <c r="TEG30" s="1688"/>
      <c r="TEH30" s="1688"/>
      <c r="TEI30" s="1688"/>
      <c r="TEJ30" s="1688"/>
      <c r="TEK30" s="1688"/>
      <c r="TEL30" s="1688"/>
      <c r="TEM30" s="1688"/>
      <c r="TEN30" s="1688"/>
      <c r="TEO30" s="1688"/>
      <c r="TEP30" s="1688"/>
      <c r="TEQ30" s="1688"/>
      <c r="TER30" s="1688"/>
      <c r="TES30" s="1688"/>
      <c r="TET30" s="1688"/>
      <c r="TEU30" s="1688"/>
      <c r="TEV30" s="1688"/>
      <c r="TEW30" s="1688"/>
      <c r="TEX30" s="1688"/>
      <c r="TEY30" s="1688"/>
      <c r="TEZ30" s="1688"/>
      <c r="TFA30" s="1688"/>
      <c r="TFB30" s="1688"/>
      <c r="TFC30" s="1688"/>
      <c r="TFD30" s="1688"/>
      <c r="TFE30" s="1688"/>
      <c r="TFF30" s="1688"/>
      <c r="TFG30" s="1688"/>
      <c r="TFH30" s="1688"/>
      <c r="TFI30" s="1688"/>
      <c r="TFJ30" s="1688"/>
      <c r="TFK30" s="1688"/>
      <c r="TFL30" s="1688"/>
      <c r="TFM30" s="1688"/>
      <c r="TFN30" s="1688"/>
      <c r="TFO30" s="1688"/>
      <c r="TFP30" s="1688"/>
      <c r="TFQ30" s="1688"/>
      <c r="TFR30" s="1688"/>
      <c r="TFS30" s="1688"/>
      <c r="TFT30" s="1688"/>
      <c r="TFU30" s="1688"/>
      <c r="TFV30" s="1688"/>
      <c r="TFW30" s="1688"/>
      <c r="TFX30" s="1688"/>
      <c r="TFY30" s="1688"/>
      <c r="TFZ30" s="1688"/>
      <c r="TGA30" s="1688"/>
      <c r="TGB30" s="1688"/>
      <c r="TGC30" s="1688"/>
      <c r="TGD30" s="1688"/>
      <c r="TGE30" s="1688"/>
      <c r="TGF30" s="1688"/>
      <c r="TGG30" s="1688"/>
      <c r="TGH30" s="1688"/>
      <c r="TGI30" s="1688"/>
      <c r="TGJ30" s="1688"/>
      <c r="TGK30" s="1688"/>
      <c r="TGL30" s="1688"/>
      <c r="TGM30" s="1688"/>
      <c r="TGN30" s="1688"/>
      <c r="TGO30" s="1688"/>
      <c r="TGP30" s="1688"/>
      <c r="TGQ30" s="1688"/>
      <c r="TGR30" s="1688"/>
      <c r="TGS30" s="1688"/>
      <c r="TGT30" s="1688"/>
      <c r="TGU30" s="1688"/>
      <c r="TGV30" s="1688"/>
      <c r="TGW30" s="1688"/>
      <c r="TGX30" s="1688"/>
      <c r="TGY30" s="1688"/>
      <c r="TGZ30" s="1688"/>
      <c r="THA30" s="1688"/>
      <c r="THB30" s="1688"/>
      <c r="THC30" s="1688"/>
      <c r="THD30" s="1688"/>
      <c r="THE30" s="1688"/>
      <c r="THF30" s="1688"/>
      <c r="THG30" s="1688"/>
      <c r="THH30" s="1688"/>
      <c r="THI30" s="1688"/>
      <c r="THJ30" s="1688"/>
      <c r="THK30" s="1688"/>
      <c r="THL30" s="1688"/>
      <c r="THM30" s="1688"/>
      <c r="THN30" s="1688"/>
      <c r="THO30" s="1688"/>
      <c r="THP30" s="1688"/>
      <c r="THQ30" s="1688"/>
      <c r="THR30" s="1688"/>
      <c r="THS30" s="1688"/>
      <c r="THT30" s="1688"/>
      <c r="THU30" s="1688"/>
      <c r="THV30" s="1688"/>
      <c r="THW30" s="1688"/>
      <c r="THX30" s="1688"/>
      <c r="THY30" s="1688"/>
      <c r="THZ30" s="1688"/>
      <c r="TIA30" s="1688"/>
      <c r="TIB30" s="1688"/>
      <c r="TIC30" s="1688"/>
      <c r="TID30" s="1688"/>
      <c r="TIE30" s="1688"/>
      <c r="TIF30" s="1688"/>
      <c r="TIG30" s="1688"/>
      <c r="TIH30" s="1688"/>
      <c r="TII30" s="1688"/>
      <c r="TIJ30" s="1688"/>
      <c r="TIK30" s="1688"/>
      <c r="TIL30" s="1688"/>
      <c r="TIM30" s="1688"/>
      <c r="TIN30" s="1688"/>
      <c r="TIO30" s="1688"/>
      <c r="TIP30" s="1688"/>
      <c r="TIQ30" s="1688"/>
      <c r="TIR30" s="1688"/>
      <c r="TIS30" s="1688"/>
      <c r="TIT30" s="1688"/>
      <c r="TIU30" s="1688"/>
      <c r="TIV30" s="1688"/>
      <c r="TIW30" s="1688"/>
      <c r="TIX30" s="1688"/>
      <c r="TIY30" s="1688"/>
      <c r="TIZ30" s="1688"/>
      <c r="TJA30" s="1688"/>
      <c r="TJB30" s="1688"/>
      <c r="TJC30" s="1688"/>
      <c r="TJD30" s="1688"/>
      <c r="TJE30" s="1688"/>
      <c r="TJF30" s="1688"/>
      <c r="TJG30" s="1688"/>
      <c r="TJH30" s="1688"/>
      <c r="TJI30" s="1688"/>
      <c r="TJJ30" s="1688"/>
      <c r="TJK30" s="1688"/>
      <c r="TJL30" s="1688"/>
      <c r="TJM30" s="1688"/>
      <c r="TJN30" s="1688"/>
      <c r="TJO30" s="1688"/>
      <c r="TJP30" s="1688"/>
      <c r="TJQ30" s="1688"/>
      <c r="TJR30" s="1688"/>
      <c r="TJS30" s="1688"/>
      <c r="TJT30" s="1688"/>
      <c r="TJU30" s="1688"/>
      <c r="TJV30" s="1688"/>
      <c r="TJW30" s="1688"/>
      <c r="TJX30" s="1688"/>
      <c r="TJY30" s="1688"/>
      <c r="TJZ30" s="1688"/>
      <c r="TKA30" s="1688"/>
      <c r="TKB30" s="1688"/>
      <c r="TKC30" s="1688"/>
      <c r="TKD30" s="1688"/>
      <c r="TKE30" s="1688"/>
      <c r="TKF30" s="1688"/>
      <c r="TKG30" s="1688"/>
      <c r="TKH30" s="1688"/>
      <c r="TKI30" s="1688"/>
      <c r="TKJ30" s="1688"/>
      <c r="TKK30" s="1688"/>
      <c r="TKL30" s="1688"/>
      <c r="TKM30" s="1688"/>
      <c r="TKN30" s="1688"/>
      <c r="TKO30" s="1688"/>
      <c r="TKP30" s="1688"/>
      <c r="TKQ30" s="1688"/>
      <c r="TKR30" s="1688"/>
      <c r="TKS30" s="1688"/>
      <c r="TKT30" s="1688"/>
      <c r="TKU30" s="1688"/>
      <c r="TKV30" s="1688"/>
      <c r="TKW30" s="1688"/>
      <c r="TKX30" s="1688"/>
      <c r="TKY30" s="1688"/>
      <c r="TKZ30" s="1688"/>
      <c r="TLA30" s="1688"/>
      <c r="TLB30" s="1688"/>
      <c r="TLC30" s="1688"/>
      <c r="TLD30" s="1688"/>
      <c r="TLE30" s="1688"/>
      <c r="TLF30" s="1688"/>
      <c r="TLG30" s="1688"/>
      <c r="TLH30" s="1688"/>
      <c r="TLI30" s="1688"/>
      <c r="TLJ30" s="1688"/>
      <c r="TLK30" s="1688"/>
      <c r="TLL30" s="1688"/>
      <c r="TLM30" s="1688"/>
      <c r="TLN30" s="1688"/>
      <c r="TLO30" s="1688"/>
      <c r="TLP30" s="1688"/>
      <c r="TLQ30" s="1688"/>
      <c r="TLR30" s="1688"/>
      <c r="TLS30" s="1688"/>
      <c r="TLT30" s="1688"/>
      <c r="TLU30" s="1688"/>
      <c r="TLV30" s="1688"/>
      <c r="TLW30" s="1688"/>
      <c r="TLX30" s="1688"/>
      <c r="TLY30" s="1688"/>
      <c r="TLZ30" s="1688"/>
      <c r="TMA30" s="1688"/>
      <c r="TMB30" s="1688"/>
      <c r="TMC30" s="1688"/>
      <c r="TMD30" s="1688"/>
      <c r="TME30" s="1688"/>
      <c r="TMF30" s="1688"/>
      <c r="TMG30" s="1688"/>
      <c r="TMH30" s="1688"/>
      <c r="TMI30" s="1688"/>
      <c r="TMJ30" s="1688"/>
      <c r="TMK30" s="1688"/>
      <c r="TML30" s="1688"/>
      <c r="TMM30" s="1688"/>
      <c r="TMN30" s="1688"/>
      <c r="TMO30" s="1688"/>
      <c r="TMP30" s="1688"/>
      <c r="TMQ30" s="1688"/>
      <c r="TMR30" s="1688"/>
      <c r="TMS30" s="1688"/>
      <c r="TMT30" s="1688"/>
      <c r="TMU30" s="1688"/>
      <c r="TMV30" s="1688"/>
      <c r="TMW30" s="1688"/>
      <c r="TMX30" s="1688"/>
      <c r="TMY30" s="1688"/>
      <c r="TMZ30" s="1688"/>
      <c r="TNA30" s="1688"/>
      <c r="TNB30" s="1688"/>
      <c r="TNC30" s="1688"/>
      <c r="TND30" s="1688"/>
      <c r="TNE30" s="1688"/>
      <c r="TNF30" s="1688"/>
      <c r="TNG30" s="1688"/>
      <c r="TNH30" s="1688"/>
      <c r="TNI30" s="1688"/>
      <c r="TNJ30" s="1688"/>
      <c r="TNK30" s="1688"/>
      <c r="TNL30" s="1688"/>
      <c r="TNM30" s="1688"/>
      <c r="TNN30" s="1688"/>
      <c r="TNO30" s="1688"/>
      <c r="TNP30" s="1688"/>
      <c r="TNQ30" s="1688"/>
      <c r="TNR30" s="1688"/>
      <c r="TNS30" s="1688"/>
      <c r="TNT30" s="1688"/>
      <c r="TNU30" s="1688"/>
      <c r="TNV30" s="1688"/>
      <c r="TNW30" s="1688"/>
      <c r="TNX30" s="1688"/>
      <c r="TNY30" s="1688"/>
      <c r="TNZ30" s="1688"/>
      <c r="TOA30" s="1688"/>
      <c r="TOB30" s="1688"/>
      <c r="TOC30" s="1688"/>
      <c r="TOD30" s="1688"/>
      <c r="TOE30" s="1688"/>
      <c r="TOF30" s="1688"/>
      <c r="TOG30" s="1688"/>
      <c r="TOH30" s="1688"/>
      <c r="TOI30" s="1688"/>
      <c r="TOJ30" s="1688"/>
      <c r="TOK30" s="1688"/>
      <c r="TOL30" s="1688"/>
      <c r="TOM30" s="1688"/>
      <c r="TON30" s="1688"/>
      <c r="TOO30" s="1688"/>
      <c r="TOP30" s="1688"/>
      <c r="TOQ30" s="1688"/>
      <c r="TOR30" s="1688"/>
      <c r="TOS30" s="1688"/>
      <c r="TOT30" s="1688"/>
      <c r="TOU30" s="1688"/>
      <c r="TOV30" s="1688"/>
      <c r="TOW30" s="1688"/>
      <c r="TOX30" s="1688"/>
      <c r="TOY30" s="1688"/>
      <c r="TOZ30" s="1688"/>
      <c r="TPA30" s="1688"/>
      <c r="TPB30" s="1688"/>
      <c r="TPC30" s="1688"/>
      <c r="TPD30" s="1688"/>
      <c r="TPE30" s="1688"/>
      <c r="TPF30" s="1688"/>
      <c r="TPG30" s="1688"/>
      <c r="TPH30" s="1688"/>
      <c r="TPI30" s="1688"/>
      <c r="TPJ30" s="1688"/>
      <c r="TPK30" s="1688"/>
      <c r="TPL30" s="1688"/>
      <c r="TPM30" s="1688"/>
      <c r="TPN30" s="1688"/>
      <c r="TPO30" s="1688"/>
      <c r="TPP30" s="1688"/>
      <c r="TPQ30" s="1688"/>
      <c r="TPR30" s="1688"/>
      <c r="TPS30" s="1688"/>
      <c r="TPT30" s="1688"/>
      <c r="TPU30" s="1688"/>
      <c r="TPV30" s="1688"/>
      <c r="TPW30" s="1688"/>
      <c r="TPX30" s="1688"/>
      <c r="TPY30" s="1688"/>
      <c r="TPZ30" s="1688"/>
      <c r="TQA30" s="1688"/>
      <c r="TQB30" s="1688"/>
      <c r="TQC30" s="1688"/>
      <c r="TQD30" s="1688"/>
      <c r="TQE30" s="1688"/>
      <c r="TQF30" s="1688"/>
      <c r="TQG30" s="1688"/>
      <c r="TQH30" s="1688"/>
      <c r="TQI30" s="1688"/>
      <c r="TQJ30" s="1688"/>
      <c r="TQK30" s="1688"/>
      <c r="TQL30" s="1688"/>
      <c r="TQM30" s="1688"/>
      <c r="TQN30" s="1688"/>
      <c r="TQO30" s="1688"/>
      <c r="TQP30" s="1688"/>
      <c r="TQQ30" s="1688"/>
      <c r="TQR30" s="1688"/>
      <c r="TQS30" s="1688"/>
      <c r="TQT30" s="1688"/>
      <c r="TQU30" s="1688"/>
      <c r="TQV30" s="1688"/>
      <c r="TQW30" s="1688"/>
      <c r="TQX30" s="1688"/>
      <c r="TQY30" s="1688"/>
      <c r="TQZ30" s="1688"/>
      <c r="TRA30" s="1688"/>
      <c r="TRB30" s="1688"/>
      <c r="TRC30" s="1688"/>
      <c r="TRD30" s="1688"/>
      <c r="TRE30" s="1688"/>
      <c r="TRF30" s="1688"/>
      <c r="TRG30" s="1688"/>
      <c r="TRH30" s="1688"/>
      <c r="TRI30" s="1688"/>
      <c r="TRJ30" s="1688"/>
      <c r="TRK30" s="1688"/>
      <c r="TRL30" s="1688"/>
      <c r="TRM30" s="1688"/>
      <c r="TRN30" s="1688"/>
      <c r="TRO30" s="1688"/>
      <c r="TRP30" s="1688"/>
      <c r="TRQ30" s="1688"/>
      <c r="TRR30" s="1688"/>
      <c r="TRS30" s="1688"/>
      <c r="TRT30" s="1688"/>
      <c r="TRU30" s="1688"/>
      <c r="TRV30" s="1688"/>
      <c r="TRW30" s="1688"/>
      <c r="TRX30" s="1688"/>
      <c r="TRY30" s="1688"/>
      <c r="TRZ30" s="1688"/>
      <c r="TSA30" s="1688"/>
      <c r="TSB30" s="1688"/>
      <c r="TSC30" s="1688"/>
      <c r="TSD30" s="1688"/>
      <c r="TSE30" s="1688"/>
      <c r="TSF30" s="1688"/>
      <c r="TSG30" s="1688"/>
      <c r="TSH30" s="1688"/>
      <c r="TSI30" s="1688"/>
      <c r="TSJ30" s="1688"/>
      <c r="TSK30" s="1688"/>
      <c r="TSL30" s="1688"/>
      <c r="TSM30" s="1688"/>
      <c r="TSN30" s="1688"/>
      <c r="TSO30" s="1688"/>
      <c r="TSP30" s="1688"/>
      <c r="TSQ30" s="1688"/>
      <c r="TSR30" s="1688"/>
      <c r="TSS30" s="1688"/>
      <c r="TST30" s="1688"/>
      <c r="TSU30" s="1688"/>
      <c r="TSV30" s="1688"/>
      <c r="TSW30" s="1688"/>
      <c r="TSX30" s="1688"/>
      <c r="TSY30" s="1688"/>
      <c r="TSZ30" s="1688"/>
      <c r="TTA30" s="1688"/>
      <c r="TTB30" s="1688"/>
      <c r="TTC30" s="1688"/>
      <c r="TTD30" s="1688"/>
      <c r="TTE30" s="1688"/>
      <c r="TTF30" s="1688"/>
      <c r="TTG30" s="1688"/>
      <c r="TTH30" s="1688"/>
      <c r="TTI30" s="1688"/>
      <c r="TTJ30" s="1688"/>
      <c r="TTK30" s="1688"/>
      <c r="TTL30" s="1688"/>
      <c r="TTM30" s="1688"/>
      <c r="TTN30" s="1688"/>
      <c r="TTO30" s="1688"/>
      <c r="TTP30" s="1688"/>
      <c r="TTQ30" s="1688"/>
      <c r="TTR30" s="1688"/>
      <c r="TTS30" s="1688"/>
      <c r="TTT30" s="1688"/>
      <c r="TTU30" s="1688"/>
      <c r="TTV30" s="1688"/>
      <c r="TTW30" s="1688"/>
      <c r="TTX30" s="1688"/>
      <c r="TTY30" s="1688"/>
      <c r="TTZ30" s="1688"/>
      <c r="TUA30" s="1688"/>
      <c r="TUB30" s="1688"/>
      <c r="TUC30" s="1688"/>
      <c r="TUD30" s="1688"/>
      <c r="TUE30" s="1688"/>
      <c r="TUF30" s="1688"/>
      <c r="TUG30" s="1688"/>
      <c r="TUH30" s="1688"/>
      <c r="TUI30" s="1688"/>
      <c r="TUJ30" s="1688"/>
      <c r="TUK30" s="1688"/>
      <c r="TUL30" s="1688"/>
      <c r="TUM30" s="1688"/>
      <c r="TUN30" s="1688"/>
      <c r="TUO30" s="1688"/>
      <c r="TUP30" s="1688"/>
      <c r="TUQ30" s="1688"/>
      <c r="TUR30" s="1688"/>
      <c r="TUS30" s="1688"/>
      <c r="TUT30" s="1688"/>
      <c r="TUU30" s="1688"/>
      <c r="TUV30" s="1688"/>
      <c r="TUW30" s="1688"/>
      <c r="TUX30" s="1688"/>
      <c r="TUY30" s="1688"/>
      <c r="TUZ30" s="1688"/>
      <c r="TVA30" s="1688"/>
      <c r="TVB30" s="1688"/>
      <c r="TVC30" s="1688"/>
      <c r="TVD30" s="1688"/>
      <c r="TVE30" s="1688"/>
      <c r="TVF30" s="1688"/>
      <c r="TVG30" s="1688"/>
      <c r="TVH30" s="1688"/>
      <c r="TVI30" s="1688"/>
      <c r="TVJ30" s="1688"/>
      <c r="TVK30" s="1688"/>
      <c r="TVL30" s="1688"/>
      <c r="TVM30" s="1688"/>
      <c r="TVN30" s="1688"/>
      <c r="TVO30" s="1688"/>
      <c r="TVP30" s="1688"/>
      <c r="TVQ30" s="1688"/>
      <c r="TVR30" s="1688"/>
      <c r="TVS30" s="1688"/>
      <c r="TVT30" s="1688"/>
      <c r="TVU30" s="1688"/>
      <c r="TVV30" s="1688"/>
      <c r="TVW30" s="1688"/>
      <c r="TVX30" s="1688"/>
      <c r="TVY30" s="1688"/>
      <c r="TVZ30" s="1688"/>
      <c r="TWA30" s="1688"/>
      <c r="TWB30" s="1688"/>
      <c r="TWC30" s="1688"/>
      <c r="TWD30" s="1688"/>
      <c r="TWE30" s="1688"/>
      <c r="TWF30" s="1688"/>
      <c r="TWG30" s="1688"/>
      <c r="TWH30" s="1688"/>
      <c r="TWI30" s="1688"/>
      <c r="TWJ30" s="1688"/>
      <c r="TWK30" s="1688"/>
      <c r="TWL30" s="1688"/>
      <c r="TWM30" s="1688"/>
      <c r="TWN30" s="1688"/>
      <c r="TWO30" s="1688"/>
      <c r="TWP30" s="1688"/>
      <c r="TWQ30" s="1688"/>
      <c r="TWR30" s="1688"/>
      <c r="TWS30" s="1688"/>
      <c r="TWT30" s="1688"/>
      <c r="TWU30" s="1688"/>
      <c r="TWV30" s="1688"/>
      <c r="TWW30" s="1688"/>
      <c r="TWX30" s="1688"/>
      <c r="TWY30" s="1688"/>
      <c r="TWZ30" s="1688"/>
      <c r="TXA30" s="1688"/>
      <c r="TXB30" s="1688"/>
      <c r="TXC30" s="1688"/>
      <c r="TXD30" s="1688"/>
      <c r="TXE30" s="1688"/>
      <c r="TXF30" s="1688"/>
      <c r="TXG30" s="1688"/>
      <c r="TXH30" s="1688"/>
      <c r="TXI30" s="1688"/>
      <c r="TXJ30" s="1688"/>
      <c r="TXK30" s="1688"/>
      <c r="TXL30" s="1688"/>
      <c r="TXM30" s="1688"/>
      <c r="TXN30" s="1688"/>
      <c r="TXO30" s="1688"/>
      <c r="TXP30" s="1688"/>
      <c r="TXQ30" s="1688"/>
      <c r="TXR30" s="1688"/>
      <c r="TXS30" s="1688"/>
      <c r="TXT30" s="1688"/>
      <c r="TXU30" s="1688"/>
      <c r="TXV30" s="1688"/>
      <c r="TXW30" s="1688"/>
      <c r="TXX30" s="1688"/>
      <c r="TXY30" s="1688"/>
      <c r="TXZ30" s="1688"/>
      <c r="TYA30" s="1688"/>
      <c r="TYB30" s="1688"/>
      <c r="TYC30" s="1688"/>
      <c r="TYD30" s="1688"/>
      <c r="TYE30" s="1688"/>
      <c r="TYF30" s="1688"/>
      <c r="TYG30" s="1688"/>
      <c r="TYH30" s="1688"/>
      <c r="TYI30" s="1688"/>
      <c r="TYJ30" s="1688"/>
      <c r="TYK30" s="1688"/>
      <c r="TYL30" s="1688"/>
      <c r="TYM30" s="1688"/>
      <c r="TYN30" s="1688"/>
      <c r="TYO30" s="1688"/>
      <c r="TYP30" s="1688"/>
      <c r="TYQ30" s="1688"/>
      <c r="TYR30" s="1688"/>
      <c r="TYS30" s="1688"/>
      <c r="TYT30" s="1688"/>
      <c r="TYU30" s="1688"/>
      <c r="TYV30" s="1688"/>
      <c r="TYW30" s="1688"/>
      <c r="TYX30" s="1688"/>
      <c r="TYY30" s="1688"/>
      <c r="TYZ30" s="1688"/>
      <c r="TZA30" s="1688"/>
      <c r="TZB30" s="1688"/>
      <c r="TZC30" s="1688"/>
      <c r="TZD30" s="1688"/>
      <c r="TZE30" s="1688"/>
      <c r="TZF30" s="1688"/>
      <c r="TZG30" s="1688"/>
      <c r="TZH30" s="1688"/>
      <c r="TZI30" s="1688"/>
      <c r="TZJ30" s="1688"/>
      <c r="TZK30" s="1688"/>
      <c r="TZL30" s="1688"/>
      <c r="TZM30" s="1688"/>
      <c r="TZN30" s="1688"/>
      <c r="TZO30" s="1688"/>
      <c r="TZP30" s="1688"/>
      <c r="TZQ30" s="1688"/>
      <c r="TZR30" s="1688"/>
      <c r="TZS30" s="1688"/>
      <c r="TZT30" s="1688"/>
      <c r="TZU30" s="1688"/>
      <c r="TZV30" s="1688"/>
      <c r="TZW30" s="1688"/>
      <c r="TZX30" s="1688"/>
      <c r="TZY30" s="1688"/>
      <c r="TZZ30" s="1688"/>
      <c r="UAA30" s="1688"/>
      <c r="UAB30" s="1688"/>
      <c r="UAC30" s="1688"/>
      <c r="UAD30" s="1688"/>
      <c r="UAE30" s="1688"/>
      <c r="UAF30" s="1688"/>
      <c r="UAG30" s="1688"/>
      <c r="UAH30" s="1688"/>
      <c r="UAI30" s="1688"/>
      <c r="UAJ30" s="1688"/>
      <c r="UAK30" s="1688"/>
      <c r="UAL30" s="1688"/>
      <c r="UAM30" s="1688"/>
      <c r="UAN30" s="1688"/>
      <c r="UAO30" s="1688"/>
      <c r="UAP30" s="1688"/>
      <c r="UAQ30" s="1688"/>
      <c r="UAR30" s="1688"/>
      <c r="UAS30" s="1688"/>
      <c r="UAT30" s="1688"/>
      <c r="UAU30" s="1688"/>
      <c r="UAV30" s="1688"/>
      <c r="UAW30" s="1688"/>
      <c r="UAX30" s="1688"/>
      <c r="UAY30" s="1688"/>
      <c r="UAZ30" s="1688"/>
      <c r="UBA30" s="1688"/>
      <c r="UBB30" s="1688"/>
      <c r="UBC30" s="1688"/>
      <c r="UBD30" s="1688"/>
      <c r="UBE30" s="1688"/>
      <c r="UBF30" s="1688"/>
      <c r="UBG30" s="1688"/>
      <c r="UBH30" s="1688"/>
      <c r="UBI30" s="1688"/>
      <c r="UBJ30" s="1688"/>
      <c r="UBK30" s="1688"/>
      <c r="UBL30" s="1688"/>
      <c r="UBM30" s="1688"/>
      <c r="UBN30" s="1688"/>
      <c r="UBO30" s="1688"/>
      <c r="UBP30" s="1688"/>
      <c r="UBQ30" s="1688"/>
      <c r="UBR30" s="1688"/>
      <c r="UBS30" s="1688"/>
      <c r="UBT30" s="1688"/>
      <c r="UBU30" s="1688"/>
      <c r="UBV30" s="1688"/>
      <c r="UBW30" s="1688"/>
      <c r="UBX30" s="1688"/>
      <c r="UBY30" s="1688"/>
      <c r="UBZ30" s="1688"/>
      <c r="UCA30" s="1688"/>
      <c r="UCB30" s="1688"/>
      <c r="UCC30" s="1688"/>
      <c r="UCD30" s="1688"/>
      <c r="UCE30" s="1688"/>
      <c r="UCF30" s="1688"/>
      <c r="UCG30" s="1688"/>
      <c r="UCH30" s="1688"/>
      <c r="UCI30" s="1688"/>
      <c r="UCJ30" s="1688"/>
      <c r="UCK30" s="1688"/>
      <c r="UCL30" s="1688"/>
      <c r="UCM30" s="1688"/>
      <c r="UCN30" s="1688"/>
      <c r="UCO30" s="1688"/>
      <c r="UCP30" s="1688"/>
      <c r="UCQ30" s="1688"/>
      <c r="UCR30" s="1688"/>
      <c r="UCS30" s="1688"/>
      <c r="UCT30" s="1688"/>
      <c r="UCU30" s="1688"/>
      <c r="UCV30" s="1688"/>
      <c r="UCW30" s="1688"/>
      <c r="UCX30" s="1688"/>
      <c r="UCY30" s="1688"/>
      <c r="UCZ30" s="1688"/>
      <c r="UDA30" s="1688"/>
      <c r="UDB30" s="1688"/>
      <c r="UDC30" s="1688"/>
      <c r="UDD30" s="1688"/>
      <c r="UDE30" s="1688"/>
      <c r="UDF30" s="1688"/>
      <c r="UDG30" s="1688"/>
      <c r="UDH30" s="1688"/>
      <c r="UDI30" s="1688"/>
      <c r="UDJ30" s="1688"/>
      <c r="UDK30" s="1688"/>
      <c r="UDL30" s="1688"/>
      <c r="UDM30" s="1688"/>
      <c r="UDN30" s="1688"/>
      <c r="UDO30" s="1688"/>
      <c r="UDP30" s="1688"/>
      <c r="UDQ30" s="1688"/>
      <c r="UDR30" s="1688"/>
      <c r="UDS30" s="1688"/>
      <c r="UDT30" s="1688"/>
      <c r="UDU30" s="1688"/>
      <c r="UDV30" s="1688"/>
      <c r="UDW30" s="1688"/>
      <c r="UDX30" s="1688"/>
      <c r="UDY30" s="1688"/>
      <c r="UDZ30" s="1688"/>
      <c r="UEA30" s="1688"/>
      <c r="UEB30" s="1688"/>
      <c r="UEC30" s="1688"/>
      <c r="UED30" s="1688"/>
      <c r="UEE30" s="1688"/>
      <c r="UEF30" s="1688"/>
      <c r="UEG30" s="1688"/>
      <c r="UEH30" s="1688"/>
      <c r="UEI30" s="1688"/>
      <c r="UEJ30" s="1688"/>
      <c r="UEK30" s="1688"/>
      <c r="UEL30" s="1688"/>
      <c r="UEM30" s="1688"/>
      <c r="UEN30" s="1688"/>
      <c r="UEO30" s="1688"/>
      <c r="UEP30" s="1688"/>
      <c r="UEQ30" s="1688"/>
      <c r="UER30" s="1688"/>
      <c r="UES30" s="1688"/>
      <c r="UET30" s="1688"/>
      <c r="UEU30" s="1688"/>
      <c r="UEV30" s="1688"/>
      <c r="UEW30" s="1688"/>
      <c r="UEX30" s="1688"/>
      <c r="UEY30" s="1688"/>
      <c r="UEZ30" s="1688"/>
      <c r="UFA30" s="1688"/>
      <c r="UFB30" s="1688"/>
      <c r="UFC30" s="1688"/>
      <c r="UFD30" s="1688"/>
      <c r="UFE30" s="1688"/>
      <c r="UFF30" s="1688"/>
      <c r="UFG30" s="1688"/>
      <c r="UFH30" s="1688"/>
      <c r="UFI30" s="1688"/>
      <c r="UFJ30" s="1688"/>
      <c r="UFK30" s="1688"/>
      <c r="UFL30" s="1688"/>
      <c r="UFM30" s="1688"/>
      <c r="UFN30" s="1688"/>
      <c r="UFO30" s="1688"/>
      <c r="UFP30" s="1688"/>
      <c r="UFQ30" s="1688"/>
      <c r="UFR30" s="1688"/>
      <c r="UFS30" s="1688"/>
      <c r="UFT30" s="1688"/>
      <c r="UFU30" s="1688"/>
      <c r="UFV30" s="1688"/>
      <c r="UFW30" s="1688"/>
      <c r="UFX30" s="1688"/>
      <c r="UFY30" s="1688"/>
      <c r="UFZ30" s="1688"/>
      <c r="UGA30" s="1688"/>
      <c r="UGB30" s="1688"/>
      <c r="UGC30" s="1688"/>
      <c r="UGD30" s="1688"/>
      <c r="UGE30" s="1688"/>
      <c r="UGF30" s="1688"/>
      <c r="UGG30" s="1688"/>
      <c r="UGH30" s="1688"/>
      <c r="UGI30" s="1688"/>
      <c r="UGJ30" s="1688"/>
      <c r="UGK30" s="1688"/>
      <c r="UGL30" s="1688"/>
      <c r="UGM30" s="1688"/>
      <c r="UGN30" s="1688"/>
      <c r="UGO30" s="1688"/>
      <c r="UGP30" s="1688"/>
      <c r="UGQ30" s="1688"/>
      <c r="UGR30" s="1688"/>
      <c r="UGS30" s="1688"/>
      <c r="UGT30" s="1688"/>
      <c r="UGU30" s="1688"/>
      <c r="UGV30" s="1688"/>
      <c r="UGW30" s="1688"/>
      <c r="UGX30" s="1688"/>
      <c r="UGY30" s="1688"/>
      <c r="UGZ30" s="1688"/>
      <c r="UHA30" s="1688"/>
      <c r="UHB30" s="1688"/>
      <c r="UHC30" s="1688"/>
      <c r="UHD30" s="1688"/>
      <c r="UHE30" s="1688"/>
      <c r="UHF30" s="1688"/>
      <c r="UHG30" s="1688"/>
      <c r="UHH30" s="1688"/>
      <c r="UHI30" s="1688"/>
      <c r="UHJ30" s="1688"/>
      <c r="UHK30" s="1688"/>
      <c r="UHL30" s="1688"/>
      <c r="UHM30" s="1688"/>
      <c r="UHN30" s="1688"/>
      <c r="UHO30" s="1688"/>
      <c r="UHP30" s="1688"/>
      <c r="UHQ30" s="1688"/>
      <c r="UHR30" s="1688"/>
      <c r="UHS30" s="1688"/>
      <c r="UHT30" s="1688"/>
      <c r="UHU30" s="1688"/>
      <c r="UHV30" s="1688"/>
      <c r="UHW30" s="1688"/>
      <c r="UHX30" s="1688"/>
      <c r="UHY30" s="1688"/>
      <c r="UHZ30" s="1688"/>
      <c r="UIA30" s="1688"/>
      <c r="UIB30" s="1688"/>
      <c r="UIC30" s="1688"/>
      <c r="UID30" s="1688"/>
      <c r="UIE30" s="1688"/>
      <c r="UIF30" s="1688"/>
      <c r="UIG30" s="1688"/>
      <c r="UIH30" s="1688"/>
      <c r="UII30" s="1688"/>
      <c r="UIJ30" s="1688"/>
      <c r="UIK30" s="1688"/>
      <c r="UIL30" s="1688"/>
      <c r="UIM30" s="1688"/>
      <c r="UIN30" s="1688"/>
      <c r="UIO30" s="1688"/>
      <c r="UIP30" s="1688"/>
      <c r="UIQ30" s="1688"/>
      <c r="UIR30" s="1688"/>
      <c r="UIS30" s="1688"/>
      <c r="UIT30" s="1688"/>
      <c r="UIU30" s="1688"/>
      <c r="UIV30" s="1688"/>
      <c r="UIW30" s="1688"/>
      <c r="UIX30" s="1688"/>
      <c r="UIY30" s="1688"/>
      <c r="UIZ30" s="1688"/>
      <c r="UJA30" s="1688"/>
      <c r="UJB30" s="1688"/>
      <c r="UJC30" s="1688"/>
      <c r="UJD30" s="1688"/>
      <c r="UJE30" s="1688"/>
      <c r="UJF30" s="1688"/>
      <c r="UJG30" s="1688"/>
      <c r="UJH30" s="1688"/>
      <c r="UJI30" s="1688"/>
      <c r="UJJ30" s="1688"/>
      <c r="UJK30" s="1688"/>
      <c r="UJL30" s="1688"/>
      <c r="UJM30" s="1688"/>
      <c r="UJN30" s="1688"/>
      <c r="UJO30" s="1688"/>
      <c r="UJP30" s="1688"/>
      <c r="UJQ30" s="1688"/>
      <c r="UJR30" s="1688"/>
      <c r="UJS30" s="1688"/>
      <c r="UJT30" s="1688"/>
      <c r="UJU30" s="1688"/>
      <c r="UJV30" s="1688"/>
      <c r="UJW30" s="1688"/>
      <c r="UJX30" s="1688"/>
      <c r="UJY30" s="1688"/>
      <c r="UJZ30" s="1688"/>
      <c r="UKA30" s="1688"/>
      <c r="UKB30" s="1688"/>
      <c r="UKC30" s="1688"/>
      <c r="UKD30" s="1688"/>
      <c r="UKE30" s="1688"/>
      <c r="UKF30" s="1688"/>
      <c r="UKG30" s="1688"/>
      <c r="UKH30" s="1688"/>
      <c r="UKI30" s="1688"/>
      <c r="UKJ30" s="1688"/>
      <c r="UKK30" s="1688"/>
      <c r="UKL30" s="1688"/>
      <c r="UKM30" s="1688"/>
      <c r="UKN30" s="1688"/>
      <c r="UKO30" s="1688"/>
      <c r="UKP30" s="1688"/>
      <c r="UKQ30" s="1688"/>
      <c r="UKR30" s="1688"/>
      <c r="UKS30" s="1688"/>
      <c r="UKT30" s="1688"/>
      <c r="UKU30" s="1688"/>
      <c r="UKV30" s="1688"/>
      <c r="UKW30" s="1688"/>
      <c r="UKX30" s="1688"/>
      <c r="UKY30" s="1688"/>
      <c r="UKZ30" s="1688"/>
      <c r="ULA30" s="1688"/>
      <c r="ULB30" s="1688"/>
      <c r="ULC30" s="1688"/>
      <c r="ULD30" s="1688"/>
      <c r="ULE30" s="1688"/>
      <c r="ULF30" s="1688"/>
      <c r="ULG30" s="1688"/>
      <c r="ULH30" s="1688"/>
      <c r="ULI30" s="1688"/>
      <c r="ULJ30" s="1688"/>
      <c r="ULK30" s="1688"/>
      <c r="ULL30" s="1688"/>
      <c r="ULM30" s="1688"/>
      <c r="ULN30" s="1688"/>
      <c r="ULO30" s="1688"/>
      <c r="ULP30" s="1688"/>
      <c r="ULQ30" s="1688"/>
      <c r="ULR30" s="1688"/>
      <c r="ULS30" s="1688"/>
      <c r="ULT30" s="1688"/>
      <c r="ULU30" s="1688"/>
      <c r="ULV30" s="1688"/>
      <c r="ULW30" s="1688"/>
      <c r="ULX30" s="1688"/>
      <c r="ULY30" s="1688"/>
      <c r="ULZ30" s="1688"/>
      <c r="UMA30" s="1688"/>
      <c r="UMB30" s="1688"/>
      <c r="UMC30" s="1688"/>
      <c r="UMD30" s="1688"/>
      <c r="UME30" s="1688"/>
      <c r="UMF30" s="1688"/>
      <c r="UMG30" s="1688"/>
      <c r="UMH30" s="1688"/>
      <c r="UMI30" s="1688"/>
      <c r="UMJ30" s="1688"/>
      <c r="UMK30" s="1688"/>
      <c r="UML30" s="1688"/>
      <c r="UMM30" s="1688"/>
      <c r="UMN30" s="1688"/>
      <c r="UMO30" s="1688"/>
      <c r="UMP30" s="1688"/>
      <c r="UMQ30" s="1688"/>
      <c r="UMR30" s="1688"/>
      <c r="UMS30" s="1688"/>
      <c r="UMT30" s="1688"/>
      <c r="UMU30" s="1688"/>
      <c r="UMV30" s="1688"/>
      <c r="UMW30" s="1688"/>
      <c r="UMX30" s="1688"/>
      <c r="UMY30" s="1688"/>
      <c r="UMZ30" s="1688"/>
      <c r="UNA30" s="1688"/>
      <c r="UNB30" s="1688"/>
      <c r="UNC30" s="1688"/>
      <c r="UND30" s="1688"/>
      <c r="UNE30" s="1688"/>
      <c r="UNF30" s="1688"/>
      <c r="UNG30" s="1688"/>
      <c r="UNH30" s="1688"/>
      <c r="UNI30" s="1688"/>
      <c r="UNJ30" s="1688"/>
      <c r="UNK30" s="1688"/>
      <c r="UNL30" s="1688"/>
      <c r="UNM30" s="1688"/>
      <c r="UNN30" s="1688"/>
      <c r="UNO30" s="1688"/>
      <c r="UNP30" s="1688"/>
      <c r="UNQ30" s="1688"/>
      <c r="UNR30" s="1688"/>
      <c r="UNS30" s="1688"/>
      <c r="UNT30" s="1688"/>
      <c r="UNU30" s="1688"/>
      <c r="UNV30" s="1688"/>
      <c r="UNW30" s="1688"/>
      <c r="UNX30" s="1688"/>
      <c r="UNY30" s="1688"/>
      <c r="UNZ30" s="1688"/>
      <c r="UOA30" s="1688"/>
      <c r="UOB30" s="1688"/>
      <c r="UOC30" s="1688"/>
      <c r="UOD30" s="1688"/>
      <c r="UOE30" s="1688"/>
      <c r="UOF30" s="1688"/>
      <c r="UOG30" s="1688"/>
      <c r="UOH30" s="1688"/>
      <c r="UOI30" s="1688"/>
      <c r="UOJ30" s="1688"/>
      <c r="UOK30" s="1688"/>
      <c r="UOL30" s="1688"/>
      <c r="UOM30" s="1688"/>
      <c r="UON30" s="1688"/>
      <c r="UOO30" s="1688"/>
      <c r="UOP30" s="1688"/>
      <c r="UOQ30" s="1688"/>
      <c r="UOR30" s="1688"/>
      <c r="UOS30" s="1688"/>
      <c r="UOT30" s="1688"/>
      <c r="UOU30" s="1688"/>
      <c r="UOV30" s="1688"/>
      <c r="UOW30" s="1688"/>
      <c r="UOX30" s="1688"/>
      <c r="UOY30" s="1688"/>
      <c r="UOZ30" s="1688"/>
      <c r="UPA30" s="1688"/>
      <c r="UPB30" s="1688"/>
      <c r="UPC30" s="1688"/>
      <c r="UPD30" s="1688"/>
      <c r="UPE30" s="1688"/>
      <c r="UPF30" s="1688"/>
      <c r="UPG30" s="1688"/>
      <c r="UPH30" s="1688"/>
      <c r="UPI30" s="1688"/>
      <c r="UPJ30" s="1688"/>
      <c r="UPK30" s="1688"/>
      <c r="UPL30" s="1688"/>
      <c r="UPM30" s="1688"/>
      <c r="UPN30" s="1688"/>
      <c r="UPO30" s="1688"/>
      <c r="UPP30" s="1688"/>
      <c r="UPQ30" s="1688"/>
      <c r="UPR30" s="1688"/>
      <c r="UPS30" s="1688"/>
      <c r="UPT30" s="1688"/>
      <c r="UPU30" s="1688"/>
      <c r="UPV30" s="1688"/>
      <c r="UPW30" s="1688"/>
      <c r="UPX30" s="1688"/>
      <c r="UPY30" s="1688"/>
      <c r="UPZ30" s="1688"/>
      <c r="UQA30" s="1688"/>
      <c r="UQB30" s="1688"/>
      <c r="UQC30" s="1688"/>
      <c r="UQD30" s="1688"/>
      <c r="UQE30" s="1688"/>
      <c r="UQF30" s="1688"/>
      <c r="UQG30" s="1688"/>
      <c r="UQH30" s="1688"/>
      <c r="UQI30" s="1688"/>
      <c r="UQJ30" s="1688"/>
      <c r="UQK30" s="1688"/>
      <c r="UQL30" s="1688"/>
      <c r="UQM30" s="1688"/>
      <c r="UQN30" s="1688"/>
      <c r="UQO30" s="1688"/>
      <c r="UQP30" s="1688"/>
      <c r="UQQ30" s="1688"/>
      <c r="UQR30" s="1688"/>
      <c r="UQS30" s="1688"/>
      <c r="UQT30" s="1688"/>
      <c r="UQU30" s="1688"/>
      <c r="UQV30" s="1688"/>
      <c r="UQW30" s="1688"/>
      <c r="UQX30" s="1688"/>
      <c r="UQY30" s="1688"/>
      <c r="UQZ30" s="1688"/>
      <c r="URA30" s="1688"/>
      <c r="URB30" s="1688"/>
      <c r="URC30" s="1688"/>
      <c r="URD30" s="1688"/>
      <c r="URE30" s="1688"/>
      <c r="URF30" s="1688"/>
      <c r="URG30" s="1688"/>
      <c r="URH30" s="1688"/>
      <c r="URI30" s="1688"/>
      <c r="URJ30" s="1688"/>
      <c r="URK30" s="1688"/>
      <c r="URL30" s="1688"/>
      <c r="URM30" s="1688"/>
      <c r="URN30" s="1688"/>
      <c r="URO30" s="1688"/>
      <c r="URP30" s="1688"/>
      <c r="URQ30" s="1688"/>
      <c r="URR30" s="1688"/>
      <c r="URS30" s="1688"/>
      <c r="URT30" s="1688"/>
      <c r="URU30" s="1688"/>
      <c r="URV30" s="1688"/>
      <c r="URW30" s="1688"/>
      <c r="URX30" s="1688"/>
      <c r="URY30" s="1688"/>
      <c r="URZ30" s="1688"/>
      <c r="USA30" s="1688"/>
      <c r="USB30" s="1688"/>
      <c r="USC30" s="1688"/>
      <c r="USD30" s="1688"/>
      <c r="USE30" s="1688"/>
      <c r="USF30" s="1688"/>
      <c r="USG30" s="1688"/>
      <c r="USH30" s="1688"/>
      <c r="USI30" s="1688"/>
      <c r="USJ30" s="1688"/>
      <c r="USK30" s="1688"/>
      <c r="USL30" s="1688"/>
      <c r="USM30" s="1688"/>
      <c r="USN30" s="1688"/>
      <c r="USO30" s="1688"/>
      <c r="USP30" s="1688"/>
      <c r="USQ30" s="1688"/>
      <c r="USR30" s="1688"/>
      <c r="USS30" s="1688"/>
      <c r="UST30" s="1688"/>
      <c r="USU30" s="1688"/>
      <c r="USV30" s="1688"/>
      <c r="USW30" s="1688"/>
      <c r="USX30" s="1688"/>
      <c r="USY30" s="1688"/>
      <c r="USZ30" s="1688"/>
      <c r="UTA30" s="1688"/>
      <c r="UTB30" s="1688"/>
      <c r="UTC30" s="1688"/>
      <c r="UTD30" s="1688"/>
      <c r="UTE30" s="1688"/>
      <c r="UTF30" s="1688"/>
      <c r="UTG30" s="1688"/>
      <c r="UTH30" s="1688"/>
      <c r="UTI30" s="1688"/>
      <c r="UTJ30" s="1688"/>
      <c r="UTK30" s="1688"/>
      <c r="UTL30" s="1688"/>
      <c r="UTM30" s="1688"/>
      <c r="UTN30" s="1688"/>
      <c r="UTO30" s="1688"/>
      <c r="UTP30" s="1688"/>
      <c r="UTQ30" s="1688"/>
      <c r="UTR30" s="1688"/>
      <c r="UTS30" s="1688"/>
      <c r="UTT30" s="1688"/>
      <c r="UTU30" s="1688"/>
      <c r="UTV30" s="1688"/>
      <c r="UTW30" s="1688"/>
      <c r="UTX30" s="1688"/>
      <c r="UTY30" s="1688"/>
      <c r="UTZ30" s="1688"/>
      <c r="UUA30" s="1688"/>
      <c r="UUB30" s="1688"/>
      <c r="UUC30" s="1688"/>
      <c r="UUD30" s="1688"/>
      <c r="UUE30" s="1688"/>
      <c r="UUF30" s="1688"/>
      <c r="UUG30" s="1688"/>
      <c r="UUH30" s="1688"/>
      <c r="UUI30" s="1688"/>
      <c r="UUJ30" s="1688"/>
      <c r="UUK30" s="1688"/>
      <c r="UUL30" s="1688"/>
      <c r="UUM30" s="1688"/>
      <c r="UUN30" s="1688"/>
      <c r="UUO30" s="1688"/>
      <c r="UUP30" s="1688"/>
      <c r="UUQ30" s="1688"/>
      <c r="UUR30" s="1688"/>
      <c r="UUS30" s="1688"/>
      <c r="UUT30" s="1688"/>
      <c r="UUU30" s="1688"/>
      <c r="UUV30" s="1688"/>
      <c r="UUW30" s="1688"/>
      <c r="UUX30" s="1688"/>
      <c r="UUY30" s="1688"/>
      <c r="UUZ30" s="1688"/>
      <c r="UVA30" s="1688"/>
      <c r="UVB30" s="1688"/>
      <c r="UVC30" s="1688"/>
      <c r="UVD30" s="1688"/>
      <c r="UVE30" s="1688"/>
      <c r="UVF30" s="1688"/>
      <c r="UVG30" s="1688"/>
      <c r="UVH30" s="1688"/>
      <c r="UVI30" s="1688"/>
      <c r="UVJ30" s="1688"/>
      <c r="UVK30" s="1688"/>
      <c r="UVL30" s="1688"/>
      <c r="UVM30" s="1688"/>
      <c r="UVN30" s="1688"/>
      <c r="UVO30" s="1688"/>
      <c r="UVP30" s="1688"/>
      <c r="UVQ30" s="1688"/>
      <c r="UVR30" s="1688"/>
      <c r="UVS30" s="1688"/>
      <c r="UVT30" s="1688"/>
      <c r="UVU30" s="1688"/>
      <c r="UVV30" s="1688"/>
      <c r="UVW30" s="1688"/>
      <c r="UVX30" s="1688"/>
      <c r="UVY30" s="1688"/>
      <c r="UVZ30" s="1688"/>
      <c r="UWA30" s="1688"/>
      <c r="UWB30" s="1688"/>
      <c r="UWC30" s="1688"/>
      <c r="UWD30" s="1688"/>
      <c r="UWE30" s="1688"/>
      <c r="UWF30" s="1688"/>
      <c r="UWG30" s="1688"/>
      <c r="UWH30" s="1688"/>
      <c r="UWI30" s="1688"/>
      <c r="UWJ30" s="1688"/>
      <c r="UWK30" s="1688"/>
      <c r="UWL30" s="1688"/>
      <c r="UWM30" s="1688"/>
      <c r="UWN30" s="1688"/>
      <c r="UWO30" s="1688"/>
      <c r="UWP30" s="1688"/>
      <c r="UWQ30" s="1688"/>
      <c r="UWR30" s="1688"/>
      <c r="UWS30" s="1688"/>
      <c r="UWT30" s="1688"/>
      <c r="UWU30" s="1688"/>
      <c r="UWV30" s="1688"/>
      <c r="UWW30" s="1688"/>
      <c r="UWX30" s="1688"/>
      <c r="UWY30" s="1688"/>
      <c r="UWZ30" s="1688"/>
      <c r="UXA30" s="1688"/>
      <c r="UXB30" s="1688"/>
      <c r="UXC30" s="1688"/>
      <c r="UXD30" s="1688"/>
      <c r="UXE30" s="1688"/>
      <c r="UXF30" s="1688"/>
      <c r="UXG30" s="1688"/>
      <c r="UXH30" s="1688"/>
      <c r="UXI30" s="1688"/>
      <c r="UXJ30" s="1688"/>
      <c r="UXK30" s="1688"/>
      <c r="UXL30" s="1688"/>
      <c r="UXM30" s="1688"/>
      <c r="UXN30" s="1688"/>
      <c r="UXO30" s="1688"/>
      <c r="UXP30" s="1688"/>
      <c r="UXQ30" s="1688"/>
      <c r="UXR30" s="1688"/>
      <c r="UXS30" s="1688"/>
      <c r="UXT30" s="1688"/>
      <c r="UXU30" s="1688"/>
      <c r="UXV30" s="1688"/>
      <c r="UXW30" s="1688"/>
      <c r="UXX30" s="1688"/>
      <c r="UXY30" s="1688"/>
      <c r="UXZ30" s="1688"/>
      <c r="UYA30" s="1688"/>
      <c r="UYB30" s="1688"/>
      <c r="UYC30" s="1688"/>
      <c r="UYD30" s="1688"/>
      <c r="UYE30" s="1688"/>
      <c r="UYF30" s="1688"/>
      <c r="UYG30" s="1688"/>
      <c r="UYH30" s="1688"/>
      <c r="UYI30" s="1688"/>
      <c r="UYJ30" s="1688"/>
      <c r="UYK30" s="1688"/>
      <c r="UYL30" s="1688"/>
      <c r="UYM30" s="1688"/>
      <c r="UYN30" s="1688"/>
      <c r="UYO30" s="1688"/>
      <c r="UYP30" s="1688"/>
      <c r="UYQ30" s="1688"/>
      <c r="UYR30" s="1688"/>
      <c r="UYS30" s="1688"/>
      <c r="UYT30" s="1688"/>
      <c r="UYU30" s="1688"/>
      <c r="UYV30" s="1688"/>
      <c r="UYW30" s="1688"/>
      <c r="UYX30" s="1688"/>
      <c r="UYY30" s="1688"/>
      <c r="UYZ30" s="1688"/>
      <c r="UZA30" s="1688"/>
      <c r="UZB30" s="1688"/>
      <c r="UZC30" s="1688"/>
      <c r="UZD30" s="1688"/>
      <c r="UZE30" s="1688"/>
      <c r="UZF30" s="1688"/>
      <c r="UZG30" s="1688"/>
      <c r="UZH30" s="1688"/>
      <c r="UZI30" s="1688"/>
      <c r="UZJ30" s="1688"/>
      <c r="UZK30" s="1688"/>
      <c r="UZL30" s="1688"/>
      <c r="UZM30" s="1688"/>
      <c r="UZN30" s="1688"/>
      <c r="UZO30" s="1688"/>
      <c r="UZP30" s="1688"/>
      <c r="UZQ30" s="1688"/>
      <c r="UZR30" s="1688"/>
      <c r="UZS30" s="1688"/>
      <c r="UZT30" s="1688"/>
      <c r="UZU30" s="1688"/>
      <c r="UZV30" s="1688"/>
      <c r="UZW30" s="1688"/>
      <c r="UZX30" s="1688"/>
      <c r="UZY30" s="1688"/>
      <c r="UZZ30" s="1688"/>
      <c r="VAA30" s="1688"/>
      <c r="VAB30" s="1688"/>
      <c r="VAC30" s="1688"/>
      <c r="VAD30" s="1688"/>
      <c r="VAE30" s="1688"/>
      <c r="VAF30" s="1688"/>
      <c r="VAG30" s="1688"/>
      <c r="VAH30" s="1688"/>
      <c r="VAI30" s="1688"/>
      <c r="VAJ30" s="1688"/>
      <c r="VAK30" s="1688"/>
      <c r="VAL30" s="1688"/>
      <c r="VAM30" s="1688"/>
      <c r="VAN30" s="1688"/>
      <c r="VAO30" s="1688"/>
      <c r="VAP30" s="1688"/>
      <c r="VAQ30" s="1688"/>
      <c r="VAR30" s="1688"/>
      <c r="VAS30" s="1688"/>
      <c r="VAT30" s="1688"/>
      <c r="VAU30" s="1688"/>
      <c r="VAV30" s="1688"/>
      <c r="VAW30" s="1688"/>
      <c r="VAX30" s="1688"/>
      <c r="VAY30" s="1688"/>
      <c r="VAZ30" s="1688"/>
      <c r="VBA30" s="1688"/>
      <c r="VBB30" s="1688"/>
      <c r="VBC30" s="1688"/>
      <c r="VBD30" s="1688"/>
      <c r="VBE30" s="1688"/>
      <c r="VBF30" s="1688"/>
      <c r="VBG30" s="1688"/>
      <c r="VBH30" s="1688"/>
      <c r="VBI30" s="1688"/>
      <c r="VBJ30" s="1688"/>
      <c r="VBK30" s="1688"/>
      <c r="VBL30" s="1688"/>
      <c r="VBM30" s="1688"/>
      <c r="VBN30" s="1688"/>
      <c r="VBO30" s="1688"/>
      <c r="VBP30" s="1688"/>
      <c r="VBQ30" s="1688"/>
      <c r="VBR30" s="1688"/>
      <c r="VBS30" s="1688"/>
      <c r="VBT30" s="1688"/>
      <c r="VBU30" s="1688"/>
      <c r="VBV30" s="1688"/>
      <c r="VBW30" s="1688"/>
      <c r="VBX30" s="1688"/>
      <c r="VBY30" s="1688"/>
      <c r="VBZ30" s="1688"/>
      <c r="VCA30" s="1688"/>
      <c r="VCB30" s="1688"/>
      <c r="VCC30" s="1688"/>
      <c r="VCD30" s="1688"/>
      <c r="VCE30" s="1688"/>
      <c r="VCF30" s="1688"/>
      <c r="VCG30" s="1688"/>
      <c r="VCH30" s="1688"/>
      <c r="VCI30" s="1688"/>
      <c r="VCJ30" s="1688"/>
      <c r="VCK30" s="1688"/>
      <c r="VCL30" s="1688"/>
      <c r="VCM30" s="1688"/>
      <c r="VCN30" s="1688"/>
      <c r="VCO30" s="1688"/>
      <c r="VCP30" s="1688"/>
      <c r="VCQ30" s="1688"/>
      <c r="VCR30" s="1688"/>
      <c r="VCS30" s="1688"/>
      <c r="VCT30" s="1688"/>
      <c r="VCU30" s="1688"/>
      <c r="VCV30" s="1688"/>
      <c r="VCW30" s="1688"/>
      <c r="VCX30" s="1688"/>
      <c r="VCY30" s="1688"/>
      <c r="VCZ30" s="1688"/>
      <c r="VDA30" s="1688"/>
      <c r="VDB30" s="1688"/>
      <c r="VDC30" s="1688"/>
      <c r="VDD30" s="1688"/>
      <c r="VDE30" s="1688"/>
      <c r="VDF30" s="1688"/>
      <c r="VDG30" s="1688"/>
      <c r="VDH30" s="1688"/>
      <c r="VDI30" s="1688"/>
      <c r="VDJ30" s="1688"/>
      <c r="VDK30" s="1688"/>
      <c r="VDL30" s="1688"/>
      <c r="VDM30" s="1688"/>
      <c r="VDN30" s="1688"/>
      <c r="VDO30" s="1688"/>
      <c r="VDP30" s="1688"/>
      <c r="VDQ30" s="1688"/>
      <c r="VDR30" s="1688"/>
      <c r="VDS30" s="1688"/>
      <c r="VDT30" s="1688"/>
      <c r="VDU30" s="1688"/>
      <c r="VDV30" s="1688"/>
      <c r="VDW30" s="1688"/>
      <c r="VDX30" s="1688"/>
      <c r="VDY30" s="1688"/>
      <c r="VDZ30" s="1688"/>
      <c r="VEA30" s="1688"/>
      <c r="VEB30" s="1688"/>
      <c r="VEC30" s="1688"/>
      <c r="VED30" s="1688"/>
      <c r="VEE30" s="1688"/>
      <c r="VEF30" s="1688"/>
      <c r="VEG30" s="1688"/>
      <c r="VEH30" s="1688"/>
      <c r="VEI30" s="1688"/>
      <c r="VEJ30" s="1688"/>
      <c r="VEK30" s="1688"/>
      <c r="VEL30" s="1688"/>
      <c r="VEM30" s="1688"/>
      <c r="VEN30" s="1688"/>
      <c r="VEO30" s="1688"/>
      <c r="VEP30" s="1688"/>
      <c r="VEQ30" s="1688"/>
      <c r="VER30" s="1688"/>
      <c r="VES30" s="1688"/>
      <c r="VET30" s="1688"/>
      <c r="VEU30" s="1688"/>
      <c r="VEV30" s="1688"/>
      <c r="VEW30" s="1688"/>
      <c r="VEX30" s="1688"/>
      <c r="VEY30" s="1688"/>
      <c r="VEZ30" s="1688"/>
      <c r="VFA30" s="1688"/>
      <c r="VFB30" s="1688"/>
      <c r="VFC30" s="1688"/>
      <c r="VFD30" s="1688"/>
      <c r="VFE30" s="1688"/>
      <c r="VFF30" s="1688"/>
      <c r="VFG30" s="1688"/>
      <c r="VFH30" s="1688"/>
      <c r="VFI30" s="1688"/>
      <c r="VFJ30" s="1688"/>
      <c r="VFK30" s="1688"/>
      <c r="VFL30" s="1688"/>
      <c r="VFM30" s="1688"/>
      <c r="VFN30" s="1688"/>
      <c r="VFO30" s="1688"/>
      <c r="VFP30" s="1688"/>
      <c r="VFQ30" s="1688"/>
      <c r="VFR30" s="1688"/>
      <c r="VFS30" s="1688"/>
      <c r="VFT30" s="1688"/>
      <c r="VFU30" s="1688"/>
      <c r="VFV30" s="1688"/>
      <c r="VFW30" s="1688"/>
      <c r="VFX30" s="1688"/>
      <c r="VFY30" s="1688"/>
      <c r="VFZ30" s="1688"/>
      <c r="VGA30" s="1688"/>
      <c r="VGB30" s="1688"/>
      <c r="VGC30" s="1688"/>
      <c r="VGD30" s="1688"/>
      <c r="VGE30" s="1688"/>
      <c r="VGF30" s="1688"/>
      <c r="VGG30" s="1688"/>
      <c r="VGH30" s="1688"/>
      <c r="VGI30" s="1688"/>
      <c r="VGJ30" s="1688"/>
      <c r="VGK30" s="1688"/>
      <c r="VGL30" s="1688"/>
      <c r="VGM30" s="1688"/>
      <c r="VGN30" s="1688"/>
      <c r="VGO30" s="1688"/>
      <c r="VGP30" s="1688"/>
      <c r="VGQ30" s="1688"/>
      <c r="VGR30" s="1688"/>
      <c r="VGS30" s="1688"/>
      <c r="VGT30" s="1688"/>
      <c r="VGU30" s="1688"/>
      <c r="VGV30" s="1688"/>
      <c r="VGW30" s="1688"/>
      <c r="VGX30" s="1688"/>
      <c r="VGY30" s="1688"/>
      <c r="VGZ30" s="1688"/>
      <c r="VHA30" s="1688"/>
      <c r="VHB30" s="1688"/>
      <c r="VHC30" s="1688"/>
      <c r="VHD30" s="1688"/>
      <c r="VHE30" s="1688"/>
      <c r="VHF30" s="1688"/>
      <c r="VHG30" s="1688"/>
      <c r="VHH30" s="1688"/>
      <c r="VHI30" s="1688"/>
      <c r="VHJ30" s="1688"/>
      <c r="VHK30" s="1688"/>
      <c r="VHL30" s="1688"/>
      <c r="VHM30" s="1688"/>
      <c r="VHN30" s="1688"/>
      <c r="VHO30" s="1688"/>
      <c r="VHP30" s="1688"/>
      <c r="VHQ30" s="1688"/>
      <c r="VHR30" s="1688"/>
      <c r="VHS30" s="1688"/>
      <c r="VHT30" s="1688"/>
      <c r="VHU30" s="1688"/>
      <c r="VHV30" s="1688"/>
      <c r="VHW30" s="1688"/>
      <c r="VHX30" s="1688"/>
      <c r="VHY30" s="1688"/>
      <c r="VHZ30" s="1688"/>
      <c r="VIA30" s="1688"/>
      <c r="VIB30" s="1688"/>
      <c r="VIC30" s="1688"/>
      <c r="VID30" s="1688"/>
      <c r="VIE30" s="1688"/>
      <c r="VIF30" s="1688"/>
      <c r="VIG30" s="1688"/>
      <c r="VIH30" s="1688"/>
      <c r="VII30" s="1688"/>
      <c r="VIJ30" s="1688"/>
      <c r="VIK30" s="1688"/>
      <c r="VIL30" s="1688"/>
      <c r="VIM30" s="1688"/>
      <c r="VIN30" s="1688"/>
      <c r="VIO30" s="1688"/>
      <c r="VIP30" s="1688"/>
      <c r="VIQ30" s="1688"/>
      <c r="VIR30" s="1688"/>
      <c r="VIS30" s="1688"/>
      <c r="VIT30" s="1688"/>
      <c r="VIU30" s="1688"/>
      <c r="VIV30" s="1688"/>
      <c r="VIW30" s="1688"/>
      <c r="VIX30" s="1688"/>
      <c r="VIY30" s="1688"/>
      <c r="VIZ30" s="1688"/>
      <c r="VJA30" s="1688"/>
      <c r="VJB30" s="1688"/>
      <c r="VJC30" s="1688"/>
      <c r="VJD30" s="1688"/>
      <c r="VJE30" s="1688"/>
      <c r="VJF30" s="1688"/>
      <c r="VJG30" s="1688"/>
      <c r="VJH30" s="1688"/>
      <c r="VJI30" s="1688"/>
      <c r="VJJ30" s="1688"/>
      <c r="VJK30" s="1688"/>
      <c r="VJL30" s="1688"/>
      <c r="VJM30" s="1688"/>
      <c r="VJN30" s="1688"/>
      <c r="VJO30" s="1688"/>
      <c r="VJP30" s="1688"/>
      <c r="VJQ30" s="1688"/>
      <c r="VJR30" s="1688"/>
      <c r="VJS30" s="1688"/>
      <c r="VJT30" s="1688"/>
      <c r="VJU30" s="1688"/>
      <c r="VJV30" s="1688"/>
      <c r="VJW30" s="1688"/>
      <c r="VJX30" s="1688"/>
      <c r="VJY30" s="1688"/>
      <c r="VJZ30" s="1688"/>
      <c r="VKA30" s="1688"/>
      <c r="VKB30" s="1688"/>
      <c r="VKC30" s="1688"/>
      <c r="VKD30" s="1688"/>
      <c r="VKE30" s="1688"/>
      <c r="VKF30" s="1688"/>
      <c r="VKG30" s="1688"/>
      <c r="VKH30" s="1688"/>
      <c r="VKI30" s="1688"/>
      <c r="VKJ30" s="1688"/>
      <c r="VKK30" s="1688"/>
      <c r="VKL30" s="1688"/>
      <c r="VKM30" s="1688"/>
      <c r="VKN30" s="1688"/>
      <c r="VKO30" s="1688"/>
      <c r="VKP30" s="1688"/>
      <c r="VKQ30" s="1688"/>
      <c r="VKR30" s="1688"/>
      <c r="VKS30" s="1688"/>
      <c r="VKT30" s="1688"/>
      <c r="VKU30" s="1688"/>
      <c r="VKV30" s="1688"/>
      <c r="VKW30" s="1688"/>
      <c r="VKX30" s="1688"/>
      <c r="VKY30" s="1688"/>
      <c r="VKZ30" s="1688"/>
      <c r="VLA30" s="1688"/>
      <c r="VLB30" s="1688"/>
      <c r="VLC30" s="1688"/>
      <c r="VLD30" s="1688"/>
      <c r="VLE30" s="1688"/>
      <c r="VLF30" s="1688"/>
      <c r="VLG30" s="1688"/>
      <c r="VLH30" s="1688"/>
      <c r="VLI30" s="1688"/>
      <c r="VLJ30" s="1688"/>
      <c r="VLK30" s="1688"/>
      <c r="VLL30" s="1688"/>
      <c r="VLM30" s="1688"/>
      <c r="VLN30" s="1688"/>
      <c r="VLO30" s="1688"/>
      <c r="VLP30" s="1688"/>
      <c r="VLQ30" s="1688"/>
      <c r="VLR30" s="1688"/>
      <c r="VLS30" s="1688"/>
      <c r="VLT30" s="1688"/>
      <c r="VLU30" s="1688"/>
      <c r="VLV30" s="1688"/>
      <c r="VLW30" s="1688"/>
      <c r="VLX30" s="1688"/>
      <c r="VLY30" s="1688"/>
      <c r="VLZ30" s="1688"/>
      <c r="VMA30" s="1688"/>
      <c r="VMB30" s="1688"/>
      <c r="VMC30" s="1688"/>
      <c r="VMD30" s="1688"/>
      <c r="VME30" s="1688"/>
      <c r="VMF30" s="1688"/>
      <c r="VMG30" s="1688"/>
      <c r="VMH30" s="1688"/>
      <c r="VMI30" s="1688"/>
      <c r="VMJ30" s="1688"/>
      <c r="VMK30" s="1688"/>
      <c r="VML30" s="1688"/>
      <c r="VMM30" s="1688"/>
      <c r="VMN30" s="1688"/>
      <c r="VMO30" s="1688"/>
      <c r="VMP30" s="1688"/>
      <c r="VMQ30" s="1688"/>
      <c r="VMR30" s="1688"/>
      <c r="VMS30" s="1688"/>
      <c r="VMT30" s="1688"/>
      <c r="VMU30" s="1688"/>
      <c r="VMV30" s="1688"/>
      <c r="VMW30" s="1688"/>
      <c r="VMX30" s="1688"/>
      <c r="VMY30" s="1688"/>
      <c r="VMZ30" s="1688"/>
      <c r="VNA30" s="1688"/>
      <c r="VNB30" s="1688"/>
      <c r="VNC30" s="1688"/>
      <c r="VND30" s="1688"/>
      <c r="VNE30" s="1688"/>
      <c r="VNF30" s="1688"/>
      <c r="VNG30" s="1688"/>
      <c r="VNH30" s="1688"/>
      <c r="VNI30" s="1688"/>
      <c r="VNJ30" s="1688"/>
      <c r="VNK30" s="1688"/>
      <c r="VNL30" s="1688"/>
      <c r="VNM30" s="1688"/>
      <c r="VNN30" s="1688"/>
      <c r="VNO30" s="1688"/>
      <c r="VNP30" s="1688"/>
      <c r="VNQ30" s="1688"/>
      <c r="VNR30" s="1688"/>
      <c r="VNS30" s="1688"/>
      <c r="VNT30" s="1688"/>
      <c r="VNU30" s="1688"/>
      <c r="VNV30" s="1688"/>
      <c r="VNW30" s="1688"/>
      <c r="VNX30" s="1688"/>
      <c r="VNY30" s="1688"/>
      <c r="VNZ30" s="1688"/>
      <c r="VOA30" s="1688"/>
      <c r="VOB30" s="1688"/>
      <c r="VOC30" s="1688"/>
      <c r="VOD30" s="1688"/>
      <c r="VOE30" s="1688"/>
      <c r="VOF30" s="1688"/>
      <c r="VOG30" s="1688"/>
      <c r="VOH30" s="1688"/>
      <c r="VOI30" s="1688"/>
      <c r="VOJ30" s="1688"/>
      <c r="VOK30" s="1688"/>
      <c r="VOL30" s="1688"/>
      <c r="VOM30" s="1688"/>
      <c r="VON30" s="1688"/>
      <c r="VOO30" s="1688"/>
      <c r="VOP30" s="1688"/>
      <c r="VOQ30" s="1688"/>
      <c r="VOR30" s="1688"/>
      <c r="VOS30" s="1688"/>
      <c r="VOT30" s="1688"/>
      <c r="VOU30" s="1688"/>
      <c r="VOV30" s="1688"/>
      <c r="VOW30" s="1688"/>
      <c r="VOX30" s="1688"/>
      <c r="VOY30" s="1688"/>
      <c r="VOZ30" s="1688"/>
      <c r="VPA30" s="1688"/>
      <c r="VPB30" s="1688"/>
      <c r="VPC30" s="1688"/>
      <c r="VPD30" s="1688"/>
      <c r="VPE30" s="1688"/>
      <c r="VPF30" s="1688"/>
      <c r="VPG30" s="1688"/>
      <c r="VPH30" s="1688"/>
      <c r="VPI30" s="1688"/>
      <c r="VPJ30" s="1688"/>
      <c r="VPK30" s="1688"/>
      <c r="VPL30" s="1688"/>
      <c r="VPM30" s="1688"/>
      <c r="VPN30" s="1688"/>
      <c r="VPO30" s="1688"/>
      <c r="VPP30" s="1688"/>
      <c r="VPQ30" s="1688"/>
      <c r="VPR30" s="1688"/>
      <c r="VPS30" s="1688"/>
      <c r="VPT30" s="1688"/>
      <c r="VPU30" s="1688"/>
      <c r="VPV30" s="1688"/>
      <c r="VPW30" s="1688"/>
      <c r="VPX30" s="1688"/>
      <c r="VPY30" s="1688"/>
      <c r="VPZ30" s="1688"/>
      <c r="VQA30" s="1688"/>
      <c r="VQB30" s="1688"/>
      <c r="VQC30" s="1688"/>
      <c r="VQD30" s="1688"/>
      <c r="VQE30" s="1688"/>
      <c r="VQF30" s="1688"/>
      <c r="VQG30" s="1688"/>
      <c r="VQH30" s="1688"/>
      <c r="VQI30" s="1688"/>
      <c r="VQJ30" s="1688"/>
      <c r="VQK30" s="1688"/>
      <c r="VQL30" s="1688"/>
      <c r="VQM30" s="1688"/>
      <c r="VQN30" s="1688"/>
      <c r="VQO30" s="1688"/>
      <c r="VQP30" s="1688"/>
      <c r="VQQ30" s="1688"/>
      <c r="VQR30" s="1688"/>
      <c r="VQS30" s="1688"/>
      <c r="VQT30" s="1688"/>
      <c r="VQU30" s="1688"/>
      <c r="VQV30" s="1688"/>
      <c r="VQW30" s="1688"/>
      <c r="VQX30" s="1688"/>
      <c r="VQY30" s="1688"/>
      <c r="VQZ30" s="1688"/>
      <c r="VRA30" s="1688"/>
      <c r="VRB30" s="1688"/>
      <c r="VRC30" s="1688"/>
      <c r="VRD30" s="1688"/>
      <c r="VRE30" s="1688"/>
      <c r="VRF30" s="1688"/>
      <c r="VRG30" s="1688"/>
      <c r="VRH30" s="1688"/>
      <c r="VRI30" s="1688"/>
      <c r="VRJ30" s="1688"/>
      <c r="VRK30" s="1688"/>
      <c r="VRL30" s="1688"/>
      <c r="VRM30" s="1688"/>
      <c r="VRN30" s="1688"/>
      <c r="VRO30" s="1688"/>
      <c r="VRP30" s="1688"/>
      <c r="VRQ30" s="1688"/>
      <c r="VRR30" s="1688"/>
      <c r="VRS30" s="1688"/>
      <c r="VRT30" s="1688"/>
      <c r="VRU30" s="1688"/>
      <c r="VRV30" s="1688"/>
      <c r="VRW30" s="1688"/>
      <c r="VRX30" s="1688"/>
      <c r="VRY30" s="1688"/>
      <c r="VRZ30" s="1688"/>
      <c r="VSA30" s="1688"/>
      <c r="VSB30" s="1688"/>
      <c r="VSC30" s="1688"/>
      <c r="VSD30" s="1688"/>
      <c r="VSE30" s="1688"/>
      <c r="VSF30" s="1688"/>
      <c r="VSG30" s="1688"/>
      <c r="VSH30" s="1688"/>
      <c r="VSI30" s="1688"/>
      <c r="VSJ30" s="1688"/>
      <c r="VSK30" s="1688"/>
      <c r="VSL30" s="1688"/>
      <c r="VSM30" s="1688"/>
      <c r="VSN30" s="1688"/>
      <c r="VSO30" s="1688"/>
      <c r="VSP30" s="1688"/>
      <c r="VSQ30" s="1688"/>
      <c r="VSR30" s="1688"/>
      <c r="VSS30" s="1688"/>
      <c r="VST30" s="1688"/>
      <c r="VSU30" s="1688"/>
      <c r="VSV30" s="1688"/>
      <c r="VSW30" s="1688"/>
      <c r="VSX30" s="1688"/>
      <c r="VSY30" s="1688"/>
      <c r="VSZ30" s="1688"/>
      <c r="VTA30" s="1688"/>
      <c r="VTB30" s="1688"/>
      <c r="VTC30" s="1688"/>
      <c r="VTD30" s="1688"/>
      <c r="VTE30" s="1688"/>
      <c r="VTF30" s="1688"/>
      <c r="VTG30" s="1688"/>
      <c r="VTH30" s="1688"/>
      <c r="VTI30" s="1688"/>
      <c r="VTJ30" s="1688"/>
      <c r="VTK30" s="1688"/>
      <c r="VTL30" s="1688"/>
      <c r="VTM30" s="1688"/>
      <c r="VTN30" s="1688"/>
      <c r="VTO30" s="1688"/>
      <c r="VTP30" s="1688"/>
      <c r="VTQ30" s="1688"/>
      <c r="VTR30" s="1688"/>
      <c r="VTS30" s="1688"/>
      <c r="VTT30" s="1688"/>
      <c r="VTU30" s="1688"/>
      <c r="VTV30" s="1688"/>
      <c r="VTW30" s="1688"/>
      <c r="VTX30" s="1688"/>
      <c r="VTY30" s="1688"/>
      <c r="VTZ30" s="1688"/>
      <c r="VUA30" s="1688"/>
      <c r="VUB30" s="1688"/>
      <c r="VUC30" s="1688"/>
      <c r="VUD30" s="1688"/>
      <c r="VUE30" s="1688"/>
      <c r="VUF30" s="1688"/>
      <c r="VUG30" s="1688"/>
      <c r="VUH30" s="1688"/>
      <c r="VUI30" s="1688"/>
      <c r="VUJ30" s="1688"/>
      <c r="VUK30" s="1688"/>
      <c r="VUL30" s="1688"/>
      <c r="VUM30" s="1688"/>
      <c r="VUN30" s="1688"/>
      <c r="VUO30" s="1688"/>
      <c r="VUP30" s="1688"/>
      <c r="VUQ30" s="1688"/>
      <c r="VUR30" s="1688"/>
      <c r="VUS30" s="1688"/>
      <c r="VUT30" s="1688"/>
      <c r="VUU30" s="1688"/>
      <c r="VUV30" s="1688"/>
      <c r="VUW30" s="1688"/>
      <c r="VUX30" s="1688"/>
      <c r="VUY30" s="1688"/>
      <c r="VUZ30" s="1688"/>
      <c r="VVA30" s="1688"/>
      <c r="VVB30" s="1688"/>
      <c r="VVC30" s="1688"/>
      <c r="VVD30" s="1688"/>
      <c r="VVE30" s="1688"/>
      <c r="VVF30" s="1688"/>
      <c r="VVG30" s="1688"/>
      <c r="VVH30" s="1688"/>
      <c r="VVI30" s="1688"/>
      <c r="VVJ30" s="1688"/>
      <c r="VVK30" s="1688"/>
      <c r="VVL30" s="1688"/>
      <c r="VVM30" s="1688"/>
      <c r="VVN30" s="1688"/>
      <c r="VVO30" s="1688"/>
      <c r="VVP30" s="1688"/>
      <c r="VVQ30" s="1688"/>
      <c r="VVR30" s="1688"/>
      <c r="VVS30" s="1688"/>
      <c r="VVT30" s="1688"/>
      <c r="VVU30" s="1688"/>
      <c r="VVV30" s="1688"/>
      <c r="VVW30" s="1688"/>
      <c r="VVX30" s="1688"/>
      <c r="VVY30" s="1688"/>
      <c r="VVZ30" s="1688"/>
      <c r="VWA30" s="1688"/>
      <c r="VWB30" s="1688"/>
      <c r="VWC30" s="1688"/>
      <c r="VWD30" s="1688"/>
      <c r="VWE30" s="1688"/>
      <c r="VWF30" s="1688"/>
      <c r="VWG30" s="1688"/>
      <c r="VWH30" s="1688"/>
      <c r="VWI30" s="1688"/>
      <c r="VWJ30" s="1688"/>
      <c r="VWK30" s="1688"/>
      <c r="VWL30" s="1688"/>
      <c r="VWM30" s="1688"/>
      <c r="VWN30" s="1688"/>
      <c r="VWO30" s="1688"/>
      <c r="VWP30" s="1688"/>
      <c r="VWQ30" s="1688"/>
      <c r="VWR30" s="1688"/>
      <c r="VWS30" s="1688"/>
      <c r="VWT30" s="1688"/>
      <c r="VWU30" s="1688"/>
      <c r="VWV30" s="1688"/>
      <c r="VWW30" s="1688"/>
      <c r="VWX30" s="1688"/>
      <c r="VWY30" s="1688"/>
      <c r="VWZ30" s="1688"/>
      <c r="VXA30" s="1688"/>
      <c r="VXB30" s="1688"/>
      <c r="VXC30" s="1688"/>
      <c r="VXD30" s="1688"/>
      <c r="VXE30" s="1688"/>
      <c r="VXF30" s="1688"/>
      <c r="VXG30" s="1688"/>
      <c r="VXH30" s="1688"/>
      <c r="VXI30" s="1688"/>
      <c r="VXJ30" s="1688"/>
      <c r="VXK30" s="1688"/>
      <c r="VXL30" s="1688"/>
      <c r="VXM30" s="1688"/>
      <c r="VXN30" s="1688"/>
      <c r="VXO30" s="1688"/>
      <c r="VXP30" s="1688"/>
      <c r="VXQ30" s="1688"/>
      <c r="VXR30" s="1688"/>
      <c r="VXS30" s="1688"/>
      <c r="VXT30" s="1688"/>
      <c r="VXU30" s="1688"/>
      <c r="VXV30" s="1688"/>
      <c r="VXW30" s="1688"/>
      <c r="VXX30" s="1688"/>
      <c r="VXY30" s="1688"/>
      <c r="VXZ30" s="1688"/>
      <c r="VYA30" s="1688"/>
      <c r="VYB30" s="1688"/>
      <c r="VYC30" s="1688"/>
      <c r="VYD30" s="1688"/>
      <c r="VYE30" s="1688"/>
      <c r="VYF30" s="1688"/>
      <c r="VYG30" s="1688"/>
      <c r="VYH30" s="1688"/>
      <c r="VYI30" s="1688"/>
      <c r="VYJ30" s="1688"/>
      <c r="VYK30" s="1688"/>
      <c r="VYL30" s="1688"/>
      <c r="VYM30" s="1688"/>
      <c r="VYN30" s="1688"/>
      <c r="VYO30" s="1688"/>
      <c r="VYP30" s="1688"/>
      <c r="VYQ30" s="1688"/>
      <c r="VYR30" s="1688"/>
      <c r="VYS30" s="1688"/>
      <c r="VYT30" s="1688"/>
      <c r="VYU30" s="1688"/>
      <c r="VYV30" s="1688"/>
      <c r="VYW30" s="1688"/>
      <c r="VYX30" s="1688"/>
      <c r="VYY30" s="1688"/>
      <c r="VYZ30" s="1688"/>
      <c r="VZA30" s="1688"/>
      <c r="VZB30" s="1688"/>
      <c r="VZC30" s="1688"/>
      <c r="VZD30" s="1688"/>
      <c r="VZE30" s="1688"/>
      <c r="VZF30" s="1688"/>
      <c r="VZG30" s="1688"/>
      <c r="VZH30" s="1688"/>
      <c r="VZI30" s="1688"/>
      <c r="VZJ30" s="1688"/>
      <c r="VZK30" s="1688"/>
      <c r="VZL30" s="1688"/>
      <c r="VZM30" s="1688"/>
      <c r="VZN30" s="1688"/>
      <c r="VZO30" s="1688"/>
      <c r="VZP30" s="1688"/>
      <c r="VZQ30" s="1688"/>
      <c r="VZR30" s="1688"/>
      <c r="VZS30" s="1688"/>
      <c r="VZT30" s="1688"/>
      <c r="VZU30" s="1688"/>
      <c r="VZV30" s="1688"/>
      <c r="VZW30" s="1688"/>
      <c r="VZX30" s="1688"/>
      <c r="VZY30" s="1688"/>
      <c r="VZZ30" s="1688"/>
      <c r="WAA30" s="1688"/>
      <c r="WAB30" s="1688"/>
      <c r="WAC30" s="1688"/>
      <c r="WAD30" s="1688"/>
      <c r="WAE30" s="1688"/>
      <c r="WAF30" s="1688"/>
      <c r="WAG30" s="1688"/>
      <c r="WAH30" s="1688"/>
      <c r="WAI30" s="1688"/>
      <c r="WAJ30" s="1688"/>
      <c r="WAK30" s="1688"/>
      <c r="WAL30" s="1688"/>
      <c r="WAM30" s="1688"/>
      <c r="WAN30" s="1688"/>
      <c r="WAO30" s="1688"/>
      <c r="WAP30" s="1688"/>
      <c r="WAQ30" s="1688"/>
      <c r="WAR30" s="1688"/>
      <c r="WAS30" s="1688"/>
      <c r="WAT30" s="1688"/>
      <c r="WAU30" s="1688"/>
      <c r="WAV30" s="1688"/>
      <c r="WAW30" s="1688"/>
      <c r="WAX30" s="1688"/>
      <c r="WAY30" s="1688"/>
      <c r="WAZ30" s="1688"/>
      <c r="WBA30" s="1688"/>
      <c r="WBB30" s="1688"/>
      <c r="WBC30" s="1688"/>
      <c r="WBD30" s="1688"/>
      <c r="WBE30" s="1688"/>
      <c r="WBF30" s="1688"/>
      <c r="WBG30" s="1688"/>
      <c r="WBH30" s="1688"/>
      <c r="WBI30" s="1688"/>
      <c r="WBJ30" s="1688"/>
      <c r="WBK30" s="1688"/>
      <c r="WBL30" s="1688"/>
      <c r="WBM30" s="1688"/>
      <c r="WBN30" s="1688"/>
      <c r="WBO30" s="1688"/>
      <c r="WBP30" s="1688"/>
      <c r="WBQ30" s="1688"/>
      <c r="WBR30" s="1688"/>
      <c r="WBS30" s="1688"/>
      <c r="WBT30" s="1688"/>
      <c r="WBU30" s="1688"/>
      <c r="WBV30" s="1688"/>
      <c r="WBW30" s="1688"/>
      <c r="WBX30" s="1688"/>
      <c r="WBY30" s="1688"/>
      <c r="WBZ30" s="1688"/>
      <c r="WCA30" s="1688"/>
      <c r="WCB30" s="1688"/>
      <c r="WCC30" s="1688"/>
      <c r="WCD30" s="1688"/>
      <c r="WCE30" s="1688"/>
      <c r="WCF30" s="1688"/>
      <c r="WCG30" s="1688"/>
      <c r="WCH30" s="1688"/>
      <c r="WCI30" s="1688"/>
      <c r="WCJ30" s="1688"/>
      <c r="WCK30" s="1688"/>
      <c r="WCL30" s="1688"/>
      <c r="WCM30" s="1688"/>
      <c r="WCN30" s="1688"/>
      <c r="WCO30" s="1688"/>
      <c r="WCP30" s="1688"/>
      <c r="WCQ30" s="1688"/>
      <c r="WCR30" s="1688"/>
      <c r="WCS30" s="1688"/>
      <c r="WCT30" s="1688"/>
      <c r="WCU30" s="1688"/>
      <c r="WCV30" s="1688"/>
      <c r="WCW30" s="1688"/>
      <c r="WCX30" s="1688"/>
      <c r="WCY30" s="1688"/>
      <c r="WCZ30" s="1688"/>
      <c r="WDA30" s="1688"/>
      <c r="WDB30" s="1688"/>
      <c r="WDC30" s="1688"/>
      <c r="WDD30" s="1688"/>
      <c r="WDE30" s="1688"/>
      <c r="WDF30" s="1688"/>
      <c r="WDG30" s="1688"/>
      <c r="WDH30" s="1688"/>
      <c r="WDI30" s="1688"/>
      <c r="WDJ30" s="1688"/>
      <c r="WDK30" s="1688"/>
      <c r="WDL30" s="1688"/>
      <c r="WDM30" s="1688"/>
      <c r="WDN30" s="1688"/>
      <c r="WDO30" s="1688"/>
      <c r="WDP30" s="1688"/>
      <c r="WDQ30" s="1688"/>
      <c r="WDR30" s="1688"/>
      <c r="WDS30" s="1688"/>
      <c r="WDT30" s="1688"/>
      <c r="WDU30" s="1688"/>
      <c r="WDV30" s="1688"/>
      <c r="WDW30" s="1688"/>
      <c r="WDX30" s="1688"/>
      <c r="WDY30" s="1688"/>
      <c r="WDZ30" s="1688"/>
      <c r="WEA30" s="1688"/>
      <c r="WEB30" s="1688"/>
      <c r="WEC30" s="1688"/>
      <c r="WED30" s="1688"/>
      <c r="WEE30" s="1688"/>
      <c r="WEF30" s="1688"/>
      <c r="WEG30" s="1688"/>
      <c r="WEH30" s="1688"/>
      <c r="WEI30" s="1688"/>
      <c r="WEJ30" s="1688"/>
      <c r="WEK30" s="1688"/>
      <c r="WEL30" s="1688"/>
      <c r="WEM30" s="1688"/>
      <c r="WEN30" s="1688"/>
      <c r="WEO30" s="1688"/>
      <c r="WEP30" s="1688"/>
      <c r="WEQ30" s="1688"/>
      <c r="WER30" s="1688"/>
      <c r="WES30" s="1688"/>
      <c r="WET30" s="1688"/>
      <c r="WEU30" s="1688"/>
      <c r="WEV30" s="1688"/>
      <c r="WEW30" s="1688"/>
      <c r="WEX30" s="1688"/>
      <c r="WEY30" s="1688"/>
      <c r="WEZ30" s="1688"/>
      <c r="WFA30" s="1688"/>
      <c r="WFB30" s="1688"/>
      <c r="WFC30" s="1688"/>
      <c r="WFD30" s="1688"/>
      <c r="WFE30" s="1688"/>
      <c r="WFF30" s="1688"/>
      <c r="WFG30" s="1688"/>
      <c r="WFH30" s="1688"/>
      <c r="WFI30" s="1688"/>
      <c r="WFJ30" s="1688"/>
      <c r="WFK30" s="1688"/>
      <c r="WFL30" s="1688"/>
      <c r="WFM30" s="1688"/>
      <c r="WFN30" s="1688"/>
      <c r="WFO30" s="1688"/>
      <c r="WFP30" s="1688"/>
      <c r="WFQ30" s="1688"/>
      <c r="WFR30" s="1688"/>
      <c r="WFS30" s="1688"/>
      <c r="WFT30" s="1688"/>
      <c r="WFU30" s="1688"/>
      <c r="WFV30" s="1688"/>
      <c r="WFW30" s="1688"/>
      <c r="WFX30" s="1688"/>
      <c r="WFY30" s="1688"/>
      <c r="WFZ30" s="1688"/>
      <c r="WGA30" s="1688"/>
      <c r="WGB30" s="1688"/>
      <c r="WGC30" s="1688"/>
      <c r="WGD30" s="1688"/>
      <c r="WGE30" s="1688"/>
      <c r="WGF30" s="1688"/>
      <c r="WGG30" s="1688"/>
      <c r="WGH30" s="1688"/>
      <c r="WGI30" s="1688"/>
      <c r="WGJ30" s="1688"/>
      <c r="WGK30" s="1688"/>
      <c r="WGL30" s="1688"/>
      <c r="WGM30" s="1688"/>
      <c r="WGN30" s="1688"/>
      <c r="WGO30" s="1688"/>
      <c r="WGP30" s="1688"/>
      <c r="WGQ30" s="1688"/>
      <c r="WGR30" s="1688"/>
      <c r="WGS30" s="1688"/>
      <c r="WGT30" s="1688"/>
      <c r="WGU30" s="1688"/>
      <c r="WGV30" s="1688"/>
      <c r="WGW30" s="1688"/>
      <c r="WGX30" s="1688"/>
      <c r="WGY30" s="1688"/>
      <c r="WGZ30" s="1688"/>
      <c r="WHA30" s="1688"/>
      <c r="WHB30" s="1688"/>
      <c r="WHC30" s="1688"/>
      <c r="WHD30" s="1688"/>
      <c r="WHE30" s="1688"/>
      <c r="WHF30" s="1688"/>
      <c r="WHG30" s="1688"/>
      <c r="WHH30" s="1688"/>
      <c r="WHI30" s="1688"/>
      <c r="WHJ30" s="1688"/>
      <c r="WHK30" s="1688"/>
      <c r="WHL30" s="1688"/>
      <c r="WHM30" s="1688"/>
      <c r="WHN30" s="1688"/>
      <c r="WHO30" s="1688"/>
      <c r="WHP30" s="1688"/>
      <c r="WHQ30" s="1688"/>
      <c r="WHR30" s="1688"/>
      <c r="WHS30" s="1688"/>
      <c r="WHT30" s="1688"/>
      <c r="WHU30" s="1688"/>
      <c r="WHV30" s="1688"/>
      <c r="WHW30" s="1688"/>
      <c r="WHX30" s="1688"/>
      <c r="WHY30" s="1688"/>
      <c r="WHZ30" s="1688"/>
      <c r="WIA30" s="1688"/>
      <c r="WIB30" s="1688"/>
      <c r="WIC30" s="1688"/>
      <c r="WID30" s="1688"/>
      <c r="WIE30" s="1688"/>
      <c r="WIF30" s="1688"/>
      <c r="WIG30" s="1688"/>
      <c r="WIH30" s="1688"/>
      <c r="WII30" s="1688"/>
      <c r="WIJ30" s="1688"/>
      <c r="WIK30" s="1688"/>
      <c r="WIL30" s="1688"/>
      <c r="WIM30" s="1688"/>
      <c r="WIN30" s="1688"/>
      <c r="WIO30" s="1688"/>
      <c r="WIP30" s="1688"/>
      <c r="WIQ30" s="1688"/>
      <c r="WIR30" s="1688"/>
      <c r="WIS30" s="1688"/>
      <c r="WIT30" s="1688"/>
      <c r="WIU30" s="1688"/>
      <c r="WIV30" s="1688"/>
      <c r="WIW30" s="1688"/>
      <c r="WIX30" s="1688"/>
      <c r="WIY30" s="1688"/>
      <c r="WIZ30" s="1688"/>
      <c r="WJA30" s="1688"/>
      <c r="WJB30" s="1688"/>
      <c r="WJC30" s="1688"/>
      <c r="WJD30" s="1688"/>
      <c r="WJE30" s="1688"/>
      <c r="WJF30" s="1688"/>
      <c r="WJG30" s="1688"/>
      <c r="WJH30" s="1688"/>
      <c r="WJI30" s="1688"/>
      <c r="WJJ30" s="1688"/>
      <c r="WJK30" s="1688"/>
      <c r="WJL30" s="1688"/>
      <c r="WJM30" s="1688"/>
      <c r="WJN30" s="1688"/>
      <c r="WJO30" s="1688"/>
      <c r="WJP30" s="1688"/>
      <c r="WJQ30" s="1688"/>
      <c r="WJR30" s="1688"/>
      <c r="WJS30" s="1688"/>
      <c r="WJT30" s="1688"/>
      <c r="WJU30" s="1688"/>
      <c r="WJV30" s="1688"/>
      <c r="WJW30" s="1688"/>
      <c r="WJX30" s="1688"/>
      <c r="WJY30" s="1688"/>
      <c r="WJZ30" s="1688"/>
      <c r="WKA30" s="1688"/>
      <c r="WKB30" s="1688"/>
      <c r="WKC30" s="1688"/>
      <c r="WKD30" s="1688"/>
      <c r="WKE30" s="1688"/>
      <c r="WKF30" s="1688"/>
      <c r="WKG30" s="1688"/>
      <c r="WKH30" s="1688"/>
      <c r="WKI30" s="1688"/>
      <c r="WKJ30" s="1688"/>
      <c r="WKK30" s="1688"/>
      <c r="WKL30" s="1688"/>
      <c r="WKM30" s="1688"/>
      <c r="WKN30" s="1688"/>
      <c r="WKO30" s="1688"/>
      <c r="WKP30" s="1688"/>
      <c r="WKQ30" s="1688"/>
      <c r="WKR30" s="1688"/>
      <c r="WKS30" s="1688"/>
      <c r="WKT30" s="1688"/>
      <c r="WKU30" s="1688"/>
      <c r="WKV30" s="1688"/>
      <c r="WKW30" s="1688"/>
      <c r="WKX30" s="1688"/>
      <c r="WKY30" s="1688"/>
      <c r="WKZ30" s="1688"/>
      <c r="WLA30" s="1688"/>
      <c r="WLB30" s="1688"/>
      <c r="WLC30" s="1688"/>
      <c r="WLD30" s="1688"/>
      <c r="WLE30" s="1688"/>
      <c r="WLF30" s="1688"/>
      <c r="WLG30" s="1688"/>
      <c r="WLH30" s="1688"/>
      <c r="WLI30" s="1688"/>
      <c r="WLJ30" s="1688"/>
      <c r="WLK30" s="1688"/>
      <c r="WLL30" s="1688"/>
      <c r="WLM30" s="1688"/>
      <c r="WLN30" s="1688"/>
      <c r="WLO30" s="1688"/>
      <c r="WLP30" s="1688"/>
      <c r="WLQ30" s="1688"/>
      <c r="WLR30" s="1688"/>
      <c r="WLS30" s="1688"/>
      <c r="WLT30" s="1688"/>
      <c r="WLU30" s="1688"/>
      <c r="WLV30" s="1688"/>
      <c r="WLW30" s="1688"/>
      <c r="WLX30" s="1688"/>
      <c r="WLY30" s="1688"/>
      <c r="WLZ30" s="1688"/>
      <c r="WMA30" s="1688"/>
      <c r="WMB30" s="1688"/>
      <c r="WMC30" s="1688"/>
      <c r="WMD30" s="1688"/>
      <c r="WME30" s="1688"/>
      <c r="WMF30" s="1688"/>
      <c r="WMG30" s="1688"/>
      <c r="WMH30" s="1688"/>
      <c r="WMI30" s="1688"/>
      <c r="WMJ30" s="1688"/>
      <c r="WMK30" s="1688"/>
      <c r="WML30" s="1688"/>
      <c r="WMM30" s="1688"/>
      <c r="WMN30" s="1688"/>
      <c r="WMO30" s="1688"/>
      <c r="WMP30" s="1688"/>
      <c r="WMQ30" s="1688"/>
      <c r="WMR30" s="1688"/>
      <c r="WMS30" s="1688"/>
      <c r="WMT30" s="1688"/>
      <c r="WMU30" s="1688"/>
      <c r="WMV30" s="1688"/>
      <c r="WMW30" s="1688"/>
      <c r="WMX30" s="1688"/>
      <c r="WMY30" s="1688"/>
      <c r="WMZ30" s="1688"/>
      <c r="WNA30" s="1688"/>
      <c r="WNB30" s="1688"/>
      <c r="WNC30" s="1688"/>
      <c r="WND30" s="1688"/>
      <c r="WNE30" s="1688"/>
      <c r="WNF30" s="1688"/>
      <c r="WNG30" s="1688"/>
      <c r="WNH30" s="1688"/>
      <c r="WNI30" s="1688"/>
      <c r="WNJ30" s="1688"/>
      <c r="WNK30" s="1688"/>
      <c r="WNL30" s="1688"/>
      <c r="WNM30" s="1688"/>
      <c r="WNN30" s="1688"/>
      <c r="WNO30" s="1688"/>
      <c r="WNP30" s="1688"/>
      <c r="WNQ30" s="1688"/>
      <c r="WNR30" s="1688"/>
      <c r="WNS30" s="1688"/>
      <c r="WNT30" s="1688"/>
      <c r="WNU30" s="1688"/>
      <c r="WNV30" s="1688"/>
      <c r="WNW30" s="1688"/>
      <c r="WNX30" s="1688"/>
      <c r="WNY30" s="1688"/>
      <c r="WNZ30" s="1688"/>
      <c r="WOA30" s="1688"/>
      <c r="WOB30" s="1688"/>
      <c r="WOC30" s="1688"/>
      <c r="WOD30" s="1688"/>
      <c r="WOE30" s="1688"/>
      <c r="WOF30" s="1688"/>
      <c r="WOG30" s="1688"/>
      <c r="WOH30" s="1688"/>
      <c r="WOI30" s="1688"/>
      <c r="WOJ30" s="1688"/>
      <c r="WOK30" s="1688"/>
      <c r="WOL30" s="1688"/>
      <c r="WOM30" s="1688"/>
      <c r="WON30" s="1688"/>
      <c r="WOO30" s="1688"/>
      <c r="WOP30" s="1688"/>
      <c r="WOQ30" s="1688"/>
      <c r="WOR30" s="1688"/>
      <c r="WOS30" s="1688"/>
      <c r="WOT30" s="1688"/>
      <c r="WOU30" s="1688"/>
      <c r="WOV30" s="1688"/>
      <c r="WOW30" s="1688"/>
      <c r="WOX30" s="1688"/>
      <c r="WOY30" s="1688"/>
      <c r="WOZ30" s="1688"/>
      <c r="WPA30" s="1688"/>
      <c r="WPB30" s="1688"/>
      <c r="WPC30" s="1688"/>
      <c r="WPD30" s="1688"/>
      <c r="WPE30" s="1688"/>
      <c r="WPF30" s="1688"/>
      <c r="WPG30" s="1688"/>
      <c r="WPH30" s="1688"/>
      <c r="WPI30" s="1688"/>
      <c r="WPJ30" s="1688"/>
      <c r="WPK30" s="1688"/>
      <c r="WPL30" s="1688"/>
      <c r="WPM30" s="1688"/>
      <c r="WPN30" s="1688"/>
      <c r="WPO30" s="1688"/>
      <c r="WPP30" s="1688"/>
      <c r="WPQ30" s="1688"/>
      <c r="WPR30" s="1688"/>
      <c r="WPS30" s="1688"/>
      <c r="WPT30" s="1688"/>
      <c r="WPU30" s="1688"/>
      <c r="WPV30" s="1688"/>
      <c r="WPW30" s="1688"/>
      <c r="WPX30" s="1688"/>
      <c r="WPY30" s="1688"/>
      <c r="WPZ30" s="1688"/>
      <c r="WQA30" s="1688"/>
      <c r="WQB30" s="1688"/>
      <c r="WQC30" s="1688"/>
      <c r="WQD30" s="1688"/>
      <c r="WQE30" s="1688"/>
      <c r="WQF30" s="1688"/>
      <c r="WQG30" s="1688"/>
      <c r="WQH30" s="1688"/>
      <c r="WQI30" s="1688"/>
      <c r="WQJ30" s="1688"/>
      <c r="WQK30" s="1688"/>
      <c r="WQL30" s="1688"/>
      <c r="WQM30" s="1688"/>
      <c r="WQN30" s="1688"/>
      <c r="WQO30" s="1688"/>
      <c r="WQP30" s="1688"/>
      <c r="WQQ30" s="1688"/>
      <c r="WQR30" s="1688"/>
      <c r="WQS30" s="1688"/>
      <c r="WQT30" s="1688"/>
      <c r="WQU30" s="1688"/>
      <c r="WQV30" s="1688"/>
      <c r="WQW30" s="1688"/>
      <c r="WQX30" s="1688"/>
      <c r="WQY30" s="1688"/>
      <c r="WQZ30" s="1688"/>
      <c r="WRA30" s="1688"/>
      <c r="WRB30" s="1688"/>
      <c r="WRC30" s="1688"/>
      <c r="WRD30" s="1688"/>
      <c r="WRE30" s="1688"/>
      <c r="WRF30" s="1688"/>
      <c r="WRG30" s="1688"/>
      <c r="WRH30" s="1688"/>
      <c r="WRI30" s="1688"/>
      <c r="WRJ30" s="1688"/>
      <c r="WRK30" s="1688"/>
      <c r="WRL30" s="1688"/>
      <c r="WRM30" s="1688"/>
      <c r="WRN30" s="1688"/>
      <c r="WRO30" s="1688"/>
      <c r="WRP30" s="1688"/>
      <c r="WRQ30" s="1688"/>
      <c r="WRR30" s="1688"/>
      <c r="WRS30" s="1688"/>
      <c r="WRT30" s="1688"/>
      <c r="WRU30" s="1688"/>
      <c r="WRV30" s="1688"/>
      <c r="WRW30" s="1688"/>
      <c r="WRX30" s="1688"/>
      <c r="WRY30" s="1688"/>
      <c r="WRZ30" s="1688"/>
      <c r="WSA30" s="1688"/>
      <c r="WSB30" s="1688"/>
      <c r="WSC30" s="1688"/>
      <c r="WSD30" s="1688"/>
      <c r="WSE30" s="1688"/>
      <c r="WSF30" s="1688"/>
      <c r="WSG30" s="1688"/>
      <c r="WSH30" s="1688"/>
      <c r="WSI30" s="1688"/>
      <c r="WSJ30" s="1688"/>
      <c r="WSK30" s="1688"/>
      <c r="WSL30" s="1688"/>
      <c r="WSM30" s="1688"/>
      <c r="WSN30" s="1688"/>
      <c r="WSO30" s="1688"/>
      <c r="WSP30" s="1688"/>
      <c r="WSQ30" s="1688"/>
      <c r="WSR30" s="1688"/>
      <c r="WSS30" s="1688"/>
      <c r="WST30" s="1688"/>
      <c r="WSU30" s="1688"/>
      <c r="WSV30" s="1688"/>
      <c r="WSW30" s="1688"/>
      <c r="WSX30" s="1688"/>
      <c r="WSY30" s="1688"/>
      <c r="WSZ30" s="1688"/>
      <c r="WTA30" s="1688"/>
      <c r="WTB30" s="1688"/>
      <c r="WTC30" s="1688"/>
      <c r="WTD30" s="1688"/>
      <c r="WTE30" s="1688"/>
      <c r="WTF30" s="1688"/>
      <c r="WTG30" s="1688"/>
      <c r="WTH30" s="1688"/>
      <c r="WTI30" s="1688"/>
      <c r="WTJ30" s="1688"/>
      <c r="WTK30" s="1688"/>
      <c r="WTL30" s="1688"/>
      <c r="WTM30" s="1688"/>
      <c r="WTN30" s="1688"/>
      <c r="WTO30" s="1688"/>
      <c r="WTP30" s="1688"/>
      <c r="WTQ30" s="1688"/>
      <c r="WTR30" s="1688"/>
      <c r="WTS30" s="1688"/>
      <c r="WTT30" s="1688"/>
      <c r="WTU30" s="1688"/>
      <c r="WTV30" s="1688"/>
      <c r="WTW30" s="1688"/>
      <c r="WTX30" s="1688"/>
      <c r="WTY30" s="1688"/>
      <c r="WTZ30" s="1688"/>
      <c r="WUA30" s="1688"/>
      <c r="WUB30" s="1688"/>
      <c r="WUC30" s="1688"/>
      <c r="WUD30" s="1688"/>
      <c r="WUE30" s="1688"/>
      <c r="WUF30" s="1688"/>
      <c r="WUG30" s="1688"/>
      <c r="WUH30" s="1688"/>
      <c r="WUI30" s="1688"/>
      <c r="WUJ30" s="1688"/>
      <c r="WUK30" s="1688"/>
      <c r="WUL30" s="1688"/>
      <c r="WUM30" s="1688"/>
      <c r="WUN30" s="1688"/>
      <c r="WUO30" s="1688"/>
      <c r="WUP30" s="1688"/>
      <c r="WUQ30" s="1688"/>
      <c r="WUR30" s="1688"/>
      <c r="WUS30" s="1688"/>
      <c r="WUT30" s="1688"/>
      <c r="WUU30" s="1688"/>
      <c r="WUV30" s="1688"/>
      <c r="WUW30" s="1688"/>
      <c r="WUX30" s="1688"/>
      <c r="WUY30" s="1688"/>
      <c r="WUZ30" s="1688"/>
      <c r="WVA30" s="1688"/>
      <c r="WVB30" s="1688"/>
      <c r="WVC30" s="1688"/>
      <c r="WVD30" s="1688"/>
      <c r="WVE30" s="1688"/>
      <c r="WVF30" s="1688"/>
      <c r="WVG30" s="1688"/>
      <c r="WVH30" s="1688"/>
      <c r="WVI30" s="1688"/>
      <c r="WVJ30" s="1688"/>
      <c r="WVK30" s="1688"/>
      <c r="WVL30" s="1688"/>
      <c r="WVM30" s="1688"/>
      <c r="WVN30" s="1688"/>
      <c r="WVO30" s="1688"/>
      <c r="WVP30" s="1688"/>
      <c r="WVQ30" s="1688"/>
      <c r="WVR30" s="1688"/>
      <c r="WVS30" s="1688"/>
      <c r="WVT30" s="1688"/>
      <c r="WVU30" s="1688"/>
      <c r="WVV30" s="1688"/>
      <c r="WVW30" s="1688"/>
      <c r="WVX30" s="1688"/>
      <c r="WVY30" s="1688"/>
      <c r="WVZ30" s="1688"/>
      <c r="WWA30" s="1688"/>
      <c r="WWB30" s="1688"/>
      <c r="WWC30" s="1688"/>
      <c r="WWD30" s="1688"/>
      <c r="WWE30" s="1688"/>
      <c r="WWF30" s="1688"/>
      <c r="WWG30" s="1688"/>
      <c r="WWH30" s="1688"/>
      <c r="WWI30" s="1688"/>
      <c r="WWJ30" s="1688"/>
      <c r="WWK30" s="1688"/>
      <c r="WWL30" s="1688"/>
      <c r="WWM30" s="1688"/>
      <c r="WWN30" s="1688"/>
      <c r="WWO30" s="1688"/>
      <c r="WWP30" s="1688"/>
      <c r="WWQ30" s="1688"/>
      <c r="WWR30" s="1688"/>
      <c r="WWS30" s="1688"/>
      <c r="WWT30" s="1688"/>
      <c r="WWU30" s="1688"/>
      <c r="WWV30" s="1688"/>
      <c r="WWW30" s="1688"/>
      <c r="WWX30" s="1688"/>
      <c r="WWY30" s="1688"/>
      <c r="WWZ30" s="1688"/>
      <c r="WXA30" s="1688"/>
      <c r="WXB30" s="1688"/>
      <c r="WXC30" s="1688"/>
      <c r="WXD30" s="1688"/>
      <c r="WXE30" s="1688"/>
      <c r="WXF30" s="1688"/>
      <c r="WXG30" s="1688"/>
      <c r="WXH30" s="1688"/>
      <c r="WXI30" s="1688"/>
      <c r="WXJ30" s="1688"/>
      <c r="WXK30" s="1688"/>
      <c r="WXL30" s="1688"/>
      <c r="WXM30" s="1688"/>
      <c r="WXN30" s="1688"/>
      <c r="WXO30" s="1688"/>
      <c r="WXP30" s="1688"/>
      <c r="WXQ30" s="1688"/>
      <c r="WXR30" s="1688"/>
      <c r="WXS30" s="1688"/>
      <c r="WXT30" s="1688"/>
      <c r="WXU30" s="1688"/>
      <c r="WXV30" s="1688"/>
      <c r="WXW30" s="1688"/>
      <c r="WXX30" s="1688"/>
      <c r="WXY30" s="1688"/>
      <c r="WXZ30" s="1688"/>
      <c r="WYA30" s="1688"/>
      <c r="WYB30" s="1688"/>
      <c r="WYC30" s="1688"/>
      <c r="WYD30" s="1688"/>
      <c r="WYE30" s="1688"/>
      <c r="WYF30" s="1688"/>
      <c r="WYG30" s="1688"/>
      <c r="WYH30" s="1688"/>
      <c r="WYI30" s="1688"/>
      <c r="WYJ30" s="1688"/>
      <c r="WYK30" s="1688"/>
      <c r="WYL30" s="1688"/>
      <c r="WYM30" s="1688"/>
      <c r="WYN30" s="1688"/>
      <c r="WYO30" s="1688"/>
      <c r="WYP30" s="1688"/>
      <c r="WYQ30" s="1688"/>
      <c r="WYR30" s="1688"/>
      <c r="WYS30" s="1688"/>
      <c r="WYT30" s="1688"/>
      <c r="WYU30" s="1688"/>
      <c r="WYV30" s="1688"/>
      <c r="WYW30" s="1688"/>
      <c r="WYX30" s="1688"/>
      <c r="WYY30" s="1688"/>
      <c r="WYZ30" s="1688"/>
      <c r="WZA30" s="1688"/>
      <c r="WZB30" s="1688"/>
      <c r="WZC30" s="1688"/>
      <c r="WZD30" s="1688"/>
      <c r="WZE30" s="1688"/>
      <c r="WZF30" s="1688"/>
      <c r="WZG30" s="1688"/>
      <c r="WZH30" s="1688"/>
      <c r="WZI30" s="1688"/>
      <c r="WZJ30" s="1688"/>
      <c r="WZK30" s="1688"/>
      <c r="WZL30" s="1688"/>
      <c r="WZM30" s="1688"/>
      <c r="WZN30" s="1688"/>
      <c r="WZO30" s="1688"/>
      <c r="WZP30" s="1688"/>
      <c r="WZQ30" s="1688"/>
      <c r="WZR30" s="1688"/>
      <c r="WZS30" s="1688"/>
      <c r="WZT30" s="1688"/>
      <c r="WZU30" s="1688"/>
      <c r="WZV30" s="1688"/>
      <c r="WZW30" s="1688"/>
      <c r="WZX30" s="1688"/>
      <c r="WZY30" s="1688"/>
      <c r="WZZ30" s="1688"/>
      <c r="XAA30" s="1688"/>
      <c r="XAB30" s="1688"/>
      <c r="XAC30" s="1688"/>
      <c r="XAD30" s="1688"/>
      <c r="XAE30" s="1688"/>
      <c r="XAF30" s="1688"/>
      <c r="XAG30" s="1688"/>
      <c r="XAH30" s="1688"/>
      <c r="XAI30" s="1688"/>
      <c r="XAJ30" s="1688"/>
      <c r="XAK30" s="1688"/>
      <c r="XAL30" s="1688"/>
      <c r="XAM30" s="1688"/>
      <c r="XAN30" s="1688"/>
      <c r="XAO30" s="1688"/>
      <c r="XAP30" s="1688"/>
      <c r="XAQ30" s="1688"/>
      <c r="XAR30" s="1688"/>
      <c r="XAS30" s="1688"/>
      <c r="XAT30" s="1688"/>
      <c r="XAU30" s="1688"/>
      <c r="XAV30" s="1688"/>
      <c r="XAW30" s="1688"/>
      <c r="XAX30" s="1688"/>
      <c r="XAY30" s="1688"/>
      <c r="XAZ30" s="1688"/>
      <c r="XBA30" s="1688"/>
      <c r="XBB30" s="1688"/>
      <c r="XBC30" s="1688"/>
      <c r="XBD30" s="1688"/>
      <c r="XBE30" s="1688"/>
      <c r="XBF30" s="1688"/>
      <c r="XBG30" s="1688"/>
      <c r="XBH30" s="1688"/>
      <c r="XBI30" s="1688"/>
      <c r="XBJ30" s="1688"/>
      <c r="XBK30" s="1688"/>
      <c r="XBL30" s="1688"/>
      <c r="XBM30" s="1688"/>
      <c r="XBN30" s="1688"/>
      <c r="XBO30" s="1688"/>
      <c r="XBP30" s="1688"/>
      <c r="XBQ30" s="1688"/>
      <c r="XBR30" s="1688"/>
      <c r="XBS30" s="1688"/>
      <c r="XBT30" s="1688"/>
      <c r="XBU30" s="1688"/>
      <c r="XBV30" s="1688"/>
      <c r="XBW30" s="1688"/>
      <c r="XBX30" s="1688"/>
      <c r="XBY30" s="1688"/>
      <c r="XBZ30" s="1688"/>
      <c r="XCA30" s="1688"/>
      <c r="XCB30" s="1688"/>
      <c r="XCC30" s="1688"/>
      <c r="XCD30" s="1688"/>
      <c r="XCE30" s="1688"/>
      <c r="XCF30" s="1688"/>
      <c r="XCG30" s="1688"/>
      <c r="XCH30" s="1688"/>
      <c r="XCI30" s="1688"/>
      <c r="XCJ30" s="1688"/>
      <c r="XCK30" s="1688"/>
      <c r="XCL30" s="1688"/>
      <c r="XCM30" s="1688"/>
      <c r="XCN30" s="1688"/>
      <c r="XCO30" s="1688"/>
      <c r="XCP30" s="1688"/>
      <c r="XCQ30" s="1688"/>
      <c r="XCR30" s="1688"/>
      <c r="XCS30" s="1688"/>
      <c r="XCT30" s="1688"/>
      <c r="XCU30" s="1688"/>
      <c r="XCV30" s="1688"/>
      <c r="XCW30" s="1688"/>
      <c r="XCX30" s="1688"/>
      <c r="XCY30" s="1688"/>
      <c r="XCZ30" s="1688"/>
      <c r="XDA30" s="1688"/>
      <c r="XDB30" s="1688"/>
      <c r="XDC30" s="1688"/>
      <c r="XDD30" s="1688"/>
      <c r="XDE30" s="1688"/>
      <c r="XDF30" s="1688"/>
      <c r="XDG30" s="1688"/>
      <c r="XDH30" s="1688"/>
      <c r="XDI30" s="1688"/>
      <c r="XDJ30" s="1688"/>
      <c r="XDK30" s="1688"/>
      <c r="XDL30" s="1688"/>
      <c r="XDM30" s="1688"/>
      <c r="XDN30" s="1688"/>
      <c r="XDO30" s="1688"/>
      <c r="XDP30" s="1688"/>
      <c r="XDQ30" s="1688"/>
      <c r="XDR30" s="1688"/>
      <c r="XDS30" s="1688"/>
      <c r="XDT30" s="1688"/>
      <c r="XDU30" s="1688"/>
      <c r="XDV30" s="1688"/>
      <c r="XDW30" s="1688"/>
      <c r="XDX30" s="1688"/>
      <c r="XDY30" s="1688"/>
      <c r="XDZ30" s="1688"/>
      <c r="XEA30" s="1688"/>
      <c r="XEB30" s="1688"/>
      <c r="XEC30" s="1688"/>
      <c r="XED30" s="1688"/>
      <c r="XEE30" s="1688"/>
      <c r="XEF30" s="1688"/>
      <c r="XEG30" s="1688"/>
      <c r="XEH30" s="1688"/>
      <c r="XEI30" s="1688"/>
      <c r="XEJ30" s="1688"/>
      <c r="XEK30" s="1688"/>
      <c r="XEL30" s="1688"/>
      <c r="XEM30" s="1688"/>
      <c r="XEN30" s="1688"/>
      <c r="XEO30" s="1688"/>
      <c r="XEP30" s="1688"/>
      <c r="XEQ30" s="1688"/>
      <c r="XER30" s="1688"/>
      <c r="XES30" s="1688"/>
      <c r="XET30" s="1688"/>
      <c r="XEU30" s="1688"/>
      <c r="XEV30" s="1688"/>
      <c r="XEW30" s="1688"/>
      <c r="XEX30" s="1688"/>
      <c r="XEY30" s="1688"/>
      <c r="XEZ30" s="1688"/>
      <c r="XFA30" s="1688"/>
      <c r="XFB30" s="1688"/>
      <c r="XFC30" s="1688"/>
      <c r="XFD30" s="1688"/>
    </row>
    <row r="31" spans="1:16384" s="224" customFormat="1" ht="45" customHeight="1">
      <c r="A31" s="1688" t="s">
        <v>2648</v>
      </c>
      <c r="B31" s="1688"/>
      <c r="C31" s="1688"/>
      <c r="D31" s="1688"/>
      <c r="E31" s="1688"/>
      <c r="F31" s="1688"/>
      <c r="G31" s="1688"/>
      <c r="H31" s="1688"/>
      <c r="I31" s="1688"/>
      <c r="J31" s="1688"/>
      <c r="K31" s="1688"/>
      <c r="L31" s="1688"/>
      <c r="M31" s="1688"/>
      <c r="N31" s="1688"/>
      <c r="O31" s="1688"/>
      <c r="P31" s="1688"/>
      <c r="Q31" s="1688"/>
      <c r="R31" s="1688"/>
      <c r="S31" s="1688"/>
      <c r="T31" s="1688"/>
      <c r="U31" s="1688"/>
      <c r="V31" s="1688"/>
      <c r="W31" s="1688"/>
      <c r="X31" s="1688"/>
      <c r="Y31" s="1688"/>
      <c r="Z31" s="1688"/>
      <c r="AA31" s="1688"/>
      <c r="AB31" s="1688"/>
      <c r="AC31" s="1688"/>
      <c r="AD31" s="1688"/>
      <c r="AE31" s="1688"/>
      <c r="AF31" s="1688"/>
      <c r="AG31" s="1688"/>
      <c r="AH31" s="1688"/>
      <c r="AI31" s="1688"/>
      <c r="AJ31" s="1688"/>
      <c r="AK31" s="1688"/>
      <c r="AL31" s="1688"/>
      <c r="AM31" s="1688"/>
      <c r="AN31" s="1688"/>
      <c r="AO31" s="1688"/>
      <c r="AP31" s="1688"/>
      <c r="AQ31" s="1688"/>
      <c r="AR31" s="1688"/>
      <c r="AS31" s="1688"/>
      <c r="AT31" s="1688"/>
      <c r="AU31" s="1688"/>
      <c r="AV31" s="1688"/>
      <c r="AW31" s="1688"/>
      <c r="AX31" s="1688"/>
      <c r="AY31" s="1688"/>
      <c r="AZ31" s="1688"/>
      <c r="BA31" s="1688"/>
      <c r="BB31" s="1688"/>
      <c r="BC31" s="1688"/>
      <c r="BD31" s="1688"/>
      <c r="BE31" s="1688"/>
      <c r="BF31" s="1688"/>
      <c r="BG31" s="1688"/>
      <c r="BH31" s="1688"/>
      <c r="BI31" s="1688"/>
      <c r="BJ31" s="1688"/>
      <c r="BK31" s="1688"/>
      <c r="BL31" s="1688"/>
      <c r="BM31" s="1688"/>
      <c r="BN31" s="1688"/>
      <c r="BO31" s="1688"/>
      <c r="BP31" s="1688"/>
      <c r="BQ31" s="1688"/>
      <c r="BR31" s="1688"/>
      <c r="BS31" s="1688"/>
      <c r="BT31" s="1688"/>
      <c r="BU31" s="1688"/>
      <c r="BV31" s="1688"/>
      <c r="BW31" s="1688"/>
      <c r="BX31" s="1688"/>
      <c r="BY31" s="1688"/>
      <c r="BZ31" s="1688"/>
      <c r="CA31" s="1688"/>
      <c r="CB31" s="1688"/>
      <c r="CC31" s="1688"/>
      <c r="CD31" s="1688"/>
      <c r="CE31" s="1688"/>
      <c r="CF31" s="1688"/>
      <c r="CG31" s="1688"/>
      <c r="CH31" s="1688"/>
      <c r="CI31" s="1688"/>
      <c r="CJ31" s="1688"/>
      <c r="CK31" s="1688"/>
      <c r="CL31" s="1688"/>
      <c r="CM31" s="1688"/>
      <c r="CN31" s="1688"/>
      <c r="CO31" s="1688"/>
      <c r="CP31" s="1688"/>
      <c r="CQ31" s="1688"/>
      <c r="CR31" s="1688"/>
      <c r="CS31" s="1688"/>
      <c r="CT31" s="1688"/>
      <c r="CU31" s="1688"/>
      <c r="CV31" s="1688"/>
      <c r="CW31" s="1688"/>
      <c r="CX31" s="1688"/>
      <c r="CY31" s="1688"/>
      <c r="CZ31" s="1688"/>
      <c r="DA31" s="1688"/>
      <c r="DB31" s="1688"/>
      <c r="DC31" s="1688"/>
      <c r="DD31" s="1688"/>
      <c r="DE31" s="1688"/>
      <c r="DF31" s="1688"/>
      <c r="DG31" s="1688"/>
      <c r="DH31" s="1688"/>
      <c r="DI31" s="1688"/>
      <c r="DJ31" s="1688"/>
      <c r="DK31" s="1688"/>
      <c r="DL31" s="1688"/>
      <c r="DM31" s="1688"/>
      <c r="DN31" s="1688"/>
      <c r="DO31" s="1688"/>
      <c r="DP31" s="1688"/>
      <c r="DQ31" s="1688"/>
      <c r="DR31" s="1688"/>
      <c r="DS31" s="1688"/>
      <c r="DT31" s="1688"/>
      <c r="DU31" s="1688"/>
      <c r="DV31" s="1688"/>
      <c r="DW31" s="1688"/>
      <c r="DX31" s="1688"/>
      <c r="DY31" s="1688"/>
      <c r="DZ31" s="1688"/>
      <c r="EA31" s="1688"/>
      <c r="EB31" s="1688"/>
      <c r="EC31" s="1688"/>
      <c r="ED31" s="1688"/>
      <c r="EE31" s="1688"/>
      <c r="EF31" s="1688"/>
      <c r="EG31" s="1688"/>
      <c r="EH31" s="1688"/>
      <c r="EI31" s="1688"/>
      <c r="EJ31" s="1688"/>
      <c r="EK31" s="1688"/>
      <c r="EL31" s="1688"/>
      <c r="EM31" s="1688"/>
      <c r="EN31" s="1688"/>
      <c r="EO31" s="1688"/>
      <c r="EP31" s="1688"/>
      <c r="EQ31" s="1688"/>
      <c r="ER31" s="1688"/>
      <c r="ES31" s="1688"/>
      <c r="ET31" s="1688"/>
      <c r="EU31" s="1688"/>
      <c r="EV31" s="1688"/>
      <c r="EW31" s="1688"/>
      <c r="EX31" s="1688"/>
      <c r="EY31" s="1688"/>
      <c r="EZ31" s="1688"/>
      <c r="FA31" s="1688"/>
      <c r="FB31" s="1688"/>
      <c r="FC31" s="1688"/>
      <c r="FD31" s="1688"/>
      <c r="FE31" s="1688"/>
      <c r="FF31" s="1688"/>
      <c r="FG31" s="1688"/>
      <c r="FH31" s="1688"/>
      <c r="FI31" s="1688"/>
      <c r="FJ31" s="1688"/>
      <c r="FK31" s="1688"/>
      <c r="FL31" s="1688"/>
      <c r="FM31" s="1688"/>
      <c r="FN31" s="1688"/>
      <c r="FO31" s="1688"/>
      <c r="FP31" s="1688"/>
      <c r="FQ31" s="1688"/>
      <c r="FR31" s="1688"/>
      <c r="FS31" s="1688"/>
      <c r="FT31" s="1688"/>
      <c r="FU31" s="1688"/>
      <c r="FV31" s="1688"/>
      <c r="FW31" s="1688"/>
      <c r="FX31" s="1688"/>
      <c r="FY31" s="1688"/>
      <c r="FZ31" s="1688"/>
      <c r="GA31" s="1688"/>
      <c r="GB31" s="1688"/>
      <c r="GC31" s="1688"/>
      <c r="GD31" s="1688"/>
      <c r="GE31" s="1688"/>
      <c r="GF31" s="1688"/>
      <c r="GG31" s="1688"/>
      <c r="GH31" s="1688"/>
      <c r="GI31" s="1688"/>
      <c r="GJ31" s="1688"/>
      <c r="GK31" s="1688"/>
      <c r="GL31" s="1688"/>
      <c r="GM31" s="1688"/>
      <c r="GN31" s="1688"/>
      <c r="GO31" s="1688"/>
      <c r="GP31" s="1688"/>
      <c r="GQ31" s="1688"/>
      <c r="GR31" s="1688"/>
      <c r="GS31" s="1688"/>
      <c r="GT31" s="1688"/>
      <c r="GU31" s="1688"/>
      <c r="GV31" s="1688"/>
      <c r="GW31" s="1688"/>
      <c r="GX31" s="1688"/>
      <c r="GY31" s="1688"/>
      <c r="GZ31" s="1688"/>
      <c r="HA31" s="1688"/>
      <c r="HB31" s="1688"/>
      <c r="HC31" s="1688"/>
      <c r="HD31" s="1688"/>
      <c r="HE31" s="1688"/>
      <c r="HF31" s="1688"/>
      <c r="HG31" s="1688"/>
      <c r="HH31" s="1688"/>
      <c r="HI31" s="1688"/>
      <c r="HJ31" s="1688"/>
      <c r="HK31" s="1688"/>
      <c r="HL31" s="1688"/>
      <c r="HM31" s="1688"/>
      <c r="HN31" s="1688"/>
      <c r="HO31" s="1688"/>
      <c r="HP31" s="1688"/>
      <c r="HQ31" s="1688"/>
      <c r="HR31" s="1688"/>
      <c r="HS31" s="1688"/>
      <c r="HT31" s="1688"/>
      <c r="HU31" s="1688"/>
      <c r="HV31" s="1688"/>
      <c r="HW31" s="1688"/>
      <c r="HX31" s="1688"/>
      <c r="HY31" s="1688"/>
      <c r="HZ31" s="1688"/>
      <c r="IA31" s="1688"/>
      <c r="IB31" s="1688"/>
      <c r="IC31" s="1688"/>
      <c r="ID31" s="1688"/>
      <c r="IE31" s="1688"/>
      <c r="IF31" s="1688"/>
      <c r="IG31" s="1688"/>
      <c r="IH31" s="1688"/>
      <c r="II31" s="1688"/>
      <c r="IJ31" s="1688"/>
      <c r="IK31" s="1688"/>
      <c r="IL31" s="1688"/>
      <c r="IM31" s="1688"/>
      <c r="IN31" s="1688"/>
      <c r="IO31" s="1688"/>
      <c r="IP31" s="1688"/>
      <c r="IQ31" s="1688"/>
      <c r="IR31" s="1688"/>
      <c r="IS31" s="1688"/>
      <c r="IT31" s="1688"/>
      <c r="IU31" s="1688"/>
      <c r="IV31" s="1688"/>
      <c r="IW31" s="1688"/>
      <c r="IX31" s="1688"/>
      <c r="IY31" s="1688"/>
      <c r="IZ31" s="1688"/>
      <c r="JA31" s="1688"/>
      <c r="JB31" s="1688"/>
      <c r="JC31" s="1688"/>
      <c r="JD31" s="1688"/>
      <c r="JE31" s="1688"/>
      <c r="JF31" s="1688"/>
      <c r="JG31" s="1688"/>
      <c r="JH31" s="1688"/>
      <c r="JI31" s="1688"/>
      <c r="JJ31" s="1688"/>
      <c r="JK31" s="1688"/>
      <c r="JL31" s="1688"/>
      <c r="JM31" s="1688"/>
      <c r="JN31" s="1688"/>
      <c r="JO31" s="1688"/>
      <c r="JP31" s="1688"/>
      <c r="JQ31" s="1688"/>
      <c r="JR31" s="1688"/>
      <c r="JS31" s="1688"/>
      <c r="JT31" s="1688"/>
      <c r="JU31" s="1688"/>
      <c r="JV31" s="1688"/>
      <c r="JW31" s="1688"/>
      <c r="JX31" s="1688"/>
      <c r="JY31" s="1688"/>
      <c r="JZ31" s="1688"/>
      <c r="KA31" s="1688"/>
      <c r="KB31" s="1688"/>
      <c r="KC31" s="1688"/>
      <c r="KD31" s="1688"/>
      <c r="KE31" s="1688"/>
      <c r="KF31" s="1688"/>
      <c r="KG31" s="1688"/>
      <c r="KH31" s="1688"/>
      <c r="KI31" s="1688"/>
      <c r="KJ31" s="1688"/>
      <c r="KK31" s="1688"/>
      <c r="KL31" s="1688"/>
      <c r="KM31" s="1688"/>
      <c r="KN31" s="1688"/>
      <c r="KO31" s="1688"/>
      <c r="KP31" s="1688"/>
      <c r="KQ31" s="1688"/>
      <c r="KR31" s="1688"/>
      <c r="KS31" s="1688"/>
      <c r="KT31" s="1688"/>
      <c r="KU31" s="1688"/>
      <c r="KV31" s="1688"/>
      <c r="KW31" s="1688"/>
      <c r="KX31" s="1688"/>
      <c r="KY31" s="1688"/>
      <c r="KZ31" s="1688"/>
      <c r="LA31" s="1688"/>
      <c r="LB31" s="1688"/>
      <c r="LC31" s="1688"/>
      <c r="LD31" s="1688"/>
      <c r="LE31" s="1688"/>
      <c r="LF31" s="1688"/>
      <c r="LG31" s="1688"/>
      <c r="LH31" s="1688"/>
      <c r="LI31" s="1688"/>
      <c r="LJ31" s="1688"/>
      <c r="LK31" s="1688"/>
      <c r="LL31" s="1688"/>
      <c r="LM31" s="1688"/>
      <c r="LN31" s="1688"/>
      <c r="LO31" s="1688"/>
      <c r="LP31" s="1688"/>
      <c r="LQ31" s="1688"/>
      <c r="LR31" s="1688"/>
      <c r="LS31" s="1688"/>
      <c r="LT31" s="1688"/>
      <c r="LU31" s="1688"/>
      <c r="LV31" s="1688"/>
      <c r="LW31" s="1688"/>
      <c r="LX31" s="1688"/>
      <c r="LY31" s="1688"/>
      <c r="LZ31" s="1688"/>
      <c r="MA31" s="1688"/>
      <c r="MB31" s="1688"/>
      <c r="MC31" s="1688"/>
      <c r="MD31" s="1688"/>
      <c r="ME31" s="1688"/>
      <c r="MF31" s="1688"/>
      <c r="MG31" s="1688"/>
      <c r="MH31" s="1688"/>
      <c r="MI31" s="1688"/>
      <c r="MJ31" s="1688"/>
      <c r="MK31" s="1688"/>
      <c r="ML31" s="1688"/>
      <c r="MM31" s="1688"/>
      <c r="MN31" s="1688"/>
      <c r="MO31" s="1688"/>
      <c r="MP31" s="1688"/>
      <c r="MQ31" s="1688"/>
      <c r="MR31" s="1688"/>
      <c r="MS31" s="1688"/>
      <c r="MT31" s="1688"/>
      <c r="MU31" s="1688"/>
      <c r="MV31" s="1688"/>
      <c r="MW31" s="1688"/>
      <c r="MX31" s="1688"/>
      <c r="MY31" s="1688"/>
      <c r="MZ31" s="1688"/>
      <c r="NA31" s="1688"/>
      <c r="NB31" s="1688"/>
      <c r="NC31" s="1688"/>
      <c r="ND31" s="1688"/>
      <c r="NE31" s="1688"/>
      <c r="NF31" s="1688"/>
      <c r="NG31" s="1688"/>
      <c r="NH31" s="1688"/>
      <c r="NI31" s="1688"/>
      <c r="NJ31" s="1688"/>
      <c r="NK31" s="1688"/>
      <c r="NL31" s="1688"/>
      <c r="NM31" s="1688"/>
      <c r="NN31" s="1688"/>
      <c r="NO31" s="1688"/>
      <c r="NP31" s="1688"/>
      <c r="NQ31" s="1688"/>
      <c r="NR31" s="1688"/>
      <c r="NS31" s="1688"/>
      <c r="NT31" s="1688"/>
      <c r="NU31" s="1688"/>
      <c r="NV31" s="1688"/>
      <c r="NW31" s="1688"/>
      <c r="NX31" s="1688"/>
      <c r="NY31" s="1688"/>
      <c r="NZ31" s="1688"/>
      <c r="OA31" s="1688"/>
      <c r="OB31" s="1688"/>
      <c r="OC31" s="1688"/>
      <c r="OD31" s="1688"/>
      <c r="OE31" s="1688"/>
      <c r="OF31" s="1688"/>
      <c r="OG31" s="1688"/>
      <c r="OH31" s="1688"/>
      <c r="OI31" s="1688"/>
      <c r="OJ31" s="1688"/>
      <c r="OK31" s="1688"/>
      <c r="OL31" s="1688"/>
      <c r="OM31" s="1688"/>
      <c r="ON31" s="1688"/>
      <c r="OO31" s="1688"/>
      <c r="OP31" s="1688"/>
      <c r="OQ31" s="1688"/>
      <c r="OR31" s="1688"/>
      <c r="OS31" s="1688"/>
      <c r="OT31" s="1688"/>
      <c r="OU31" s="1688"/>
      <c r="OV31" s="1688"/>
      <c r="OW31" s="1688"/>
      <c r="OX31" s="1688"/>
      <c r="OY31" s="1688"/>
      <c r="OZ31" s="1688"/>
      <c r="PA31" s="1688"/>
      <c r="PB31" s="1688"/>
      <c r="PC31" s="1688"/>
      <c r="PD31" s="1688"/>
      <c r="PE31" s="1688"/>
      <c r="PF31" s="1688"/>
      <c r="PG31" s="1688"/>
      <c r="PH31" s="1688"/>
      <c r="PI31" s="1688"/>
      <c r="PJ31" s="1688"/>
      <c r="PK31" s="1688"/>
      <c r="PL31" s="1688"/>
      <c r="PM31" s="1688"/>
      <c r="PN31" s="1688"/>
      <c r="PO31" s="1688"/>
      <c r="PP31" s="1688"/>
      <c r="PQ31" s="1688"/>
      <c r="PR31" s="1688"/>
      <c r="PS31" s="1688"/>
      <c r="PT31" s="1688"/>
      <c r="PU31" s="1688"/>
      <c r="PV31" s="1688"/>
      <c r="PW31" s="1688"/>
      <c r="PX31" s="1688"/>
      <c r="PY31" s="1688"/>
      <c r="PZ31" s="1688"/>
      <c r="QA31" s="1688"/>
      <c r="QB31" s="1688"/>
      <c r="QC31" s="1688"/>
      <c r="QD31" s="1688"/>
      <c r="QE31" s="1688"/>
      <c r="QF31" s="1688"/>
      <c r="QG31" s="1688"/>
      <c r="QH31" s="1688"/>
      <c r="QI31" s="1688"/>
      <c r="QJ31" s="1688"/>
      <c r="QK31" s="1688"/>
      <c r="QL31" s="1688"/>
      <c r="QM31" s="1688"/>
      <c r="QN31" s="1688"/>
      <c r="QO31" s="1688"/>
      <c r="QP31" s="1688"/>
      <c r="QQ31" s="1688"/>
      <c r="QR31" s="1688"/>
      <c r="QS31" s="1688"/>
      <c r="QT31" s="1688"/>
      <c r="QU31" s="1688"/>
      <c r="QV31" s="1688"/>
      <c r="QW31" s="1688"/>
      <c r="QX31" s="1688"/>
      <c r="QY31" s="1688"/>
      <c r="QZ31" s="1688"/>
      <c r="RA31" s="1688"/>
      <c r="RB31" s="1688"/>
      <c r="RC31" s="1688"/>
      <c r="RD31" s="1688"/>
      <c r="RE31" s="1688"/>
      <c r="RF31" s="1688"/>
      <c r="RG31" s="1688"/>
      <c r="RH31" s="1688"/>
      <c r="RI31" s="1688"/>
      <c r="RJ31" s="1688"/>
      <c r="RK31" s="1688"/>
      <c r="RL31" s="1688"/>
      <c r="RM31" s="1688"/>
      <c r="RN31" s="1688"/>
      <c r="RO31" s="1688"/>
      <c r="RP31" s="1688"/>
      <c r="RQ31" s="1688"/>
      <c r="RR31" s="1688"/>
      <c r="RS31" s="1688"/>
      <c r="RT31" s="1688"/>
      <c r="RU31" s="1688"/>
      <c r="RV31" s="1688"/>
      <c r="RW31" s="1688"/>
      <c r="RX31" s="1688"/>
      <c r="RY31" s="1688"/>
      <c r="RZ31" s="1688"/>
      <c r="SA31" s="1688"/>
      <c r="SB31" s="1688"/>
      <c r="SC31" s="1688"/>
      <c r="SD31" s="1688"/>
      <c r="SE31" s="1688"/>
      <c r="SF31" s="1688"/>
      <c r="SG31" s="1688"/>
      <c r="SH31" s="1688"/>
      <c r="SI31" s="1688"/>
      <c r="SJ31" s="1688"/>
      <c r="SK31" s="1688"/>
      <c r="SL31" s="1688"/>
      <c r="SM31" s="1688"/>
      <c r="SN31" s="1688"/>
      <c r="SO31" s="1688"/>
      <c r="SP31" s="1688"/>
      <c r="SQ31" s="1688"/>
      <c r="SR31" s="1688"/>
      <c r="SS31" s="1688"/>
      <c r="ST31" s="1688"/>
      <c r="SU31" s="1688"/>
      <c r="SV31" s="1688"/>
      <c r="SW31" s="1688"/>
      <c r="SX31" s="1688"/>
      <c r="SY31" s="1688"/>
      <c r="SZ31" s="1688"/>
      <c r="TA31" s="1688"/>
      <c r="TB31" s="1688"/>
      <c r="TC31" s="1688"/>
      <c r="TD31" s="1688"/>
      <c r="TE31" s="1688"/>
      <c r="TF31" s="1688"/>
      <c r="TG31" s="1688"/>
      <c r="TH31" s="1688"/>
      <c r="TI31" s="1688"/>
      <c r="TJ31" s="1688"/>
      <c r="TK31" s="1688"/>
      <c r="TL31" s="1688"/>
      <c r="TM31" s="1688"/>
      <c r="TN31" s="1688"/>
      <c r="TO31" s="1688"/>
      <c r="TP31" s="1688"/>
      <c r="TQ31" s="1688"/>
      <c r="TR31" s="1688"/>
      <c r="TS31" s="1688"/>
      <c r="TT31" s="1688"/>
      <c r="TU31" s="1688"/>
      <c r="TV31" s="1688"/>
      <c r="TW31" s="1688"/>
      <c r="TX31" s="1688"/>
      <c r="TY31" s="1688"/>
      <c r="TZ31" s="1688"/>
      <c r="UA31" s="1688"/>
      <c r="UB31" s="1688"/>
      <c r="UC31" s="1688"/>
      <c r="UD31" s="1688"/>
      <c r="UE31" s="1688"/>
      <c r="UF31" s="1688"/>
      <c r="UG31" s="1688"/>
      <c r="UH31" s="1688"/>
      <c r="UI31" s="1688"/>
      <c r="UJ31" s="1688"/>
      <c r="UK31" s="1688"/>
      <c r="UL31" s="1688"/>
      <c r="UM31" s="1688"/>
      <c r="UN31" s="1688"/>
      <c r="UO31" s="1688"/>
      <c r="UP31" s="1688"/>
      <c r="UQ31" s="1688"/>
      <c r="UR31" s="1688"/>
      <c r="US31" s="1688"/>
      <c r="UT31" s="1688"/>
      <c r="UU31" s="1688"/>
      <c r="UV31" s="1688"/>
      <c r="UW31" s="1688"/>
      <c r="UX31" s="1688"/>
      <c r="UY31" s="1688"/>
      <c r="UZ31" s="1688"/>
      <c r="VA31" s="1688"/>
      <c r="VB31" s="1688"/>
      <c r="VC31" s="1688"/>
      <c r="VD31" s="1688"/>
      <c r="VE31" s="1688"/>
      <c r="VF31" s="1688"/>
      <c r="VG31" s="1688"/>
      <c r="VH31" s="1688"/>
      <c r="VI31" s="1688"/>
      <c r="VJ31" s="1688"/>
      <c r="VK31" s="1688"/>
      <c r="VL31" s="1688"/>
      <c r="VM31" s="1688"/>
      <c r="VN31" s="1688"/>
      <c r="VO31" s="1688"/>
      <c r="VP31" s="1688"/>
      <c r="VQ31" s="1688"/>
      <c r="VR31" s="1688"/>
      <c r="VS31" s="1688"/>
      <c r="VT31" s="1688"/>
      <c r="VU31" s="1688"/>
      <c r="VV31" s="1688"/>
      <c r="VW31" s="1688"/>
      <c r="VX31" s="1688"/>
      <c r="VY31" s="1688"/>
      <c r="VZ31" s="1688"/>
      <c r="WA31" s="1688"/>
      <c r="WB31" s="1688"/>
      <c r="WC31" s="1688"/>
      <c r="WD31" s="1688"/>
      <c r="WE31" s="1688"/>
      <c r="WF31" s="1688"/>
      <c r="WG31" s="1688"/>
      <c r="WH31" s="1688"/>
      <c r="WI31" s="1688"/>
      <c r="WJ31" s="1688"/>
      <c r="WK31" s="1688"/>
      <c r="WL31" s="1688"/>
      <c r="WM31" s="1688"/>
      <c r="WN31" s="1688"/>
      <c r="WO31" s="1688"/>
      <c r="WP31" s="1688"/>
      <c r="WQ31" s="1688"/>
      <c r="WR31" s="1688"/>
      <c r="WS31" s="1688"/>
      <c r="WT31" s="1688"/>
      <c r="WU31" s="1688"/>
      <c r="WV31" s="1688"/>
      <c r="WW31" s="1688"/>
      <c r="WX31" s="1688"/>
      <c r="WY31" s="1688"/>
      <c r="WZ31" s="1688"/>
      <c r="XA31" s="1688"/>
      <c r="XB31" s="1688"/>
      <c r="XC31" s="1688"/>
      <c r="XD31" s="1688"/>
      <c r="XE31" s="1688"/>
      <c r="XF31" s="1688"/>
      <c r="XG31" s="1688"/>
      <c r="XH31" s="1688"/>
      <c r="XI31" s="1688"/>
      <c r="XJ31" s="1688"/>
      <c r="XK31" s="1688"/>
      <c r="XL31" s="1688"/>
      <c r="XM31" s="1688"/>
      <c r="XN31" s="1688"/>
      <c r="XO31" s="1688"/>
      <c r="XP31" s="1688"/>
      <c r="XQ31" s="1688"/>
      <c r="XR31" s="1688"/>
      <c r="XS31" s="1688"/>
      <c r="XT31" s="1688"/>
      <c r="XU31" s="1688"/>
      <c r="XV31" s="1688"/>
      <c r="XW31" s="1688"/>
      <c r="XX31" s="1688"/>
      <c r="XY31" s="1688"/>
      <c r="XZ31" s="1688"/>
      <c r="YA31" s="1688"/>
      <c r="YB31" s="1688"/>
      <c r="YC31" s="1688"/>
      <c r="YD31" s="1688"/>
      <c r="YE31" s="1688"/>
      <c r="YF31" s="1688"/>
      <c r="YG31" s="1688"/>
      <c r="YH31" s="1688"/>
      <c r="YI31" s="1688"/>
      <c r="YJ31" s="1688"/>
      <c r="YK31" s="1688"/>
      <c r="YL31" s="1688"/>
      <c r="YM31" s="1688"/>
      <c r="YN31" s="1688"/>
      <c r="YO31" s="1688"/>
      <c r="YP31" s="1688"/>
      <c r="YQ31" s="1688"/>
      <c r="YR31" s="1688"/>
      <c r="YS31" s="1688"/>
      <c r="YT31" s="1688"/>
      <c r="YU31" s="1688"/>
      <c r="YV31" s="1688"/>
      <c r="YW31" s="1688"/>
      <c r="YX31" s="1688"/>
      <c r="YY31" s="1688"/>
      <c r="YZ31" s="1688"/>
      <c r="ZA31" s="1688"/>
      <c r="ZB31" s="1688"/>
      <c r="ZC31" s="1688"/>
      <c r="ZD31" s="1688"/>
      <c r="ZE31" s="1688"/>
      <c r="ZF31" s="1688"/>
      <c r="ZG31" s="1688"/>
      <c r="ZH31" s="1688"/>
      <c r="ZI31" s="1688"/>
      <c r="ZJ31" s="1688"/>
      <c r="ZK31" s="1688"/>
      <c r="ZL31" s="1688"/>
      <c r="ZM31" s="1688"/>
      <c r="ZN31" s="1688"/>
      <c r="ZO31" s="1688"/>
      <c r="ZP31" s="1688"/>
      <c r="ZQ31" s="1688"/>
      <c r="ZR31" s="1688"/>
      <c r="ZS31" s="1688"/>
      <c r="ZT31" s="1688"/>
      <c r="ZU31" s="1688"/>
      <c r="ZV31" s="1688"/>
      <c r="ZW31" s="1688"/>
      <c r="ZX31" s="1688"/>
      <c r="ZY31" s="1688"/>
      <c r="ZZ31" s="1688"/>
      <c r="AAA31" s="1688"/>
      <c r="AAB31" s="1688"/>
      <c r="AAC31" s="1688"/>
      <c r="AAD31" s="1688"/>
      <c r="AAE31" s="1688"/>
      <c r="AAF31" s="1688"/>
      <c r="AAG31" s="1688"/>
      <c r="AAH31" s="1688"/>
      <c r="AAI31" s="1688"/>
      <c r="AAJ31" s="1688"/>
      <c r="AAK31" s="1688"/>
      <c r="AAL31" s="1688"/>
      <c r="AAM31" s="1688"/>
      <c r="AAN31" s="1688"/>
      <c r="AAO31" s="1688"/>
      <c r="AAP31" s="1688"/>
      <c r="AAQ31" s="1688"/>
      <c r="AAR31" s="1688"/>
      <c r="AAS31" s="1688"/>
      <c r="AAT31" s="1688"/>
      <c r="AAU31" s="1688"/>
      <c r="AAV31" s="1688"/>
      <c r="AAW31" s="1688"/>
      <c r="AAX31" s="1688"/>
      <c r="AAY31" s="1688"/>
      <c r="AAZ31" s="1688"/>
      <c r="ABA31" s="1688"/>
      <c r="ABB31" s="1688"/>
      <c r="ABC31" s="1688"/>
      <c r="ABD31" s="1688"/>
      <c r="ABE31" s="1688"/>
      <c r="ABF31" s="1688"/>
      <c r="ABG31" s="1688"/>
      <c r="ABH31" s="1688"/>
      <c r="ABI31" s="1688"/>
      <c r="ABJ31" s="1688"/>
      <c r="ABK31" s="1688"/>
      <c r="ABL31" s="1688"/>
      <c r="ABM31" s="1688"/>
      <c r="ABN31" s="1688"/>
      <c r="ABO31" s="1688"/>
      <c r="ABP31" s="1688"/>
      <c r="ABQ31" s="1688"/>
      <c r="ABR31" s="1688"/>
      <c r="ABS31" s="1688"/>
      <c r="ABT31" s="1688"/>
      <c r="ABU31" s="1688"/>
      <c r="ABV31" s="1688"/>
      <c r="ABW31" s="1688"/>
      <c r="ABX31" s="1688"/>
      <c r="ABY31" s="1688"/>
      <c r="ABZ31" s="1688"/>
      <c r="ACA31" s="1688"/>
      <c r="ACB31" s="1688"/>
      <c r="ACC31" s="1688"/>
      <c r="ACD31" s="1688"/>
      <c r="ACE31" s="1688"/>
      <c r="ACF31" s="1688"/>
      <c r="ACG31" s="1688"/>
      <c r="ACH31" s="1688"/>
      <c r="ACI31" s="1688"/>
      <c r="ACJ31" s="1688"/>
      <c r="ACK31" s="1688"/>
      <c r="ACL31" s="1688"/>
      <c r="ACM31" s="1688"/>
      <c r="ACN31" s="1688"/>
      <c r="ACO31" s="1688"/>
      <c r="ACP31" s="1688"/>
      <c r="ACQ31" s="1688"/>
      <c r="ACR31" s="1688"/>
      <c r="ACS31" s="1688"/>
      <c r="ACT31" s="1688"/>
      <c r="ACU31" s="1688"/>
      <c r="ACV31" s="1688"/>
      <c r="ACW31" s="1688"/>
      <c r="ACX31" s="1688"/>
      <c r="ACY31" s="1688"/>
      <c r="ACZ31" s="1688"/>
      <c r="ADA31" s="1688"/>
      <c r="ADB31" s="1688"/>
      <c r="ADC31" s="1688"/>
      <c r="ADD31" s="1688"/>
      <c r="ADE31" s="1688"/>
      <c r="ADF31" s="1688"/>
      <c r="ADG31" s="1688"/>
      <c r="ADH31" s="1688"/>
      <c r="ADI31" s="1688"/>
      <c r="ADJ31" s="1688"/>
      <c r="ADK31" s="1688"/>
      <c r="ADL31" s="1688"/>
      <c r="ADM31" s="1688"/>
      <c r="ADN31" s="1688"/>
      <c r="ADO31" s="1688"/>
      <c r="ADP31" s="1688"/>
      <c r="ADQ31" s="1688"/>
      <c r="ADR31" s="1688"/>
      <c r="ADS31" s="1688"/>
      <c r="ADT31" s="1688"/>
      <c r="ADU31" s="1688"/>
      <c r="ADV31" s="1688"/>
      <c r="ADW31" s="1688"/>
      <c r="ADX31" s="1688"/>
      <c r="ADY31" s="1688"/>
      <c r="ADZ31" s="1688"/>
      <c r="AEA31" s="1688"/>
      <c r="AEB31" s="1688"/>
      <c r="AEC31" s="1688"/>
      <c r="AED31" s="1688"/>
      <c r="AEE31" s="1688"/>
      <c r="AEF31" s="1688"/>
      <c r="AEG31" s="1688"/>
      <c r="AEH31" s="1688"/>
      <c r="AEI31" s="1688"/>
      <c r="AEJ31" s="1688"/>
      <c r="AEK31" s="1688"/>
      <c r="AEL31" s="1688"/>
      <c r="AEM31" s="1688"/>
      <c r="AEN31" s="1688"/>
      <c r="AEO31" s="1688"/>
      <c r="AEP31" s="1688"/>
      <c r="AEQ31" s="1688"/>
      <c r="AER31" s="1688"/>
      <c r="AES31" s="1688"/>
      <c r="AET31" s="1688"/>
      <c r="AEU31" s="1688"/>
      <c r="AEV31" s="1688"/>
      <c r="AEW31" s="1688"/>
      <c r="AEX31" s="1688"/>
      <c r="AEY31" s="1688"/>
      <c r="AEZ31" s="1688"/>
      <c r="AFA31" s="1688"/>
      <c r="AFB31" s="1688"/>
      <c r="AFC31" s="1688"/>
      <c r="AFD31" s="1688"/>
      <c r="AFE31" s="1688"/>
      <c r="AFF31" s="1688"/>
      <c r="AFG31" s="1688"/>
      <c r="AFH31" s="1688"/>
      <c r="AFI31" s="1688"/>
      <c r="AFJ31" s="1688"/>
      <c r="AFK31" s="1688"/>
      <c r="AFL31" s="1688"/>
      <c r="AFM31" s="1688"/>
      <c r="AFN31" s="1688"/>
      <c r="AFO31" s="1688"/>
      <c r="AFP31" s="1688"/>
      <c r="AFQ31" s="1688"/>
      <c r="AFR31" s="1688"/>
      <c r="AFS31" s="1688"/>
      <c r="AFT31" s="1688"/>
      <c r="AFU31" s="1688"/>
      <c r="AFV31" s="1688"/>
      <c r="AFW31" s="1688"/>
      <c r="AFX31" s="1688"/>
      <c r="AFY31" s="1688"/>
      <c r="AFZ31" s="1688"/>
      <c r="AGA31" s="1688"/>
      <c r="AGB31" s="1688"/>
      <c r="AGC31" s="1688"/>
      <c r="AGD31" s="1688"/>
      <c r="AGE31" s="1688"/>
      <c r="AGF31" s="1688"/>
      <c r="AGG31" s="1688"/>
      <c r="AGH31" s="1688"/>
      <c r="AGI31" s="1688"/>
      <c r="AGJ31" s="1688"/>
      <c r="AGK31" s="1688"/>
      <c r="AGL31" s="1688"/>
      <c r="AGM31" s="1688"/>
      <c r="AGN31" s="1688"/>
      <c r="AGO31" s="1688"/>
      <c r="AGP31" s="1688"/>
      <c r="AGQ31" s="1688"/>
      <c r="AGR31" s="1688"/>
      <c r="AGS31" s="1688"/>
      <c r="AGT31" s="1688"/>
      <c r="AGU31" s="1688"/>
      <c r="AGV31" s="1688"/>
      <c r="AGW31" s="1688"/>
      <c r="AGX31" s="1688"/>
      <c r="AGY31" s="1688"/>
      <c r="AGZ31" s="1688"/>
      <c r="AHA31" s="1688"/>
      <c r="AHB31" s="1688"/>
      <c r="AHC31" s="1688"/>
      <c r="AHD31" s="1688"/>
      <c r="AHE31" s="1688"/>
      <c r="AHF31" s="1688"/>
      <c r="AHG31" s="1688"/>
      <c r="AHH31" s="1688"/>
      <c r="AHI31" s="1688"/>
      <c r="AHJ31" s="1688"/>
      <c r="AHK31" s="1688"/>
      <c r="AHL31" s="1688"/>
      <c r="AHM31" s="1688"/>
      <c r="AHN31" s="1688"/>
      <c r="AHO31" s="1688"/>
      <c r="AHP31" s="1688"/>
      <c r="AHQ31" s="1688"/>
      <c r="AHR31" s="1688"/>
      <c r="AHS31" s="1688"/>
      <c r="AHT31" s="1688"/>
      <c r="AHU31" s="1688"/>
      <c r="AHV31" s="1688"/>
      <c r="AHW31" s="1688"/>
      <c r="AHX31" s="1688"/>
      <c r="AHY31" s="1688"/>
      <c r="AHZ31" s="1688"/>
      <c r="AIA31" s="1688"/>
      <c r="AIB31" s="1688"/>
      <c r="AIC31" s="1688"/>
      <c r="AID31" s="1688"/>
      <c r="AIE31" s="1688"/>
      <c r="AIF31" s="1688"/>
      <c r="AIG31" s="1688"/>
      <c r="AIH31" s="1688"/>
      <c r="AII31" s="1688"/>
      <c r="AIJ31" s="1688"/>
      <c r="AIK31" s="1688"/>
      <c r="AIL31" s="1688"/>
      <c r="AIM31" s="1688"/>
      <c r="AIN31" s="1688"/>
      <c r="AIO31" s="1688"/>
      <c r="AIP31" s="1688"/>
      <c r="AIQ31" s="1688"/>
      <c r="AIR31" s="1688"/>
      <c r="AIS31" s="1688"/>
      <c r="AIT31" s="1688"/>
      <c r="AIU31" s="1688"/>
      <c r="AIV31" s="1688"/>
      <c r="AIW31" s="1688"/>
      <c r="AIX31" s="1688"/>
      <c r="AIY31" s="1688"/>
      <c r="AIZ31" s="1688"/>
      <c r="AJA31" s="1688"/>
      <c r="AJB31" s="1688"/>
      <c r="AJC31" s="1688"/>
      <c r="AJD31" s="1688"/>
      <c r="AJE31" s="1688"/>
      <c r="AJF31" s="1688"/>
      <c r="AJG31" s="1688"/>
      <c r="AJH31" s="1688"/>
      <c r="AJI31" s="1688"/>
      <c r="AJJ31" s="1688"/>
      <c r="AJK31" s="1688"/>
      <c r="AJL31" s="1688"/>
      <c r="AJM31" s="1688"/>
      <c r="AJN31" s="1688"/>
      <c r="AJO31" s="1688"/>
      <c r="AJP31" s="1688"/>
      <c r="AJQ31" s="1688"/>
      <c r="AJR31" s="1688"/>
      <c r="AJS31" s="1688"/>
      <c r="AJT31" s="1688"/>
      <c r="AJU31" s="1688"/>
      <c r="AJV31" s="1688"/>
      <c r="AJW31" s="1688"/>
      <c r="AJX31" s="1688"/>
      <c r="AJY31" s="1688"/>
      <c r="AJZ31" s="1688"/>
      <c r="AKA31" s="1688"/>
      <c r="AKB31" s="1688"/>
      <c r="AKC31" s="1688"/>
      <c r="AKD31" s="1688"/>
      <c r="AKE31" s="1688"/>
      <c r="AKF31" s="1688"/>
      <c r="AKG31" s="1688"/>
      <c r="AKH31" s="1688"/>
      <c r="AKI31" s="1688"/>
      <c r="AKJ31" s="1688"/>
      <c r="AKK31" s="1688"/>
      <c r="AKL31" s="1688"/>
      <c r="AKM31" s="1688"/>
      <c r="AKN31" s="1688"/>
      <c r="AKO31" s="1688"/>
      <c r="AKP31" s="1688"/>
      <c r="AKQ31" s="1688"/>
      <c r="AKR31" s="1688"/>
      <c r="AKS31" s="1688"/>
      <c r="AKT31" s="1688"/>
      <c r="AKU31" s="1688"/>
      <c r="AKV31" s="1688"/>
      <c r="AKW31" s="1688"/>
      <c r="AKX31" s="1688"/>
      <c r="AKY31" s="1688"/>
      <c r="AKZ31" s="1688"/>
      <c r="ALA31" s="1688"/>
      <c r="ALB31" s="1688"/>
      <c r="ALC31" s="1688"/>
      <c r="ALD31" s="1688"/>
      <c r="ALE31" s="1688"/>
      <c r="ALF31" s="1688"/>
      <c r="ALG31" s="1688"/>
      <c r="ALH31" s="1688"/>
      <c r="ALI31" s="1688"/>
      <c r="ALJ31" s="1688"/>
      <c r="ALK31" s="1688"/>
      <c r="ALL31" s="1688"/>
      <c r="ALM31" s="1688"/>
      <c r="ALN31" s="1688"/>
      <c r="ALO31" s="1688"/>
      <c r="ALP31" s="1688"/>
      <c r="ALQ31" s="1688"/>
      <c r="ALR31" s="1688"/>
      <c r="ALS31" s="1688"/>
      <c r="ALT31" s="1688"/>
      <c r="ALU31" s="1688"/>
      <c r="ALV31" s="1688"/>
      <c r="ALW31" s="1688"/>
      <c r="ALX31" s="1688"/>
      <c r="ALY31" s="1688"/>
      <c r="ALZ31" s="1688"/>
      <c r="AMA31" s="1688"/>
      <c r="AMB31" s="1688"/>
      <c r="AMC31" s="1688"/>
      <c r="AMD31" s="1688"/>
      <c r="AME31" s="1688"/>
      <c r="AMF31" s="1688"/>
      <c r="AMG31" s="1688"/>
      <c r="AMH31" s="1688"/>
      <c r="AMI31" s="1688"/>
      <c r="AMJ31" s="1688"/>
      <c r="AMK31" s="1688"/>
      <c r="AML31" s="1688"/>
      <c r="AMM31" s="1688"/>
      <c r="AMN31" s="1688"/>
      <c r="AMO31" s="1688"/>
      <c r="AMP31" s="1688"/>
      <c r="AMQ31" s="1688"/>
      <c r="AMR31" s="1688"/>
      <c r="AMS31" s="1688"/>
      <c r="AMT31" s="1688"/>
      <c r="AMU31" s="1688"/>
      <c r="AMV31" s="1688"/>
      <c r="AMW31" s="1688"/>
      <c r="AMX31" s="1688"/>
      <c r="AMY31" s="1688"/>
      <c r="AMZ31" s="1688"/>
      <c r="ANA31" s="1688"/>
      <c r="ANB31" s="1688"/>
      <c r="ANC31" s="1688"/>
      <c r="AND31" s="1688"/>
      <c r="ANE31" s="1688"/>
      <c r="ANF31" s="1688"/>
      <c r="ANG31" s="1688"/>
      <c r="ANH31" s="1688"/>
      <c r="ANI31" s="1688"/>
      <c r="ANJ31" s="1688"/>
      <c r="ANK31" s="1688"/>
      <c r="ANL31" s="1688"/>
      <c r="ANM31" s="1688"/>
      <c r="ANN31" s="1688"/>
      <c r="ANO31" s="1688"/>
      <c r="ANP31" s="1688"/>
      <c r="ANQ31" s="1688"/>
      <c r="ANR31" s="1688"/>
      <c r="ANS31" s="1688"/>
      <c r="ANT31" s="1688"/>
      <c r="ANU31" s="1688"/>
      <c r="ANV31" s="1688"/>
      <c r="ANW31" s="1688"/>
      <c r="ANX31" s="1688"/>
      <c r="ANY31" s="1688"/>
      <c r="ANZ31" s="1688"/>
      <c r="AOA31" s="1688"/>
      <c r="AOB31" s="1688"/>
      <c r="AOC31" s="1688"/>
      <c r="AOD31" s="1688"/>
      <c r="AOE31" s="1688"/>
      <c r="AOF31" s="1688"/>
      <c r="AOG31" s="1688"/>
      <c r="AOH31" s="1688"/>
      <c r="AOI31" s="1688"/>
      <c r="AOJ31" s="1688"/>
      <c r="AOK31" s="1688"/>
      <c r="AOL31" s="1688"/>
      <c r="AOM31" s="1688"/>
      <c r="AON31" s="1688"/>
      <c r="AOO31" s="1688"/>
      <c r="AOP31" s="1688"/>
      <c r="AOQ31" s="1688"/>
      <c r="AOR31" s="1688"/>
      <c r="AOS31" s="1688"/>
      <c r="AOT31" s="1688"/>
      <c r="AOU31" s="1688"/>
      <c r="AOV31" s="1688"/>
      <c r="AOW31" s="1688"/>
      <c r="AOX31" s="1688"/>
      <c r="AOY31" s="1688"/>
      <c r="AOZ31" s="1688"/>
      <c r="APA31" s="1688"/>
      <c r="APB31" s="1688"/>
      <c r="APC31" s="1688"/>
      <c r="APD31" s="1688"/>
      <c r="APE31" s="1688"/>
      <c r="APF31" s="1688"/>
      <c r="APG31" s="1688"/>
      <c r="APH31" s="1688"/>
      <c r="API31" s="1688"/>
      <c r="APJ31" s="1688"/>
      <c r="APK31" s="1688"/>
      <c r="APL31" s="1688"/>
      <c r="APM31" s="1688"/>
      <c r="APN31" s="1688"/>
      <c r="APO31" s="1688"/>
      <c r="APP31" s="1688"/>
      <c r="APQ31" s="1688"/>
      <c r="APR31" s="1688"/>
      <c r="APS31" s="1688"/>
      <c r="APT31" s="1688"/>
      <c r="APU31" s="1688"/>
      <c r="APV31" s="1688"/>
      <c r="APW31" s="1688"/>
      <c r="APX31" s="1688"/>
      <c r="APY31" s="1688"/>
      <c r="APZ31" s="1688"/>
      <c r="AQA31" s="1688"/>
      <c r="AQB31" s="1688"/>
      <c r="AQC31" s="1688"/>
      <c r="AQD31" s="1688"/>
      <c r="AQE31" s="1688"/>
      <c r="AQF31" s="1688"/>
      <c r="AQG31" s="1688"/>
      <c r="AQH31" s="1688"/>
      <c r="AQI31" s="1688"/>
      <c r="AQJ31" s="1688"/>
      <c r="AQK31" s="1688"/>
      <c r="AQL31" s="1688"/>
      <c r="AQM31" s="1688"/>
      <c r="AQN31" s="1688"/>
      <c r="AQO31" s="1688"/>
      <c r="AQP31" s="1688"/>
      <c r="AQQ31" s="1688"/>
      <c r="AQR31" s="1688"/>
      <c r="AQS31" s="1688"/>
      <c r="AQT31" s="1688"/>
      <c r="AQU31" s="1688"/>
      <c r="AQV31" s="1688"/>
      <c r="AQW31" s="1688"/>
      <c r="AQX31" s="1688"/>
      <c r="AQY31" s="1688"/>
      <c r="AQZ31" s="1688"/>
      <c r="ARA31" s="1688"/>
      <c r="ARB31" s="1688"/>
      <c r="ARC31" s="1688"/>
      <c r="ARD31" s="1688"/>
      <c r="ARE31" s="1688"/>
      <c r="ARF31" s="1688"/>
      <c r="ARG31" s="1688"/>
      <c r="ARH31" s="1688"/>
      <c r="ARI31" s="1688"/>
      <c r="ARJ31" s="1688"/>
      <c r="ARK31" s="1688"/>
      <c r="ARL31" s="1688"/>
      <c r="ARM31" s="1688"/>
      <c r="ARN31" s="1688"/>
      <c r="ARO31" s="1688"/>
      <c r="ARP31" s="1688"/>
      <c r="ARQ31" s="1688"/>
      <c r="ARR31" s="1688"/>
      <c r="ARS31" s="1688"/>
      <c r="ART31" s="1688"/>
      <c r="ARU31" s="1688"/>
      <c r="ARV31" s="1688"/>
      <c r="ARW31" s="1688"/>
      <c r="ARX31" s="1688"/>
      <c r="ARY31" s="1688"/>
      <c r="ARZ31" s="1688"/>
      <c r="ASA31" s="1688"/>
      <c r="ASB31" s="1688"/>
      <c r="ASC31" s="1688"/>
      <c r="ASD31" s="1688"/>
      <c r="ASE31" s="1688"/>
      <c r="ASF31" s="1688"/>
      <c r="ASG31" s="1688"/>
      <c r="ASH31" s="1688"/>
      <c r="ASI31" s="1688"/>
      <c r="ASJ31" s="1688"/>
      <c r="ASK31" s="1688"/>
      <c r="ASL31" s="1688"/>
      <c r="ASM31" s="1688"/>
      <c r="ASN31" s="1688"/>
      <c r="ASO31" s="1688"/>
      <c r="ASP31" s="1688"/>
      <c r="ASQ31" s="1688"/>
      <c r="ASR31" s="1688"/>
      <c r="ASS31" s="1688"/>
      <c r="AST31" s="1688"/>
      <c r="ASU31" s="1688"/>
      <c r="ASV31" s="1688"/>
      <c r="ASW31" s="1688"/>
      <c r="ASX31" s="1688"/>
      <c r="ASY31" s="1688"/>
      <c r="ASZ31" s="1688"/>
      <c r="ATA31" s="1688"/>
      <c r="ATB31" s="1688"/>
      <c r="ATC31" s="1688"/>
      <c r="ATD31" s="1688"/>
      <c r="ATE31" s="1688"/>
      <c r="ATF31" s="1688"/>
      <c r="ATG31" s="1688"/>
      <c r="ATH31" s="1688"/>
      <c r="ATI31" s="1688"/>
      <c r="ATJ31" s="1688"/>
      <c r="ATK31" s="1688"/>
      <c r="ATL31" s="1688"/>
      <c r="ATM31" s="1688"/>
      <c r="ATN31" s="1688"/>
      <c r="ATO31" s="1688"/>
      <c r="ATP31" s="1688"/>
      <c r="ATQ31" s="1688"/>
      <c r="ATR31" s="1688"/>
      <c r="ATS31" s="1688"/>
      <c r="ATT31" s="1688"/>
      <c r="ATU31" s="1688"/>
      <c r="ATV31" s="1688"/>
      <c r="ATW31" s="1688"/>
      <c r="ATX31" s="1688"/>
      <c r="ATY31" s="1688"/>
      <c r="ATZ31" s="1688"/>
      <c r="AUA31" s="1688"/>
      <c r="AUB31" s="1688"/>
      <c r="AUC31" s="1688"/>
      <c r="AUD31" s="1688"/>
      <c r="AUE31" s="1688"/>
      <c r="AUF31" s="1688"/>
      <c r="AUG31" s="1688"/>
      <c r="AUH31" s="1688"/>
      <c r="AUI31" s="1688"/>
      <c r="AUJ31" s="1688"/>
      <c r="AUK31" s="1688"/>
      <c r="AUL31" s="1688"/>
      <c r="AUM31" s="1688"/>
      <c r="AUN31" s="1688"/>
      <c r="AUO31" s="1688"/>
      <c r="AUP31" s="1688"/>
      <c r="AUQ31" s="1688"/>
      <c r="AUR31" s="1688"/>
      <c r="AUS31" s="1688"/>
      <c r="AUT31" s="1688"/>
      <c r="AUU31" s="1688"/>
      <c r="AUV31" s="1688"/>
      <c r="AUW31" s="1688"/>
      <c r="AUX31" s="1688"/>
      <c r="AUY31" s="1688"/>
      <c r="AUZ31" s="1688"/>
      <c r="AVA31" s="1688"/>
      <c r="AVB31" s="1688"/>
      <c r="AVC31" s="1688"/>
      <c r="AVD31" s="1688"/>
      <c r="AVE31" s="1688"/>
      <c r="AVF31" s="1688"/>
      <c r="AVG31" s="1688"/>
      <c r="AVH31" s="1688"/>
      <c r="AVI31" s="1688"/>
      <c r="AVJ31" s="1688"/>
      <c r="AVK31" s="1688"/>
      <c r="AVL31" s="1688"/>
      <c r="AVM31" s="1688"/>
      <c r="AVN31" s="1688"/>
      <c r="AVO31" s="1688"/>
      <c r="AVP31" s="1688"/>
      <c r="AVQ31" s="1688"/>
      <c r="AVR31" s="1688"/>
      <c r="AVS31" s="1688"/>
      <c r="AVT31" s="1688"/>
      <c r="AVU31" s="1688"/>
      <c r="AVV31" s="1688"/>
      <c r="AVW31" s="1688"/>
      <c r="AVX31" s="1688"/>
      <c r="AVY31" s="1688"/>
      <c r="AVZ31" s="1688"/>
      <c r="AWA31" s="1688"/>
      <c r="AWB31" s="1688"/>
      <c r="AWC31" s="1688"/>
      <c r="AWD31" s="1688"/>
      <c r="AWE31" s="1688"/>
      <c r="AWF31" s="1688"/>
      <c r="AWG31" s="1688"/>
      <c r="AWH31" s="1688"/>
      <c r="AWI31" s="1688"/>
      <c r="AWJ31" s="1688"/>
      <c r="AWK31" s="1688"/>
      <c r="AWL31" s="1688"/>
      <c r="AWM31" s="1688"/>
      <c r="AWN31" s="1688"/>
      <c r="AWO31" s="1688"/>
      <c r="AWP31" s="1688"/>
      <c r="AWQ31" s="1688"/>
      <c r="AWR31" s="1688"/>
      <c r="AWS31" s="1688"/>
      <c r="AWT31" s="1688"/>
      <c r="AWU31" s="1688"/>
      <c r="AWV31" s="1688"/>
      <c r="AWW31" s="1688"/>
      <c r="AWX31" s="1688"/>
      <c r="AWY31" s="1688"/>
      <c r="AWZ31" s="1688"/>
      <c r="AXA31" s="1688"/>
      <c r="AXB31" s="1688"/>
      <c r="AXC31" s="1688"/>
      <c r="AXD31" s="1688"/>
      <c r="AXE31" s="1688"/>
      <c r="AXF31" s="1688"/>
      <c r="AXG31" s="1688"/>
      <c r="AXH31" s="1688"/>
      <c r="AXI31" s="1688"/>
      <c r="AXJ31" s="1688"/>
      <c r="AXK31" s="1688"/>
      <c r="AXL31" s="1688"/>
      <c r="AXM31" s="1688"/>
      <c r="AXN31" s="1688"/>
      <c r="AXO31" s="1688"/>
      <c r="AXP31" s="1688"/>
      <c r="AXQ31" s="1688"/>
      <c r="AXR31" s="1688"/>
      <c r="AXS31" s="1688"/>
      <c r="AXT31" s="1688"/>
      <c r="AXU31" s="1688"/>
      <c r="AXV31" s="1688"/>
      <c r="AXW31" s="1688"/>
      <c r="AXX31" s="1688"/>
      <c r="AXY31" s="1688"/>
      <c r="AXZ31" s="1688"/>
      <c r="AYA31" s="1688"/>
      <c r="AYB31" s="1688"/>
      <c r="AYC31" s="1688"/>
      <c r="AYD31" s="1688"/>
      <c r="AYE31" s="1688"/>
      <c r="AYF31" s="1688"/>
      <c r="AYG31" s="1688"/>
      <c r="AYH31" s="1688"/>
      <c r="AYI31" s="1688"/>
      <c r="AYJ31" s="1688"/>
      <c r="AYK31" s="1688"/>
      <c r="AYL31" s="1688"/>
      <c r="AYM31" s="1688"/>
      <c r="AYN31" s="1688"/>
      <c r="AYO31" s="1688"/>
      <c r="AYP31" s="1688"/>
      <c r="AYQ31" s="1688"/>
      <c r="AYR31" s="1688"/>
      <c r="AYS31" s="1688"/>
      <c r="AYT31" s="1688"/>
      <c r="AYU31" s="1688"/>
      <c r="AYV31" s="1688"/>
      <c r="AYW31" s="1688"/>
      <c r="AYX31" s="1688"/>
      <c r="AYY31" s="1688"/>
      <c r="AYZ31" s="1688"/>
      <c r="AZA31" s="1688"/>
      <c r="AZB31" s="1688"/>
      <c r="AZC31" s="1688"/>
      <c r="AZD31" s="1688"/>
      <c r="AZE31" s="1688"/>
      <c r="AZF31" s="1688"/>
      <c r="AZG31" s="1688"/>
      <c r="AZH31" s="1688"/>
      <c r="AZI31" s="1688"/>
      <c r="AZJ31" s="1688"/>
      <c r="AZK31" s="1688"/>
      <c r="AZL31" s="1688"/>
      <c r="AZM31" s="1688"/>
      <c r="AZN31" s="1688"/>
      <c r="AZO31" s="1688"/>
      <c r="AZP31" s="1688"/>
      <c r="AZQ31" s="1688"/>
      <c r="AZR31" s="1688"/>
      <c r="AZS31" s="1688"/>
      <c r="AZT31" s="1688"/>
      <c r="AZU31" s="1688"/>
      <c r="AZV31" s="1688"/>
      <c r="AZW31" s="1688"/>
      <c r="AZX31" s="1688"/>
      <c r="AZY31" s="1688"/>
      <c r="AZZ31" s="1688"/>
      <c r="BAA31" s="1688"/>
      <c r="BAB31" s="1688"/>
      <c r="BAC31" s="1688"/>
      <c r="BAD31" s="1688"/>
      <c r="BAE31" s="1688"/>
      <c r="BAF31" s="1688"/>
      <c r="BAG31" s="1688"/>
      <c r="BAH31" s="1688"/>
      <c r="BAI31" s="1688"/>
      <c r="BAJ31" s="1688"/>
      <c r="BAK31" s="1688"/>
      <c r="BAL31" s="1688"/>
      <c r="BAM31" s="1688"/>
      <c r="BAN31" s="1688"/>
      <c r="BAO31" s="1688"/>
      <c r="BAP31" s="1688"/>
      <c r="BAQ31" s="1688"/>
      <c r="BAR31" s="1688"/>
      <c r="BAS31" s="1688"/>
      <c r="BAT31" s="1688"/>
      <c r="BAU31" s="1688"/>
      <c r="BAV31" s="1688"/>
      <c r="BAW31" s="1688"/>
      <c r="BAX31" s="1688"/>
      <c r="BAY31" s="1688"/>
      <c r="BAZ31" s="1688"/>
      <c r="BBA31" s="1688"/>
      <c r="BBB31" s="1688"/>
      <c r="BBC31" s="1688"/>
      <c r="BBD31" s="1688"/>
      <c r="BBE31" s="1688"/>
      <c r="BBF31" s="1688"/>
      <c r="BBG31" s="1688"/>
      <c r="BBH31" s="1688"/>
      <c r="BBI31" s="1688"/>
      <c r="BBJ31" s="1688"/>
      <c r="BBK31" s="1688"/>
      <c r="BBL31" s="1688"/>
      <c r="BBM31" s="1688"/>
      <c r="BBN31" s="1688"/>
      <c r="BBO31" s="1688"/>
      <c r="BBP31" s="1688"/>
      <c r="BBQ31" s="1688"/>
      <c r="BBR31" s="1688"/>
      <c r="BBS31" s="1688"/>
      <c r="BBT31" s="1688"/>
      <c r="BBU31" s="1688"/>
      <c r="BBV31" s="1688"/>
      <c r="BBW31" s="1688"/>
      <c r="BBX31" s="1688"/>
      <c r="BBY31" s="1688"/>
      <c r="BBZ31" s="1688"/>
      <c r="BCA31" s="1688"/>
      <c r="BCB31" s="1688"/>
      <c r="BCC31" s="1688"/>
      <c r="BCD31" s="1688"/>
      <c r="BCE31" s="1688"/>
      <c r="BCF31" s="1688"/>
      <c r="BCG31" s="1688"/>
      <c r="BCH31" s="1688"/>
      <c r="BCI31" s="1688"/>
      <c r="BCJ31" s="1688"/>
      <c r="BCK31" s="1688"/>
      <c r="BCL31" s="1688"/>
      <c r="BCM31" s="1688"/>
      <c r="BCN31" s="1688"/>
      <c r="BCO31" s="1688"/>
      <c r="BCP31" s="1688"/>
      <c r="BCQ31" s="1688"/>
      <c r="BCR31" s="1688"/>
      <c r="BCS31" s="1688"/>
      <c r="BCT31" s="1688"/>
      <c r="BCU31" s="1688"/>
      <c r="BCV31" s="1688"/>
      <c r="BCW31" s="1688"/>
      <c r="BCX31" s="1688"/>
      <c r="BCY31" s="1688"/>
      <c r="BCZ31" s="1688"/>
      <c r="BDA31" s="1688"/>
      <c r="BDB31" s="1688"/>
      <c r="BDC31" s="1688"/>
      <c r="BDD31" s="1688"/>
      <c r="BDE31" s="1688"/>
      <c r="BDF31" s="1688"/>
      <c r="BDG31" s="1688"/>
      <c r="BDH31" s="1688"/>
      <c r="BDI31" s="1688"/>
      <c r="BDJ31" s="1688"/>
      <c r="BDK31" s="1688"/>
      <c r="BDL31" s="1688"/>
      <c r="BDM31" s="1688"/>
      <c r="BDN31" s="1688"/>
      <c r="BDO31" s="1688"/>
      <c r="BDP31" s="1688"/>
      <c r="BDQ31" s="1688"/>
      <c r="BDR31" s="1688"/>
      <c r="BDS31" s="1688"/>
      <c r="BDT31" s="1688"/>
      <c r="BDU31" s="1688"/>
      <c r="BDV31" s="1688"/>
      <c r="BDW31" s="1688"/>
      <c r="BDX31" s="1688"/>
      <c r="BDY31" s="1688"/>
      <c r="BDZ31" s="1688"/>
      <c r="BEA31" s="1688"/>
      <c r="BEB31" s="1688"/>
      <c r="BEC31" s="1688"/>
      <c r="BED31" s="1688"/>
      <c r="BEE31" s="1688"/>
      <c r="BEF31" s="1688"/>
      <c r="BEG31" s="1688"/>
      <c r="BEH31" s="1688"/>
      <c r="BEI31" s="1688"/>
      <c r="BEJ31" s="1688"/>
      <c r="BEK31" s="1688"/>
      <c r="BEL31" s="1688"/>
      <c r="BEM31" s="1688"/>
      <c r="BEN31" s="1688"/>
      <c r="BEO31" s="1688"/>
      <c r="BEP31" s="1688"/>
      <c r="BEQ31" s="1688"/>
      <c r="BER31" s="1688"/>
      <c r="BES31" s="1688"/>
      <c r="BET31" s="1688"/>
      <c r="BEU31" s="1688"/>
      <c r="BEV31" s="1688"/>
      <c r="BEW31" s="1688"/>
      <c r="BEX31" s="1688"/>
      <c r="BEY31" s="1688"/>
      <c r="BEZ31" s="1688"/>
      <c r="BFA31" s="1688"/>
      <c r="BFB31" s="1688"/>
      <c r="BFC31" s="1688"/>
      <c r="BFD31" s="1688"/>
      <c r="BFE31" s="1688"/>
      <c r="BFF31" s="1688"/>
      <c r="BFG31" s="1688"/>
      <c r="BFH31" s="1688"/>
      <c r="BFI31" s="1688"/>
      <c r="BFJ31" s="1688"/>
      <c r="BFK31" s="1688"/>
      <c r="BFL31" s="1688"/>
      <c r="BFM31" s="1688"/>
      <c r="BFN31" s="1688"/>
      <c r="BFO31" s="1688"/>
      <c r="BFP31" s="1688"/>
      <c r="BFQ31" s="1688"/>
      <c r="BFR31" s="1688"/>
      <c r="BFS31" s="1688"/>
      <c r="BFT31" s="1688"/>
      <c r="BFU31" s="1688"/>
      <c r="BFV31" s="1688"/>
      <c r="BFW31" s="1688"/>
      <c r="BFX31" s="1688"/>
      <c r="BFY31" s="1688"/>
      <c r="BFZ31" s="1688"/>
      <c r="BGA31" s="1688"/>
      <c r="BGB31" s="1688"/>
      <c r="BGC31" s="1688"/>
      <c r="BGD31" s="1688"/>
      <c r="BGE31" s="1688"/>
      <c r="BGF31" s="1688"/>
      <c r="BGG31" s="1688"/>
      <c r="BGH31" s="1688"/>
      <c r="BGI31" s="1688"/>
      <c r="BGJ31" s="1688"/>
      <c r="BGK31" s="1688"/>
      <c r="BGL31" s="1688"/>
      <c r="BGM31" s="1688"/>
      <c r="BGN31" s="1688"/>
      <c r="BGO31" s="1688"/>
      <c r="BGP31" s="1688"/>
      <c r="BGQ31" s="1688"/>
      <c r="BGR31" s="1688"/>
      <c r="BGS31" s="1688"/>
      <c r="BGT31" s="1688"/>
      <c r="BGU31" s="1688"/>
      <c r="BGV31" s="1688"/>
      <c r="BGW31" s="1688"/>
      <c r="BGX31" s="1688"/>
      <c r="BGY31" s="1688"/>
      <c r="BGZ31" s="1688"/>
      <c r="BHA31" s="1688"/>
      <c r="BHB31" s="1688"/>
      <c r="BHC31" s="1688"/>
      <c r="BHD31" s="1688"/>
      <c r="BHE31" s="1688"/>
      <c r="BHF31" s="1688"/>
      <c r="BHG31" s="1688"/>
      <c r="BHH31" s="1688"/>
      <c r="BHI31" s="1688"/>
      <c r="BHJ31" s="1688"/>
      <c r="BHK31" s="1688"/>
      <c r="BHL31" s="1688"/>
      <c r="BHM31" s="1688"/>
      <c r="BHN31" s="1688"/>
      <c r="BHO31" s="1688"/>
      <c r="BHP31" s="1688"/>
      <c r="BHQ31" s="1688"/>
      <c r="BHR31" s="1688"/>
      <c r="BHS31" s="1688"/>
      <c r="BHT31" s="1688"/>
      <c r="BHU31" s="1688"/>
      <c r="BHV31" s="1688"/>
      <c r="BHW31" s="1688"/>
      <c r="BHX31" s="1688"/>
      <c r="BHY31" s="1688"/>
      <c r="BHZ31" s="1688"/>
      <c r="BIA31" s="1688"/>
      <c r="BIB31" s="1688"/>
      <c r="BIC31" s="1688"/>
      <c r="BID31" s="1688"/>
      <c r="BIE31" s="1688"/>
      <c r="BIF31" s="1688"/>
      <c r="BIG31" s="1688"/>
      <c r="BIH31" s="1688"/>
      <c r="BII31" s="1688"/>
      <c r="BIJ31" s="1688"/>
      <c r="BIK31" s="1688"/>
      <c r="BIL31" s="1688"/>
      <c r="BIM31" s="1688"/>
      <c r="BIN31" s="1688"/>
      <c r="BIO31" s="1688"/>
      <c r="BIP31" s="1688"/>
      <c r="BIQ31" s="1688"/>
      <c r="BIR31" s="1688"/>
      <c r="BIS31" s="1688"/>
      <c r="BIT31" s="1688"/>
      <c r="BIU31" s="1688"/>
      <c r="BIV31" s="1688"/>
      <c r="BIW31" s="1688"/>
      <c r="BIX31" s="1688"/>
      <c r="BIY31" s="1688"/>
      <c r="BIZ31" s="1688"/>
      <c r="BJA31" s="1688"/>
      <c r="BJB31" s="1688"/>
      <c r="BJC31" s="1688"/>
      <c r="BJD31" s="1688"/>
      <c r="BJE31" s="1688"/>
      <c r="BJF31" s="1688"/>
      <c r="BJG31" s="1688"/>
      <c r="BJH31" s="1688"/>
      <c r="BJI31" s="1688"/>
      <c r="BJJ31" s="1688"/>
      <c r="BJK31" s="1688"/>
      <c r="BJL31" s="1688"/>
      <c r="BJM31" s="1688"/>
      <c r="BJN31" s="1688"/>
      <c r="BJO31" s="1688"/>
      <c r="BJP31" s="1688"/>
      <c r="BJQ31" s="1688"/>
      <c r="BJR31" s="1688"/>
      <c r="BJS31" s="1688"/>
      <c r="BJT31" s="1688"/>
      <c r="BJU31" s="1688"/>
      <c r="BJV31" s="1688"/>
      <c r="BJW31" s="1688"/>
      <c r="BJX31" s="1688"/>
      <c r="BJY31" s="1688"/>
      <c r="BJZ31" s="1688"/>
      <c r="BKA31" s="1688"/>
      <c r="BKB31" s="1688"/>
      <c r="BKC31" s="1688"/>
      <c r="BKD31" s="1688"/>
      <c r="BKE31" s="1688"/>
      <c r="BKF31" s="1688"/>
      <c r="BKG31" s="1688"/>
      <c r="BKH31" s="1688"/>
      <c r="BKI31" s="1688"/>
      <c r="BKJ31" s="1688"/>
      <c r="BKK31" s="1688"/>
      <c r="BKL31" s="1688"/>
      <c r="BKM31" s="1688"/>
      <c r="BKN31" s="1688"/>
      <c r="BKO31" s="1688"/>
      <c r="BKP31" s="1688"/>
      <c r="BKQ31" s="1688"/>
      <c r="BKR31" s="1688"/>
      <c r="BKS31" s="1688"/>
      <c r="BKT31" s="1688"/>
      <c r="BKU31" s="1688"/>
      <c r="BKV31" s="1688"/>
      <c r="BKW31" s="1688"/>
      <c r="BKX31" s="1688"/>
      <c r="BKY31" s="1688"/>
      <c r="BKZ31" s="1688"/>
      <c r="BLA31" s="1688"/>
      <c r="BLB31" s="1688"/>
      <c r="BLC31" s="1688"/>
      <c r="BLD31" s="1688"/>
      <c r="BLE31" s="1688"/>
      <c r="BLF31" s="1688"/>
      <c r="BLG31" s="1688"/>
      <c r="BLH31" s="1688"/>
      <c r="BLI31" s="1688"/>
      <c r="BLJ31" s="1688"/>
      <c r="BLK31" s="1688"/>
      <c r="BLL31" s="1688"/>
      <c r="BLM31" s="1688"/>
      <c r="BLN31" s="1688"/>
      <c r="BLO31" s="1688"/>
      <c r="BLP31" s="1688"/>
      <c r="BLQ31" s="1688"/>
      <c r="BLR31" s="1688"/>
      <c r="BLS31" s="1688"/>
      <c r="BLT31" s="1688"/>
      <c r="BLU31" s="1688"/>
      <c r="BLV31" s="1688"/>
      <c r="BLW31" s="1688"/>
      <c r="BLX31" s="1688"/>
      <c r="BLY31" s="1688"/>
      <c r="BLZ31" s="1688"/>
      <c r="BMA31" s="1688"/>
      <c r="BMB31" s="1688"/>
      <c r="BMC31" s="1688"/>
      <c r="BMD31" s="1688"/>
      <c r="BME31" s="1688"/>
      <c r="BMF31" s="1688"/>
      <c r="BMG31" s="1688"/>
      <c r="BMH31" s="1688"/>
      <c r="BMI31" s="1688"/>
      <c r="BMJ31" s="1688"/>
      <c r="BMK31" s="1688"/>
      <c r="BML31" s="1688"/>
      <c r="BMM31" s="1688"/>
      <c r="BMN31" s="1688"/>
      <c r="BMO31" s="1688"/>
      <c r="BMP31" s="1688"/>
      <c r="BMQ31" s="1688"/>
      <c r="BMR31" s="1688"/>
      <c r="BMS31" s="1688"/>
      <c r="BMT31" s="1688"/>
      <c r="BMU31" s="1688"/>
      <c r="BMV31" s="1688"/>
      <c r="BMW31" s="1688"/>
      <c r="BMX31" s="1688"/>
      <c r="BMY31" s="1688"/>
      <c r="BMZ31" s="1688"/>
      <c r="BNA31" s="1688"/>
      <c r="BNB31" s="1688"/>
      <c r="BNC31" s="1688"/>
      <c r="BND31" s="1688"/>
      <c r="BNE31" s="1688"/>
      <c r="BNF31" s="1688"/>
      <c r="BNG31" s="1688"/>
      <c r="BNH31" s="1688"/>
      <c r="BNI31" s="1688"/>
      <c r="BNJ31" s="1688"/>
      <c r="BNK31" s="1688"/>
      <c r="BNL31" s="1688"/>
      <c r="BNM31" s="1688"/>
      <c r="BNN31" s="1688"/>
      <c r="BNO31" s="1688"/>
      <c r="BNP31" s="1688"/>
      <c r="BNQ31" s="1688"/>
      <c r="BNR31" s="1688"/>
      <c r="BNS31" s="1688"/>
      <c r="BNT31" s="1688"/>
      <c r="BNU31" s="1688"/>
      <c r="BNV31" s="1688"/>
      <c r="BNW31" s="1688"/>
      <c r="BNX31" s="1688"/>
      <c r="BNY31" s="1688"/>
      <c r="BNZ31" s="1688"/>
      <c r="BOA31" s="1688"/>
      <c r="BOB31" s="1688"/>
      <c r="BOC31" s="1688"/>
      <c r="BOD31" s="1688"/>
      <c r="BOE31" s="1688"/>
      <c r="BOF31" s="1688"/>
      <c r="BOG31" s="1688"/>
      <c r="BOH31" s="1688"/>
      <c r="BOI31" s="1688"/>
      <c r="BOJ31" s="1688"/>
      <c r="BOK31" s="1688"/>
      <c r="BOL31" s="1688"/>
      <c r="BOM31" s="1688"/>
      <c r="BON31" s="1688"/>
      <c r="BOO31" s="1688"/>
      <c r="BOP31" s="1688"/>
      <c r="BOQ31" s="1688"/>
      <c r="BOR31" s="1688"/>
      <c r="BOS31" s="1688"/>
      <c r="BOT31" s="1688"/>
      <c r="BOU31" s="1688"/>
      <c r="BOV31" s="1688"/>
      <c r="BOW31" s="1688"/>
      <c r="BOX31" s="1688"/>
      <c r="BOY31" s="1688"/>
      <c r="BOZ31" s="1688"/>
      <c r="BPA31" s="1688"/>
      <c r="BPB31" s="1688"/>
      <c r="BPC31" s="1688"/>
      <c r="BPD31" s="1688"/>
      <c r="BPE31" s="1688"/>
      <c r="BPF31" s="1688"/>
      <c r="BPG31" s="1688"/>
      <c r="BPH31" s="1688"/>
      <c r="BPI31" s="1688"/>
      <c r="BPJ31" s="1688"/>
      <c r="BPK31" s="1688"/>
      <c r="BPL31" s="1688"/>
      <c r="BPM31" s="1688"/>
      <c r="BPN31" s="1688"/>
      <c r="BPO31" s="1688"/>
      <c r="BPP31" s="1688"/>
      <c r="BPQ31" s="1688"/>
      <c r="BPR31" s="1688"/>
      <c r="BPS31" s="1688"/>
      <c r="BPT31" s="1688"/>
      <c r="BPU31" s="1688"/>
      <c r="BPV31" s="1688"/>
      <c r="BPW31" s="1688"/>
      <c r="BPX31" s="1688"/>
      <c r="BPY31" s="1688"/>
      <c r="BPZ31" s="1688"/>
      <c r="BQA31" s="1688"/>
      <c r="BQB31" s="1688"/>
      <c r="BQC31" s="1688"/>
      <c r="BQD31" s="1688"/>
      <c r="BQE31" s="1688"/>
      <c r="BQF31" s="1688"/>
      <c r="BQG31" s="1688"/>
      <c r="BQH31" s="1688"/>
      <c r="BQI31" s="1688"/>
      <c r="BQJ31" s="1688"/>
      <c r="BQK31" s="1688"/>
      <c r="BQL31" s="1688"/>
      <c r="BQM31" s="1688"/>
      <c r="BQN31" s="1688"/>
      <c r="BQO31" s="1688"/>
      <c r="BQP31" s="1688"/>
      <c r="BQQ31" s="1688"/>
      <c r="BQR31" s="1688"/>
      <c r="BQS31" s="1688"/>
      <c r="BQT31" s="1688"/>
      <c r="BQU31" s="1688"/>
      <c r="BQV31" s="1688"/>
      <c r="BQW31" s="1688"/>
      <c r="BQX31" s="1688"/>
      <c r="BQY31" s="1688"/>
      <c r="BQZ31" s="1688"/>
      <c r="BRA31" s="1688"/>
      <c r="BRB31" s="1688"/>
      <c r="BRC31" s="1688"/>
      <c r="BRD31" s="1688"/>
      <c r="BRE31" s="1688"/>
      <c r="BRF31" s="1688"/>
      <c r="BRG31" s="1688"/>
      <c r="BRH31" s="1688"/>
      <c r="BRI31" s="1688"/>
      <c r="BRJ31" s="1688"/>
      <c r="BRK31" s="1688"/>
      <c r="BRL31" s="1688"/>
      <c r="BRM31" s="1688"/>
      <c r="BRN31" s="1688"/>
      <c r="BRO31" s="1688"/>
      <c r="BRP31" s="1688"/>
      <c r="BRQ31" s="1688"/>
      <c r="BRR31" s="1688"/>
      <c r="BRS31" s="1688"/>
      <c r="BRT31" s="1688"/>
      <c r="BRU31" s="1688"/>
      <c r="BRV31" s="1688"/>
      <c r="BRW31" s="1688"/>
      <c r="BRX31" s="1688"/>
      <c r="BRY31" s="1688"/>
      <c r="BRZ31" s="1688"/>
      <c r="BSA31" s="1688"/>
      <c r="BSB31" s="1688"/>
      <c r="BSC31" s="1688"/>
      <c r="BSD31" s="1688"/>
      <c r="BSE31" s="1688"/>
      <c r="BSF31" s="1688"/>
      <c r="BSG31" s="1688"/>
      <c r="BSH31" s="1688"/>
      <c r="BSI31" s="1688"/>
      <c r="BSJ31" s="1688"/>
      <c r="BSK31" s="1688"/>
      <c r="BSL31" s="1688"/>
      <c r="BSM31" s="1688"/>
      <c r="BSN31" s="1688"/>
      <c r="BSO31" s="1688"/>
      <c r="BSP31" s="1688"/>
      <c r="BSQ31" s="1688"/>
      <c r="BSR31" s="1688"/>
      <c r="BSS31" s="1688"/>
      <c r="BST31" s="1688"/>
      <c r="BSU31" s="1688"/>
      <c r="BSV31" s="1688"/>
      <c r="BSW31" s="1688"/>
      <c r="BSX31" s="1688"/>
      <c r="BSY31" s="1688"/>
      <c r="BSZ31" s="1688"/>
      <c r="BTA31" s="1688"/>
      <c r="BTB31" s="1688"/>
      <c r="BTC31" s="1688"/>
      <c r="BTD31" s="1688"/>
      <c r="BTE31" s="1688"/>
      <c r="BTF31" s="1688"/>
      <c r="BTG31" s="1688"/>
      <c r="BTH31" s="1688"/>
      <c r="BTI31" s="1688"/>
      <c r="BTJ31" s="1688"/>
      <c r="BTK31" s="1688"/>
      <c r="BTL31" s="1688"/>
      <c r="BTM31" s="1688"/>
      <c r="BTN31" s="1688"/>
      <c r="BTO31" s="1688"/>
      <c r="BTP31" s="1688"/>
      <c r="BTQ31" s="1688"/>
      <c r="BTR31" s="1688"/>
      <c r="BTS31" s="1688"/>
      <c r="BTT31" s="1688"/>
      <c r="BTU31" s="1688"/>
      <c r="BTV31" s="1688"/>
      <c r="BTW31" s="1688"/>
      <c r="BTX31" s="1688"/>
      <c r="BTY31" s="1688"/>
      <c r="BTZ31" s="1688"/>
      <c r="BUA31" s="1688"/>
      <c r="BUB31" s="1688"/>
      <c r="BUC31" s="1688"/>
      <c r="BUD31" s="1688"/>
      <c r="BUE31" s="1688"/>
      <c r="BUF31" s="1688"/>
      <c r="BUG31" s="1688"/>
      <c r="BUH31" s="1688"/>
      <c r="BUI31" s="1688"/>
      <c r="BUJ31" s="1688"/>
      <c r="BUK31" s="1688"/>
      <c r="BUL31" s="1688"/>
      <c r="BUM31" s="1688"/>
      <c r="BUN31" s="1688"/>
      <c r="BUO31" s="1688"/>
      <c r="BUP31" s="1688"/>
      <c r="BUQ31" s="1688"/>
      <c r="BUR31" s="1688"/>
      <c r="BUS31" s="1688"/>
      <c r="BUT31" s="1688"/>
      <c r="BUU31" s="1688"/>
      <c r="BUV31" s="1688"/>
      <c r="BUW31" s="1688"/>
      <c r="BUX31" s="1688"/>
      <c r="BUY31" s="1688"/>
      <c r="BUZ31" s="1688"/>
      <c r="BVA31" s="1688"/>
      <c r="BVB31" s="1688"/>
      <c r="BVC31" s="1688"/>
      <c r="BVD31" s="1688"/>
      <c r="BVE31" s="1688"/>
      <c r="BVF31" s="1688"/>
      <c r="BVG31" s="1688"/>
      <c r="BVH31" s="1688"/>
      <c r="BVI31" s="1688"/>
      <c r="BVJ31" s="1688"/>
      <c r="BVK31" s="1688"/>
      <c r="BVL31" s="1688"/>
      <c r="BVM31" s="1688"/>
      <c r="BVN31" s="1688"/>
      <c r="BVO31" s="1688"/>
      <c r="BVP31" s="1688"/>
      <c r="BVQ31" s="1688"/>
      <c r="BVR31" s="1688"/>
      <c r="BVS31" s="1688"/>
      <c r="BVT31" s="1688"/>
      <c r="BVU31" s="1688"/>
      <c r="BVV31" s="1688"/>
      <c r="BVW31" s="1688"/>
      <c r="BVX31" s="1688"/>
      <c r="BVY31" s="1688"/>
      <c r="BVZ31" s="1688"/>
      <c r="BWA31" s="1688"/>
      <c r="BWB31" s="1688"/>
      <c r="BWC31" s="1688"/>
      <c r="BWD31" s="1688"/>
      <c r="BWE31" s="1688"/>
      <c r="BWF31" s="1688"/>
      <c r="BWG31" s="1688"/>
      <c r="BWH31" s="1688"/>
      <c r="BWI31" s="1688"/>
      <c r="BWJ31" s="1688"/>
      <c r="BWK31" s="1688"/>
      <c r="BWL31" s="1688"/>
      <c r="BWM31" s="1688"/>
      <c r="BWN31" s="1688"/>
      <c r="BWO31" s="1688"/>
      <c r="BWP31" s="1688"/>
      <c r="BWQ31" s="1688"/>
      <c r="BWR31" s="1688"/>
      <c r="BWS31" s="1688"/>
      <c r="BWT31" s="1688"/>
      <c r="BWU31" s="1688"/>
      <c r="BWV31" s="1688"/>
      <c r="BWW31" s="1688"/>
      <c r="BWX31" s="1688"/>
      <c r="BWY31" s="1688"/>
      <c r="BWZ31" s="1688"/>
      <c r="BXA31" s="1688"/>
      <c r="BXB31" s="1688"/>
      <c r="BXC31" s="1688"/>
      <c r="BXD31" s="1688"/>
      <c r="BXE31" s="1688"/>
      <c r="BXF31" s="1688"/>
      <c r="BXG31" s="1688"/>
      <c r="BXH31" s="1688"/>
      <c r="BXI31" s="1688"/>
      <c r="BXJ31" s="1688"/>
      <c r="BXK31" s="1688"/>
      <c r="BXL31" s="1688"/>
      <c r="BXM31" s="1688"/>
      <c r="BXN31" s="1688"/>
      <c r="BXO31" s="1688"/>
      <c r="BXP31" s="1688"/>
      <c r="BXQ31" s="1688"/>
      <c r="BXR31" s="1688"/>
      <c r="BXS31" s="1688"/>
      <c r="BXT31" s="1688"/>
      <c r="BXU31" s="1688"/>
      <c r="BXV31" s="1688"/>
      <c r="BXW31" s="1688"/>
      <c r="BXX31" s="1688"/>
      <c r="BXY31" s="1688"/>
      <c r="BXZ31" s="1688"/>
      <c r="BYA31" s="1688"/>
      <c r="BYB31" s="1688"/>
      <c r="BYC31" s="1688"/>
      <c r="BYD31" s="1688"/>
      <c r="BYE31" s="1688"/>
      <c r="BYF31" s="1688"/>
      <c r="BYG31" s="1688"/>
      <c r="BYH31" s="1688"/>
      <c r="BYI31" s="1688"/>
      <c r="BYJ31" s="1688"/>
      <c r="BYK31" s="1688"/>
      <c r="BYL31" s="1688"/>
      <c r="BYM31" s="1688"/>
      <c r="BYN31" s="1688"/>
      <c r="BYO31" s="1688"/>
      <c r="BYP31" s="1688"/>
      <c r="BYQ31" s="1688"/>
      <c r="BYR31" s="1688"/>
      <c r="BYS31" s="1688"/>
      <c r="BYT31" s="1688"/>
      <c r="BYU31" s="1688"/>
      <c r="BYV31" s="1688"/>
      <c r="BYW31" s="1688"/>
      <c r="BYX31" s="1688"/>
      <c r="BYY31" s="1688"/>
      <c r="BYZ31" s="1688"/>
      <c r="BZA31" s="1688"/>
      <c r="BZB31" s="1688"/>
      <c r="BZC31" s="1688"/>
      <c r="BZD31" s="1688"/>
      <c r="BZE31" s="1688"/>
      <c r="BZF31" s="1688"/>
      <c r="BZG31" s="1688"/>
      <c r="BZH31" s="1688"/>
      <c r="BZI31" s="1688"/>
      <c r="BZJ31" s="1688"/>
      <c r="BZK31" s="1688"/>
      <c r="BZL31" s="1688"/>
      <c r="BZM31" s="1688"/>
      <c r="BZN31" s="1688"/>
      <c r="BZO31" s="1688"/>
      <c r="BZP31" s="1688"/>
      <c r="BZQ31" s="1688"/>
      <c r="BZR31" s="1688"/>
      <c r="BZS31" s="1688"/>
      <c r="BZT31" s="1688"/>
      <c r="BZU31" s="1688"/>
      <c r="BZV31" s="1688"/>
      <c r="BZW31" s="1688"/>
      <c r="BZX31" s="1688"/>
      <c r="BZY31" s="1688"/>
      <c r="BZZ31" s="1688"/>
      <c r="CAA31" s="1688"/>
      <c r="CAB31" s="1688"/>
      <c r="CAC31" s="1688"/>
      <c r="CAD31" s="1688"/>
      <c r="CAE31" s="1688"/>
      <c r="CAF31" s="1688"/>
      <c r="CAG31" s="1688"/>
      <c r="CAH31" s="1688"/>
      <c r="CAI31" s="1688"/>
      <c r="CAJ31" s="1688"/>
      <c r="CAK31" s="1688"/>
      <c r="CAL31" s="1688"/>
      <c r="CAM31" s="1688"/>
      <c r="CAN31" s="1688"/>
      <c r="CAO31" s="1688"/>
      <c r="CAP31" s="1688"/>
      <c r="CAQ31" s="1688"/>
      <c r="CAR31" s="1688"/>
      <c r="CAS31" s="1688"/>
      <c r="CAT31" s="1688"/>
      <c r="CAU31" s="1688"/>
      <c r="CAV31" s="1688"/>
      <c r="CAW31" s="1688"/>
      <c r="CAX31" s="1688"/>
      <c r="CAY31" s="1688"/>
      <c r="CAZ31" s="1688"/>
      <c r="CBA31" s="1688"/>
      <c r="CBB31" s="1688"/>
      <c r="CBC31" s="1688"/>
      <c r="CBD31" s="1688"/>
      <c r="CBE31" s="1688"/>
      <c r="CBF31" s="1688"/>
      <c r="CBG31" s="1688"/>
      <c r="CBH31" s="1688"/>
      <c r="CBI31" s="1688"/>
      <c r="CBJ31" s="1688"/>
      <c r="CBK31" s="1688"/>
      <c r="CBL31" s="1688"/>
      <c r="CBM31" s="1688"/>
      <c r="CBN31" s="1688"/>
      <c r="CBO31" s="1688"/>
      <c r="CBP31" s="1688"/>
      <c r="CBQ31" s="1688"/>
      <c r="CBR31" s="1688"/>
      <c r="CBS31" s="1688"/>
      <c r="CBT31" s="1688"/>
      <c r="CBU31" s="1688"/>
      <c r="CBV31" s="1688"/>
      <c r="CBW31" s="1688"/>
      <c r="CBX31" s="1688"/>
      <c r="CBY31" s="1688"/>
      <c r="CBZ31" s="1688"/>
      <c r="CCA31" s="1688"/>
      <c r="CCB31" s="1688"/>
      <c r="CCC31" s="1688"/>
      <c r="CCD31" s="1688"/>
      <c r="CCE31" s="1688"/>
      <c r="CCF31" s="1688"/>
      <c r="CCG31" s="1688"/>
      <c r="CCH31" s="1688"/>
      <c r="CCI31" s="1688"/>
      <c r="CCJ31" s="1688"/>
      <c r="CCK31" s="1688"/>
      <c r="CCL31" s="1688"/>
      <c r="CCM31" s="1688"/>
      <c r="CCN31" s="1688"/>
      <c r="CCO31" s="1688"/>
      <c r="CCP31" s="1688"/>
      <c r="CCQ31" s="1688"/>
      <c r="CCR31" s="1688"/>
      <c r="CCS31" s="1688"/>
      <c r="CCT31" s="1688"/>
      <c r="CCU31" s="1688"/>
      <c r="CCV31" s="1688"/>
      <c r="CCW31" s="1688"/>
      <c r="CCX31" s="1688"/>
      <c r="CCY31" s="1688"/>
      <c r="CCZ31" s="1688"/>
      <c r="CDA31" s="1688"/>
      <c r="CDB31" s="1688"/>
      <c r="CDC31" s="1688"/>
      <c r="CDD31" s="1688"/>
      <c r="CDE31" s="1688"/>
      <c r="CDF31" s="1688"/>
      <c r="CDG31" s="1688"/>
      <c r="CDH31" s="1688"/>
      <c r="CDI31" s="1688"/>
      <c r="CDJ31" s="1688"/>
      <c r="CDK31" s="1688"/>
      <c r="CDL31" s="1688"/>
      <c r="CDM31" s="1688"/>
      <c r="CDN31" s="1688"/>
      <c r="CDO31" s="1688"/>
      <c r="CDP31" s="1688"/>
      <c r="CDQ31" s="1688"/>
      <c r="CDR31" s="1688"/>
      <c r="CDS31" s="1688"/>
      <c r="CDT31" s="1688"/>
      <c r="CDU31" s="1688"/>
      <c r="CDV31" s="1688"/>
      <c r="CDW31" s="1688"/>
      <c r="CDX31" s="1688"/>
      <c r="CDY31" s="1688"/>
      <c r="CDZ31" s="1688"/>
      <c r="CEA31" s="1688"/>
      <c r="CEB31" s="1688"/>
      <c r="CEC31" s="1688"/>
      <c r="CED31" s="1688"/>
      <c r="CEE31" s="1688"/>
      <c r="CEF31" s="1688"/>
      <c r="CEG31" s="1688"/>
      <c r="CEH31" s="1688"/>
      <c r="CEI31" s="1688"/>
      <c r="CEJ31" s="1688"/>
      <c r="CEK31" s="1688"/>
      <c r="CEL31" s="1688"/>
      <c r="CEM31" s="1688"/>
      <c r="CEN31" s="1688"/>
      <c r="CEO31" s="1688"/>
      <c r="CEP31" s="1688"/>
      <c r="CEQ31" s="1688"/>
      <c r="CER31" s="1688"/>
      <c r="CES31" s="1688"/>
      <c r="CET31" s="1688"/>
      <c r="CEU31" s="1688"/>
      <c r="CEV31" s="1688"/>
      <c r="CEW31" s="1688"/>
      <c r="CEX31" s="1688"/>
      <c r="CEY31" s="1688"/>
      <c r="CEZ31" s="1688"/>
      <c r="CFA31" s="1688"/>
      <c r="CFB31" s="1688"/>
      <c r="CFC31" s="1688"/>
      <c r="CFD31" s="1688"/>
      <c r="CFE31" s="1688"/>
      <c r="CFF31" s="1688"/>
      <c r="CFG31" s="1688"/>
      <c r="CFH31" s="1688"/>
      <c r="CFI31" s="1688"/>
      <c r="CFJ31" s="1688"/>
      <c r="CFK31" s="1688"/>
      <c r="CFL31" s="1688"/>
      <c r="CFM31" s="1688"/>
      <c r="CFN31" s="1688"/>
      <c r="CFO31" s="1688"/>
      <c r="CFP31" s="1688"/>
      <c r="CFQ31" s="1688"/>
      <c r="CFR31" s="1688"/>
      <c r="CFS31" s="1688"/>
      <c r="CFT31" s="1688"/>
      <c r="CFU31" s="1688"/>
      <c r="CFV31" s="1688"/>
      <c r="CFW31" s="1688"/>
      <c r="CFX31" s="1688"/>
      <c r="CFY31" s="1688"/>
      <c r="CFZ31" s="1688"/>
      <c r="CGA31" s="1688"/>
      <c r="CGB31" s="1688"/>
      <c r="CGC31" s="1688"/>
      <c r="CGD31" s="1688"/>
      <c r="CGE31" s="1688"/>
      <c r="CGF31" s="1688"/>
      <c r="CGG31" s="1688"/>
      <c r="CGH31" s="1688"/>
      <c r="CGI31" s="1688"/>
      <c r="CGJ31" s="1688"/>
      <c r="CGK31" s="1688"/>
      <c r="CGL31" s="1688"/>
      <c r="CGM31" s="1688"/>
      <c r="CGN31" s="1688"/>
      <c r="CGO31" s="1688"/>
      <c r="CGP31" s="1688"/>
      <c r="CGQ31" s="1688"/>
      <c r="CGR31" s="1688"/>
      <c r="CGS31" s="1688"/>
      <c r="CGT31" s="1688"/>
      <c r="CGU31" s="1688"/>
      <c r="CGV31" s="1688"/>
      <c r="CGW31" s="1688"/>
      <c r="CGX31" s="1688"/>
      <c r="CGY31" s="1688"/>
      <c r="CGZ31" s="1688"/>
      <c r="CHA31" s="1688"/>
      <c r="CHB31" s="1688"/>
      <c r="CHC31" s="1688"/>
      <c r="CHD31" s="1688"/>
      <c r="CHE31" s="1688"/>
      <c r="CHF31" s="1688"/>
      <c r="CHG31" s="1688"/>
      <c r="CHH31" s="1688"/>
      <c r="CHI31" s="1688"/>
      <c r="CHJ31" s="1688"/>
      <c r="CHK31" s="1688"/>
      <c r="CHL31" s="1688"/>
      <c r="CHM31" s="1688"/>
      <c r="CHN31" s="1688"/>
      <c r="CHO31" s="1688"/>
      <c r="CHP31" s="1688"/>
      <c r="CHQ31" s="1688"/>
      <c r="CHR31" s="1688"/>
      <c r="CHS31" s="1688"/>
      <c r="CHT31" s="1688"/>
      <c r="CHU31" s="1688"/>
      <c r="CHV31" s="1688"/>
      <c r="CHW31" s="1688"/>
      <c r="CHX31" s="1688"/>
      <c r="CHY31" s="1688"/>
      <c r="CHZ31" s="1688"/>
      <c r="CIA31" s="1688"/>
      <c r="CIB31" s="1688"/>
      <c r="CIC31" s="1688"/>
      <c r="CID31" s="1688"/>
      <c r="CIE31" s="1688"/>
      <c r="CIF31" s="1688"/>
      <c r="CIG31" s="1688"/>
      <c r="CIH31" s="1688"/>
      <c r="CII31" s="1688"/>
      <c r="CIJ31" s="1688"/>
      <c r="CIK31" s="1688"/>
      <c r="CIL31" s="1688"/>
      <c r="CIM31" s="1688"/>
      <c r="CIN31" s="1688"/>
      <c r="CIO31" s="1688"/>
      <c r="CIP31" s="1688"/>
      <c r="CIQ31" s="1688"/>
      <c r="CIR31" s="1688"/>
      <c r="CIS31" s="1688"/>
      <c r="CIT31" s="1688"/>
      <c r="CIU31" s="1688"/>
      <c r="CIV31" s="1688"/>
      <c r="CIW31" s="1688"/>
      <c r="CIX31" s="1688"/>
      <c r="CIY31" s="1688"/>
      <c r="CIZ31" s="1688"/>
      <c r="CJA31" s="1688"/>
      <c r="CJB31" s="1688"/>
      <c r="CJC31" s="1688"/>
      <c r="CJD31" s="1688"/>
      <c r="CJE31" s="1688"/>
      <c r="CJF31" s="1688"/>
      <c r="CJG31" s="1688"/>
      <c r="CJH31" s="1688"/>
      <c r="CJI31" s="1688"/>
      <c r="CJJ31" s="1688"/>
      <c r="CJK31" s="1688"/>
      <c r="CJL31" s="1688"/>
      <c r="CJM31" s="1688"/>
      <c r="CJN31" s="1688"/>
      <c r="CJO31" s="1688"/>
      <c r="CJP31" s="1688"/>
      <c r="CJQ31" s="1688"/>
      <c r="CJR31" s="1688"/>
      <c r="CJS31" s="1688"/>
      <c r="CJT31" s="1688"/>
      <c r="CJU31" s="1688"/>
      <c r="CJV31" s="1688"/>
      <c r="CJW31" s="1688"/>
      <c r="CJX31" s="1688"/>
      <c r="CJY31" s="1688"/>
      <c r="CJZ31" s="1688"/>
      <c r="CKA31" s="1688"/>
      <c r="CKB31" s="1688"/>
      <c r="CKC31" s="1688"/>
      <c r="CKD31" s="1688"/>
      <c r="CKE31" s="1688"/>
      <c r="CKF31" s="1688"/>
      <c r="CKG31" s="1688"/>
      <c r="CKH31" s="1688"/>
      <c r="CKI31" s="1688"/>
      <c r="CKJ31" s="1688"/>
      <c r="CKK31" s="1688"/>
      <c r="CKL31" s="1688"/>
      <c r="CKM31" s="1688"/>
      <c r="CKN31" s="1688"/>
      <c r="CKO31" s="1688"/>
      <c r="CKP31" s="1688"/>
      <c r="CKQ31" s="1688"/>
      <c r="CKR31" s="1688"/>
      <c r="CKS31" s="1688"/>
      <c r="CKT31" s="1688"/>
      <c r="CKU31" s="1688"/>
      <c r="CKV31" s="1688"/>
      <c r="CKW31" s="1688"/>
      <c r="CKX31" s="1688"/>
      <c r="CKY31" s="1688"/>
      <c r="CKZ31" s="1688"/>
      <c r="CLA31" s="1688"/>
      <c r="CLB31" s="1688"/>
      <c r="CLC31" s="1688"/>
      <c r="CLD31" s="1688"/>
      <c r="CLE31" s="1688"/>
      <c r="CLF31" s="1688"/>
      <c r="CLG31" s="1688"/>
      <c r="CLH31" s="1688"/>
      <c r="CLI31" s="1688"/>
      <c r="CLJ31" s="1688"/>
      <c r="CLK31" s="1688"/>
      <c r="CLL31" s="1688"/>
      <c r="CLM31" s="1688"/>
      <c r="CLN31" s="1688"/>
      <c r="CLO31" s="1688"/>
      <c r="CLP31" s="1688"/>
      <c r="CLQ31" s="1688"/>
      <c r="CLR31" s="1688"/>
      <c r="CLS31" s="1688"/>
      <c r="CLT31" s="1688"/>
      <c r="CLU31" s="1688"/>
      <c r="CLV31" s="1688"/>
      <c r="CLW31" s="1688"/>
      <c r="CLX31" s="1688"/>
      <c r="CLY31" s="1688"/>
      <c r="CLZ31" s="1688"/>
      <c r="CMA31" s="1688"/>
      <c r="CMB31" s="1688"/>
      <c r="CMC31" s="1688"/>
      <c r="CMD31" s="1688"/>
      <c r="CME31" s="1688"/>
      <c r="CMF31" s="1688"/>
      <c r="CMG31" s="1688"/>
      <c r="CMH31" s="1688"/>
      <c r="CMI31" s="1688"/>
      <c r="CMJ31" s="1688"/>
      <c r="CMK31" s="1688"/>
      <c r="CML31" s="1688"/>
      <c r="CMM31" s="1688"/>
      <c r="CMN31" s="1688"/>
      <c r="CMO31" s="1688"/>
      <c r="CMP31" s="1688"/>
      <c r="CMQ31" s="1688"/>
      <c r="CMR31" s="1688"/>
      <c r="CMS31" s="1688"/>
      <c r="CMT31" s="1688"/>
      <c r="CMU31" s="1688"/>
      <c r="CMV31" s="1688"/>
      <c r="CMW31" s="1688"/>
      <c r="CMX31" s="1688"/>
      <c r="CMY31" s="1688"/>
      <c r="CMZ31" s="1688"/>
      <c r="CNA31" s="1688"/>
      <c r="CNB31" s="1688"/>
      <c r="CNC31" s="1688"/>
      <c r="CND31" s="1688"/>
      <c r="CNE31" s="1688"/>
      <c r="CNF31" s="1688"/>
      <c r="CNG31" s="1688"/>
      <c r="CNH31" s="1688"/>
      <c r="CNI31" s="1688"/>
      <c r="CNJ31" s="1688"/>
      <c r="CNK31" s="1688"/>
      <c r="CNL31" s="1688"/>
      <c r="CNM31" s="1688"/>
      <c r="CNN31" s="1688"/>
      <c r="CNO31" s="1688"/>
      <c r="CNP31" s="1688"/>
      <c r="CNQ31" s="1688"/>
      <c r="CNR31" s="1688"/>
      <c r="CNS31" s="1688"/>
      <c r="CNT31" s="1688"/>
      <c r="CNU31" s="1688"/>
      <c r="CNV31" s="1688"/>
      <c r="CNW31" s="1688"/>
      <c r="CNX31" s="1688"/>
      <c r="CNY31" s="1688"/>
      <c r="CNZ31" s="1688"/>
      <c r="COA31" s="1688"/>
      <c r="COB31" s="1688"/>
      <c r="COC31" s="1688"/>
      <c r="COD31" s="1688"/>
      <c r="COE31" s="1688"/>
      <c r="COF31" s="1688"/>
      <c r="COG31" s="1688"/>
      <c r="COH31" s="1688"/>
      <c r="COI31" s="1688"/>
      <c r="COJ31" s="1688"/>
      <c r="COK31" s="1688"/>
      <c r="COL31" s="1688"/>
      <c r="COM31" s="1688"/>
      <c r="CON31" s="1688"/>
      <c r="COO31" s="1688"/>
      <c r="COP31" s="1688"/>
      <c r="COQ31" s="1688"/>
      <c r="COR31" s="1688"/>
      <c r="COS31" s="1688"/>
      <c r="COT31" s="1688"/>
      <c r="COU31" s="1688"/>
      <c r="COV31" s="1688"/>
      <c r="COW31" s="1688"/>
      <c r="COX31" s="1688"/>
      <c r="COY31" s="1688"/>
      <c r="COZ31" s="1688"/>
      <c r="CPA31" s="1688"/>
      <c r="CPB31" s="1688"/>
      <c r="CPC31" s="1688"/>
      <c r="CPD31" s="1688"/>
      <c r="CPE31" s="1688"/>
      <c r="CPF31" s="1688"/>
      <c r="CPG31" s="1688"/>
      <c r="CPH31" s="1688"/>
      <c r="CPI31" s="1688"/>
      <c r="CPJ31" s="1688"/>
      <c r="CPK31" s="1688"/>
      <c r="CPL31" s="1688"/>
      <c r="CPM31" s="1688"/>
      <c r="CPN31" s="1688"/>
      <c r="CPO31" s="1688"/>
      <c r="CPP31" s="1688"/>
      <c r="CPQ31" s="1688"/>
      <c r="CPR31" s="1688"/>
      <c r="CPS31" s="1688"/>
      <c r="CPT31" s="1688"/>
      <c r="CPU31" s="1688"/>
      <c r="CPV31" s="1688"/>
      <c r="CPW31" s="1688"/>
      <c r="CPX31" s="1688"/>
      <c r="CPY31" s="1688"/>
      <c r="CPZ31" s="1688"/>
      <c r="CQA31" s="1688"/>
      <c r="CQB31" s="1688"/>
      <c r="CQC31" s="1688"/>
      <c r="CQD31" s="1688"/>
      <c r="CQE31" s="1688"/>
      <c r="CQF31" s="1688"/>
      <c r="CQG31" s="1688"/>
      <c r="CQH31" s="1688"/>
      <c r="CQI31" s="1688"/>
      <c r="CQJ31" s="1688"/>
      <c r="CQK31" s="1688"/>
      <c r="CQL31" s="1688"/>
      <c r="CQM31" s="1688"/>
      <c r="CQN31" s="1688"/>
      <c r="CQO31" s="1688"/>
      <c r="CQP31" s="1688"/>
      <c r="CQQ31" s="1688"/>
      <c r="CQR31" s="1688"/>
      <c r="CQS31" s="1688"/>
      <c r="CQT31" s="1688"/>
      <c r="CQU31" s="1688"/>
      <c r="CQV31" s="1688"/>
      <c r="CQW31" s="1688"/>
      <c r="CQX31" s="1688"/>
      <c r="CQY31" s="1688"/>
      <c r="CQZ31" s="1688"/>
      <c r="CRA31" s="1688"/>
      <c r="CRB31" s="1688"/>
      <c r="CRC31" s="1688"/>
      <c r="CRD31" s="1688"/>
      <c r="CRE31" s="1688"/>
      <c r="CRF31" s="1688"/>
      <c r="CRG31" s="1688"/>
      <c r="CRH31" s="1688"/>
      <c r="CRI31" s="1688"/>
      <c r="CRJ31" s="1688"/>
      <c r="CRK31" s="1688"/>
      <c r="CRL31" s="1688"/>
      <c r="CRM31" s="1688"/>
      <c r="CRN31" s="1688"/>
      <c r="CRO31" s="1688"/>
      <c r="CRP31" s="1688"/>
      <c r="CRQ31" s="1688"/>
      <c r="CRR31" s="1688"/>
      <c r="CRS31" s="1688"/>
      <c r="CRT31" s="1688"/>
      <c r="CRU31" s="1688"/>
      <c r="CRV31" s="1688"/>
      <c r="CRW31" s="1688"/>
      <c r="CRX31" s="1688"/>
      <c r="CRY31" s="1688"/>
      <c r="CRZ31" s="1688"/>
      <c r="CSA31" s="1688"/>
      <c r="CSB31" s="1688"/>
      <c r="CSC31" s="1688"/>
      <c r="CSD31" s="1688"/>
      <c r="CSE31" s="1688"/>
      <c r="CSF31" s="1688"/>
      <c r="CSG31" s="1688"/>
      <c r="CSH31" s="1688"/>
      <c r="CSI31" s="1688"/>
      <c r="CSJ31" s="1688"/>
      <c r="CSK31" s="1688"/>
      <c r="CSL31" s="1688"/>
      <c r="CSM31" s="1688"/>
      <c r="CSN31" s="1688"/>
      <c r="CSO31" s="1688"/>
      <c r="CSP31" s="1688"/>
      <c r="CSQ31" s="1688"/>
      <c r="CSR31" s="1688"/>
      <c r="CSS31" s="1688"/>
      <c r="CST31" s="1688"/>
      <c r="CSU31" s="1688"/>
      <c r="CSV31" s="1688"/>
      <c r="CSW31" s="1688"/>
      <c r="CSX31" s="1688"/>
      <c r="CSY31" s="1688"/>
      <c r="CSZ31" s="1688"/>
      <c r="CTA31" s="1688"/>
      <c r="CTB31" s="1688"/>
      <c r="CTC31" s="1688"/>
      <c r="CTD31" s="1688"/>
      <c r="CTE31" s="1688"/>
      <c r="CTF31" s="1688"/>
      <c r="CTG31" s="1688"/>
      <c r="CTH31" s="1688"/>
      <c r="CTI31" s="1688"/>
      <c r="CTJ31" s="1688"/>
      <c r="CTK31" s="1688"/>
      <c r="CTL31" s="1688"/>
      <c r="CTM31" s="1688"/>
      <c r="CTN31" s="1688"/>
      <c r="CTO31" s="1688"/>
      <c r="CTP31" s="1688"/>
      <c r="CTQ31" s="1688"/>
      <c r="CTR31" s="1688"/>
      <c r="CTS31" s="1688"/>
      <c r="CTT31" s="1688"/>
      <c r="CTU31" s="1688"/>
      <c r="CTV31" s="1688"/>
      <c r="CTW31" s="1688"/>
      <c r="CTX31" s="1688"/>
      <c r="CTY31" s="1688"/>
      <c r="CTZ31" s="1688"/>
      <c r="CUA31" s="1688"/>
      <c r="CUB31" s="1688"/>
      <c r="CUC31" s="1688"/>
      <c r="CUD31" s="1688"/>
      <c r="CUE31" s="1688"/>
      <c r="CUF31" s="1688"/>
      <c r="CUG31" s="1688"/>
      <c r="CUH31" s="1688"/>
      <c r="CUI31" s="1688"/>
      <c r="CUJ31" s="1688"/>
      <c r="CUK31" s="1688"/>
      <c r="CUL31" s="1688"/>
      <c r="CUM31" s="1688"/>
      <c r="CUN31" s="1688"/>
      <c r="CUO31" s="1688"/>
      <c r="CUP31" s="1688"/>
      <c r="CUQ31" s="1688"/>
      <c r="CUR31" s="1688"/>
      <c r="CUS31" s="1688"/>
      <c r="CUT31" s="1688"/>
      <c r="CUU31" s="1688"/>
      <c r="CUV31" s="1688"/>
      <c r="CUW31" s="1688"/>
      <c r="CUX31" s="1688"/>
      <c r="CUY31" s="1688"/>
      <c r="CUZ31" s="1688"/>
      <c r="CVA31" s="1688"/>
      <c r="CVB31" s="1688"/>
      <c r="CVC31" s="1688"/>
      <c r="CVD31" s="1688"/>
      <c r="CVE31" s="1688"/>
      <c r="CVF31" s="1688"/>
      <c r="CVG31" s="1688"/>
      <c r="CVH31" s="1688"/>
      <c r="CVI31" s="1688"/>
      <c r="CVJ31" s="1688"/>
      <c r="CVK31" s="1688"/>
      <c r="CVL31" s="1688"/>
      <c r="CVM31" s="1688"/>
      <c r="CVN31" s="1688"/>
      <c r="CVO31" s="1688"/>
      <c r="CVP31" s="1688"/>
      <c r="CVQ31" s="1688"/>
      <c r="CVR31" s="1688"/>
      <c r="CVS31" s="1688"/>
      <c r="CVT31" s="1688"/>
      <c r="CVU31" s="1688"/>
      <c r="CVV31" s="1688"/>
      <c r="CVW31" s="1688"/>
      <c r="CVX31" s="1688"/>
      <c r="CVY31" s="1688"/>
      <c r="CVZ31" s="1688"/>
      <c r="CWA31" s="1688"/>
      <c r="CWB31" s="1688"/>
      <c r="CWC31" s="1688"/>
      <c r="CWD31" s="1688"/>
      <c r="CWE31" s="1688"/>
      <c r="CWF31" s="1688"/>
      <c r="CWG31" s="1688"/>
      <c r="CWH31" s="1688"/>
      <c r="CWI31" s="1688"/>
      <c r="CWJ31" s="1688"/>
      <c r="CWK31" s="1688"/>
      <c r="CWL31" s="1688"/>
      <c r="CWM31" s="1688"/>
      <c r="CWN31" s="1688"/>
      <c r="CWO31" s="1688"/>
      <c r="CWP31" s="1688"/>
      <c r="CWQ31" s="1688"/>
      <c r="CWR31" s="1688"/>
      <c r="CWS31" s="1688"/>
      <c r="CWT31" s="1688"/>
      <c r="CWU31" s="1688"/>
      <c r="CWV31" s="1688"/>
      <c r="CWW31" s="1688"/>
      <c r="CWX31" s="1688"/>
      <c r="CWY31" s="1688"/>
      <c r="CWZ31" s="1688"/>
      <c r="CXA31" s="1688"/>
      <c r="CXB31" s="1688"/>
      <c r="CXC31" s="1688"/>
      <c r="CXD31" s="1688"/>
      <c r="CXE31" s="1688"/>
      <c r="CXF31" s="1688"/>
      <c r="CXG31" s="1688"/>
      <c r="CXH31" s="1688"/>
      <c r="CXI31" s="1688"/>
      <c r="CXJ31" s="1688"/>
      <c r="CXK31" s="1688"/>
      <c r="CXL31" s="1688"/>
      <c r="CXM31" s="1688"/>
      <c r="CXN31" s="1688"/>
      <c r="CXO31" s="1688"/>
      <c r="CXP31" s="1688"/>
      <c r="CXQ31" s="1688"/>
      <c r="CXR31" s="1688"/>
      <c r="CXS31" s="1688"/>
      <c r="CXT31" s="1688"/>
      <c r="CXU31" s="1688"/>
      <c r="CXV31" s="1688"/>
      <c r="CXW31" s="1688"/>
      <c r="CXX31" s="1688"/>
      <c r="CXY31" s="1688"/>
      <c r="CXZ31" s="1688"/>
      <c r="CYA31" s="1688"/>
      <c r="CYB31" s="1688"/>
      <c r="CYC31" s="1688"/>
      <c r="CYD31" s="1688"/>
      <c r="CYE31" s="1688"/>
      <c r="CYF31" s="1688"/>
      <c r="CYG31" s="1688"/>
      <c r="CYH31" s="1688"/>
      <c r="CYI31" s="1688"/>
      <c r="CYJ31" s="1688"/>
      <c r="CYK31" s="1688"/>
      <c r="CYL31" s="1688"/>
      <c r="CYM31" s="1688"/>
      <c r="CYN31" s="1688"/>
      <c r="CYO31" s="1688"/>
      <c r="CYP31" s="1688"/>
      <c r="CYQ31" s="1688"/>
      <c r="CYR31" s="1688"/>
      <c r="CYS31" s="1688"/>
      <c r="CYT31" s="1688"/>
      <c r="CYU31" s="1688"/>
      <c r="CYV31" s="1688"/>
      <c r="CYW31" s="1688"/>
      <c r="CYX31" s="1688"/>
      <c r="CYY31" s="1688"/>
      <c r="CYZ31" s="1688"/>
      <c r="CZA31" s="1688"/>
      <c r="CZB31" s="1688"/>
      <c r="CZC31" s="1688"/>
      <c r="CZD31" s="1688"/>
      <c r="CZE31" s="1688"/>
      <c r="CZF31" s="1688"/>
      <c r="CZG31" s="1688"/>
      <c r="CZH31" s="1688"/>
      <c r="CZI31" s="1688"/>
      <c r="CZJ31" s="1688"/>
      <c r="CZK31" s="1688"/>
      <c r="CZL31" s="1688"/>
      <c r="CZM31" s="1688"/>
      <c r="CZN31" s="1688"/>
      <c r="CZO31" s="1688"/>
      <c r="CZP31" s="1688"/>
      <c r="CZQ31" s="1688"/>
      <c r="CZR31" s="1688"/>
      <c r="CZS31" s="1688"/>
      <c r="CZT31" s="1688"/>
      <c r="CZU31" s="1688"/>
      <c r="CZV31" s="1688"/>
      <c r="CZW31" s="1688"/>
      <c r="CZX31" s="1688"/>
      <c r="CZY31" s="1688"/>
      <c r="CZZ31" s="1688"/>
      <c r="DAA31" s="1688"/>
      <c r="DAB31" s="1688"/>
      <c r="DAC31" s="1688"/>
      <c r="DAD31" s="1688"/>
      <c r="DAE31" s="1688"/>
      <c r="DAF31" s="1688"/>
      <c r="DAG31" s="1688"/>
      <c r="DAH31" s="1688"/>
      <c r="DAI31" s="1688"/>
      <c r="DAJ31" s="1688"/>
      <c r="DAK31" s="1688"/>
      <c r="DAL31" s="1688"/>
      <c r="DAM31" s="1688"/>
      <c r="DAN31" s="1688"/>
      <c r="DAO31" s="1688"/>
      <c r="DAP31" s="1688"/>
      <c r="DAQ31" s="1688"/>
      <c r="DAR31" s="1688"/>
      <c r="DAS31" s="1688"/>
      <c r="DAT31" s="1688"/>
      <c r="DAU31" s="1688"/>
      <c r="DAV31" s="1688"/>
      <c r="DAW31" s="1688"/>
      <c r="DAX31" s="1688"/>
      <c r="DAY31" s="1688"/>
      <c r="DAZ31" s="1688"/>
      <c r="DBA31" s="1688"/>
      <c r="DBB31" s="1688"/>
      <c r="DBC31" s="1688"/>
      <c r="DBD31" s="1688"/>
      <c r="DBE31" s="1688"/>
      <c r="DBF31" s="1688"/>
      <c r="DBG31" s="1688"/>
      <c r="DBH31" s="1688"/>
      <c r="DBI31" s="1688"/>
      <c r="DBJ31" s="1688"/>
      <c r="DBK31" s="1688"/>
      <c r="DBL31" s="1688"/>
      <c r="DBM31" s="1688"/>
      <c r="DBN31" s="1688"/>
      <c r="DBO31" s="1688"/>
      <c r="DBP31" s="1688"/>
      <c r="DBQ31" s="1688"/>
      <c r="DBR31" s="1688"/>
      <c r="DBS31" s="1688"/>
      <c r="DBT31" s="1688"/>
      <c r="DBU31" s="1688"/>
      <c r="DBV31" s="1688"/>
      <c r="DBW31" s="1688"/>
      <c r="DBX31" s="1688"/>
      <c r="DBY31" s="1688"/>
      <c r="DBZ31" s="1688"/>
      <c r="DCA31" s="1688"/>
      <c r="DCB31" s="1688"/>
      <c r="DCC31" s="1688"/>
      <c r="DCD31" s="1688"/>
      <c r="DCE31" s="1688"/>
      <c r="DCF31" s="1688"/>
      <c r="DCG31" s="1688"/>
      <c r="DCH31" s="1688"/>
      <c r="DCI31" s="1688"/>
      <c r="DCJ31" s="1688"/>
      <c r="DCK31" s="1688"/>
      <c r="DCL31" s="1688"/>
      <c r="DCM31" s="1688"/>
      <c r="DCN31" s="1688"/>
      <c r="DCO31" s="1688"/>
      <c r="DCP31" s="1688"/>
      <c r="DCQ31" s="1688"/>
      <c r="DCR31" s="1688"/>
      <c r="DCS31" s="1688"/>
      <c r="DCT31" s="1688"/>
      <c r="DCU31" s="1688"/>
      <c r="DCV31" s="1688"/>
      <c r="DCW31" s="1688"/>
      <c r="DCX31" s="1688"/>
      <c r="DCY31" s="1688"/>
      <c r="DCZ31" s="1688"/>
      <c r="DDA31" s="1688"/>
      <c r="DDB31" s="1688"/>
      <c r="DDC31" s="1688"/>
      <c r="DDD31" s="1688"/>
      <c r="DDE31" s="1688"/>
      <c r="DDF31" s="1688"/>
      <c r="DDG31" s="1688"/>
      <c r="DDH31" s="1688"/>
      <c r="DDI31" s="1688"/>
      <c r="DDJ31" s="1688"/>
      <c r="DDK31" s="1688"/>
      <c r="DDL31" s="1688"/>
      <c r="DDM31" s="1688"/>
      <c r="DDN31" s="1688"/>
      <c r="DDO31" s="1688"/>
      <c r="DDP31" s="1688"/>
      <c r="DDQ31" s="1688"/>
      <c r="DDR31" s="1688"/>
      <c r="DDS31" s="1688"/>
      <c r="DDT31" s="1688"/>
      <c r="DDU31" s="1688"/>
      <c r="DDV31" s="1688"/>
      <c r="DDW31" s="1688"/>
      <c r="DDX31" s="1688"/>
      <c r="DDY31" s="1688"/>
      <c r="DDZ31" s="1688"/>
      <c r="DEA31" s="1688"/>
      <c r="DEB31" s="1688"/>
      <c r="DEC31" s="1688"/>
      <c r="DED31" s="1688"/>
      <c r="DEE31" s="1688"/>
      <c r="DEF31" s="1688"/>
      <c r="DEG31" s="1688"/>
      <c r="DEH31" s="1688"/>
      <c r="DEI31" s="1688"/>
      <c r="DEJ31" s="1688"/>
      <c r="DEK31" s="1688"/>
      <c r="DEL31" s="1688"/>
      <c r="DEM31" s="1688"/>
      <c r="DEN31" s="1688"/>
      <c r="DEO31" s="1688"/>
      <c r="DEP31" s="1688"/>
      <c r="DEQ31" s="1688"/>
      <c r="DER31" s="1688"/>
      <c r="DES31" s="1688"/>
      <c r="DET31" s="1688"/>
      <c r="DEU31" s="1688"/>
      <c r="DEV31" s="1688"/>
      <c r="DEW31" s="1688"/>
      <c r="DEX31" s="1688"/>
      <c r="DEY31" s="1688"/>
      <c r="DEZ31" s="1688"/>
      <c r="DFA31" s="1688"/>
      <c r="DFB31" s="1688"/>
      <c r="DFC31" s="1688"/>
      <c r="DFD31" s="1688"/>
      <c r="DFE31" s="1688"/>
      <c r="DFF31" s="1688"/>
      <c r="DFG31" s="1688"/>
      <c r="DFH31" s="1688"/>
      <c r="DFI31" s="1688"/>
      <c r="DFJ31" s="1688"/>
      <c r="DFK31" s="1688"/>
      <c r="DFL31" s="1688"/>
      <c r="DFM31" s="1688"/>
      <c r="DFN31" s="1688"/>
      <c r="DFO31" s="1688"/>
      <c r="DFP31" s="1688"/>
      <c r="DFQ31" s="1688"/>
      <c r="DFR31" s="1688"/>
      <c r="DFS31" s="1688"/>
      <c r="DFT31" s="1688"/>
      <c r="DFU31" s="1688"/>
      <c r="DFV31" s="1688"/>
      <c r="DFW31" s="1688"/>
      <c r="DFX31" s="1688"/>
      <c r="DFY31" s="1688"/>
      <c r="DFZ31" s="1688"/>
      <c r="DGA31" s="1688"/>
      <c r="DGB31" s="1688"/>
      <c r="DGC31" s="1688"/>
      <c r="DGD31" s="1688"/>
      <c r="DGE31" s="1688"/>
      <c r="DGF31" s="1688"/>
      <c r="DGG31" s="1688"/>
      <c r="DGH31" s="1688"/>
      <c r="DGI31" s="1688"/>
      <c r="DGJ31" s="1688"/>
      <c r="DGK31" s="1688"/>
      <c r="DGL31" s="1688"/>
      <c r="DGM31" s="1688"/>
      <c r="DGN31" s="1688"/>
      <c r="DGO31" s="1688"/>
      <c r="DGP31" s="1688"/>
      <c r="DGQ31" s="1688"/>
      <c r="DGR31" s="1688"/>
      <c r="DGS31" s="1688"/>
      <c r="DGT31" s="1688"/>
      <c r="DGU31" s="1688"/>
      <c r="DGV31" s="1688"/>
      <c r="DGW31" s="1688"/>
      <c r="DGX31" s="1688"/>
      <c r="DGY31" s="1688"/>
      <c r="DGZ31" s="1688"/>
      <c r="DHA31" s="1688"/>
      <c r="DHB31" s="1688"/>
      <c r="DHC31" s="1688"/>
      <c r="DHD31" s="1688"/>
      <c r="DHE31" s="1688"/>
      <c r="DHF31" s="1688"/>
      <c r="DHG31" s="1688"/>
      <c r="DHH31" s="1688"/>
      <c r="DHI31" s="1688"/>
      <c r="DHJ31" s="1688"/>
      <c r="DHK31" s="1688"/>
      <c r="DHL31" s="1688"/>
      <c r="DHM31" s="1688"/>
      <c r="DHN31" s="1688"/>
      <c r="DHO31" s="1688"/>
      <c r="DHP31" s="1688"/>
      <c r="DHQ31" s="1688"/>
      <c r="DHR31" s="1688"/>
      <c r="DHS31" s="1688"/>
      <c r="DHT31" s="1688"/>
      <c r="DHU31" s="1688"/>
      <c r="DHV31" s="1688"/>
      <c r="DHW31" s="1688"/>
      <c r="DHX31" s="1688"/>
      <c r="DHY31" s="1688"/>
      <c r="DHZ31" s="1688"/>
      <c r="DIA31" s="1688"/>
      <c r="DIB31" s="1688"/>
      <c r="DIC31" s="1688"/>
      <c r="DID31" s="1688"/>
      <c r="DIE31" s="1688"/>
      <c r="DIF31" s="1688"/>
      <c r="DIG31" s="1688"/>
      <c r="DIH31" s="1688"/>
      <c r="DII31" s="1688"/>
      <c r="DIJ31" s="1688"/>
      <c r="DIK31" s="1688"/>
      <c r="DIL31" s="1688"/>
      <c r="DIM31" s="1688"/>
      <c r="DIN31" s="1688"/>
      <c r="DIO31" s="1688"/>
      <c r="DIP31" s="1688"/>
      <c r="DIQ31" s="1688"/>
      <c r="DIR31" s="1688"/>
      <c r="DIS31" s="1688"/>
      <c r="DIT31" s="1688"/>
      <c r="DIU31" s="1688"/>
      <c r="DIV31" s="1688"/>
      <c r="DIW31" s="1688"/>
      <c r="DIX31" s="1688"/>
      <c r="DIY31" s="1688"/>
      <c r="DIZ31" s="1688"/>
      <c r="DJA31" s="1688"/>
      <c r="DJB31" s="1688"/>
      <c r="DJC31" s="1688"/>
      <c r="DJD31" s="1688"/>
      <c r="DJE31" s="1688"/>
      <c r="DJF31" s="1688"/>
      <c r="DJG31" s="1688"/>
      <c r="DJH31" s="1688"/>
      <c r="DJI31" s="1688"/>
      <c r="DJJ31" s="1688"/>
      <c r="DJK31" s="1688"/>
      <c r="DJL31" s="1688"/>
      <c r="DJM31" s="1688"/>
      <c r="DJN31" s="1688"/>
      <c r="DJO31" s="1688"/>
      <c r="DJP31" s="1688"/>
      <c r="DJQ31" s="1688"/>
      <c r="DJR31" s="1688"/>
      <c r="DJS31" s="1688"/>
      <c r="DJT31" s="1688"/>
      <c r="DJU31" s="1688"/>
      <c r="DJV31" s="1688"/>
      <c r="DJW31" s="1688"/>
      <c r="DJX31" s="1688"/>
      <c r="DJY31" s="1688"/>
      <c r="DJZ31" s="1688"/>
      <c r="DKA31" s="1688"/>
      <c r="DKB31" s="1688"/>
      <c r="DKC31" s="1688"/>
      <c r="DKD31" s="1688"/>
      <c r="DKE31" s="1688"/>
      <c r="DKF31" s="1688"/>
      <c r="DKG31" s="1688"/>
      <c r="DKH31" s="1688"/>
      <c r="DKI31" s="1688"/>
      <c r="DKJ31" s="1688"/>
      <c r="DKK31" s="1688"/>
      <c r="DKL31" s="1688"/>
      <c r="DKM31" s="1688"/>
      <c r="DKN31" s="1688"/>
      <c r="DKO31" s="1688"/>
      <c r="DKP31" s="1688"/>
      <c r="DKQ31" s="1688"/>
      <c r="DKR31" s="1688"/>
      <c r="DKS31" s="1688"/>
      <c r="DKT31" s="1688"/>
      <c r="DKU31" s="1688"/>
      <c r="DKV31" s="1688"/>
      <c r="DKW31" s="1688"/>
      <c r="DKX31" s="1688"/>
      <c r="DKY31" s="1688"/>
      <c r="DKZ31" s="1688"/>
      <c r="DLA31" s="1688"/>
      <c r="DLB31" s="1688"/>
      <c r="DLC31" s="1688"/>
      <c r="DLD31" s="1688"/>
      <c r="DLE31" s="1688"/>
      <c r="DLF31" s="1688"/>
      <c r="DLG31" s="1688"/>
      <c r="DLH31" s="1688"/>
      <c r="DLI31" s="1688"/>
      <c r="DLJ31" s="1688"/>
      <c r="DLK31" s="1688"/>
      <c r="DLL31" s="1688"/>
      <c r="DLM31" s="1688"/>
      <c r="DLN31" s="1688"/>
      <c r="DLO31" s="1688"/>
      <c r="DLP31" s="1688"/>
      <c r="DLQ31" s="1688"/>
      <c r="DLR31" s="1688"/>
      <c r="DLS31" s="1688"/>
      <c r="DLT31" s="1688"/>
      <c r="DLU31" s="1688"/>
      <c r="DLV31" s="1688"/>
      <c r="DLW31" s="1688"/>
      <c r="DLX31" s="1688"/>
      <c r="DLY31" s="1688"/>
      <c r="DLZ31" s="1688"/>
      <c r="DMA31" s="1688"/>
      <c r="DMB31" s="1688"/>
      <c r="DMC31" s="1688"/>
      <c r="DMD31" s="1688"/>
      <c r="DME31" s="1688"/>
      <c r="DMF31" s="1688"/>
      <c r="DMG31" s="1688"/>
      <c r="DMH31" s="1688"/>
      <c r="DMI31" s="1688"/>
      <c r="DMJ31" s="1688"/>
      <c r="DMK31" s="1688"/>
      <c r="DML31" s="1688"/>
      <c r="DMM31" s="1688"/>
      <c r="DMN31" s="1688"/>
      <c r="DMO31" s="1688"/>
      <c r="DMP31" s="1688"/>
      <c r="DMQ31" s="1688"/>
      <c r="DMR31" s="1688"/>
      <c r="DMS31" s="1688"/>
      <c r="DMT31" s="1688"/>
      <c r="DMU31" s="1688"/>
      <c r="DMV31" s="1688"/>
      <c r="DMW31" s="1688"/>
      <c r="DMX31" s="1688"/>
      <c r="DMY31" s="1688"/>
      <c r="DMZ31" s="1688"/>
      <c r="DNA31" s="1688"/>
      <c r="DNB31" s="1688"/>
      <c r="DNC31" s="1688"/>
      <c r="DND31" s="1688"/>
      <c r="DNE31" s="1688"/>
      <c r="DNF31" s="1688"/>
      <c r="DNG31" s="1688"/>
      <c r="DNH31" s="1688"/>
      <c r="DNI31" s="1688"/>
      <c r="DNJ31" s="1688"/>
      <c r="DNK31" s="1688"/>
      <c r="DNL31" s="1688"/>
      <c r="DNM31" s="1688"/>
      <c r="DNN31" s="1688"/>
      <c r="DNO31" s="1688"/>
      <c r="DNP31" s="1688"/>
      <c r="DNQ31" s="1688"/>
      <c r="DNR31" s="1688"/>
      <c r="DNS31" s="1688"/>
      <c r="DNT31" s="1688"/>
      <c r="DNU31" s="1688"/>
      <c r="DNV31" s="1688"/>
      <c r="DNW31" s="1688"/>
      <c r="DNX31" s="1688"/>
      <c r="DNY31" s="1688"/>
      <c r="DNZ31" s="1688"/>
      <c r="DOA31" s="1688"/>
      <c r="DOB31" s="1688"/>
      <c r="DOC31" s="1688"/>
      <c r="DOD31" s="1688"/>
      <c r="DOE31" s="1688"/>
      <c r="DOF31" s="1688"/>
      <c r="DOG31" s="1688"/>
      <c r="DOH31" s="1688"/>
      <c r="DOI31" s="1688"/>
      <c r="DOJ31" s="1688"/>
      <c r="DOK31" s="1688"/>
      <c r="DOL31" s="1688"/>
      <c r="DOM31" s="1688"/>
      <c r="DON31" s="1688"/>
      <c r="DOO31" s="1688"/>
      <c r="DOP31" s="1688"/>
      <c r="DOQ31" s="1688"/>
      <c r="DOR31" s="1688"/>
      <c r="DOS31" s="1688"/>
      <c r="DOT31" s="1688"/>
      <c r="DOU31" s="1688"/>
      <c r="DOV31" s="1688"/>
      <c r="DOW31" s="1688"/>
      <c r="DOX31" s="1688"/>
      <c r="DOY31" s="1688"/>
      <c r="DOZ31" s="1688"/>
      <c r="DPA31" s="1688"/>
      <c r="DPB31" s="1688"/>
      <c r="DPC31" s="1688"/>
      <c r="DPD31" s="1688"/>
      <c r="DPE31" s="1688"/>
      <c r="DPF31" s="1688"/>
      <c r="DPG31" s="1688"/>
      <c r="DPH31" s="1688"/>
      <c r="DPI31" s="1688"/>
      <c r="DPJ31" s="1688"/>
      <c r="DPK31" s="1688"/>
      <c r="DPL31" s="1688"/>
      <c r="DPM31" s="1688"/>
      <c r="DPN31" s="1688"/>
      <c r="DPO31" s="1688"/>
      <c r="DPP31" s="1688"/>
      <c r="DPQ31" s="1688"/>
      <c r="DPR31" s="1688"/>
      <c r="DPS31" s="1688"/>
      <c r="DPT31" s="1688"/>
      <c r="DPU31" s="1688"/>
      <c r="DPV31" s="1688"/>
      <c r="DPW31" s="1688"/>
      <c r="DPX31" s="1688"/>
      <c r="DPY31" s="1688"/>
      <c r="DPZ31" s="1688"/>
      <c r="DQA31" s="1688"/>
      <c r="DQB31" s="1688"/>
      <c r="DQC31" s="1688"/>
      <c r="DQD31" s="1688"/>
      <c r="DQE31" s="1688"/>
      <c r="DQF31" s="1688"/>
      <c r="DQG31" s="1688"/>
      <c r="DQH31" s="1688"/>
      <c r="DQI31" s="1688"/>
      <c r="DQJ31" s="1688"/>
      <c r="DQK31" s="1688"/>
      <c r="DQL31" s="1688"/>
      <c r="DQM31" s="1688"/>
      <c r="DQN31" s="1688"/>
      <c r="DQO31" s="1688"/>
      <c r="DQP31" s="1688"/>
      <c r="DQQ31" s="1688"/>
      <c r="DQR31" s="1688"/>
      <c r="DQS31" s="1688"/>
      <c r="DQT31" s="1688"/>
      <c r="DQU31" s="1688"/>
      <c r="DQV31" s="1688"/>
      <c r="DQW31" s="1688"/>
      <c r="DQX31" s="1688"/>
      <c r="DQY31" s="1688"/>
      <c r="DQZ31" s="1688"/>
      <c r="DRA31" s="1688"/>
      <c r="DRB31" s="1688"/>
      <c r="DRC31" s="1688"/>
      <c r="DRD31" s="1688"/>
      <c r="DRE31" s="1688"/>
      <c r="DRF31" s="1688"/>
      <c r="DRG31" s="1688"/>
      <c r="DRH31" s="1688"/>
      <c r="DRI31" s="1688"/>
      <c r="DRJ31" s="1688"/>
      <c r="DRK31" s="1688"/>
      <c r="DRL31" s="1688"/>
      <c r="DRM31" s="1688"/>
      <c r="DRN31" s="1688"/>
      <c r="DRO31" s="1688"/>
      <c r="DRP31" s="1688"/>
      <c r="DRQ31" s="1688"/>
      <c r="DRR31" s="1688"/>
      <c r="DRS31" s="1688"/>
      <c r="DRT31" s="1688"/>
      <c r="DRU31" s="1688"/>
      <c r="DRV31" s="1688"/>
      <c r="DRW31" s="1688"/>
      <c r="DRX31" s="1688"/>
      <c r="DRY31" s="1688"/>
      <c r="DRZ31" s="1688"/>
      <c r="DSA31" s="1688"/>
      <c r="DSB31" s="1688"/>
      <c r="DSC31" s="1688"/>
      <c r="DSD31" s="1688"/>
      <c r="DSE31" s="1688"/>
      <c r="DSF31" s="1688"/>
      <c r="DSG31" s="1688"/>
      <c r="DSH31" s="1688"/>
      <c r="DSI31" s="1688"/>
      <c r="DSJ31" s="1688"/>
      <c r="DSK31" s="1688"/>
      <c r="DSL31" s="1688"/>
      <c r="DSM31" s="1688"/>
      <c r="DSN31" s="1688"/>
      <c r="DSO31" s="1688"/>
      <c r="DSP31" s="1688"/>
      <c r="DSQ31" s="1688"/>
      <c r="DSR31" s="1688"/>
      <c r="DSS31" s="1688"/>
      <c r="DST31" s="1688"/>
      <c r="DSU31" s="1688"/>
      <c r="DSV31" s="1688"/>
      <c r="DSW31" s="1688"/>
      <c r="DSX31" s="1688"/>
      <c r="DSY31" s="1688"/>
      <c r="DSZ31" s="1688"/>
      <c r="DTA31" s="1688"/>
      <c r="DTB31" s="1688"/>
      <c r="DTC31" s="1688"/>
      <c r="DTD31" s="1688"/>
      <c r="DTE31" s="1688"/>
      <c r="DTF31" s="1688"/>
      <c r="DTG31" s="1688"/>
      <c r="DTH31" s="1688"/>
      <c r="DTI31" s="1688"/>
      <c r="DTJ31" s="1688"/>
      <c r="DTK31" s="1688"/>
      <c r="DTL31" s="1688"/>
      <c r="DTM31" s="1688"/>
      <c r="DTN31" s="1688"/>
      <c r="DTO31" s="1688"/>
      <c r="DTP31" s="1688"/>
      <c r="DTQ31" s="1688"/>
      <c r="DTR31" s="1688"/>
      <c r="DTS31" s="1688"/>
      <c r="DTT31" s="1688"/>
      <c r="DTU31" s="1688"/>
      <c r="DTV31" s="1688"/>
      <c r="DTW31" s="1688"/>
      <c r="DTX31" s="1688"/>
      <c r="DTY31" s="1688"/>
      <c r="DTZ31" s="1688"/>
      <c r="DUA31" s="1688"/>
      <c r="DUB31" s="1688"/>
      <c r="DUC31" s="1688"/>
      <c r="DUD31" s="1688"/>
      <c r="DUE31" s="1688"/>
      <c r="DUF31" s="1688"/>
      <c r="DUG31" s="1688"/>
      <c r="DUH31" s="1688"/>
      <c r="DUI31" s="1688"/>
      <c r="DUJ31" s="1688"/>
      <c r="DUK31" s="1688"/>
      <c r="DUL31" s="1688"/>
      <c r="DUM31" s="1688"/>
      <c r="DUN31" s="1688"/>
      <c r="DUO31" s="1688"/>
      <c r="DUP31" s="1688"/>
      <c r="DUQ31" s="1688"/>
      <c r="DUR31" s="1688"/>
      <c r="DUS31" s="1688"/>
      <c r="DUT31" s="1688"/>
      <c r="DUU31" s="1688"/>
      <c r="DUV31" s="1688"/>
      <c r="DUW31" s="1688"/>
      <c r="DUX31" s="1688"/>
      <c r="DUY31" s="1688"/>
      <c r="DUZ31" s="1688"/>
      <c r="DVA31" s="1688"/>
      <c r="DVB31" s="1688"/>
      <c r="DVC31" s="1688"/>
      <c r="DVD31" s="1688"/>
      <c r="DVE31" s="1688"/>
      <c r="DVF31" s="1688"/>
      <c r="DVG31" s="1688"/>
      <c r="DVH31" s="1688"/>
      <c r="DVI31" s="1688"/>
      <c r="DVJ31" s="1688"/>
      <c r="DVK31" s="1688"/>
      <c r="DVL31" s="1688"/>
      <c r="DVM31" s="1688"/>
      <c r="DVN31" s="1688"/>
      <c r="DVO31" s="1688"/>
      <c r="DVP31" s="1688"/>
      <c r="DVQ31" s="1688"/>
      <c r="DVR31" s="1688"/>
      <c r="DVS31" s="1688"/>
      <c r="DVT31" s="1688"/>
      <c r="DVU31" s="1688"/>
      <c r="DVV31" s="1688"/>
      <c r="DVW31" s="1688"/>
      <c r="DVX31" s="1688"/>
      <c r="DVY31" s="1688"/>
      <c r="DVZ31" s="1688"/>
      <c r="DWA31" s="1688"/>
      <c r="DWB31" s="1688"/>
      <c r="DWC31" s="1688"/>
      <c r="DWD31" s="1688"/>
      <c r="DWE31" s="1688"/>
      <c r="DWF31" s="1688"/>
      <c r="DWG31" s="1688"/>
      <c r="DWH31" s="1688"/>
      <c r="DWI31" s="1688"/>
      <c r="DWJ31" s="1688"/>
      <c r="DWK31" s="1688"/>
      <c r="DWL31" s="1688"/>
      <c r="DWM31" s="1688"/>
      <c r="DWN31" s="1688"/>
      <c r="DWO31" s="1688"/>
      <c r="DWP31" s="1688"/>
      <c r="DWQ31" s="1688"/>
      <c r="DWR31" s="1688"/>
      <c r="DWS31" s="1688"/>
      <c r="DWT31" s="1688"/>
      <c r="DWU31" s="1688"/>
      <c r="DWV31" s="1688"/>
      <c r="DWW31" s="1688"/>
      <c r="DWX31" s="1688"/>
      <c r="DWY31" s="1688"/>
      <c r="DWZ31" s="1688"/>
      <c r="DXA31" s="1688"/>
      <c r="DXB31" s="1688"/>
      <c r="DXC31" s="1688"/>
      <c r="DXD31" s="1688"/>
      <c r="DXE31" s="1688"/>
      <c r="DXF31" s="1688"/>
      <c r="DXG31" s="1688"/>
      <c r="DXH31" s="1688"/>
      <c r="DXI31" s="1688"/>
      <c r="DXJ31" s="1688"/>
      <c r="DXK31" s="1688"/>
      <c r="DXL31" s="1688"/>
      <c r="DXM31" s="1688"/>
      <c r="DXN31" s="1688"/>
      <c r="DXO31" s="1688"/>
      <c r="DXP31" s="1688"/>
      <c r="DXQ31" s="1688"/>
      <c r="DXR31" s="1688"/>
      <c r="DXS31" s="1688"/>
      <c r="DXT31" s="1688"/>
      <c r="DXU31" s="1688"/>
      <c r="DXV31" s="1688"/>
      <c r="DXW31" s="1688"/>
      <c r="DXX31" s="1688"/>
      <c r="DXY31" s="1688"/>
      <c r="DXZ31" s="1688"/>
      <c r="DYA31" s="1688"/>
      <c r="DYB31" s="1688"/>
      <c r="DYC31" s="1688"/>
      <c r="DYD31" s="1688"/>
      <c r="DYE31" s="1688"/>
      <c r="DYF31" s="1688"/>
      <c r="DYG31" s="1688"/>
      <c r="DYH31" s="1688"/>
      <c r="DYI31" s="1688"/>
      <c r="DYJ31" s="1688"/>
      <c r="DYK31" s="1688"/>
      <c r="DYL31" s="1688"/>
      <c r="DYM31" s="1688"/>
      <c r="DYN31" s="1688"/>
      <c r="DYO31" s="1688"/>
      <c r="DYP31" s="1688"/>
      <c r="DYQ31" s="1688"/>
      <c r="DYR31" s="1688"/>
      <c r="DYS31" s="1688"/>
      <c r="DYT31" s="1688"/>
      <c r="DYU31" s="1688"/>
      <c r="DYV31" s="1688"/>
      <c r="DYW31" s="1688"/>
      <c r="DYX31" s="1688"/>
      <c r="DYY31" s="1688"/>
      <c r="DYZ31" s="1688"/>
      <c r="DZA31" s="1688"/>
      <c r="DZB31" s="1688"/>
      <c r="DZC31" s="1688"/>
      <c r="DZD31" s="1688"/>
      <c r="DZE31" s="1688"/>
      <c r="DZF31" s="1688"/>
      <c r="DZG31" s="1688"/>
      <c r="DZH31" s="1688"/>
      <c r="DZI31" s="1688"/>
      <c r="DZJ31" s="1688"/>
      <c r="DZK31" s="1688"/>
      <c r="DZL31" s="1688"/>
      <c r="DZM31" s="1688"/>
      <c r="DZN31" s="1688"/>
      <c r="DZO31" s="1688"/>
      <c r="DZP31" s="1688"/>
      <c r="DZQ31" s="1688"/>
      <c r="DZR31" s="1688"/>
      <c r="DZS31" s="1688"/>
      <c r="DZT31" s="1688"/>
      <c r="DZU31" s="1688"/>
      <c r="DZV31" s="1688"/>
      <c r="DZW31" s="1688"/>
      <c r="DZX31" s="1688"/>
      <c r="DZY31" s="1688"/>
      <c r="DZZ31" s="1688"/>
      <c r="EAA31" s="1688"/>
      <c r="EAB31" s="1688"/>
      <c r="EAC31" s="1688"/>
      <c r="EAD31" s="1688"/>
      <c r="EAE31" s="1688"/>
      <c r="EAF31" s="1688"/>
      <c r="EAG31" s="1688"/>
      <c r="EAH31" s="1688"/>
      <c r="EAI31" s="1688"/>
      <c r="EAJ31" s="1688"/>
      <c r="EAK31" s="1688"/>
      <c r="EAL31" s="1688"/>
      <c r="EAM31" s="1688"/>
      <c r="EAN31" s="1688"/>
      <c r="EAO31" s="1688"/>
      <c r="EAP31" s="1688"/>
      <c r="EAQ31" s="1688"/>
      <c r="EAR31" s="1688"/>
      <c r="EAS31" s="1688"/>
      <c r="EAT31" s="1688"/>
      <c r="EAU31" s="1688"/>
      <c r="EAV31" s="1688"/>
      <c r="EAW31" s="1688"/>
      <c r="EAX31" s="1688"/>
      <c r="EAY31" s="1688"/>
      <c r="EAZ31" s="1688"/>
      <c r="EBA31" s="1688"/>
      <c r="EBB31" s="1688"/>
      <c r="EBC31" s="1688"/>
      <c r="EBD31" s="1688"/>
      <c r="EBE31" s="1688"/>
      <c r="EBF31" s="1688"/>
      <c r="EBG31" s="1688"/>
      <c r="EBH31" s="1688"/>
      <c r="EBI31" s="1688"/>
      <c r="EBJ31" s="1688"/>
      <c r="EBK31" s="1688"/>
      <c r="EBL31" s="1688"/>
      <c r="EBM31" s="1688"/>
      <c r="EBN31" s="1688"/>
      <c r="EBO31" s="1688"/>
      <c r="EBP31" s="1688"/>
      <c r="EBQ31" s="1688"/>
      <c r="EBR31" s="1688"/>
      <c r="EBS31" s="1688"/>
      <c r="EBT31" s="1688"/>
      <c r="EBU31" s="1688"/>
      <c r="EBV31" s="1688"/>
      <c r="EBW31" s="1688"/>
      <c r="EBX31" s="1688"/>
      <c r="EBY31" s="1688"/>
      <c r="EBZ31" s="1688"/>
      <c r="ECA31" s="1688"/>
      <c r="ECB31" s="1688"/>
      <c r="ECC31" s="1688"/>
      <c r="ECD31" s="1688"/>
      <c r="ECE31" s="1688"/>
      <c r="ECF31" s="1688"/>
      <c r="ECG31" s="1688"/>
      <c r="ECH31" s="1688"/>
      <c r="ECI31" s="1688"/>
      <c r="ECJ31" s="1688"/>
      <c r="ECK31" s="1688"/>
      <c r="ECL31" s="1688"/>
      <c r="ECM31" s="1688"/>
      <c r="ECN31" s="1688"/>
      <c r="ECO31" s="1688"/>
      <c r="ECP31" s="1688"/>
      <c r="ECQ31" s="1688"/>
      <c r="ECR31" s="1688"/>
      <c r="ECS31" s="1688"/>
      <c r="ECT31" s="1688"/>
      <c r="ECU31" s="1688"/>
      <c r="ECV31" s="1688"/>
      <c r="ECW31" s="1688"/>
      <c r="ECX31" s="1688"/>
      <c r="ECY31" s="1688"/>
      <c r="ECZ31" s="1688"/>
      <c r="EDA31" s="1688"/>
      <c r="EDB31" s="1688"/>
      <c r="EDC31" s="1688"/>
      <c r="EDD31" s="1688"/>
      <c r="EDE31" s="1688"/>
      <c r="EDF31" s="1688"/>
      <c r="EDG31" s="1688"/>
      <c r="EDH31" s="1688"/>
      <c r="EDI31" s="1688"/>
      <c r="EDJ31" s="1688"/>
      <c r="EDK31" s="1688"/>
      <c r="EDL31" s="1688"/>
      <c r="EDM31" s="1688"/>
      <c r="EDN31" s="1688"/>
      <c r="EDO31" s="1688"/>
      <c r="EDP31" s="1688"/>
      <c r="EDQ31" s="1688"/>
      <c r="EDR31" s="1688"/>
      <c r="EDS31" s="1688"/>
      <c r="EDT31" s="1688"/>
      <c r="EDU31" s="1688"/>
      <c r="EDV31" s="1688"/>
      <c r="EDW31" s="1688"/>
      <c r="EDX31" s="1688"/>
      <c r="EDY31" s="1688"/>
      <c r="EDZ31" s="1688"/>
      <c r="EEA31" s="1688"/>
      <c r="EEB31" s="1688"/>
      <c r="EEC31" s="1688"/>
      <c r="EED31" s="1688"/>
      <c r="EEE31" s="1688"/>
      <c r="EEF31" s="1688"/>
      <c r="EEG31" s="1688"/>
      <c r="EEH31" s="1688"/>
      <c r="EEI31" s="1688"/>
      <c r="EEJ31" s="1688"/>
      <c r="EEK31" s="1688"/>
      <c r="EEL31" s="1688"/>
      <c r="EEM31" s="1688"/>
      <c r="EEN31" s="1688"/>
      <c r="EEO31" s="1688"/>
      <c r="EEP31" s="1688"/>
      <c r="EEQ31" s="1688"/>
      <c r="EER31" s="1688"/>
      <c r="EES31" s="1688"/>
      <c r="EET31" s="1688"/>
      <c r="EEU31" s="1688"/>
      <c r="EEV31" s="1688"/>
      <c r="EEW31" s="1688"/>
      <c r="EEX31" s="1688"/>
      <c r="EEY31" s="1688"/>
      <c r="EEZ31" s="1688"/>
      <c r="EFA31" s="1688"/>
      <c r="EFB31" s="1688"/>
      <c r="EFC31" s="1688"/>
      <c r="EFD31" s="1688"/>
      <c r="EFE31" s="1688"/>
      <c r="EFF31" s="1688"/>
      <c r="EFG31" s="1688"/>
      <c r="EFH31" s="1688"/>
      <c r="EFI31" s="1688"/>
      <c r="EFJ31" s="1688"/>
      <c r="EFK31" s="1688"/>
      <c r="EFL31" s="1688"/>
      <c r="EFM31" s="1688"/>
      <c r="EFN31" s="1688"/>
      <c r="EFO31" s="1688"/>
      <c r="EFP31" s="1688"/>
      <c r="EFQ31" s="1688"/>
      <c r="EFR31" s="1688"/>
      <c r="EFS31" s="1688"/>
      <c r="EFT31" s="1688"/>
      <c r="EFU31" s="1688"/>
      <c r="EFV31" s="1688"/>
      <c r="EFW31" s="1688"/>
      <c r="EFX31" s="1688"/>
      <c r="EFY31" s="1688"/>
      <c r="EFZ31" s="1688"/>
      <c r="EGA31" s="1688"/>
      <c r="EGB31" s="1688"/>
      <c r="EGC31" s="1688"/>
      <c r="EGD31" s="1688"/>
      <c r="EGE31" s="1688"/>
      <c r="EGF31" s="1688"/>
      <c r="EGG31" s="1688"/>
      <c r="EGH31" s="1688"/>
      <c r="EGI31" s="1688"/>
      <c r="EGJ31" s="1688"/>
      <c r="EGK31" s="1688"/>
      <c r="EGL31" s="1688"/>
      <c r="EGM31" s="1688"/>
      <c r="EGN31" s="1688"/>
      <c r="EGO31" s="1688"/>
      <c r="EGP31" s="1688"/>
      <c r="EGQ31" s="1688"/>
      <c r="EGR31" s="1688"/>
      <c r="EGS31" s="1688"/>
      <c r="EGT31" s="1688"/>
      <c r="EGU31" s="1688"/>
      <c r="EGV31" s="1688"/>
      <c r="EGW31" s="1688"/>
      <c r="EGX31" s="1688"/>
      <c r="EGY31" s="1688"/>
      <c r="EGZ31" s="1688"/>
      <c r="EHA31" s="1688"/>
      <c r="EHB31" s="1688"/>
      <c r="EHC31" s="1688"/>
      <c r="EHD31" s="1688"/>
      <c r="EHE31" s="1688"/>
      <c r="EHF31" s="1688"/>
      <c r="EHG31" s="1688"/>
      <c r="EHH31" s="1688"/>
      <c r="EHI31" s="1688"/>
      <c r="EHJ31" s="1688"/>
      <c r="EHK31" s="1688"/>
      <c r="EHL31" s="1688"/>
      <c r="EHM31" s="1688"/>
      <c r="EHN31" s="1688"/>
      <c r="EHO31" s="1688"/>
      <c r="EHP31" s="1688"/>
      <c r="EHQ31" s="1688"/>
      <c r="EHR31" s="1688"/>
      <c r="EHS31" s="1688"/>
      <c r="EHT31" s="1688"/>
      <c r="EHU31" s="1688"/>
      <c r="EHV31" s="1688"/>
      <c r="EHW31" s="1688"/>
      <c r="EHX31" s="1688"/>
      <c r="EHY31" s="1688"/>
      <c r="EHZ31" s="1688"/>
      <c r="EIA31" s="1688"/>
      <c r="EIB31" s="1688"/>
      <c r="EIC31" s="1688"/>
      <c r="EID31" s="1688"/>
      <c r="EIE31" s="1688"/>
      <c r="EIF31" s="1688"/>
      <c r="EIG31" s="1688"/>
      <c r="EIH31" s="1688"/>
      <c r="EII31" s="1688"/>
      <c r="EIJ31" s="1688"/>
      <c r="EIK31" s="1688"/>
      <c r="EIL31" s="1688"/>
      <c r="EIM31" s="1688"/>
      <c r="EIN31" s="1688"/>
      <c r="EIO31" s="1688"/>
      <c r="EIP31" s="1688"/>
      <c r="EIQ31" s="1688"/>
      <c r="EIR31" s="1688"/>
      <c r="EIS31" s="1688"/>
      <c r="EIT31" s="1688"/>
      <c r="EIU31" s="1688"/>
      <c r="EIV31" s="1688"/>
      <c r="EIW31" s="1688"/>
      <c r="EIX31" s="1688"/>
      <c r="EIY31" s="1688"/>
      <c r="EIZ31" s="1688"/>
      <c r="EJA31" s="1688"/>
      <c r="EJB31" s="1688"/>
      <c r="EJC31" s="1688"/>
      <c r="EJD31" s="1688"/>
      <c r="EJE31" s="1688"/>
      <c r="EJF31" s="1688"/>
      <c r="EJG31" s="1688"/>
      <c r="EJH31" s="1688"/>
      <c r="EJI31" s="1688"/>
      <c r="EJJ31" s="1688"/>
      <c r="EJK31" s="1688"/>
      <c r="EJL31" s="1688"/>
      <c r="EJM31" s="1688"/>
      <c r="EJN31" s="1688"/>
      <c r="EJO31" s="1688"/>
      <c r="EJP31" s="1688"/>
      <c r="EJQ31" s="1688"/>
      <c r="EJR31" s="1688"/>
      <c r="EJS31" s="1688"/>
      <c r="EJT31" s="1688"/>
      <c r="EJU31" s="1688"/>
      <c r="EJV31" s="1688"/>
      <c r="EJW31" s="1688"/>
      <c r="EJX31" s="1688"/>
      <c r="EJY31" s="1688"/>
      <c r="EJZ31" s="1688"/>
      <c r="EKA31" s="1688"/>
      <c r="EKB31" s="1688"/>
      <c r="EKC31" s="1688"/>
      <c r="EKD31" s="1688"/>
      <c r="EKE31" s="1688"/>
      <c r="EKF31" s="1688"/>
      <c r="EKG31" s="1688"/>
      <c r="EKH31" s="1688"/>
      <c r="EKI31" s="1688"/>
      <c r="EKJ31" s="1688"/>
      <c r="EKK31" s="1688"/>
      <c r="EKL31" s="1688"/>
      <c r="EKM31" s="1688"/>
      <c r="EKN31" s="1688"/>
      <c r="EKO31" s="1688"/>
      <c r="EKP31" s="1688"/>
      <c r="EKQ31" s="1688"/>
      <c r="EKR31" s="1688"/>
      <c r="EKS31" s="1688"/>
      <c r="EKT31" s="1688"/>
      <c r="EKU31" s="1688"/>
      <c r="EKV31" s="1688"/>
      <c r="EKW31" s="1688"/>
      <c r="EKX31" s="1688"/>
      <c r="EKY31" s="1688"/>
      <c r="EKZ31" s="1688"/>
      <c r="ELA31" s="1688"/>
      <c r="ELB31" s="1688"/>
      <c r="ELC31" s="1688"/>
      <c r="ELD31" s="1688"/>
      <c r="ELE31" s="1688"/>
      <c r="ELF31" s="1688"/>
      <c r="ELG31" s="1688"/>
      <c r="ELH31" s="1688"/>
      <c r="ELI31" s="1688"/>
      <c r="ELJ31" s="1688"/>
      <c r="ELK31" s="1688"/>
      <c r="ELL31" s="1688"/>
      <c r="ELM31" s="1688"/>
      <c r="ELN31" s="1688"/>
      <c r="ELO31" s="1688"/>
      <c r="ELP31" s="1688"/>
      <c r="ELQ31" s="1688"/>
      <c r="ELR31" s="1688"/>
      <c r="ELS31" s="1688"/>
      <c r="ELT31" s="1688"/>
      <c r="ELU31" s="1688"/>
      <c r="ELV31" s="1688"/>
      <c r="ELW31" s="1688"/>
      <c r="ELX31" s="1688"/>
      <c r="ELY31" s="1688"/>
      <c r="ELZ31" s="1688"/>
      <c r="EMA31" s="1688"/>
      <c r="EMB31" s="1688"/>
      <c r="EMC31" s="1688"/>
      <c r="EMD31" s="1688"/>
      <c r="EME31" s="1688"/>
      <c r="EMF31" s="1688"/>
      <c r="EMG31" s="1688"/>
      <c r="EMH31" s="1688"/>
      <c r="EMI31" s="1688"/>
      <c r="EMJ31" s="1688"/>
      <c r="EMK31" s="1688"/>
      <c r="EML31" s="1688"/>
      <c r="EMM31" s="1688"/>
      <c r="EMN31" s="1688"/>
      <c r="EMO31" s="1688"/>
      <c r="EMP31" s="1688"/>
      <c r="EMQ31" s="1688"/>
      <c r="EMR31" s="1688"/>
      <c r="EMS31" s="1688"/>
      <c r="EMT31" s="1688"/>
      <c r="EMU31" s="1688"/>
      <c r="EMV31" s="1688"/>
      <c r="EMW31" s="1688"/>
      <c r="EMX31" s="1688"/>
      <c r="EMY31" s="1688"/>
      <c r="EMZ31" s="1688"/>
      <c r="ENA31" s="1688"/>
      <c r="ENB31" s="1688"/>
      <c r="ENC31" s="1688"/>
      <c r="END31" s="1688"/>
      <c r="ENE31" s="1688"/>
      <c r="ENF31" s="1688"/>
      <c r="ENG31" s="1688"/>
      <c r="ENH31" s="1688"/>
      <c r="ENI31" s="1688"/>
      <c r="ENJ31" s="1688"/>
      <c r="ENK31" s="1688"/>
      <c r="ENL31" s="1688"/>
      <c r="ENM31" s="1688"/>
      <c r="ENN31" s="1688"/>
      <c r="ENO31" s="1688"/>
      <c r="ENP31" s="1688"/>
      <c r="ENQ31" s="1688"/>
      <c r="ENR31" s="1688"/>
      <c r="ENS31" s="1688"/>
      <c r="ENT31" s="1688"/>
      <c r="ENU31" s="1688"/>
      <c r="ENV31" s="1688"/>
      <c r="ENW31" s="1688"/>
      <c r="ENX31" s="1688"/>
      <c r="ENY31" s="1688"/>
      <c r="ENZ31" s="1688"/>
      <c r="EOA31" s="1688"/>
      <c r="EOB31" s="1688"/>
      <c r="EOC31" s="1688"/>
      <c r="EOD31" s="1688"/>
      <c r="EOE31" s="1688"/>
      <c r="EOF31" s="1688"/>
      <c r="EOG31" s="1688"/>
      <c r="EOH31" s="1688"/>
      <c r="EOI31" s="1688"/>
      <c r="EOJ31" s="1688"/>
      <c r="EOK31" s="1688"/>
      <c r="EOL31" s="1688"/>
      <c r="EOM31" s="1688"/>
      <c r="EON31" s="1688"/>
      <c r="EOO31" s="1688"/>
      <c r="EOP31" s="1688"/>
      <c r="EOQ31" s="1688"/>
      <c r="EOR31" s="1688"/>
      <c r="EOS31" s="1688"/>
      <c r="EOT31" s="1688"/>
      <c r="EOU31" s="1688"/>
      <c r="EOV31" s="1688"/>
      <c r="EOW31" s="1688"/>
      <c r="EOX31" s="1688"/>
      <c r="EOY31" s="1688"/>
      <c r="EOZ31" s="1688"/>
      <c r="EPA31" s="1688"/>
      <c r="EPB31" s="1688"/>
      <c r="EPC31" s="1688"/>
      <c r="EPD31" s="1688"/>
      <c r="EPE31" s="1688"/>
      <c r="EPF31" s="1688"/>
      <c r="EPG31" s="1688"/>
      <c r="EPH31" s="1688"/>
      <c r="EPI31" s="1688"/>
      <c r="EPJ31" s="1688"/>
      <c r="EPK31" s="1688"/>
      <c r="EPL31" s="1688"/>
      <c r="EPM31" s="1688"/>
      <c r="EPN31" s="1688"/>
      <c r="EPO31" s="1688"/>
      <c r="EPP31" s="1688"/>
      <c r="EPQ31" s="1688"/>
      <c r="EPR31" s="1688"/>
      <c r="EPS31" s="1688"/>
      <c r="EPT31" s="1688"/>
      <c r="EPU31" s="1688"/>
      <c r="EPV31" s="1688"/>
      <c r="EPW31" s="1688"/>
      <c r="EPX31" s="1688"/>
      <c r="EPY31" s="1688"/>
      <c r="EPZ31" s="1688"/>
      <c r="EQA31" s="1688"/>
      <c r="EQB31" s="1688"/>
      <c r="EQC31" s="1688"/>
      <c r="EQD31" s="1688"/>
      <c r="EQE31" s="1688"/>
      <c r="EQF31" s="1688"/>
      <c r="EQG31" s="1688"/>
      <c r="EQH31" s="1688"/>
      <c r="EQI31" s="1688"/>
      <c r="EQJ31" s="1688"/>
      <c r="EQK31" s="1688"/>
      <c r="EQL31" s="1688"/>
      <c r="EQM31" s="1688"/>
      <c r="EQN31" s="1688"/>
      <c r="EQO31" s="1688"/>
      <c r="EQP31" s="1688"/>
      <c r="EQQ31" s="1688"/>
      <c r="EQR31" s="1688"/>
      <c r="EQS31" s="1688"/>
      <c r="EQT31" s="1688"/>
      <c r="EQU31" s="1688"/>
      <c r="EQV31" s="1688"/>
      <c r="EQW31" s="1688"/>
      <c r="EQX31" s="1688"/>
      <c r="EQY31" s="1688"/>
      <c r="EQZ31" s="1688"/>
      <c r="ERA31" s="1688"/>
      <c r="ERB31" s="1688"/>
      <c r="ERC31" s="1688"/>
      <c r="ERD31" s="1688"/>
      <c r="ERE31" s="1688"/>
      <c r="ERF31" s="1688"/>
      <c r="ERG31" s="1688"/>
      <c r="ERH31" s="1688"/>
      <c r="ERI31" s="1688"/>
      <c r="ERJ31" s="1688"/>
      <c r="ERK31" s="1688"/>
      <c r="ERL31" s="1688"/>
      <c r="ERM31" s="1688"/>
      <c r="ERN31" s="1688"/>
      <c r="ERO31" s="1688"/>
      <c r="ERP31" s="1688"/>
      <c r="ERQ31" s="1688"/>
      <c r="ERR31" s="1688"/>
      <c r="ERS31" s="1688"/>
      <c r="ERT31" s="1688"/>
      <c r="ERU31" s="1688"/>
      <c r="ERV31" s="1688"/>
      <c r="ERW31" s="1688"/>
      <c r="ERX31" s="1688"/>
      <c r="ERY31" s="1688"/>
      <c r="ERZ31" s="1688"/>
      <c r="ESA31" s="1688"/>
      <c r="ESB31" s="1688"/>
      <c r="ESC31" s="1688"/>
      <c r="ESD31" s="1688"/>
      <c r="ESE31" s="1688"/>
      <c r="ESF31" s="1688"/>
      <c r="ESG31" s="1688"/>
      <c r="ESH31" s="1688"/>
      <c r="ESI31" s="1688"/>
      <c r="ESJ31" s="1688"/>
      <c r="ESK31" s="1688"/>
      <c r="ESL31" s="1688"/>
      <c r="ESM31" s="1688"/>
      <c r="ESN31" s="1688"/>
      <c r="ESO31" s="1688"/>
      <c r="ESP31" s="1688"/>
      <c r="ESQ31" s="1688"/>
      <c r="ESR31" s="1688"/>
      <c r="ESS31" s="1688"/>
      <c r="EST31" s="1688"/>
      <c r="ESU31" s="1688"/>
      <c r="ESV31" s="1688"/>
      <c r="ESW31" s="1688"/>
      <c r="ESX31" s="1688"/>
      <c r="ESY31" s="1688"/>
      <c r="ESZ31" s="1688"/>
      <c r="ETA31" s="1688"/>
      <c r="ETB31" s="1688"/>
      <c r="ETC31" s="1688"/>
      <c r="ETD31" s="1688"/>
      <c r="ETE31" s="1688"/>
      <c r="ETF31" s="1688"/>
      <c r="ETG31" s="1688"/>
      <c r="ETH31" s="1688"/>
      <c r="ETI31" s="1688"/>
      <c r="ETJ31" s="1688"/>
      <c r="ETK31" s="1688"/>
      <c r="ETL31" s="1688"/>
      <c r="ETM31" s="1688"/>
      <c r="ETN31" s="1688"/>
      <c r="ETO31" s="1688"/>
      <c r="ETP31" s="1688"/>
      <c r="ETQ31" s="1688"/>
      <c r="ETR31" s="1688"/>
      <c r="ETS31" s="1688"/>
      <c r="ETT31" s="1688"/>
      <c r="ETU31" s="1688"/>
      <c r="ETV31" s="1688"/>
      <c r="ETW31" s="1688"/>
      <c r="ETX31" s="1688"/>
      <c r="ETY31" s="1688"/>
      <c r="ETZ31" s="1688"/>
      <c r="EUA31" s="1688"/>
      <c r="EUB31" s="1688"/>
      <c r="EUC31" s="1688"/>
      <c r="EUD31" s="1688"/>
      <c r="EUE31" s="1688"/>
      <c r="EUF31" s="1688"/>
      <c r="EUG31" s="1688"/>
      <c r="EUH31" s="1688"/>
      <c r="EUI31" s="1688"/>
      <c r="EUJ31" s="1688"/>
      <c r="EUK31" s="1688"/>
      <c r="EUL31" s="1688"/>
      <c r="EUM31" s="1688"/>
      <c r="EUN31" s="1688"/>
      <c r="EUO31" s="1688"/>
      <c r="EUP31" s="1688"/>
      <c r="EUQ31" s="1688"/>
      <c r="EUR31" s="1688"/>
      <c r="EUS31" s="1688"/>
      <c r="EUT31" s="1688"/>
      <c r="EUU31" s="1688"/>
      <c r="EUV31" s="1688"/>
      <c r="EUW31" s="1688"/>
      <c r="EUX31" s="1688"/>
      <c r="EUY31" s="1688"/>
      <c r="EUZ31" s="1688"/>
      <c r="EVA31" s="1688"/>
      <c r="EVB31" s="1688"/>
      <c r="EVC31" s="1688"/>
      <c r="EVD31" s="1688"/>
      <c r="EVE31" s="1688"/>
      <c r="EVF31" s="1688"/>
      <c r="EVG31" s="1688"/>
      <c r="EVH31" s="1688"/>
      <c r="EVI31" s="1688"/>
      <c r="EVJ31" s="1688"/>
      <c r="EVK31" s="1688"/>
      <c r="EVL31" s="1688"/>
      <c r="EVM31" s="1688"/>
      <c r="EVN31" s="1688"/>
      <c r="EVO31" s="1688"/>
      <c r="EVP31" s="1688"/>
      <c r="EVQ31" s="1688"/>
      <c r="EVR31" s="1688"/>
      <c r="EVS31" s="1688"/>
      <c r="EVT31" s="1688"/>
      <c r="EVU31" s="1688"/>
      <c r="EVV31" s="1688"/>
      <c r="EVW31" s="1688"/>
      <c r="EVX31" s="1688"/>
      <c r="EVY31" s="1688"/>
      <c r="EVZ31" s="1688"/>
      <c r="EWA31" s="1688"/>
      <c r="EWB31" s="1688"/>
      <c r="EWC31" s="1688"/>
      <c r="EWD31" s="1688"/>
      <c r="EWE31" s="1688"/>
      <c r="EWF31" s="1688"/>
      <c r="EWG31" s="1688"/>
      <c r="EWH31" s="1688"/>
      <c r="EWI31" s="1688"/>
      <c r="EWJ31" s="1688"/>
      <c r="EWK31" s="1688"/>
      <c r="EWL31" s="1688"/>
      <c r="EWM31" s="1688"/>
      <c r="EWN31" s="1688"/>
      <c r="EWO31" s="1688"/>
      <c r="EWP31" s="1688"/>
      <c r="EWQ31" s="1688"/>
      <c r="EWR31" s="1688"/>
      <c r="EWS31" s="1688"/>
      <c r="EWT31" s="1688"/>
      <c r="EWU31" s="1688"/>
      <c r="EWV31" s="1688"/>
      <c r="EWW31" s="1688"/>
      <c r="EWX31" s="1688"/>
      <c r="EWY31" s="1688"/>
      <c r="EWZ31" s="1688"/>
      <c r="EXA31" s="1688"/>
      <c r="EXB31" s="1688"/>
      <c r="EXC31" s="1688"/>
      <c r="EXD31" s="1688"/>
      <c r="EXE31" s="1688"/>
      <c r="EXF31" s="1688"/>
      <c r="EXG31" s="1688"/>
      <c r="EXH31" s="1688"/>
      <c r="EXI31" s="1688"/>
      <c r="EXJ31" s="1688"/>
      <c r="EXK31" s="1688"/>
      <c r="EXL31" s="1688"/>
      <c r="EXM31" s="1688"/>
      <c r="EXN31" s="1688"/>
      <c r="EXO31" s="1688"/>
      <c r="EXP31" s="1688"/>
      <c r="EXQ31" s="1688"/>
      <c r="EXR31" s="1688"/>
      <c r="EXS31" s="1688"/>
      <c r="EXT31" s="1688"/>
      <c r="EXU31" s="1688"/>
      <c r="EXV31" s="1688"/>
      <c r="EXW31" s="1688"/>
      <c r="EXX31" s="1688"/>
      <c r="EXY31" s="1688"/>
      <c r="EXZ31" s="1688"/>
      <c r="EYA31" s="1688"/>
      <c r="EYB31" s="1688"/>
      <c r="EYC31" s="1688"/>
      <c r="EYD31" s="1688"/>
      <c r="EYE31" s="1688"/>
      <c r="EYF31" s="1688"/>
      <c r="EYG31" s="1688"/>
      <c r="EYH31" s="1688"/>
      <c r="EYI31" s="1688"/>
      <c r="EYJ31" s="1688"/>
      <c r="EYK31" s="1688"/>
      <c r="EYL31" s="1688"/>
      <c r="EYM31" s="1688"/>
      <c r="EYN31" s="1688"/>
      <c r="EYO31" s="1688"/>
      <c r="EYP31" s="1688"/>
      <c r="EYQ31" s="1688"/>
      <c r="EYR31" s="1688"/>
      <c r="EYS31" s="1688"/>
      <c r="EYT31" s="1688"/>
      <c r="EYU31" s="1688"/>
      <c r="EYV31" s="1688"/>
      <c r="EYW31" s="1688"/>
      <c r="EYX31" s="1688"/>
      <c r="EYY31" s="1688"/>
      <c r="EYZ31" s="1688"/>
      <c r="EZA31" s="1688"/>
      <c r="EZB31" s="1688"/>
      <c r="EZC31" s="1688"/>
      <c r="EZD31" s="1688"/>
      <c r="EZE31" s="1688"/>
      <c r="EZF31" s="1688"/>
      <c r="EZG31" s="1688"/>
      <c r="EZH31" s="1688"/>
      <c r="EZI31" s="1688"/>
      <c r="EZJ31" s="1688"/>
      <c r="EZK31" s="1688"/>
      <c r="EZL31" s="1688"/>
      <c r="EZM31" s="1688"/>
      <c r="EZN31" s="1688"/>
      <c r="EZO31" s="1688"/>
      <c r="EZP31" s="1688"/>
      <c r="EZQ31" s="1688"/>
      <c r="EZR31" s="1688"/>
      <c r="EZS31" s="1688"/>
      <c r="EZT31" s="1688"/>
      <c r="EZU31" s="1688"/>
      <c r="EZV31" s="1688"/>
      <c r="EZW31" s="1688"/>
      <c r="EZX31" s="1688"/>
      <c r="EZY31" s="1688"/>
      <c r="EZZ31" s="1688"/>
      <c r="FAA31" s="1688"/>
      <c r="FAB31" s="1688"/>
      <c r="FAC31" s="1688"/>
      <c r="FAD31" s="1688"/>
      <c r="FAE31" s="1688"/>
      <c r="FAF31" s="1688"/>
      <c r="FAG31" s="1688"/>
      <c r="FAH31" s="1688"/>
      <c r="FAI31" s="1688"/>
      <c r="FAJ31" s="1688"/>
      <c r="FAK31" s="1688"/>
      <c r="FAL31" s="1688"/>
      <c r="FAM31" s="1688"/>
      <c r="FAN31" s="1688"/>
      <c r="FAO31" s="1688"/>
      <c r="FAP31" s="1688"/>
      <c r="FAQ31" s="1688"/>
      <c r="FAR31" s="1688"/>
      <c r="FAS31" s="1688"/>
      <c r="FAT31" s="1688"/>
      <c r="FAU31" s="1688"/>
      <c r="FAV31" s="1688"/>
      <c r="FAW31" s="1688"/>
      <c r="FAX31" s="1688"/>
      <c r="FAY31" s="1688"/>
      <c r="FAZ31" s="1688"/>
      <c r="FBA31" s="1688"/>
      <c r="FBB31" s="1688"/>
      <c r="FBC31" s="1688"/>
      <c r="FBD31" s="1688"/>
      <c r="FBE31" s="1688"/>
      <c r="FBF31" s="1688"/>
      <c r="FBG31" s="1688"/>
      <c r="FBH31" s="1688"/>
      <c r="FBI31" s="1688"/>
      <c r="FBJ31" s="1688"/>
      <c r="FBK31" s="1688"/>
      <c r="FBL31" s="1688"/>
      <c r="FBM31" s="1688"/>
      <c r="FBN31" s="1688"/>
      <c r="FBO31" s="1688"/>
      <c r="FBP31" s="1688"/>
      <c r="FBQ31" s="1688"/>
      <c r="FBR31" s="1688"/>
      <c r="FBS31" s="1688"/>
      <c r="FBT31" s="1688"/>
      <c r="FBU31" s="1688"/>
      <c r="FBV31" s="1688"/>
      <c r="FBW31" s="1688"/>
      <c r="FBX31" s="1688"/>
      <c r="FBY31" s="1688"/>
      <c r="FBZ31" s="1688"/>
      <c r="FCA31" s="1688"/>
      <c r="FCB31" s="1688"/>
      <c r="FCC31" s="1688"/>
      <c r="FCD31" s="1688"/>
      <c r="FCE31" s="1688"/>
      <c r="FCF31" s="1688"/>
      <c r="FCG31" s="1688"/>
      <c r="FCH31" s="1688"/>
      <c r="FCI31" s="1688"/>
      <c r="FCJ31" s="1688"/>
      <c r="FCK31" s="1688"/>
      <c r="FCL31" s="1688"/>
      <c r="FCM31" s="1688"/>
      <c r="FCN31" s="1688"/>
      <c r="FCO31" s="1688"/>
      <c r="FCP31" s="1688"/>
      <c r="FCQ31" s="1688"/>
      <c r="FCR31" s="1688"/>
      <c r="FCS31" s="1688"/>
      <c r="FCT31" s="1688"/>
      <c r="FCU31" s="1688"/>
      <c r="FCV31" s="1688"/>
      <c r="FCW31" s="1688"/>
      <c r="FCX31" s="1688"/>
      <c r="FCY31" s="1688"/>
      <c r="FCZ31" s="1688"/>
      <c r="FDA31" s="1688"/>
      <c r="FDB31" s="1688"/>
      <c r="FDC31" s="1688"/>
      <c r="FDD31" s="1688"/>
      <c r="FDE31" s="1688"/>
      <c r="FDF31" s="1688"/>
      <c r="FDG31" s="1688"/>
      <c r="FDH31" s="1688"/>
      <c r="FDI31" s="1688"/>
      <c r="FDJ31" s="1688"/>
      <c r="FDK31" s="1688"/>
      <c r="FDL31" s="1688"/>
      <c r="FDM31" s="1688"/>
      <c r="FDN31" s="1688"/>
      <c r="FDO31" s="1688"/>
      <c r="FDP31" s="1688"/>
      <c r="FDQ31" s="1688"/>
      <c r="FDR31" s="1688"/>
      <c r="FDS31" s="1688"/>
      <c r="FDT31" s="1688"/>
      <c r="FDU31" s="1688"/>
      <c r="FDV31" s="1688"/>
      <c r="FDW31" s="1688"/>
      <c r="FDX31" s="1688"/>
      <c r="FDY31" s="1688"/>
      <c r="FDZ31" s="1688"/>
      <c r="FEA31" s="1688"/>
      <c r="FEB31" s="1688"/>
      <c r="FEC31" s="1688"/>
      <c r="FED31" s="1688"/>
      <c r="FEE31" s="1688"/>
      <c r="FEF31" s="1688"/>
      <c r="FEG31" s="1688"/>
      <c r="FEH31" s="1688"/>
      <c r="FEI31" s="1688"/>
      <c r="FEJ31" s="1688"/>
      <c r="FEK31" s="1688"/>
      <c r="FEL31" s="1688"/>
      <c r="FEM31" s="1688"/>
      <c r="FEN31" s="1688"/>
      <c r="FEO31" s="1688"/>
      <c r="FEP31" s="1688"/>
      <c r="FEQ31" s="1688"/>
      <c r="FER31" s="1688"/>
      <c r="FES31" s="1688"/>
      <c r="FET31" s="1688"/>
      <c r="FEU31" s="1688"/>
      <c r="FEV31" s="1688"/>
      <c r="FEW31" s="1688"/>
      <c r="FEX31" s="1688"/>
      <c r="FEY31" s="1688"/>
      <c r="FEZ31" s="1688"/>
      <c r="FFA31" s="1688"/>
      <c r="FFB31" s="1688"/>
      <c r="FFC31" s="1688"/>
      <c r="FFD31" s="1688"/>
      <c r="FFE31" s="1688"/>
      <c r="FFF31" s="1688"/>
      <c r="FFG31" s="1688"/>
      <c r="FFH31" s="1688"/>
      <c r="FFI31" s="1688"/>
      <c r="FFJ31" s="1688"/>
      <c r="FFK31" s="1688"/>
      <c r="FFL31" s="1688"/>
      <c r="FFM31" s="1688"/>
      <c r="FFN31" s="1688"/>
      <c r="FFO31" s="1688"/>
      <c r="FFP31" s="1688"/>
      <c r="FFQ31" s="1688"/>
      <c r="FFR31" s="1688"/>
      <c r="FFS31" s="1688"/>
      <c r="FFT31" s="1688"/>
      <c r="FFU31" s="1688"/>
      <c r="FFV31" s="1688"/>
      <c r="FFW31" s="1688"/>
      <c r="FFX31" s="1688"/>
      <c r="FFY31" s="1688"/>
      <c r="FFZ31" s="1688"/>
      <c r="FGA31" s="1688"/>
      <c r="FGB31" s="1688"/>
      <c r="FGC31" s="1688"/>
      <c r="FGD31" s="1688"/>
      <c r="FGE31" s="1688"/>
      <c r="FGF31" s="1688"/>
      <c r="FGG31" s="1688"/>
      <c r="FGH31" s="1688"/>
      <c r="FGI31" s="1688"/>
      <c r="FGJ31" s="1688"/>
      <c r="FGK31" s="1688"/>
      <c r="FGL31" s="1688"/>
      <c r="FGM31" s="1688"/>
      <c r="FGN31" s="1688"/>
      <c r="FGO31" s="1688"/>
      <c r="FGP31" s="1688"/>
      <c r="FGQ31" s="1688"/>
      <c r="FGR31" s="1688"/>
      <c r="FGS31" s="1688"/>
      <c r="FGT31" s="1688"/>
      <c r="FGU31" s="1688"/>
      <c r="FGV31" s="1688"/>
      <c r="FGW31" s="1688"/>
      <c r="FGX31" s="1688"/>
      <c r="FGY31" s="1688"/>
      <c r="FGZ31" s="1688"/>
      <c r="FHA31" s="1688"/>
      <c r="FHB31" s="1688"/>
      <c r="FHC31" s="1688"/>
      <c r="FHD31" s="1688"/>
      <c r="FHE31" s="1688"/>
      <c r="FHF31" s="1688"/>
      <c r="FHG31" s="1688"/>
      <c r="FHH31" s="1688"/>
      <c r="FHI31" s="1688"/>
      <c r="FHJ31" s="1688"/>
      <c r="FHK31" s="1688"/>
      <c r="FHL31" s="1688"/>
      <c r="FHM31" s="1688"/>
      <c r="FHN31" s="1688"/>
      <c r="FHO31" s="1688"/>
      <c r="FHP31" s="1688"/>
      <c r="FHQ31" s="1688"/>
      <c r="FHR31" s="1688"/>
      <c r="FHS31" s="1688"/>
      <c r="FHT31" s="1688"/>
      <c r="FHU31" s="1688"/>
      <c r="FHV31" s="1688"/>
      <c r="FHW31" s="1688"/>
      <c r="FHX31" s="1688"/>
      <c r="FHY31" s="1688"/>
      <c r="FHZ31" s="1688"/>
      <c r="FIA31" s="1688"/>
      <c r="FIB31" s="1688"/>
      <c r="FIC31" s="1688"/>
      <c r="FID31" s="1688"/>
      <c r="FIE31" s="1688"/>
      <c r="FIF31" s="1688"/>
      <c r="FIG31" s="1688"/>
      <c r="FIH31" s="1688"/>
      <c r="FII31" s="1688"/>
      <c r="FIJ31" s="1688"/>
      <c r="FIK31" s="1688"/>
      <c r="FIL31" s="1688"/>
      <c r="FIM31" s="1688"/>
      <c r="FIN31" s="1688"/>
      <c r="FIO31" s="1688"/>
      <c r="FIP31" s="1688"/>
      <c r="FIQ31" s="1688"/>
      <c r="FIR31" s="1688"/>
      <c r="FIS31" s="1688"/>
      <c r="FIT31" s="1688"/>
      <c r="FIU31" s="1688"/>
      <c r="FIV31" s="1688"/>
      <c r="FIW31" s="1688"/>
      <c r="FIX31" s="1688"/>
      <c r="FIY31" s="1688"/>
      <c r="FIZ31" s="1688"/>
      <c r="FJA31" s="1688"/>
      <c r="FJB31" s="1688"/>
      <c r="FJC31" s="1688"/>
      <c r="FJD31" s="1688"/>
      <c r="FJE31" s="1688"/>
      <c r="FJF31" s="1688"/>
      <c r="FJG31" s="1688"/>
      <c r="FJH31" s="1688"/>
      <c r="FJI31" s="1688"/>
      <c r="FJJ31" s="1688"/>
      <c r="FJK31" s="1688"/>
      <c r="FJL31" s="1688"/>
      <c r="FJM31" s="1688"/>
      <c r="FJN31" s="1688"/>
      <c r="FJO31" s="1688"/>
      <c r="FJP31" s="1688"/>
      <c r="FJQ31" s="1688"/>
      <c r="FJR31" s="1688"/>
      <c r="FJS31" s="1688"/>
      <c r="FJT31" s="1688"/>
      <c r="FJU31" s="1688"/>
      <c r="FJV31" s="1688"/>
      <c r="FJW31" s="1688"/>
      <c r="FJX31" s="1688"/>
      <c r="FJY31" s="1688"/>
      <c r="FJZ31" s="1688"/>
      <c r="FKA31" s="1688"/>
      <c r="FKB31" s="1688"/>
      <c r="FKC31" s="1688"/>
      <c r="FKD31" s="1688"/>
      <c r="FKE31" s="1688"/>
      <c r="FKF31" s="1688"/>
      <c r="FKG31" s="1688"/>
      <c r="FKH31" s="1688"/>
      <c r="FKI31" s="1688"/>
      <c r="FKJ31" s="1688"/>
      <c r="FKK31" s="1688"/>
      <c r="FKL31" s="1688"/>
      <c r="FKM31" s="1688"/>
      <c r="FKN31" s="1688"/>
      <c r="FKO31" s="1688"/>
      <c r="FKP31" s="1688"/>
      <c r="FKQ31" s="1688"/>
      <c r="FKR31" s="1688"/>
      <c r="FKS31" s="1688"/>
      <c r="FKT31" s="1688"/>
      <c r="FKU31" s="1688"/>
      <c r="FKV31" s="1688"/>
      <c r="FKW31" s="1688"/>
      <c r="FKX31" s="1688"/>
      <c r="FKY31" s="1688"/>
      <c r="FKZ31" s="1688"/>
      <c r="FLA31" s="1688"/>
      <c r="FLB31" s="1688"/>
      <c r="FLC31" s="1688"/>
      <c r="FLD31" s="1688"/>
      <c r="FLE31" s="1688"/>
      <c r="FLF31" s="1688"/>
      <c r="FLG31" s="1688"/>
      <c r="FLH31" s="1688"/>
      <c r="FLI31" s="1688"/>
      <c r="FLJ31" s="1688"/>
      <c r="FLK31" s="1688"/>
      <c r="FLL31" s="1688"/>
      <c r="FLM31" s="1688"/>
      <c r="FLN31" s="1688"/>
      <c r="FLO31" s="1688"/>
      <c r="FLP31" s="1688"/>
      <c r="FLQ31" s="1688"/>
      <c r="FLR31" s="1688"/>
      <c r="FLS31" s="1688"/>
      <c r="FLT31" s="1688"/>
      <c r="FLU31" s="1688"/>
      <c r="FLV31" s="1688"/>
      <c r="FLW31" s="1688"/>
      <c r="FLX31" s="1688"/>
      <c r="FLY31" s="1688"/>
      <c r="FLZ31" s="1688"/>
      <c r="FMA31" s="1688"/>
      <c r="FMB31" s="1688"/>
      <c r="FMC31" s="1688"/>
      <c r="FMD31" s="1688"/>
      <c r="FME31" s="1688"/>
      <c r="FMF31" s="1688"/>
      <c r="FMG31" s="1688"/>
      <c r="FMH31" s="1688"/>
      <c r="FMI31" s="1688"/>
      <c r="FMJ31" s="1688"/>
      <c r="FMK31" s="1688"/>
      <c r="FML31" s="1688"/>
      <c r="FMM31" s="1688"/>
      <c r="FMN31" s="1688"/>
      <c r="FMO31" s="1688"/>
      <c r="FMP31" s="1688"/>
      <c r="FMQ31" s="1688"/>
      <c r="FMR31" s="1688"/>
      <c r="FMS31" s="1688"/>
      <c r="FMT31" s="1688"/>
      <c r="FMU31" s="1688"/>
      <c r="FMV31" s="1688"/>
      <c r="FMW31" s="1688"/>
      <c r="FMX31" s="1688"/>
      <c r="FMY31" s="1688"/>
      <c r="FMZ31" s="1688"/>
      <c r="FNA31" s="1688"/>
      <c r="FNB31" s="1688"/>
      <c r="FNC31" s="1688"/>
      <c r="FND31" s="1688"/>
      <c r="FNE31" s="1688"/>
      <c r="FNF31" s="1688"/>
      <c r="FNG31" s="1688"/>
      <c r="FNH31" s="1688"/>
      <c r="FNI31" s="1688"/>
      <c r="FNJ31" s="1688"/>
      <c r="FNK31" s="1688"/>
      <c r="FNL31" s="1688"/>
      <c r="FNM31" s="1688"/>
      <c r="FNN31" s="1688"/>
      <c r="FNO31" s="1688"/>
      <c r="FNP31" s="1688"/>
      <c r="FNQ31" s="1688"/>
      <c r="FNR31" s="1688"/>
      <c r="FNS31" s="1688"/>
      <c r="FNT31" s="1688"/>
      <c r="FNU31" s="1688"/>
      <c r="FNV31" s="1688"/>
      <c r="FNW31" s="1688"/>
      <c r="FNX31" s="1688"/>
      <c r="FNY31" s="1688"/>
      <c r="FNZ31" s="1688"/>
      <c r="FOA31" s="1688"/>
      <c r="FOB31" s="1688"/>
      <c r="FOC31" s="1688"/>
      <c r="FOD31" s="1688"/>
      <c r="FOE31" s="1688"/>
      <c r="FOF31" s="1688"/>
      <c r="FOG31" s="1688"/>
      <c r="FOH31" s="1688"/>
      <c r="FOI31" s="1688"/>
      <c r="FOJ31" s="1688"/>
      <c r="FOK31" s="1688"/>
      <c r="FOL31" s="1688"/>
      <c r="FOM31" s="1688"/>
      <c r="FON31" s="1688"/>
      <c r="FOO31" s="1688"/>
      <c r="FOP31" s="1688"/>
      <c r="FOQ31" s="1688"/>
      <c r="FOR31" s="1688"/>
      <c r="FOS31" s="1688"/>
      <c r="FOT31" s="1688"/>
      <c r="FOU31" s="1688"/>
      <c r="FOV31" s="1688"/>
      <c r="FOW31" s="1688"/>
      <c r="FOX31" s="1688"/>
      <c r="FOY31" s="1688"/>
      <c r="FOZ31" s="1688"/>
      <c r="FPA31" s="1688"/>
      <c r="FPB31" s="1688"/>
      <c r="FPC31" s="1688"/>
      <c r="FPD31" s="1688"/>
      <c r="FPE31" s="1688"/>
      <c r="FPF31" s="1688"/>
      <c r="FPG31" s="1688"/>
      <c r="FPH31" s="1688"/>
      <c r="FPI31" s="1688"/>
      <c r="FPJ31" s="1688"/>
      <c r="FPK31" s="1688"/>
      <c r="FPL31" s="1688"/>
      <c r="FPM31" s="1688"/>
      <c r="FPN31" s="1688"/>
      <c r="FPO31" s="1688"/>
      <c r="FPP31" s="1688"/>
      <c r="FPQ31" s="1688"/>
      <c r="FPR31" s="1688"/>
      <c r="FPS31" s="1688"/>
      <c r="FPT31" s="1688"/>
      <c r="FPU31" s="1688"/>
      <c r="FPV31" s="1688"/>
      <c r="FPW31" s="1688"/>
      <c r="FPX31" s="1688"/>
      <c r="FPY31" s="1688"/>
      <c r="FPZ31" s="1688"/>
      <c r="FQA31" s="1688"/>
      <c r="FQB31" s="1688"/>
      <c r="FQC31" s="1688"/>
      <c r="FQD31" s="1688"/>
      <c r="FQE31" s="1688"/>
      <c r="FQF31" s="1688"/>
      <c r="FQG31" s="1688"/>
      <c r="FQH31" s="1688"/>
      <c r="FQI31" s="1688"/>
      <c r="FQJ31" s="1688"/>
      <c r="FQK31" s="1688"/>
      <c r="FQL31" s="1688"/>
      <c r="FQM31" s="1688"/>
      <c r="FQN31" s="1688"/>
      <c r="FQO31" s="1688"/>
      <c r="FQP31" s="1688"/>
      <c r="FQQ31" s="1688"/>
      <c r="FQR31" s="1688"/>
      <c r="FQS31" s="1688"/>
      <c r="FQT31" s="1688"/>
      <c r="FQU31" s="1688"/>
      <c r="FQV31" s="1688"/>
      <c r="FQW31" s="1688"/>
      <c r="FQX31" s="1688"/>
      <c r="FQY31" s="1688"/>
      <c r="FQZ31" s="1688"/>
      <c r="FRA31" s="1688"/>
      <c r="FRB31" s="1688"/>
      <c r="FRC31" s="1688"/>
      <c r="FRD31" s="1688"/>
      <c r="FRE31" s="1688"/>
      <c r="FRF31" s="1688"/>
      <c r="FRG31" s="1688"/>
      <c r="FRH31" s="1688"/>
      <c r="FRI31" s="1688"/>
      <c r="FRJ31" s="1688"/>
      <c r="FRK31" s="1688"/>
      <c r="FRL31" s="1688"/>
      <c r="FRM31" s="1688"/>
      <c r="FRN31" s="1688"/>
      <c r="FRO31" s="1688"/>
      <c r="FRP31" s="1688"/>
      <c r="FRQ31" s="1688"/>
      <c r="FRR31" s="1688"/>
      <c r="FRS31" s="1688"/>
      <c r="FRT31" s="1688"/>
      <c r="FRU31" s="1688"/>
      <c r="FRV31" s="1688"/>
      <c r="FRW31" s="1688"/>
      <c r="FRX31" s="1688"/>
      <c r="FRY31" s="1688"/>
      <c r="FRZ31" s="1688"/>
      <c r="FSA31" s="1688"/>
      <c r="FSB31" s="1688"/>
      <c r="FSC31" s="1688"/>
      <c r="FSD31" s="1688"/>
      <c r="FSE31" s="1688"/>
      <c r="FSF31" s="1688"/>
      <c r="FSG31" s="1688"/>
      <c r="FSH31" s="1688"/>
      <c r="FSI31" s="1688"/>
      <c r="FSJ31" s="1688"/>
      <c r="FSK31" s="1688"/>
      <c r="FSL31" s="1688"/>
      <c r="FSM31" s="1688"/>
      <c r="FSN31" s="1688"/>
      <c r="FSO31" s="1688"/>
      <c r="FSP31" s="1688"/>
      <c r="FSQ31" s="1688"/>
      <c r="FSR31" s="1688"/>
      <c r="FSS31" s="1688"/>
      <c r="FST31" s="1688"/>
      <c r="FSU31" s="1688"/>
      <c r="FSV31" s="1688"/>
      <c r="FSW31" s="1688"/>
      <c r="FSX31" s="1688"/>
      <c r="FSY31" s="1688"/>
      <c r="FSZ31" s="1688"/>
      <c r="FTA31" s="1688"/>
      <c r="FTB31" s="1688"/>
      <c r="FTC31" s="1688"/>
      <c r="FTD31" s="1688"/>
      <c r="FTE31" s="1688"/>
      <c r="FTF31" s="1688"/>
      <c r="FTG31" s="1688"/>
      <c r="FTH31" s="1688"/>
      <c r="FTI31" s="1688"/>
      <c r="FTJ31" s="1688"/>
      <c r="FTK31" s="1688"/>
      <c r="FTL31" s="1688"/>
      <c r="FTM31" s="1688"/>
      <c r="FTN31" s="1688"/>
      <c r="FTO31" s="1688"/>
      <c r="FTP31" s="1688"/>
      <c r="FTQ31" s="1688"/>
      <c r="FTR31" s="1688"/>
      <c r="FTS31" s="1688"/>
      <c r="FTT31" s="1688"/>
      <c r="FTU31" s="1688"/>
      <c r="FTV31" s="1688"/>
      <c r="FTW31" s="1688"/>
      <c r="FTX31" s="1688"/>
      <c r="FTY31" s="1688"/>
      <c r="FTZ31" s="1688"/>
      <c r="FUA31" s="1688"/>
      <c r="FUB31" s="1688"/>
      <c r="FUC31" s="1688"/>
      <c r="FUD31" s="1688"/>
      <c r="FUE31" s="1688"/>
      <c r="FUF31" s="1688"/>
      <c r="FUG31" s="1688"/>
      <c r="FUH31" s="1688"/>
      <c r="FUI31" s="1688"/>
      <c r="FUJ31" s="1688"/>
      <c r="FUK31" s="1688"/>
      <c r="FUL31" s="1688"/>
      <c r="FUM31" s="1688"/>
      <c r="FUN31" s="1688"/>
      <c r="FUO31" s="1688"/>
      <c r="FUP31" s="1688"/>
      <c r="FUQ31" s="1688"/>
      <c r="FUR31" s="1688"/>
      <c r="FUS31" s="1688"/>
      <c r="FUT31" s="1688"/>
      <c r="FUU31" s="1688"/>
      <c r="FUV31" s="1688"/>
      <c r="FUW31" s="1688"/>
      <c r="FUX31" s="1688"/>
      <c r="FUY31" s="1688"/>
      <c r="FUZ31" s="1688"/>
      <c r="FVA31" s="1688"/>
      <c r="FVB31" s="1688"/>
      <c r="FVC31" s="1688"/>
      <c r="FVD31" s="1688"/>
      <c r="FVE31" s="1688"/>
      <c r="FVF31" s="1688"/>
      <c r="FVG31" s="1688"/>
      <c r="FVH31" s="1688"/>
      <c r="FVI31" s="1688"/>
      <c r="FVJ31" s="1688"/>
      <c r="FVK31" s="1688"/>
      <c r="FVL31" s="1688"/>
      <c r="FVM31" s="1688"/>
      <c r="FVN31" s="1688"/>
      <c r="FVO31" s="1688"/>
      <c r="FVP31" s="1688"/>
      <c r="FVQ31" s="1688"/>
      <c r="FVR31" s="1688"/>
      <c r="FVS31" s="1688"/>
      <c r="FVT31" s="1688"/>
      <c r="FVU31" s="1688"/>
      <c r="FVV31" s="1688"/>
      <c r="FVW31" s="1688"/>
      <c r="FVX31" s="1688"/>
      <c r="FVY31" s="1688"/>
      <c r="FVZ31" s="1688"/>
      <c r="FWA31" s="1688"/>
      <c r="FWB31" s="1688"/>
      <c r="FWC31" s="1688"/>
      <c r="FWD31" s="1688"/>
      <c r="FWE31" s="1688"/>
      <c r="FWF31" s="1688"/>
      <c r="FWG31" s="1688"/>
      <c r="FWH31" s="1688"/>
      <c r="FWI31" s="1688"/>
      <c r="FWJ31" s="1688"/>
      <c r="FWK31" s="1688"/>
      <c r="FWL31" s="1688"/>
      <c r="FWM31" s="1688"/>
      <c r="FWN31" s="1688"/>
      <c r="FWO31" s="1688"/>
      <c r="FWP31" s="1688"/>
      <c r="FWQ31" s="1688"/>
      <c r="FWR31" s="1688"/>
      <c r="FWS31" s="1688"/>
      <c r="FWT31" s="1688"/>
      <c r="FWU31" s="1688"/>
      <c r="FWV31" s="1688"/>
      <c r="FWW31" s="1688"/>
      <c r="FWX31" s="1688"/>
      <c r="FWY31" s="1688"/>
      <c r="FWZ31" s="1688"/>
      <c r="FXA31" s="1688"/>
      <c r="FXB31" s="1688"/>
      <c r="FXC31" s="1688"/>
      <c r="FXD31" s="1688"/>
      <c r="FXE31" s="1688"/>
      <c r="FXF31" s="1688"/>
      <c r="FXG31" s="1688"/>
      <c r="FXH31" s="1688"/>
      <c r="FXI31" s="1688"/>
      <c r="FXJ31" s="1688"/>
      <c r="FXK31" s="1688"/>
      <c r="FXL31" s="1688"/>
      <c r="FXM31" s="1688"/>
      <c r="FXN31" s="1688"/>
      <c r="FXO31" s="1688"/>
      <c r="FXP31" s="1688"/>
      <c r="FXQ31" s="1688"/>
      <c r="FXR31" s="1688"/>
      <c r="FXS31" s="1688"/>
      <c r="FXT31" s="1688"/>
      <c r="FXU31" s="1688"/>
      <c r="FXV31" s="1688"/>
      <c r="FXW31" s="1688"/>
      <c r="FXX31" s="1688"/>
      <c r="FXY31" s="1688"/>
      <c r="FXZ31" s="1688"/>
      <c r="FYA31" s="1688"/>
      <c r="FYB31" s="1688"/>
      <c r="FYC31" s="1688"/>
      <c r="FYD31" s="1688"/>
      <c r="FYE31" s="1688"/>
      <c r="FYF31" s="1688"/>
      <c r="FYG31" s="1688"/>
      <c r="FYH31" s="1688"/>
      <c r="FYI31" s="1688"/>
      <c r="FYJ31" s="1688"/>
      <c r="FYK31" s="1688"/>
      <c r="FYL31" s="1688"/>
      <c r="FYM31" s="1688"/>
      <c r="FYN31" s="1688"/>
      <c r="FYO31" s="1688"/>
      <c r="FYP31" s="1688"/>
      <c r="FYQ31" s="1688"/>
      <c r="FYR31" s="1688"/>
      <c r="FYS31" s="1688"/>
      <c r="FYT31" s="1688"/>
      <c r="FYU31" s="1688"/>
      <c r="FYV31" s="1688"/>
      <c r="FYW31" s="1688"/>
      <c r="FYX31" s="1688"/>
      <c r="FYY31" s="1688"/>
      <c r="FYZ31" s="1688"/>
      <c r="FZA31" s="1688"/>
      <c r="FZB31" s="1688"/>
      <c r="FZC31" s="1688"/>
      <c r="FZD31" s="1688"/>
      <c r="FZE31" s="1688"/>
      <c r="FZF31" s="1688"/>
      <c r="FZG31" s="1688"/>
      <c r="FZH31" s="1688"/>
      <c r="FZI31" s="1688"/>
      <c r="FZJ31" s="1688"/>
      <c r="FZK31" s="1688"/>
      <c r="FZL31" s="1688"/>
      <c r="FZM31" s="1688"/>
      <c r="FZN31" s="1688"/>
      <c r="FZO31" s="1688"/>
      <c r="FZP31" s="1688"/>
      <c r="FZQ31" s="1688"/>
      <c r="FZR31" s="1688"/>
      <c r="FZS31" s="1688"/>
      <c r="FZT31" s="1688"/>
      <c r="FZU31" s="1688"/>
      <c r="FZV31" s="1688"/>
      <c r="FZW31" s="1688"/>
      <c r="FZX31" s="1688"/>
      <c r="FZY31" s="1688"/>
      <c r="FZZ31" s="1688"/>
      <c r="GAA31" s="1688"/>
      <c r="GAB31" s="1688"/>
      <c r="GAC31" s="1688"/>
      <c r="GAD31" s="1688"/>
      <c r="GAE31" s="1688"/>
      <c r="GAF31" s="1688"/>
      <c r="GAG31" s="1688"/>
      <c r="GAH31" s="1688"/>
      <c r="GAI31" s="1688"/>
      <c r="GAJ31" s="1688"/>
      <c r="GAK31" s="1688"/>
      <c r="GAL31" s="1688"/>
      <c r="GAM31" s="1688"/>
      <c r="GAN31" s="1688"/>
      <c r="GAO31" s="1688"/>
      <c r="GAP31" s="1688"/>
      <c r="GAQ31" s="1688"/>
      <c r="GAR31" s="1688"/>
      <c r="GAS31" s="1688"/>
      <c r="GAT31" s="1688"/>
      <c r="GAU31" s="1688"/>
      <c r="GAV31" s="1688"/>
      <c r="GAW31" s="1688"/>
      <c r="GAX31" s="1688"/>
      <c r="GAY31" s="1688"/>
      <c r="GAZ31" s="1688"/>
      <c r="GBA31" s="1688"/>
      <c r="GBB31" s="1688"/>
      <c r="GBC31" s="1688"/>
      <c r="GBD31" s="1688"/>
      <c r="GBE31" s="1688"/>
      <c r="GBF31" s="1688"/>
      <c r="GBG31" s="1688"/>
      <c r="GBH31" s="1688"/>
      <c r="GBI31" s="1688"/>
      <c r="GBJ31" s="1688"/>
      <c r="GBK31" s="1688"/>
      <c r="GBL31" s="1688"/>
      <c r="GBM31" s="1688"/>
      <c r="GBN31" s="1688"/>
      <c r="GBO31" s="1688"/>
      <c r="GBP31" s="1688"/>
      <c r="GBQ31" s="1688"/>
      <c r="GBR31" s="1688"/>
      <c r="GBS31" s="1688"/>
      <c r="GBT31" s="1688"/>
      <c r="GBU31" s="1688"/>
      <c r="GBV31" s="1688"/>
      <c r="GBW31" s="1688"/>
      <c r="GBX31" s="1688"/>
      <c r="GBY31" s="1688"/>
      <c r="GBZ31" s="1688"/>
      <c r="GCA31" s="1688"/>
      <c r="GCB31" s="1688"/>
      <c r="GCC31" s="1688"/>
      <c r="GCD31" s="1688"/>
      <c r="GCE31" s="1688"/>
      <c r="GCF31" s="1688"/>
      <c r="GCG31" s="1688"/>
      <c r="GCH31" s="1688"/>
      <c r="GCI31" s="1688"/>
      <c r="GCJ31" s="1688"/>
      <c r="GCK31" s="1688"/>
      <c r="GCL31" s="1688"/>
      <c r="GCM31" s="1688"/>
      <c r="GCN31" s="1688"/>
      <c r="GCO31" s="1688"/>
      <c r="GCP31" s="1688"/>
      <c r="GCQ31" s="1688"/>
      <c r="GCR31" s="1688"/>
      <c r="GCS31" s="1688"/>
      <c r="GCT31" s="1688"/>
      <c r="GCU31" s="1688"/>
      <c r="GCV31" s="1688"/>
      <c r="GCW31" s="1688"/>
      <c r="GCX31" s="1688"/>
      <c r="GCY31" s="1688"/>
      <c r="GCZ31" s="1688"/>
      <c r="GDA31" s="1688"/>
      <c r="GDB31" s="1688"/>
      <c r="GDC31" s="1688"/>
      <c r="GDD31" s="1688"/>
      <c r="GDE31" s="1688"/>
      <c r="GDF31" s="1688"/>
      <c r="GDG31" s="1688"/>
      <c r="GDH31" s="1688"/>
      <c r="GDI31" s="1688"/>
      <c r="GDJ31" s="1688"/>
      <c r="GDK31" s="1688"/>
      <c r="GDL31" s="1688"/>
      <c r="GDM31" s="1688"/>
      <c r="GDN31" s="1688"/>
      <c r="GDO31" s="1688"/>
      <c r="GDP31" s="1688"/>
      <c r="GDQ31" s="1688"/>
      <c r="GDR31" s="1688"/>
      <c r="GDS31" s="1688"/>
      <c r="GDT31" s="1688"/>
      <c r="GDU31" s="1688"/>
      <c r="GDV31" s="1688"/>
      <c r="GDW31" s="1688"/>
      <c r="GDX31" s="1688"/>
      <c r="GDY31" s="1688"/>
      <c r="GDZ31" s="1688"/>
      <c r="GEA31" s="1688"/>
      <c r="GEB31" s="1688"/>
      <c r="GEC31" s="1688"/>
      <c r="GED31" s="1688"/>
      <c r="GEE31" s="1688"/>
      <c r="GEF31" s="1688"/>
      <c r="GEG31" s="1688"/>
      <c r="GEH31" s="1688"/>
      <c r="GEI31" s="1688"/>
      <c r="GEJ31" s="1688"/>
      <c r="GEK31" s="1688"/>
      <c r="GEL31" s="1688"/>
      <c r="GEM31" s="1688"/>
      <c r="GEN31" s="1688"/>
      <c r="GEO31" s="1688"/>
      <c r="GEP31" s="1688"/>
      <c r="GEQ31" s="1688"/>
      <c r="GER31" s="1688"/>
      <c r="GES31" s="1688"/>
      <c r="GET31" s="1688"/>
      <c r="GEU31" s="1688"/>
      <c r="GEV31" s="1688"/>
      <c r="GEW31" s="1688"/>
      <c r="GEX31" s="1688"/>
      <c r="GEY31" s="1688"/>
      <c r="GEZ31" s="1688"/>
      <c r="GFA31" s="1688"/>
      <c r="GFB31" s="1688"/>
      <c r="GFC31" s="1688"/>
      <c r="GFD31" s="1688"/>
      <c r="GFE31" s="1688"/>
      <c r="GFF31" s="1688"/>
      <c r="GFG31" s="1688"/>
      <c r="GFH31" s="1688"/>
      <c r="GFI31" s="1688"/>
      <c r="GFJ31" s="1688"/>
      <c r="GFK31" s="1688"/>
      <c r="GFL31" s="1688"/>
      <c r="GFM31" s="1688"/>
      <c r="GFN31" s="1688"/>
      <c r="GFO31" s="1688"/>
      <c r="GFP31" s="1688"/>
      <c r="GFQ31" s="1688"/>
      <c r="GFR31" s="1688"/>
      <c r="GFS31" s="1688"/>
      <c r="GFT31" s="1688"/>
      <c r="GFU31" s="1688"/>
      <c r="GFV31" s="1688"/>
      <c r="GFW31" s="1688"/>
      <c r="GFX31" s="1688"/>
      <c r="GFY31" s="1688"/>
      <c r="GFZ31" s="1688"/>
      <c r="GGA31" s="1688"/>
      <c r="GGB31" s="1688"/>
      <c r="GGC31" s="1688"/>
      <c r="GGD31" s="1688"/>
      <c r="GGE31" s="1688"/>
      <c r="GGF31" s="1688"/>
      <c r="GGG31" s="1688"/>
      <c r="GGH31" s="1688"/>
      <c r="GGI31" s="1688"/>
      <c r="GGJ31" s="1688"/>
      <c r="GGK31" s="1688"/>
      <c r="GGL31" s="1688"/>
      <c r="GGM31" s="1688"/>
      <c r="GGN31" s="1688"/>
      <c r="GGO31" s="1688"/>
      <c r="GGP31" s="1688"/>
      <c r="GGQ31" s="1688"/>
      <c r="GGR31" s="1688"/>
      <c r="GGS31" s="1688"/>
      <c r="GGT31" s="1688"/>
      <c r="GGU31" s="1688"/>
      <c r="GGV31" s="1688"/>
      <c r="GGW31" s="1688"/>
      <c r="GGX31" s="1688"/>
      <c r="GGY31" s="1688"/>
      <c r="GGZ31" s="1688"/>
      <c r="GHA31" s="1688"/>
      <c r="GHB31" s="1688"/>
      <c r="GHC31" s="1688"/>
      <c r="GHD31" s="1688"/>
      <c r="GHE31" s="1688"/>
      <c r="GHF31" s="1688"/>
      <c r="GHG31" s="1688"/>
      <c r="GHH31" s="1688"/>
      <c r="GHI31" s="1688"/>
      <c r="GHJ31" s="1688"/>
      <c r="GHK31" s="1688"/>
      <c r="GHL31" s="1688"/>
      <c r="GHM31" s="1688"/>
      <c r="GHN31" s="1688"/>
      <c r="GHO31" s="1688"/>
      <c r="GHP31" s="1688"/>
      <c r="GHQ31" s="1688"/>
      <c r="GHR31" s="1688"/>
      <c r="GHS31" s="1688"/>
      <c r="GHT31" s="1688"/>
      <c r="GHU31" s="1688"/>
      <c r="GHV31" s="1688"/>
      <c r="GHW31" s="1688"/>
      <c r="GHX31" s="1688"/>
      <c r="GHY31" s="1688"/>
      <c r="GHZ31" s="1688"/>
      <c r="GIA31" s="1688"/>
      <c r="GIB31" s="1688"/>
      <c r="GIC31" s="1688"/>
      <c r="GID31" s="1688"/>
      <c r="GIE31" s="1688"/>
      <c r="GIF31" s="1688"/>
      <c r="GIG31" s="1688"/>
      <c r="GIH31" s="1688"/>
      <c r="GII31" s="1688"/>
      <c r="GIJ31" s="1688"/>
      <c r="GIK31" s="1688"/>
      <c r="GIL31" s="1688"/>
      <c r="GIM31" s="1688"/>
      <c r="GIN31" s="1688"/>
      <c r="GIO31" s="1688"/>
      <c r="GIP31" s="1688"/>
      <c r="GIQ31" s="1688"/>
      <c r="GIR31" s="1688"/>
      <c r="GIS31" s="1688"/>
      <c r="GIT31" s="1688"/>
      <c r="GIU31" s="1688"/>
      <c r="GIV31" s="1688"/>
      <c r="GIW31" s="1688"/>
      <c r="GIX31" s="1688"/>
      <c r="GIY31" s="1688"/>
      <c r="GIZ31" s="1688"/>
      <c r="GJA31" s="1688"/>
      <c r="GJB31" s="1688"/>
      <c r="GJC31" s="1688"/>
      <c r="GJD31" s="1688"/>
      <c r="GJE31" s="1688"/>
      <c r="GJF31" s="1688"/>
      <c r="GJG31" s="1688"/>
      <c r="GJH31" s="1688"/>
      <c r="GJI31" s="1688"/>
      <c r="GJJ31" s="1688"/>
      <c r="GJK31" s="1688"/>
      <c r="GJL31" s="1688"/>
      <c r="GJM31" s="1688"/>
      <c r="GJN31" s="1688"/>
      <c r="GJO31" s="1688"/>
      <c r="GJP31" s="1688"/>
      <c r="GJQ31" s="1688"/>
      <c r="GJR31" s="1688"/>
      <c r="GJS31" s="1688"/>
      <c r="GJT31" s="1688"/>
      <c r="GJU31" s="1688"/>
      <c r="GJV31" s="1688"/>
      <c r="GJW31" s="1688"/>
      <c r="GJX31" s="1688"/>
      <c r="GJY31" s="1688"/>
      <c r="GJZ31" s="1688"/>
      <c r="GKA31" s="1688"/>
      <c r="GKB31" s="1688"/>
      <c r="GKC31" s="1688"/>
      <c r="GKD31" s="1688"/>
      <c r="GKE31" s="1688"/>
      <c r="GKF31" s="1688"/>
      <c r="GKG31" s="1688"/>
      <c r="GKH31" s="1688"/>
      <c r="GKI31" s="1688"/>
      <c r="GKJ31" s="1688"/>
      <c r="GKK31" s="1688"/>
      <c r="GKL31" s="1688"/>
      <c r="GKM31" s="1688"/>
      <c r="GKN31" s="1688"/>
      <c r="GKO31" s="1688"/>
      <c r="GKP31" s="1688"/>
      <c r="GKQ31" s="1688"/>
      <c r="GKR31" s="1688"/>
      <c r="GKS31" s="1688"/>
      <c r="GKT31" s="1688"/>
      <c r="GKU31" s="1688"/>
      <c r="GKV31" s="1688"/>
      <c r="GKW31" s="1688"/>
      <c r="GKX31" s="1688"/>
      <c r="GKY31" s="1688"/>
      <c r="GKZ31" s="1688"/>
      <c r="GLA31" s="1688"/>
      <c r="GLB31" s="1688"/>
      <c r="GLC31" s="1688"/>
      <c r="GLD31" s="1688"/>
      <c r="GLE31" s="1688"/>
      <c r="GLF31" s="1688"/>
      <c r="GLG31" s="1688"/>
      <c r="GLH31" s="1688"/>
      <c r="GLI31" s="1688"/>
      <c r="GLJ31" s="1688"/>
      <c r="GLK31" s="1688"/>
      <c r="GLL31" s="1688"/>
      <c r="GLM31" s="1688"/>
      <c r="GLN31" s="1688"/>
      <c r="GLO31" s="1688"/>
      <c r="GLP31" s="1688"/>
      <c r="GLQ31" s="1688"/>
      <c r="GLR31" s="1688"/>
      <c r="GLS31" s="1688"/>
      <c r="GLT31" s="1688"/>
      <c r="GLU31" s="1688"/>
      <c r="GLV31" s="1688"/>
      <c r="GLW31" s="1688"/>
      <c r="GLX31" s="1688"/>
      <c r="GLY31" s="1688"/>
      <c r="GLZ31" s="1688"/>
      <c r="GMA31" s="1688"/>
      <c r="GMB31" s="1688"/>
      <c r="GMC31" s="1688"/>
      <c r="GMD31" s="1688"/>
      <c r="GME31" s="1688"/>
      <c r="GMF31" s="1688"/>
      <c r="GMG31" s="1688"/>
      <c r="GMH31" s="1688"/>
      <c r="GMI31" s="1688"/>
      <c r="GMJ31" s="1688"/>
      <c r="GMK31" s="1688"/>
      <c r="GML31" s="1688"/>
      <c r="GMM31" s="1688"/>
      <c r="GMN31" s="1688"/>
      <c r="GMO31" s="1688"/>
      <c r="GMP31" s="1688"/>
      <c r="GMQ31" s="1688"/>
      <c r="GMR31" s="1688"/>
      <c r="GMS31" s="1688"/>
      <c r="GMT31" s="1688"/>
      <c r="GMU31" s="1688"/>
      <c r="GMV31" s="1688"/>
      <c r="GMW31" s="1688"/>
      <c r="GMX31" s="1688"/>
      <c r="GMY31" s="1688"/>
      <c r="GMZ31" s="1688"/>
      <c r="GNA31" s="1688"/>
      <c r="GNB31" s="1688"/>
      <c r="GNC31" s="1688"/>
      <c r="GND31" s="1688"/>
      <c r="GNE31" s="1688"/>
      <c r="GNF31" s="1688"/>
      <c r="GNG31" s="1688"/>
      <c r="GNH31" s="1688"/>
      <c r="GNI31" s="1688"/>
      <c r="GNJ31" s="1688"/>
      <c r="GNK31" s="1688"/>
      <c r="GNL31" s="1688"/>
      <c r="GNM31" s="1688"/>
      <c r="GNN31" s="1688"/>
      <c r="GNO31" s="1688"/>
      <c r="GNP31" s="1688"/>
      <c r="GNQ31" s="1688"/>
      <c r="GNR31" s="1688"/>
      <c r="GNS31" s="1688"/>
      <c r="GNT31" s="1688"/>
      <c r="GNU31" s="1688"/>
      <c r="GNV31" s="1688"/>
      <c r="GNW31" s="1688"/>
      <c r="GNX31" s="1688"/>
      <c r="GNY31" s="1688"/>
      <c r="GNZ31" s="1688"/>
      <c r="GOA31" s="1688"/>
      <c r="GOB31" s="1688"/>
      <c r="GOC31" s="1688"/>
      <c r="GOD31" s="1688"/>
      <c r="GOE31" s="1688"/>
      <c r="GOF31" s="1688"/>
      <c r="GOG31" s="1688"/>
      <c r="GOH31" s="1688"/>
      <c r="GOI31" s="1688"/>
      <c r="GOJ31" s="1688"/>
      <c r="GOK31" s="1688"/>
      <c r="GOL31" s="1688"/>
      <c r="GOM31" s="1688"/>
      <c r="GON31" s="1688"/>
      <c r="GOO31" s="1688"/>
      <c r="GOP31" s="1688"/>
      <c r="GOQ31" s="1688"/>
      <c r="GOR31" s="1688"/>
      <c r="GOS31" s="1688"/>
      <c r="GOT31" s="1688"/>
      <c r="GOU31" s="1688"/>
      <c r="GOV31" s="1688"/>
      <c r="GOW31" s="1688"/>
      <c r="GOX31" s="1688"/>
      <c r="GOY31" s="1688"/>
      <c r="GOZ31" s="1688"/>
      <c r="GPA31" s="1688"/>
      <c r="GPB31" s="1688"/>
      <c r="GPC31" s="1688"/>
      <c r="GPD31" s="1688"/>
      <c r="GPE31" s="1688"/>
      <c r="GPF31" s="1688"/>
      <c r="GPG31" s="1688"/>
      <c r="GPH31" s="1688"/>
      <c r="GPI31" s="1688"/>
      <c r="GPJ31" s="1688"/>
      <c r="GPK31" s="1688"/>
      <c r="GPL31" s="1688"/>
      <c r="GPM31" s="1688"/>
      <c r="GPN31" s="1688"/>
      <c r="GPO31" s="1688"/>
      <c r="GPP31" s="1688"/>
      <c r="GPQ31" s="1688"/>
      <c r="GPR31" s="1688"/>
      <c r="GPS31" s="1688"/>
      <c r="GPT31" s="1688"/>
      <c r="GPU31" s="1688"/>
      <c r="GPV31" s="1688"/>
      <c r="GPW31" s="1688"/>
      <c r="GPX31" s="1688"/>
      <c r="GPY31" s="1688"/>
      <c r="GPZ31" s="1688"/>
      <c r="GQA31" s="1688"/>
      <c r="GQB31" s="1688"/>
      <c r="GQC31" s="1688"/>
      <c r="GQD31" s="1688"/>
      <c r="GQE31" s="1688"/>
      <c r="GQF31" s="1688"/>
      <c r="GQG31" s="1688"/>
      <c r="GQH31" s="1688"/>
      <c r="GQI31" s="1688"/>
      <c r="GQJ31" s="1688"/>
      <c r="GQK31" s="1688"/>
      <c r="GQL31" s="1688"/>
      <c r="GQM31" s="1688"/>
      <c r="GQN31" s="1688"/>
      <c r="GQO31" s="1688"/>
      <c r="GQP31" s="1688"/>
      <c r="GQQ31" s="1688"/>
      <c r="GQR31" s="1688"/>
      <c r="GQS31" s="1688"/>
      <c r="GQT31" s="1688"/>
      <c r="GQU31" s="1688"/>
      <c r="GQV31" s="1688"/>
      <c r="GQW31" s="1688"/>
      <c r="GQX31" s="1688"/>
      <c r="GQY31" s="1688"/>
      <c r="GQZ31" s="1688"/>
      <c r="GRA31" s="1688"/>
      <c r="GRB31" s="1688"/>
      <c r="GRC31" s="1688"/>
      <c r="GRD31" s="1688"/>
      <c r="GRE31" s="1688"/>
      <c r="GRF31" s="1688"/>
      <c r="GRG31" s="1688"/>
      <c r="GRH31" s="1688"/>
      <c r="GRI31" s="1688"/>
      <c r="GRJ31" s="1688"/>
      <c r="GRK31" s="1688"/>
      <c r="GRL31" s="1688"/>
      <c r="GRM31" s="1688"/>
      <c r="GRN31" s="1688"/>
      <c r="GRO31" s="1688"/>
      <c r="GRP31" s="1688"/>
      <c r="GRQ31" s="1688"/>
      <c r="GRR31" s="1688"/>
      <c r="GRS31" s="1688"/>
      <c r="GRT31" s="1688"/>
      <c r="GRU31" s="1688"/>
      <c r="GRV31" s="1688"/>
      <c r="GRW31" s="1688"/>
      <c r="GRX31" s="1688"/>
      <c r="GRY31" s="1688"/>
      <c r="GRZ31" s="1688"/>
      <c r="GSA31" s="1688"/>
      <c r="GSB31" s="1688"/>
      <c r="GSC31" s="1688"/>
      <c r="GSD31" s="1688"/>
      <c r="GSE31" s="1688"/>
      <c r="GSF31" s="1688"/>
      <c r="GSG31" s="1688"/>
      <c r="GSH31" s="1688"/>
      <c r="GSI31" s="1688"/>
      <c r="GSJ31" s="1688"/>
      <c r="GSK31" s="1688"/>
      <c r="GSL31" s="1688"/>
      <c r="GSM31" s="1688"/>
      <c r="GSN31" s="1688"/>
      <c r="GSO31" s="1688"/>
      <c r="GSP31" s="1688"/>
      <c r="GSQ31" s="1688"/>
      <c r="GSR31" s="1688"/>
      <c r="GSS31" s="1688"/>
      <c r="GST31" s="1688"/>
      <c r="GSU31" s="1688"/>
      <c r="GSV31" s="1688"/>
      <c r="GSW31" s="1688"/>
      <c r="GSX31" s="1688"/>
      <c r="GSY31" s="1688"/>
      <c r="GSZ31" s="1688"/>
      <c r="GTA31" s="1688"/>
      <c r="GTB31" s="1688"/>
      <c r="GTC31" s="1688"/>
      <c r="GTD31" s="1688"/>
      <c r="GTE31" s="1688"/>
      <c r="GTF31" s="1688"/>
      <c r="GTG31" s="1688"/>
      <c r="GTH31" s="1688"/>
      <c r="GTI31" s="1688"/>
      <c r="GTJ31" s="1688"/>
      <c r="GTK31" s="1688"/>
      <c r="GTL31" s="1688"/>
      <c r="GTM31" s="1688"/>
      <c r="GTN31" s="1688"/>
      <c r="GTO31" s="1688"/>
      <c r="GTP31" s="1688"/>
      <c r="GTQ31" s="1688"/>
      <c r="GTR31" s="1688"/>
      <c r="GTS31" s="1688"/>
      <c r="GTT31" s="1688"/>
      <c r="GTU31" s="1688"/>
      <c r="GTV31" s="1688"/>
      <c r="GTW31" s="1688"/>
      <c r="GTX31" s="1688"/>
      <c r="GTY31" s="1688"/>
      <c r="GTZ31" s="1688"/>
      <c r="GUA31" s="1688"/>
      <c r="GUB31" s="1688"/>
      <c r="GUC31" s="1688"/>
      <c r="GUD31" s="1688"/>
      <c r="GUE31" s="1688"/>
      <c r="GUF31" s="1688"/>
      <c r="GUG31" s="1688"/>
      <c r="GUH31" s="1688"/>
      <c r="GUI31" s="1688"/>
      <c r="GUJ31" s="1688"/>
      <c r="GUK31" s="1688"/>
      <c r="GUL31" s="1688"/>
      <c r="GUM31" s="1688"/>
      <c r="GUN31" s="1688"/>
      <c r="GUO31" s="1688"/>
      <c r="GUP31" s="1688"/>
      <c r="GUQ31" s="1688"/>
      <c r="GUR31" s="1688"/>
      <c r="GUS31" s="1688"/>
      <c r="GUT31" s="1688"/>
      <c r="GUU31" s="1688"/>
      <c r="GUV31" s="1688"/>
      <c r="GUW31" s="1688"/>
      <c r="GUX31" s="1688"/>
      <c r="GUY31" s="1688"/>
      <c r="GUZ31" s="1688"/>
      <c r="GVA31" s="1688"/>
      <c r="GVB31" s="1688"/>
      <c r="GVC31" s="1688"/>
      <c r="GVD31" s="1688"/>
      <c r="GVE31" s="1688"/>
      <c r="GVF31" s="1688"/>
      <c r="GVG31" s="1688"/>
      <c r="GVH31" s="1688"/>
      <c r="GVI31" s="1688"/>
      <c r="GVJ31" s="1688"/>
      <c r="GVK31" s="1688"/>
      <c r="GVL31" s="1688"/>
      <c r="GVM31" s="1688"/>
      <c r="GVN31" s="1688"/>
      <c r="GVO31" s="1688"/>
      <c r="GVP31" s="1688"/>
      <c r="GVQ31" s="1688"/>
      <c r="GVR31" s="1688"/>
      <c r="GVS31" s="1688"/>
      <c r="GVT31" s="1688"/>
      <c r="GVU31" s="1688"/>
      <c r="GVV31" s="1688"/>
      <c r="GVW31" s="1688"/>
      <c r="GVX31" s="1688"/>
      <c r="GVY31" s="1688"/>
      <c r="GVZ31" s="1688"/>
      <c r="GWA31" s="1688"/>
      <c r="GWB31" s="1688"/>
      <c r="GWC31" s="1688"/>
      <c r="GWD31" s="1688"/>
      <c r="GWE31" s="1688"/>
      <c r="GWF31" s="1688"/>
      <c r="GWG31" s="1688"/>
      <c r="GWH31" s="1688"/>
      <c r="GWI31" s="1688"/>
      <c r="GWJ31" s="1688"/>
      <c r="GWK31" s="1688"/>
      <c r="GWL31" s="1688"/>
      <c r="GWM31" s="1688"/>
      <c r="GWN31" s="1688"/>
      <c r="GWO31" s="1688"/>
      <c r="GWP31" s="1688"/>
      <c r="GWQ31" s="1688"/>
      <c r="GWR31" s="1688"/>
      <c r="GWS31" s="1688"/>
      <c r="GWT31" s="1688"/>
      <c r="GWU31" s="1688"/>
      <c r="GWV31" s="1688"/>
      <c r="GWW31" s="1688"/>
      <c r="GWX31" s="1688"/>
      <c r="GWY31" s="1688"/>
      <c r="GWZ31" s="1688"/>
      <c r="GXA31" s="1688"/>
      <c r="GXB31" s="1688"/>
      <c r="GXC31" s="1688"/>
      <c r="GXD31" s="1688"/>
      <c r="GXE31" s="1688"/>
      <c r="GXF31" s="1688"/>
      <c r="GXG31" s="1688"/>
      <c r="GXH31" s="1688"/>
      <c r="GXI31" s="1688"/>
      <c r="GXJ31" s="1688"/>
      <c r="GXK31" s="1688"/>
      <c r="GXL31" s="1688"/>
      <c r="GXM31" s="1688"/>
      <c r="GXN31" s="1688"/>
      <c r="GXO31" s="1688"/>
      <c r="GXP31" s="1688"/>
      <c r="GXQ31" s="1688"/>
      <c r="GXR31" s="1688"/>
      <c r="GXS31" s="1688"/>
      <c r="GXT31" s="1688"/>
      <c r="GXU31" s="1688"/>
      <c r="GXV31" s="1688"/>
      <c r="GXW31" s="1688"/>
      <c r="GXX31" s="1688"/>
      <c r="GXY31" s="1688"/>
      <c r="GXZ31" s="1688"/>
      <c r="GYA31" s="1688"/>
      <c r="GYB31" s="1688"/>
      <c r="GYC31" s="1688"/>
      <c r="GYD31" s="1688"/>
      <c r="GYE31" s="1688"/>
      <c r="GYF31" s="1688"/>
      <c r="GYG31" s="1688"/>
      <c r="GYH31" s="1688"/>
      <c r="GYI31" s="1688"/>
      <c r="GYJ31" s="1688"/>
      <c r="GYK31" s="1688"/>
      <c r="GYL31" s="1688"/>
      <c r="GYM31" s="1688"/>
      <c r="GYN31" s="1688"/>
      <c r="GYO31" s="1688"/>
      <c r="GYP31" s="1688"/>
      <c r="GYQ31" s="1688"/>
      <c r="GYR31" s="1688"/>
      <c r="GYS31" s="1688"/>
      <c r="GYT31" s="1688"/>
      <c r="GYU31" s="1688"/>
      <c r="GYV31" s="1688"/>
      <c r="GYW31" s="1688"/>
      <c r="GYX31" s="1688"/>
      <c r="GYY31" s="1688"/>
      <c r="GYZ31" s="1688"/>
      <c r="GZA31" s="1688"/>
      <c r="GZB31" s="1688"/>
      <c r="GZC31" s="1688"/>
      <c r="GZD31" s="1688"/>
      <c r="GZE31" s="1688"/>
      <c r="GZF31" s="1688"/>
      <c r="GZG31" s="1688"/>
      <c r="GZH31" s="1688"/>
      <c r="GZI31" s="1688"/>
      <c r="GZJ31" s="1688"/>
      <c r="GZK31" s="1688"/>
      <c r="GZL31" s="1688"/>
      <c r="GZM31" s="1688"/>
      <c r="GZN31" s="1688"/>
      <c r="GZO31" s="1688"/>
      <c r="GZP31" s="1688"/>
      <c r="GZQ31" s="1688"/>
      <c r="GZR31" s="1688"/>
      <c r="GZS31" s="1688"/>
      <c r="GZT31" s="1688"/>
      <c r="GZU31" s="1688"/>
      <c r="GZV31" s="1688"/>
      <c r="GZW31" s="1688"/>
      <c r="GZX31" s="1688"/>
      <c r="GZY31" s="1688"/>
      <c r="GZZ31" s="1688"/>
      <c r="HAA31" s="1688"/>
      <c r="HAB31" s="1688"/>
      <c r="HAC31" s="1688"/>
      <c r="HAD31" s="1688"/>
      <c r="HAE31" s="1688"/>
      <c r="HAF31" s="1688"/>
      <c r="HAG31" s="1688"/>
      <c r="HAH31" s="1688"/>
      <c r="HAI31" s="1688"/>
      <c r="HAJ31" s="1688"/>
      <c r="HAK31" s="1688"/>
      <c r="HAL31" s="1688"/>
      <c r="HAM31" s="1688"/>
      <c r="HAN31" s="1688"/>
      <c r="HAO31" s="1688"/>
      <c r="HAP31" s="1688"/>
      <c r="HAQ31" s="1688"/>
      <c r="HAR31" s="1688"/>
      <c r="HAS31" s="1688"/>
      <c r="HAT31" s="1688"/>
      <c r="HAU31" s="1688"/>
      <c r="HAV31" s="1688"/>
      <c r="HAW31" s="1688"/>
      <c r="HAX31" s="1688"/>
      <c r="HAY31" s="1688"/>
      <c r="HAZ31" s="1688"/>
      <c r="HBA31" s="1688"/>
      <c r="HBB31" s="1688"/>
      <c r="HBC31" s="1688"/>
      <c r="HBD31" s="1688"/>
      <c r="HBE31" s="1688"/>
      <c r="HBF31" s="1688"/>
      <c r="HBG31" s="1688"/>
      <c r="HBH31" s="1688"/>
      <c r="HBI31" s="1688"/>
      <c r="HBJ31" s="1688"/>
      <c r="HBK31" s="1688"/>
      <c r="HBL31" s="1688"/>
      <c r="HBM31" s="1688"/>
      <c r="HBN31" s="1688"/>
      <c r="HBO31" s="1688"/>
      <c r="HBP31" s="1688"/>
      <c r="HBQ31" s="1688"/>
      <c r="HBR31" s="1688"/>
      <c r="HBS31" s="1688"/>
      <c r="HBT31" s="1688"/>
      <c r="HBU31" s="1688"/>
      <c r="HBV31" s="1688"/>
      <c r="HBW31" s="1688"/>
      <c r="HBX31" s="1688"/>
      <c r="HBY31" s="1688"/>
      <c r="HBZ31" s="1688"/>
      <c r="HCA31" s="1688"/>
      <c r="HCB31" s="1688"/>
      <c r="HCC31" s="1688"/>
      <c r="HCD31" s="1688"/>
      <c r="HCE31" s="1688"/>
      <c r="HCF31" s="1688"/>
      <c r="HCG31" s="1688"/>
      <c r="HCH31" s="1688"/>
      <c r="HCI31" s="1688"/>
      <c r="HCJ31" s="1688"/>
      <c r="HCK31" s="1688"/>
      <c r="HCL31" s="1688"/>
      <c r="HCM31" s="1688"/>
      <c r="HCN31" s="1688"/>
      <c r="HCO31" s="1688"/>
      <c r="HCP31" s="1688"/>
      <c r="HCQ31" s="1688"/>
      <c r="HCR31" s="1688"/>
      <c r="HCS31" s="1688"/>
      <c r="HCT31" s="1688"/>
      <c r="HCU31" s="1688"/>
      <c r="HCV31" s="1688"/>
      <c r="HCW31" s="1688"/>
      <c r="HCX31" s="1688"/>
      <c r="HCY31" s="1688"/>
      <c r="HCZ31" s="1688"/>
      <c r="HDA31" s="1688"/>
      <c r="HDB31" s="1688"/>
      <c r="HDC31" s="1688"/>
      <c r="HDD31" s="1688"/>
      <c r="HDE31" s="1688"/>
      <c r="HDF31" s="1688"/>
      <c r="HDG31" s="1688"/>
      <c r="HDH31" s="1688"/>
      <c r="HDI31" s="1688"/>
      <c r="HDJ31" s="1688"/>
      <c r="HDK31" s="1688"/>
      <c r="HDL31" s="1688"/>
      <c r="HDM31" s="1688"/>
      <c r="HDN31" s="1688"/>
      <c r="HDO31" s="1688"/>
      <c r="HDP31" s="1688"/>
      <c r="HDQ31" s="1688"/>
      <c r="HDR31" s="1688"/>
      <c r="HDS31" s="1688"/>
      <c r="HDT31" s="1688"/>
      <c r="HDU31" s="1688"/>
      <c r="HDV31" s="1688"/>
      <c r="HDW31" s="1688"/>
      <c r="HDX31" s="1688"/>
      <c r="HDY31" s="1688"/>
      <c r="HDZ31" s="1688"/>
      <c r="HEA31" s="1688"/>
      <c r="HEB31" s="1688"/>
      <c r="HEC31" s="1688"/>
      <c r="HED31" s="1688"/>
      <c r="HEE31" s="1688"/>
      <c r="HEF31" s="1688"/>
      <c r="HEG31" s="1688"/>
      <c r="HEH31" s="1688"/>
      <c r="HEI31" s="1688"/>
      <c r="HEJ31" s="1688"/>
      <c r="HEK31" s="1688"/>
      <c r="HEL31" s="1688"/>
      <c r="HEM31" s="1688"/>
      <c r="HEN31" s="1688"/>
      <c r="HEO31" s="1688"/>
      <c r="HEP31" s="1688"/>
      <c r="HEQ31" s="1688"/>
      <c r="HER31" s="1688"/>
      <c r="HES31" s="1688"/>
      <c r="HET31" s="1688"/>
      <c r="HEU31" s="1688"/>
      <c r="HEV31" s="1688"/>
      <c r="HEW31" s="1688"/>
      <c r="HEX31" s="1688"/>
      <c r="HEY31" s="1688"/>
      <c r="HEZ31" s="1688"/>
      <c r="HFA31" s="1688"/>
      <c r="HFB31" s="1688"/>
      <c r="HFC31" s="1688"/>
      <c r="HFD31" s="1688"/>
      <c r="HFE31" s="1688"/>
      <c r="HFF31" s="1688"/>
      <c r="HFG31" s="1688"/>
      <c r="HFH31" s="1688"/>
      <c r="HFI31" s="1688"/>
      <c r="HFJ31" s="1688"/>
      <c r="HFK31" s="1688"/>
      <c r="HFL31" s="1688"/>
      <c r="HFM31" s="1688"/>
      <c r="HFN31" s="1688"/>
      <c r="HFO31" s="1688"/>
      <c r="HFP31" s="1688"/>
      <c r="HFQ31" s="1688"/>
      <c r="HFR31" s="1688"/>
      <c r="HFS31" s="1688"/>
      <c r="HFT31" s="1688"/>
      <c r="HFU31" s="1688"/>
      <c r="HFV31" s="1688"/>
      <c r="HFW31" s="1688"/>
      <c r="HFX31" s="1688"/>
      <c r="HFY31" s="1688"/>
      <c r="HFZ31" s="1688"/>
      <c r="HGA31" s="1688"/>
      <c r="HGB31" s="1688"/>
      <c r="HGC31" s="1688"/>
      <c r="HGD31" s="1688"/>
      <c r="HGE31" s="1688"/>
      <c r="HGF31" s="1688"/>
      <c r="HGG31" s="1688"/>
      <c r="HGH31" s="1688"/>
      <c r="HGI31" s="1688"/>
      <c r="HGJ31" s="1688"/>
      <c r="HGK31" s="1688"/>
      <c r="HGL31" s="1688"/>
      <c r="HGM31" s="1688"/>
      <c r="HGN31" s="1688"/>
      <c r="HGO31" s="1688"/>
      <c r="HGP31" s="1688"/>
      <c r="HGQ31" s="1688"/>
      <c r="HGR31" s="1688"/>
      <c r="HGS31" s="1688"/>
      <c r="HGT31" s="1688"/>
      <c r="HGU31" s="1688"/>
      <c r="HGV31" s="1688"/>
      <c r="HGW31" s="1688"/>
      <c r="HGX31" s="1688"/>
      <c r="HGY31" s="1688"/>
      <c r="HGZ31" s="1688"/>
      <c r="HHA31" s="1688"/>
      <c r="HHB31" s="1688"/>
      <c r="HHC31" s="1688"/>
      <c r="HHD31" s="1688"/>
      <c r="HHE31" s="1688"/>
      <c r="HHF31" s="1688"/>
      <c r="HHG31" s="1688"/>
      <c r="HHH31" s="1688"/>
      <c r="HHI31" s="1688"/>
      <c r="HHJ31" s="1688"/>
      <c r="HHK31" s="1688"/>
      <c r="HHL31" s="1688"/>
      <c r="HHM31" s="1688"/>
      <c r="HHN31" s="1688"/>
      <c r="HHO31" s="1688"/>
      <c r="HHP31" s="1688"/>
      <c r="HHQ31" s="1688"/>
      <c r="HHR31" s="1688"/>
      <c r="HHS31" s="1688"/>
      <c r="HHT31" s="1688"/>
      <c r="HHU31" s="1688"/>
      <c r="HHV31" s="1688"/>
      <c r="HHW31" s="1688"/>
      <c r="HHX31" s="1688"/>
      <c r="HHY31" s="1688"/>
      <c r="HHZ31" s="1688"/>
      <c r="HIA31" s="1688"/>
      <c r="HIB31" s="1688"/>
      <c r="HIC31" s="1688"/>
      <c r="HID31" s="1688"/>
      <c r="HIE31" s="1688"/>
      <c r="HIF31" s="1688"/>
      <c r="HIG31" s="1688"/>
      <c r="HIH31" s="1688"/>
      <c r="HII31" s="1688"/>
      <c r="HIJ31" s="1688"/>
      <c r="HIK31" s="1688"/>
      <c r="HIL31" s="1688"/>
      <c r="HIM31" s="1688"/>
      <c r="HIN31" s="1688"/>
      <c r="HIO31" s="1688"/>
      <c r="HIP31" s="1688"/>
      <c r="HIQ31" s="1688"/>
      <c r="HIR31" s="1688"/>
      <c r="HIS31" s="1688"/>
      <c r="HIT31" s="1688"/>
      <c r="HIU31" s="1688"/>
      <c r="HIV31" s="1688"/>
      <c r="HIW31" s="1688"/>
      <c r="HIX31" s="1688"/>
      <c r="HIY31" s="1688"/>
      <c r="HIZ31" s="1688"/>
      <c r="HJA31" s="1688"/>
      <c r="HJB31" s="1688"/>
      <c r="HJC31" s="1688"/>
      <c r="HJD31" s="1688"/>
      <c r="HJE31" s="1688"/>
      <c r="HJF31" s="1688"/>
      <c r="HJG31" s="1688"/>
      <c r="HJH31" s="1688"/>
      <c r="HJI31" s="1688"/>
      <c r="HJJ31" s="1688"/>
      <c r="HJK31" s="1688"/>
      <c r="HJL31" s="1688"/>
      <c r="HJM31" s="1688"/>
      <c r="HJN31" s="1688"/>
      <c r="HJO31" s="1688"/>
      <c r="HJP31" s="1688"/>
      <c r="HJQ31" s="1688"/>
      <c r="HJR31" s="1688"/>
      <c r="HJS31" s="1688"/>
      <c r="HJT31" s="1688"/>
      <c r="HJU31" s="1688"/>
      <c r="HJV31" s="1688"/>
      <c r="HJW31" s="1688"/>
      <c r="HJX31" s="1688"/>
      <c r="HJY31" s="1688"/>
      <c r="HJZ31" s="1688"/>
      <c r="HKA31" s="1688"/>
      <c r="HKB31" s="1688"/>
      <c r="HKC31" s="1688"/>
      <c r="HKD31" s="1688"/>
      <c r="HKE31" s="1688"/>
      <c r="HKF31" s="1688"/>
      <c r="HKG31" s="1688"/>
      <c r="HKH31" s="1688"/>
      <c r="HKI31" s="1688"/>
      <c r="HKJ31" s="1688"/>
      <c r="HKK31" s="1688"/>
      <c r="HKL31" s="1688"/>
      <c r="HKM31" s="1688"/>
      <c r="HKN31" s="1688"/>
      <c r="HKO31" s="1688"/>
      <c r="HKP31" s="1688"/>
      <c r="HKQ31" s="1688"/>
      <c r="HKR31" s="1688"/>
      <c r="HKS31" s="1688"/>
      <c r="HKT31" s="1688"/>
      <c r="HKU31" s="1688"/>
      <c r="HKV31" s="1688"/>
      <c r="HKW31" s="1688"/>
      <c r="HKX31" s="1688"/>
      <c r="HKY31" s="1688"/>
      <c r="HKZ31" s="1688"/>
      <c r="HLA31" s="1688"/>
      <c r="HLB31" s="1688"/>
      <c r="HLC31" s="1688"/>
      <c r="HLD31" s="1688"/>
      <c r="HLE31" s="1688"/>
      <c r="HLF31" s="1688"/>
      <c r="HLG31" s="1688"/>
      <c r="HLH31" s="1688"/>
      <c r="HLI31" s="1688"/>
      <c r="HLJ31" s="1688"/>
      <c r="HLK31" s="1688"/>
      <c r="HLL31" s="1688"/>
      <c r="HLM31" s="1688"/>
      <c r="HLN31" s="1688"/>
      <c r="HLO31" s="1688"/>
      <c r="HLP31" s="1688"/>
      <c r="HLQ31" s="1688"/>
      <c r="HLR31" s="1688"/>
      <c r="HLS31" s="1688"/>
      <c r="HLT31" s="1688"/>
      <c r="HLU31" s="1688"/>
      <c r="HLV31" s="1688"/>
      <c r="HLW31" s="1688"/>
      <c r="HLX31" s="1688"/>
      <c r="HLY31" s="1688"/>
      <c r="HLZ31" s="1688"/>
      <c r="HMA31" s="1688"/>
      <c r="HMB31" s="1688"/>
      <c r="HMC31" s="1688"/>
      <c r="HMD31" s="1688"/>
      <c r="HME31" s="1688"/>
      <c r="HMF31" s="1688"/>
      <c r="HMG31" s="1688"/>
      <c r="HMH31" s="1688"/>
      <c r="HMI31" s="1688"/>
      <c r="HMJ31" s="1688"/>
      <c r="HMK31" s="1688"/>
      <c r="HML31" s="1688"/>
      <c r="HMM31" s="1688"/>
      <c r="HMN31" s="1688"/>
      <c r="HMO31" s="1688"/>
      <c r="HMP31" s="1688"/>
      <c r="HMQ31" s="1688"/>
      <c r="HMR31" s="1688"/>
      <c r="HMS31" s="1688"/>
      <c r="HMT31" s="1688"/>
      <c r="HMU31" s="1688"/>
      <c r="HMV31" s="1688"/>
      <c r="HMW31" s="1688"/>
      <c r="HMX31" s="1688"/>
      <c r="HMY31" s="1688"/>
      <c r="HMZ31" s="1688"/>
      <c r="HNA31" s="1688"/>
      <c r="HNB31" s="1688"/>
      <c r="HNC31" s="1688"/>
      <c r="HND31" s="1688"/>
      <c r="HNE31" s="1688"/>
      <c r="HNF31" s="1688"/>
      <c r="HNG31" s="1688"/>
      <c r="HNH31" s="1688"/>
      <c r="HNI31" s="1688"/>
      <c r="HNJ31" s="1688"/>
      <c r="HNK31" s="1688"/>
      <c r="HNL31" s="1688"/>
      <c r="HNM31" s="1688"/>
      <c r="HNN31" s="1688"/>
      <c r="HNO31" s="1688"/>
      <c r="HNP31" s="1688"/>
      <c r="HNQ31" s="1688"/>
      <c r="HNR31" s="1688"/>
      <c r="HNS31" s="1688"/>
      <c r="HNT31" s="1688"/>
      <c r="HNU31" s="1688"/>
      <c r="HNV31" s="1688"/>
      <c r="HNW31" s="1688"/>
      <c r="HNX31" s="1688"/>
      <c r="HNY31" s="1688"/>
      <c r="HNZ31" s="1688"/>
      <c r="HOA31" s="1688"/>
      <c r="HOB31" s="1688"/>
      <c r="HOC31" s="1688"/>
      <c r="HOD31" s="1688"/>
      <c r="HOE31" s="1688"/>
      <c r="HOF31" s="1688"/>
      <c r="HOG31" s="1688"/>
      <c r="HOH31" s="1688"/>
      <c r="HOI31" s="1688"/>
      <c r="HOJ31" s="1688"/>
      <c r="HOK31" s="1688"/>
      <c r="HOL31" s="1688"/>
      <c r="HOM31" s="1688"/>
      <c r="HON31" s="1688"/>
      <c r="HOO31" s="1688"/>
      <c r="HOP31" s="1688"/>
      <c r="HOQ31" s="1688"/>
      <c r="HOR31" s="1688"/>
      <c r="HOS31" s="1688"/>
      <c r="HOT31" s="1688"/>
      <c r="HOU31" s="1688"/>
      <c r="HOV31" s="1688"/>
      <c r="HOW31" s="1688"/>
      <c r="HOX31" s="1688"/>
      <c r="HOY31" s="1688"/>
      <c r="HOZ31" s="1688"/>
      <c r="HPA31" s="1688"/>
      <c r="HPB31" s="1688"/>
      <c r="HPC31" s="1688"/>
      <c r="HPD31" s="1688"/>
      <c r="HPE31" s="1688"/>
      <c r="HPF31" s="1688"/>
      <c r="HPG31" s="1688"/>
      <c r="HPH31" s="1688"/>
      <c r="HPI31" s="1688"/>
      <c r="HPJ31" s="1688"/>
      <c r="HPK31" s="1688"/>
      <c r="HPL31" s="1688"/>
      <c r="HPM31" s="1688"/>
      <c r="HPN31" s="1688"/>
      <c r="HPO31" s="1688"/>
      <c r="HPP31" s="1688"/>
      <c r="HPQ31" s="1688"/>
      <c r="HPR31" s="1688"/>
      <c r="HPS31" s="1688"/>
      <c r="HPT31" s="1688"/>
      <c r="HPU31" s="1688"/>
      <c r="HPV31" s="1688"/>
      <c r="HPW31" s="1688"/>
      <c r="HPX31" s="1688"/>
      <c r="HPY31" s="1688"/>
      <c r="HPZ31" s="1688"/>
      <c r="HQA31" s="1688"/>
      <c r="HQB31" s="1688"/>
      <c r="HQC31" s="1688"/>
      <c r="HQD31" s="1688"/>
      <c r="HQE31" s="1688"/>
      <c r="HQF31" s="1688"/>
      <c r="HQG31" s="1688"/>
      <c r="HQH31" s="1688"/>
      <c r="HQI31" s="1688"/>
      <c r="HQJ31" s="1688"/>
      <c r="HQK31" s="1688"/>
      <c r="HQL31" s="1688"/>
      <c r="HQM31" s="1688"/>
      <c r="HQN31" s="1688"/>
      <c r="HQO31" s="1688"/>
      <c r="HQP31" s="1688"/>
      <c r="HQQ31" s="1688"/>
      <c r="HQR31" s="1688"/>
      <c r="HQS31" s="1688"/>
      <c r="HQT31" s="1688"/>
      <c r="HQU31" s="1688"/>
      <c r="HQV31" s="1688"/>
      <c r="HQW31" s="1688"/>
      <c r="HQX31" s="1688"/>
      <c r="HQY31" s="1688"/>
      <c r="HQZ31" s="1688"/>
      <c r="HRA31" s="1688"/>
      <c r="HRB31" s="1688"/>
      <c r="HRC31" s="1688"/>
      <c r="HRD31" s="1688"/>
      <c r="HRE31" s="1688"/>
      <c r="HRF31" s="1688"/>
      <c r="HRG31" s="1688"/>
      <c r="HRH31" s="1688"/>
      <c r="HRI31" s="1688"/>
      <c r="HRJ31" s="1688"/>
      <c r="HRK31" s="1688"/>
      <c r="HRL31" s="1688"/>
      <c r="HRM31" s="1688"/>
      <c r="HRN31" s="1688"/>
      <c r="HRO31" s="1688"/>
      <c r="HRP31" s="1688"/>
      <c r="HRQ31" s="1688"/>
      <c r="HRR31" s="1688"/>
      <c r="HRS31" s="1688"/>
      <c r="HRT31" s="1688"/>
      <c r="HRU31" s="1688"/>
      <c r="HRV31" s="1688"/>
      <c r="HRW31" s="1688"/>
      <c r="HRX31" s="1688"/>
      <c r="HRY31" s="1688"/>
      <c r="HRZ31" s="1688"/>
      <c r="HSA31" s="1688"/>
      <c r="HSB31" s="1688"/>
      <c r="HSC31" s="1688"/>
      <c r="HSD31" s="1688"/>
      <c r="HSE31" s="1688"/>
      <c r="HSF31" s="1688"/>
      <c r="HSG31" s="1688"/>
      <c r="HSH31" s="1688"/>
      <c r="HSI31" s="1688"/>
      <c r="HSJ31" s="1688"/>
      <c r="HSK31" s="1688"/>
      <c r="HSL31" s="1688"/>
      <c r="HSM31" s="1688"/>
      <c r="HSN31" s="1688"/>
      <c r="HSO31" s="1688"/>
      <c r="HSP31" s="1688"/>
      <c r="HSQ31" s="1688"/>
      <c r="HSR31" s="1688"/>
      <c r="HSS31" s="1688"/>
      <c r="HST31" s="1688"/>
      <c r="HSU31" s="1688"/>
      <c r="HSV31" s="1688"/>
      <c r="HSW31" s="1688"/>
      <c r="HSX31" s="1688"/>
      <c r="HSY31" s="1688"/>
      <c r="HSZ31" s="1688"/>
      <c r="HTA31" s="1688"/>
      <c r="HTB31" s="1688"/>
      <c r="HTC31" s="1688"/>
      <c r="HTD31" s="1688"/>
      <c r="HTE31" s="1688"/>
      <c r="HTF31" s="1688"/>
      <c r="HTG31" s="1688"/>
      <c r="HTH31" s="1688"/>
      <c r="HTI31" s="1688"/>
      <c r="HTJ31" s="1688"/>
      <c r="HTK31" s="1688"/>
      <c r="HTL31" s="1688"/>
      <c r="HTM31" s="1688"/>
      <c r="HTN31" s="1688"/>
      <c r="HTO31" s="1688"/>
      <c r="HTP31" s="1688"/>
      <c r="HTQ31" s="1688"/>
      <c r="HTR31" s="1688"/>
      <c r="HTS31" s="1688"/>
      <c r="HTT31" s="1688"/>
      <c r="HTU31" s="1688"/>
      <c r="HTV31" s="1688"/>
      <c r="HTW31" s="1688"/>
      <c r="HTX31" s="1688"/>
      <c r="HTY31" s="1688"/>
      <c r="HTZ31" s="1688"/>
      <c r="HUA31" s="1688"/>
      <c r="HUB31" s="1688"/>
      <c r="HUC31" s="1688"/>
      <c r="HUD31" s="1688"/>
      <c r="HUE31" s="1688"/>
      <c r="HUF31" s="1688"/>
      <c r="HUG31" s="1688"/>
      <c r="HUH31" s="1688"/>
      <c r="HUI31" s="1688"/>
      <c r="HUJ31" s="1688"/>
      <c r="HUK31" s="1688"/>
      <c r="HUL31" s="1688"/>
      <c r="HUM31" s="1688"/>
      <c r="HUN31" s="1688"/>
      <c r="HUO31" s="1688"/>
      <c r="HUP31" s="1688"/>
      <c r="HUQ31" s="1688"/>
      <c r="HUR31" s="1688"/>
      <c r="HUS31" s="1688"/>
      <c r="HUT31" s="1688"/>
      <c r="HUU31" s="1688"/>
      <c r="HUV31" s="1688"/>
      <c r="HUW31" s="1688"/>
      <c r="HUX31" s="1688"/>
      <c r="HUY31" s="1688"/>
      <c r="HUZ31" s="1688"/>
      <c r="HVA31" s="1688"/>
      <c r="HVB31" s="1688"/>
      <c r="HVC31" s="1688"/>
      <c r="HVD31" s="1688"/>
      <c r="HVE31" s="1688"/>
      <c r="HVF31" s="1688"/>
      <c r="HVG31" s="1688"/>
      <c r="HVH31" s="1688"/>
      <c r="HVI31" s="1688"/>
      <c r="HVJ31" s="1688"/>
      <c r="HVK31" s="1688"/>
      <c r="HVL31" s="1688"/>
      <c r="HVM31" s="1688"/>
      <c r="HVN31" s="1688"/>
      <c r="HVO31" s="1688"/>
      <c r="HVP31" s="1688"/>
      <c r="HVQ31" s="1688"/>
      <c r="HVR31" s="1688"/>
      <c r="HVS31" s="1688"/>
      <c r="HVT31" s="1688"/>
      <c r="HVU31" s="1688"/>
      <c r="HVV31" s="1688"/>
      <c r="HVW31" s="1688"/>
      <c r="HVX31" s="1688"/>
      <c r="HVY31" s="1688"/>
      <c r="HVZ31" s="1688"/>
      <c r="HWA31" s="1688"/>
      <c r="HWB31" s="1688"/>
      <c r="HWC31" s="1688"/>
      <c r="HWD31" s="1688"/>
      <c r="HWE31" s="1688"/>
      <c r="HWF31" s="1688"/>
      <c r="HWG31" s="1688"/>
      <c r="HWH31" s="1688"/>
      <c r="HWI31" s="1688"/>
      <c r="HWJ31" s="1688"/>
      <c r="HWK31" s="1688"/>
      <c r="HWL31" s="1688"/>
      <c r="HWM31" s="1688"/>
      <c r="HWN31" s="1688"/>
      <c r="HWO31" s="1688"/>
      <c r="HWP31" s="1688"/>
      <c r="HWQ31" s="1688"/>
      <c r="HWR31" s="1688"/>
      <c r="HWS31" s="1688"/>
      <c r="HWT31" s="1688"/>
      <c r="HWU31" s="1688"/>
      <c r="HWV31" s="1688"/>
      <c r="HWW31" s="1688"/>
      <c r="HWX31" s="1688"/>
      <c r="HWY31" s="1688"/>
      <c r="HWZ31" s="1688"/>
      <c r="HXA31" s="1688"/>
      <c r="HXB31" s="1688"/>
      <c r="HXC31" s="1688"/>
      <c r="HXD31" s="1688"/>
      <c r="HXE31" s="1688"/>
      <c r="HXF31" s="1688"/>
      <c r="HXG31" s="1688"/>
      <c r="HXH31" s="1688"/>
      <c r="HXI31" s="1688"/>
      <c r="HXJ31" s="1688"/>
      <c r="HXK31" s="1688"/>
      <c r="HXL31" s="1688"/>
      <c r="HXM31" s="1688"/>
      <c r="HXN31" s="1688"/>
      <c r="HXO31" s="1688"/>
      <c r="HXP31" s="1688"/>
      <c r="HXQ31" s="1688"/>
      <c r="HXR31" s="1688"/>
      <c r="HXS31" s="1688"/>
      <c r="HXT31" s="1688"/>
      <c r="HXU31" s="1688"/>
      <c r="HXV31" s="1688"/>
      <c r="HXW31" s="1688"/>
      <c r="HXX31" s="1688"/>
      <c r="HXY31" s="1688"/>
      <c r="HXZ31" s="1688"/>
      <c r="HYA31" s="1688"/>
      <c r="HYB31" s="1688"/>
      <c r="HYC31" s="1688"/>
      <c r="HYD31" s="1688"/>
      <c r="HYE31" s="1688"/>
      <c r="HYF31" s="1688"/>
      <c r="HYG31" s="1688"/>
      <c r="HYH31" s="1688"/>
      <c r="HYI31" s="1688"/>
      <c r="HYJ31" s="1688"/>
      <c r="HYK31" s="1688"/>
      <c r="HYL31" s="1688"/>
      <c r="HYM31" s="1688"/>
      <c r="HYN31" s="1688"/>
      <c r="HYO31" s="1688"/>
      <c r="HYP31" s="1688"/>
      <c r="HYQ31" s="1688"/>
      <c r="HYR31" s="1688"/>
      <c r="HYS31" s="1688"/>
      <c r="HYT31" s="1688"/>
      <c r="HYU31" s="1688"/>
      <c r="HYV31" s="1688"/>
      <c r="HYW31" s="1688"/>
      <c r="HYX31" s="1688"/>
      <c r="HYY31" s="1688"/>
      <c r="HYZ31" s="1688"/>
      <c r="HZA31" s="1688"/>
      <c r="HZB31" s="1688"/>
      <c r="HZC31" s="1688"/>
      <c r="HZD31" s="1688"/>
      <c r="HZE31" s="1688"/>
      <c r="HZF31" s="1688"/>
      <c r="HZG31" s="1688"/>
      <c r="HZH31" s="1688"/>
      <c r="HZI31" s="1688"/>
      <c r="HZJ31" s="1688"/>
      <c r="HZK31" s="1688"/>
      <c r="HZL31" s="1688"/>
      <c r="HZM31" s="1688"/>
      <c r="HZN31" s="1688"/>
      <c r="HZO31" s="1688"/>
      <c r="HZP31" s="1688"/>
      <c r="HZQ31" s="1688"/>
      <c r="HZR31" s="1688"/>
      <c r="HZS31" s="1688"/>
      <c r="HZT31" s="1688"/>
      <c r="HZU31" s="1688"/>
      <c r="HZV31" s="1688"/>
      <c r="HZW31" s="1688"/>
      <c r="HZX31" s="1688"/>
      <c r="HZY31" s="1688"/>
      <c r="HZZ31" s="1688"/>
      <c r="IAA31" s="1688"/>
      <c r="IAB31" s="1688"/>
      <c r="IAC31" s="1688"/>
      <c r="IAD31" s="1688"/>
      <c r="IAE31" s="1688"/>
      <c r="IAF31" s="1688"/>
      <c r="IAG31" s="1688"/>
      <c r="IAH31" s="1688"/>
      <c r="IAI31" s="1688"/>
      <c r="IAJ31" s="1688"/>
      <c r="IAK31" s="1688"/>
      <c r="IAL31" s="1688"/>
      <c r="IAM31" s="1688"/>
      <c r="IAN31" s="1688"/>
      <c r="IAO31" s="1688"/>
      <c r="IAP31" s="1688"/>
      <c r="IAQ31" s="1688"/>
      <c r="IAR31" s="1688"/>
      <c r="IAS31" s="1688"/>
      <c r="IAT31" s="1688"/>
      <c r="IAU31" s="1688"/>
      <c r="IAV31" s="1688"/>
      <c r="IAW31" s="1688"/>
      <c r="IAX31" s="1688"/>
      <c r="IAY31" s="1688"/>
      <c r="IAZ31" s="1688"/>
      <c r="IBA31" s="1688"/>
      <c r="IBB31" s="1688"/>
      <c r="IBC31" s="1688"/>
      <c r="IBD31" s="1688"/>
      <c r="IBE31" s="1688"/>
      <c r="IBF31" s="1688"/>
      <c r="IBG31" s="1688"/>
      <c r="IBH31" s="1688"/>
      <c r="IBI31" s="1688"/>
      <c r="IBJ31" s="1688"/>
      <c r="IBK31" s="1688"/>
      <c r="IBL31" s="1688"/>
      <c r="IBM31" s="1688"/>
      <c r="IBN31" s="1688"/>
      <c r="IBO31" s="1688"/>
      <c r="IBP31" s="1688"/>
      <c r="IBQ31" s="1688"/>
      <c r="IBR31" s="1688"/>
      <c r="IBS31" s="1688"/>
      <c r="IBT31" s="1688"/>
      <c r="IBU31" s="1688"/>
      <c r="IBV31" s="1688"/>
      <c r="IBW31" s="1688"/>
      <c r="IBX31" s="1688"/>
      <c r="IBY31" s="1688"/>
      <c r="IBZ31" s="1688"/>
      <c r="ICA31" s="1688"/>
      <c r="ICB31" s="1688"/>
      <c r="ICC31" s="1688"/>
      <c r="ICD31" s="1688"/>
      <c r="ICE31" s="1688"/>
      <c r="ICF31" s="1688"/>
      <c r="ICG31" s="1688"/>
      <c r="ICH31" s="1688"/>
      <c r="ICI31" s="1688"/>
      <c r="ICJ31" s="1688"/>
      <c r="ICK31" s="1688"/>
      <c r="ICL31" s="1688"/>
      <c r="ICM31" s="1688"/>
      <c r="ICN31" s="1688"/>
      <c r="ICO31" s="1688"/>
      <c r="ICP31" s="1688"/>
      <c r="ICQ31" s="1688"/>
      <c r="ICR31" s="1688"/>
      <c r="ICS31" s="1688"/>
      <c r="ICT31" s="1688"/>
      <c r="ICU31" s="1688"/>
      <c r="ICV31" s="1688"/>
      <c r="ICW31" s="1688"/>
      <c r="ICX31" s="1688"/>
      <c r="ICY31" s="1688"/>
      <c r="ICZ31" s="1688"/>
      <c r="IDA31" s="1688"/>
      <c r="IDB31" s="1688"/>
      <c r="IDC31" s="1688"/>
      <c r="IDD31" s="1688"/>
      <c r="IDE31" s="1688"/>
      <c r="IDF31" s="1688"/>
      <c r="IDG31" s="1688"/>
      <c r="IDH31" s="1688"/>
      <c r="IDI31" s="1688"/>
      <c r="IDJ31" s="1688"/>
      <c r="IDK31" s="1688"/>
      <c r="IDL31" s="1688"/>
      <c r="IDM31" s="1688"/>
      <c r="IDN31" s="1688"/>
      <c r="IDO31" s="1688"/>
      <c r="IDP31" s="1688"/>
      <c r="IDQ31" s="1688"/>
      <c r="IDR31" s="1688"/>
      <c r="IDS31" s="1688"/>
      <c r="IDT31" s="1688"/>
      <c r="IDU31" s="1688"/>
      <c r="IDV31" s="1688"/>
      <c r="IDW31" s="1688"/>
      <c r="IDX31" s="1688"/>
      <c r="IDY31" s="1688"/>
      <c r="IDZ31" s="1688"/>
      <c r="IEA31" s="1688"/>
      <c r="IEB31" s="1688"/>
      <c r="IEC31" s="1688"/>
      <c r="IED31" s="1688"/>
      <c r="IEE31" s="1688"/>
      <c r="IEF31" s="1688"/>
      <c r="IEG31" s="1688"/>
      <c r="IEH31" s="1688"/>
      <c r="IEI31" s="1688"/>
      <c r="IEJ31" s="1688"/>
      <c r="IEK31" s="1688"/>
      <c r="IEL31" s="1688"/>
      <c r="IEM31" s="1688"/>
      <c r="IEN31" s="1688"/>
      <c r="IEO31" s="1688"/>
      <c r="IEP31" s="1688"/>
      <c r="IEQ31" s="1688"/>
      <c r="IER31" s="1688"/>
      <c r="IES31" s="1688"/>
      <c r="IET31" s="1688"/>
      <c r="IEU31" s="1688"/>
      <c r="IEV31" s="1688"/>
      <c r="IEW31" s="1688"/>
      <c r="IEX31" s="1688"/>
      <c r="IEY31" s="1688"/>
      <c r="IEZ31" s="1688"/>
      <c r="IFA31" s="1688"/>
      <c r="IFB31" s="1688"/>
      <c r="IFC31" s="1688"/>
      <c r="IFD31" s="1688"/>
      <c r="IFE31" s="1688"/>
      <c r="IFF31" s="1688"/>
      <c r="IFG31" s="1688"/>
      <c r="IFH31" s="1688"/>
      <c r="IFI31" s="1688"/>
      <c r="IFJ31" s="1688"/>
      <c r="IFK31" s="1688"/>
      <c r="IFL31" s="1688"/>
      <c r="IFM31" s="1688"/>
      <c r="IFN31" s="1688"/>
      <c r="IFO31" s="1688"/>
      <c r="IFP31" s="1688"/>
      <c r="IFQ31" s="1688"/>
      <c r="IFR31" s="1688"/>
      <c r="IFS31" s="1688"/>
      <c r="IFT31" s="1688"/>
      <c r="IFU31" s="1688"/>
      <c r="IFV31" s="1688"/>
      <c r="IFW31" s="1688"/>
      <c r="IFX31" s="1688"/>
      <c r="IFY31" s="1688"/>
      <c r="IFZ31" s="1688"/>
      <c r="IGA31" s="1688"/>
      <c r="IGB31" s="1688"/>
      <c r="IGC31" s="1688"/>
      <c r="IGD31" s="1688"/>
      <c r="IGE31" s="1688"/>
      <c r="IGF31" s="1688"/>
      <c r="IGG31" s="1688"/>
      <c r="IGH31" s="1688"/>
      <c r="IGI31" s="1688"/>
      <c r="IGJ31" s="1688"/>
      <c r="IGK31" s="1688"/>
      <c r="IGL31" s="1688"/>
      <c r="IGM31" s="1688"/>
      <c r="IGN31" s="1688"/>
      <c r="IGO31" s="1688"/>
      <c r="IGP31" s="1688"/>
      <c r="IGQ31" s="1688"/>
      <c r="IGR31" s="1688"/>
      <c r="IGS31" s="1688"/>
      <c r="IGT31" s="1688"/>
      <c r="IGU31" s="1688"/>
      <c r="IGV31" s="1688"/>
      <c r="IGW31" s="1688"/>
      <c r="IGX31" s="1688"/>
      <c r="IGY31" s="1688"/>
      <c r="IGZ31" s="1688"/>
      <c r="IHA31" s="1688"/>
      <c r="IHB31" s="1688"/>
      <c r="IHC31" s="1688"/>
      <c r="IHD31" s="1688"/>
      <c r="IHE31" s="1688"/>
      <c r="IHF31" s="1688"/>
      <c r="IHG31" s="1688"/>
      <c r="IHH31" s="1688"/>
      <c r="IHI31" s="1688"/>
      <c r="IHJ31" s="1688"/>
      <c r="IHK31" s="1688"/>
      <c r="IHL31" s="1688"/>
      <c r="IHM31" s="1688"/>
      <c r="IHN31" s="1688"/>
      <c r="IHO31" s="1688"/>
      <c r="IHP31" s="1688"/>
      <c r="IHQ31" s="1688"/>
      <c r="IHR31" s="1688"/>
      <c r="IHS31" s="1688"/>
      <c r="IHT31" s="1688"/>
      <c r="IHU31" s="1688"/>
      <c r="IHV31" s="1688"/>
      <c r="IHW31" s="1688"/>
      <c r="IHX31" s="1688"/>
      <c r="IHY31" s="1688"/>
      <c r="IHZ31" s="1688"/>
      <c r="IIA31" s="1688"/>
      <c r="IIB31" s="1688"/>
      <c r="IIC31" s="1688"/>
      <c r="IID31" s="1688"/>
      <c r="IIE31" s="1688"/>
      <c r="IIF31" s="1688"/>
      <c r="IIG31" s="1688"/>
      <c r="IIH31" s="1688"/>
      <c r="III31" s="1688"/>
      <c r="IIJ31" s="1688"/>
      <c r="IIK31" s="1688"/>
      <c r="IIL31" s="1688"/>
      <c r="IIM31" s="1688"/>
      <c r="IIN31" s="1688"/>
      <c r="IIO31" s="1688"/>
      <c r="IIP31" s="1688"/>
      <c r="IIQ31" s="1688"/>
      <c r="IIR31" s="1688"/>
      <c r="IIS31" s="1688"/>
      <c r="IIT31" s="1688"/>
      <c r="IIU31" s="1688"/>
      <c r="IIV31" s="1688"/>
      <c r="IIW31" s="1688"/>
      <c r="IIX31" s="1688"/>
      <c r="IIY31" s="1688"/>
      <c r="IIZ31" s="1688"/>
      <c r="IJA31" s="1688"/>
      <c r="IJB31" s="1688"/>
      <c r="IJC31" s="1688"/>
      <c r="IJD31" s="1688"/>
      <c r="IJE31" s="1688"/>
      <c r="IJF31" s="1688"/>
      <c r="IJG31" s="1688"/>
      <c r="IJH31" s="1688"/>
      <c r="IJI31" s="1688"/>
      <c r="IJJ31" s="1688"/>
      <c r="IJK31" s="1688"/>
      <c r="IJL31" s="1688"/>
      <c r="IJM31" s="1688"/>
      <c r="IJN31" s="1688"/>
      <c r="IJO31" s="1688"/>
      <c r="IJP31" s="1688"/>
      <c r="IJQ31" s="1688"/>
      <c r="IJR31" s="1688"/>
      <c r="IJS31" s="1688"/>
      <c r="IJT31" s="1688"/>
      <c r="IJU31" s="1688"/>
      <c r="IJV31" s="1688"/>
      <c r="IJW31" s="1688"/>
      <c r="IJX31" s="1688"/>
      <c r="IJY31" s="1688"/>
      <c r="IJZ31" s="1688"/>
      <c r="IKA31" s="1688"/>
      <c r="IKB31" s="1688"/>
      <c r="IKC31" s="1688"/>
      <c r="IKD31" s="1688"/>
      <c r="IKE31" s="1688"/>
      <c r="IKF31" s="1688"/>
      <c r="IKG31" s="1688"/>
      <c r="IKH31" s="1688"/>
      <c r="IKI31" s="1688"/>
      <c r="IKJ31" s="1688"/>
      <c r="IKK31" s="1688"/>
      <c r="IKL31" s="1688"/>
      <c r="IKM31" s="1688"/>
      <c r="IKN31" s="1688"/>
      <c r="IKO31" s="1688"/>
      <c r="IKP31" s="1688"/>
      <c r="IKQ31" s="1688"/>
      <c r="IKR31" s="1688"/>
      <c r="IKS31" s="1688"/>
      <c r="IKT31" s="1688"/>
      <c r="IKU31" s="1688"/>
      <c r="IKV31" s="1688"/>
      <c r="IKW31" s="1688"/>
      <c r="IKX31" s="1688"/>
      <c r="IKY31" s="1688"/>
      <c r="IKZ31" s="1688"/>
      <c r="ILA31" s="1688"/>
      <c r="ILB31" s="1688"/>
      <c r="ILC31" s="1688"/>
      <c r="ILD31" s="1688"/>
      <c r="ILE31" s="1688"/>
      <c r="ILF31" s="1688"/>
      <c r="ILG31" s="1688"/>
      <c r="ILH31" s="1688"/>
      <c r="ILI31" s="1688"/>
      <c r="ILJ31" s="1688"/>
      <c r="ILK31" s="1688"/>
      <c r="ILL31" s="1688"/>
      <c r="ILM31" s="1688"/>
      <c r="ILN31" s="1688"/>
      <c r="ILO31" s="1688"/>
      <c r="ILP31" s="1688"/>
      <c r="ILQ31" s="1688"/>
      <c r="ILR31" s="1688"/>
      <c r="ILS31" s="1688"/>
      <c r="ILT31" s="1688"/>
      <c r="ILU31" s="1688"/>
      <c r="ILV31" s="1688"/>
      <c r="ILW31" s="1688"/>
      <c r="ILX31" s="1688"/>
      <c r="ILY31" s="1688"/>
      <c r="ILZ31" s="1688"/>
      <c r="IMA31" s="1688"/>
      <c r="IMB31" s="1688"/>
      <c r="IMC31" s="1688"/>
      <c r="IMD31" s="1688"/>
      <c r="IME31" s="1688"/>
      <c r="IMF31" s="1688"/>
      <c r="IMG31" s="1688"/>
      <c r="IMH31" s="1688"/>
      <c r="IMI31" s="1688"/>
      <c r="IMJ31" s="1688"/>
      <c r="IMK31" s="1688"/>
      <c r="IML31" s="1688"/>
      <c r="IMM31" s="1688"/>
      <c r="IMN31" s="1688"/>
      <c r="IMO31" s="1688"/>
      <c r="IMP31" s="1688"/>
      <c r="IMQ31" s="1688"/>
      <c r="IMR31" s="1688"/>
      <c r="IMS31" s="1688"/>
      <c r="IMT31" s="1688"/>
      <c r="IMU31" s="1688"/>
      <c r="IMV31" s="1688"/>
      <c r="IMW31" s="1688"/>
      <c r="IMX31" s="1688"/>
      <c r="IMY31" s="1688"/>
      <c r="IMZ31" s="1688"/>
      <c r="INA31" s="1688"/>
      <c r="INB31" s="1688"/>
      <c r="INC31" s="1688"/>
      <c r="IND31" s="1688"/>
      <c r="INE31" s="1688"/>
      <c r="INF31" s="1688"/>
      <c r="ING31" s="1688"/>
      <c r="INH31" s="1688"/>
      <c r="INI31" s="1688"/>
      <c r="INJ31" s="1688"/>
      <c r="INK31" s="1688"/>
      <c r="INL31" s="1688"/>
      <c r="INM31" s="1688"/>
      <c r="INN31" s="1688"/>
      <c r="INO31" s="1688"/>
      <c r="INP31" s="1688"/>
      <c r="INQ31" s="1688"/>
      <c r="INR31" s="1688"/>
      <c r="INS31" s="1688"/>
      <c r="INT31" s="1688"/>
      <c r="INU31" s="1688"/>
      <c r="INV31" s="1688"/>
      <c r="INW31" s="1688"/>
      <c r="INX31" s="1688"/>
      <c r="INY31" s="1688"/>
      <c r="INZ31" s="1688"/>
      <c r="IOA31" s="1688"/>
      <c r="IOB31" s="1688"/>
      <c r="IOC31" s="1688"/>
      <c r="IOD31" s="1688"/>
      <c r="IOE31" s="1688"/>
      <c r="IOF31" s="1688"/>
      <c r="IOG31" s="1688"/>
      <c r="IOH31" s="1688"/>
      <c r="IOI31" s="1688"/>
      <c r="IOJ31" s="1688"/>
      <c r="IOK31" s="1688"/>
      <c r="IOL31" s="1688"/>
      <c r="IOM31" s="1688"/>
      <c r="ION31" s="1688"/>
      <c r="IOO31" s="1688"/>
      <c r="IOP31" s="1688"/>
      <c r="IOQ31" s="1688"/>
      <c r="IOR31" s="1688"/>
      <c r="IOS31" s="1688"/>
      <c r="IOT31" s="1688"/>
      <c r="IOU31" s="1688"/>
      <c r="IOV31" s="1688"/>
      <c r="IOW31" s="1688"/>
      <c r="IOX31" s="1688"/>
      <c r="IOY31" s="1688"/>
      <c r="IOZ31" s="1688"/>
      <c r="IPA31" s="1688"/>
      <c r="IPB31" s="1688"/>
      <c r="IPC31" s="1688"/>
      <c r="IPD31" s="1688"/>
      <c r="IPE31" s="1688"/>
      <c r="IPF31" s="1688"/>
      <c r="IPG31" s="1688"/>
      <c r="IPH31" s="1688"/>
      <c r="IPI31" s="1688"/>
      <c r="IPJ31" s="1688"/>
      <c r="IPK31" s="1688"/>
      <c r="IPL31" s="1688"/>
      <c r="IPM31" s="1688"/>
      <c r="IPN31" s="1688"/>
      <c r="IPO31" s="1688"/>
      <c r="IPP31" s="1688"/>
      <c r="IPQ31" s="1688"/>
      <c r="IPR31" s="1688"/>
      <c r="IPS31" s="1688"/>
      <c r="IPT31" s="1688"/>
      <c r="IPU31" s="1688"/>
      <c r="IPV31" s="1688"/>
      <c r="IPW31" s="1688"/>
      <c r="IPX31" s="1688"/>
      <c r="IPY31" s="1688"/>
      <c r="IPZ31" s="1688"/>
      <c r="IQA31" s="1688"/>
      <c r="IQB31" s="1688"/>
      <c r="IQC31" s="1688"/>
      <c r="IQD31" s="1688"/>
      <c r="IQE31" s="1688"/>
      <c r="IQF31" s="1688"/>
      <c r="IQG31" s="1688"/>
      <c r="IQH31" s="1688"/>
      <c r="IQI31" s="1688"/>
      <c r="IQJ31" s="1688"/>
      <c r="IQK31" s="1688"/>
      <c r="IQL31" s="1688"/>
      <c r="IQM31" s="1688"/>
      <c r="IQN31" s="1688"/>
      <c r="IQO31" s="1688"/>
      <c r="IQP31" s="1688"/>
      <c r="IQQ31" s="1688"/>
      <c r="IQR31" s="1688"/>
      <c r="IQS31" s="1688"/>
      <c r="IQT31" s="1688"/>
      <c r="IQU31" s="1688"/>
      <c r="IQV31" s="1688"/>
      <c r="IQW31" s="1688"/>
      <c r="IQX31" s="1688"/>
      <c r="IQY31" s="1688"/>
      <c r="IQZ31" s="1688"/>
      <c r="IRA31" s="1688"/>
      <c r="IRB31" s="1688"/>
      <c r="IRC31" s="1688"/>
      <c r="IRD31" s="1688"/>
      <c r="IRE31" s="1688"/>
      <c r="IRF31" s="1688"/>
      <c r="IRG31" s="1688"/>
      <c r="IRH31" s="1688"/>
      <c r="IRI31" s="1688"/>
      <c r="IRJ31" s="1688"/>
      <c r="IRK31" s="1688"/>
      <c r="IRL31" s="1688"/>
      <c r="IRM31" s="1688"/>
      <c r="IRN31" s="1688"/>
      <c r="IRO31" s="1688"/>
      <c r="IRP31" s="1688"/>
      <c r="IRQ31" s="1688"/>
      <c r="IRR31" s="1688"/>
      <c r="IRS31" s="1688"/>
      <c r="IRT31" s="1688"/>
      <c r="IRU31" s="1688"/>
      <c r="IRV31" s="1688"/>
      <c r="IRW31" s="1688"/>
      <c r="IRX31" s="1688"/>
      <c r="IRY31" s="1688"/>
      <c r="IRZ31" s="1688"/>
      <c r="ISA31" s="1688"/>
      <c r="ISB31" s="1688"/>
      <c r="ISC31" s="1688"/>
      <c r="ISD31" s="1688"/>
      <c r="ISE31" s="1688"/>
      <c r="ISF31" s="1688"/>
      <c r="ISG31" s="1688"/>
      <c r="ISH31" s="1688"/>
      <c r="ISI31" s="1688"/>
      <c r="ISJ31" s="1688"/>
      <c r="ISK31" s="1688"/>
      <c r="ISL31" s="1688"/>
      <c r="ISM31" s="1688"/>
      <c r="ISN31" s="1688"/>
      <c r="ISO31" s="1688"/>
      <c r="ISP31" s="1688"/>
      <c r="ISQ31" s="1688"/>
      <c r="ISR31" s="1688"/>
      <c r="ISS31" s="1688"/>
      <c r="IST31" s="1688"/>
      <c r="ISU31" s="1688"/>
      <c r="ISV31" s="1688"/>
      <c r="ISW31" s="1688"/>
      <c r="ISX31" s="1688"/>
      <c r="ISY31" s="1688"/>
      <c r="ISZ31" s="1688"/>
      <c r="ITA31" s="1688"/>
      <c r="ITB31" s="1688"/>
      <c r="ITC31" s="1688"/>
      <c r="ITD31" s="1688"/>
      <c r="ITE31" s="1688"/>
      <c r="ITF31" s="1688"/>
      <c r="ITG31" s="1688"/>
      <c r="ITH31" s="1688"/>
      <c r="ITI31" s="1688"/>
      <c r="ITJ31" s="1688"/>
      <c r="ITK31" s="1688"/>
      <c r="ITL31" s="1688"/>
      <c r="ITM31" s="1688"/>
      <c r="ITN31" s="1688"/>
      <c r="ITO31" s="1688"/>
      <c r="ITP31" s="1688"/>
      <c r="ITQ31" s="1688"/>
      <c r="ITR31" s="1688"/>
      <c r="ITS31" s="1688"/>
      <c r="ITT31" s="1688"/>
      <c r="ITU31" s="1688"/>
      <c r="ITV31" s="1688"/>
      <c r="ITW31" s="1688"/>
      <c r="ITX31" s="1688"/>
      <c r="ITY31" s="1688"/>
      <c r="ITZ31" s="1688"/>
      <c r="IUA31" s="1688"/>
      <c r="IUB31" s="1688"/>
      <c r="IUC31" s="1688"/>
      <c r="IUD31" s="1688"/>
      <c r="IUE31" s="1688"/>
      <c r="IUF31" s="1688"/>
      <c r="IUG31" s="1688"/>
      <c r="IUH31" s="1688"/>
      <c r="IUI31" s="1688"/>
      <c r="IUJ31" s="1688"/>
      <c r="IUK31" s="1688"/>
      <c r="IUL31" s="1688"/>
      <c r="IUM31" s="1688"/>
      <c r="IUN31" s="1688"/>
      <c r="IUO31" s="1688"/>
      <c r="IUP31" s="1688"/>
      <c r="IUQ31" s="1688"/>
      <c r="IUR31" s="1688"/>
      <c r="IUS31" s="1688"/>
      <c r="IUT31" s="1688"/>
      <c r="IUU31" s="1688"/>
      <c r="IUV31" s="1688"/>
      <c r="IUW31" s="1688"/>
      <c r="IUX31" s="1688"/>
      <c r="IUY31" s="1688"/>
      <c r="IUZ31" s="1688"/>
      <c r="IVA31" s="1688"/>
      <c r="IVB31" s="1688"/>
      <c r="IVC31" s="1688"/>
      <c r="IVD31" s="1688"/>
      <c r="IVE31" s="1688"/>
      <c r="IVF31" s="1688"/>
      <c r="IVG31" s="1688"/>
      <c r="IVH31" s="1688"/>
      <c r="IVI31" s="1688"/>
      <c r="IVJ31" s="1688"/>
      <c r="IVK31" s="1688"/>
      <c r="IVL31" s="1688"/>
      <c r="IVM31" s="1688"/>
      <c r="IVN31" s="1688"/>
      <c r="IVO31" s="1688"/>
      <c r="IVP31" s="1688"/>
      <c r="IVQ31" s="1688"/>
      <c r="IVR31" s="1688"/>
      <c r="IVS31" s="1688"/>
      <c r="IVT31" s="1688"/>
      <c r="IVU31" s="1688"/>
      <c r="IVV31" s="1688"/>
      <c r="IVW31" s="1688"/>
      <c r="IVX31" s="1688"/>
      <c r="IVY31" s="1688"/>
      <c r="IVZ31" s="1688"/>
      <c r="IWA31" s="1688"/>
      <c r="IWB31" s="1688"/>
      <c r="IWC31" s="1688"/>
      <c r="IWD31" s="1688"/>
      <c r="IWE31" s="1688"/>
      <c r="IWF31" s="1688"/>
      <c r="IWG31" s="1688"/>
      <c r="IWH31" s="1688"/>
      <c r="IWI31" s="1688"/>
      <c r="IWJ31" s="1688"/>
      <c r="IWK31" s="1688"/>
      <c r="IWL31" s="1688"/>
      <c r="IWM31" s="1688"/>
      <c r="IWN31" s="1688"/>
      <c r="IWO31" s="1688"/>
      <c r="IWP31" s="1688"/>
      <c r="IWQ31" s="1688"/>
      <c r="IWR31" s="1688"/>
      <c r="IWS31" s="1688"/>
      <c r="IWT31" s="1688"/>
      <c r="IWU31" s="1688"/>
      <c r="IWV31" s="1688"/>
      <c r="IWW31" s="1688"/>
      <c r="IWX31" s="1688"/>
      <c r="IWY31" s="1688"/>
      <c r="IWZ31" s="1688"/>
      <c r="IXA31" s="1688"/>
      <c r="IXB31" s="1688"/>
      <c r="IXC31" s="1688"/>
      <c r="IXD31" s="1688"/>
      <c r="IXE31" s="1688"/>
      <c r="IXF31" s="1688"/>
      <c r="IXG31" s="1688"/>
      <c r="IXH31" s="1688"/>
      <c r="IXI31" s="1688"/>
      <c r="IXJ31" s="1688"/>
      <c r="IXK31" s="1688"/>
      <c r="IXL31" s="1688"/>
      <c r="IXM31" s="1688"/>
      <c r="IXN31" s="1688"/>
      <c r="IXO31" s="1688"/>
      <c r="IXP31" s="1688"/>
      <c r="IXQ31" s="1688"/>
      <c r="IXR31" s="1688"/>
      <c r="IXS31" s="1688"/>
      <c r="IXT31" s="1688"/>
      <c r="IXU31" s="1688"/>
      <c r="IXV31" s="1688"/>
      <c r="IXW31" s="1688"/>
      <c r="IXX31" s="1688"/>
      <c r="IXY31" s="1688"/>
      <c r="IXZ31" s="1688"/>
      <c r="IYA31" s="1688"/>
      <c r="IYB31" s="1688"/>
      <c r="IYC31" s="1688"/>
      <c r="IYD31" s="1688"/>
      <c r="IYE31" s="1688"/>
      <c r="IYF31" s="1688"/>
      <c r="IYG31" s="1688"/>
      <c r="IYH31" s="1688"/>
      <c r="IYI31" s="1688"/>
      <c r="IYJ31" s="1688"/>
      <c r="IYK31" s="1688"/>
      <c r="IYL31" s="1688"/>
      <c r="IYM31" s="1688"/>
      <c r="IYN31" s="1688"/>
      <c r="IYO31" s="1688"/>
      <c r="IYP31" s="1688"/>
      <c r="IYQ31" s="1688"/>
      <c r="IYR31" s="1688"/>
      <c r="IYS31" s="1688"/>
      <c r="IYT31" s="1688"/>
      <c r="IYU31" s="1688"/>
      <c r="IYV31" s="1688"/>
      <c r="IYW31" s="1688"/>
      <c r="IYX31" s="1688"/>
      <c r="IYY31" s="1688"/>
      <c r="IYZ31" s="1688"/>
      <c r="IZA31" s="1688"/>
      <c r="IZB31" s="1688"/>
      <c r="IZC31" s="1688"/>
      <c r="IZD31" s="1688"/>
      <c r="IZE31" s="1688"/>
      <c r="IZF31" s="1688"/>
      <c r="IZG31" s="1688"/>
      <c r="IZH31" s="1688"/>
      <c r="IZI31" s="1688"/>
      <c r="IZJ31" s="1688"/>
      <c r="IZK31" s="1688"/>
      <c r="IZL31" s="1688"/>
      <c r="IZM31" s="1688"/>
      <c r="IZN31" s="1688"/>
      <c r="IZO31" s="1688"/>
      <c r="IZP31" s="1688"/>
      <c r="IZQ31" s="1688"/>
      <c r="IZR31" s="1688"/>
      <c r="IZS31" s="1688"/>
      <c r="IZT31" s="1688"/>
      <c r="IZU31" s="1688"/>
      <c r="IZV31" s="1688"/>
      <c r="IZW31" s="1688"/>
      <c r="IZX31" s="1688"/>
      <c r="IZY31" s="1688"/>
      <c r="IZZ31" s="1688"/>
      <c r="JAA31" s="1688"/>
      <c r="JAB31" s="1688"/>
      <c r="JAC31" s="1688"/>
      <c r="JAD31" s="1688"/>
      <c r="JAE31" s="1688"/>
      <c r="JAF31" s="1688"/>
      <c r="JAG31" s="1688"/>
      <c r="JAH31" s="1688"/>
      <c r="JAI31" s="1688"/>
      <c r="JAJ31" s="1688"/>
      <c r="JAK31" s="1688"/>
      <c r="JAL31" s="1688"/>
      <c r="JAM31" s="1688"/>
      <c r="JAN31" s="1688"/>
      <c r="JAO31" s="1688"/>
      <c r="JAP31" s="1688"/>
      <c r="JAQ31" s="1688"/>
      <c r="JAR31" s="1688"/>
      <c r="JAS31" s="1688"/>
      <c r="JAT31" s="1688"/>
      <c r="JAU31" s="1688"/>
      <c r="JAV31" s="1688"/>
      <c r="JAW31" s="1688"/>
      <c r="JAX31" s="1688"/>
      <c r="JAY31" s="1688"/>
      <c r="JAZ31" s="1688"/>
      <c r="JBA31" s="1688"/>
      <c r="JBB31" s="1688"/>
      <c r="JBC31" s="1688"/>
      <c r="JBD31" s="1688"/>
      <c r="JBE31" s="1688"/>
      <c r="JBF31" s="1688"/>
      <c r="JBG31" s="1688"/>
      <c r="JBH31" s="1688"/>
      <c r="JBI31" s="1688"/>
      <c r="JBJ31" s="1688"/>
      <c r="JBK31" s="1688"/>
      <c r="JBL31" s="1688"/>
      <c r="JBM31" s="1688"/>
      <c r="JBN31" s="1688"/>
      <c r="JBO31" s="1688"/>
      <c r="JBP31" s="1688"/>
      <c r="JBQ31" s="1688"/>
      <c r="JBR31" s="1688"/>
      <c r="JBS31" s="1688"/>
      <c r="JBT31" s="1688"/>
      <c r="JBU31" s="1688"/>
      <c r="JBV31" s="1688"/>
      <c r="JBW31" s="1688"/>
      <c r="JBX31" s="1688"/>
      <c r="JBY31" s="1688"/>
      <c r="JBZ31" s="1688"/>
      <c r="JCA31" s="1688"/>
      <c r="JCB31" s="1688"/>
      <c r="JCC31" s="1688"/>
      <c r="JCD31" s="1688"/>
      <c r="JCE31" s="1688"/>
      <c r="JCF31" s="1688"/>
      <c r="JCG31" s="1688"/>
      <c r="JCH31" s="1688"/>
      <c r="JCI31" s="1688"/>
      <c r="JCJ31" s="1688"/>
      <c r="JCK31" s="1688"/>
      <c r="JCL31" s="1688"/>
      <c r="JCM31" s="1688"/>
      <c r="JCN31" s="1688"/>
      <c r="JCO31" s="1688"/>
      <c r="JCP31" s="1688"/>
      <c r="JCQ31" s="1688"/>
      <c r="JCR31" s="1688"/>
      <c r="JCS31" s="1688"/>
      <c r="JCT31" s="1688"/>
      <c r="JCU31" s="1688"/>
      <c r="JCV31" s="1688"/>
      <c r="JCW31" s="1688"/>
      <c r="JCX31" s="1688"/>
      <c r="JCY31" s="1688"/>
      <c r="JCZ31" s="1688"/>
      <c r="JDA31" s="1688"/>
      <c r="JDB31" s="1688"/>
      <c r="JDC31" s="1688"/>
      <c r="JDD31" s="1688"/>
      <c r="JDE31" s="1688"/>
      <c r="JDF31" s="1688"/>
      <c r="JDG31" s="1688"/>
      <c r="JDH31" s="1688"/>
      <c r="JDI31" s="1688"/>
      <c r="JDJ31" s="1688"/>
      <c r="JDK31" s="1688"/>
      <c r="JDL31" s="1688"/>
      <c r="JDM31" s="1688"/>
      <c r="JDN31" s="1688"/>
      <c r="JDO31" s="1688"/>
      <c r="JDP31" s="1688"/>
      <c r="JDQ31" s="1688"/>
      <c r="JDR31" s="1688"/>
      <c r="JDS31" s="1688"/>
      <c r="JDT31" s="1688"/>
      <c r="JDU31" s="1688"/>
      <c r="JDV31" s="1688"/>
      <c r="JDW31" s="1688"/>
      <c r="JDX31" s="1688"/>
      <c r="JDY31" s="1688"/>
      <c r="JDZ31" s="1688"/>
      <c r="JEA31" s="1688"/>
      <c r="JEB31" s="1688"/>
      <c r="JEC31" s="1688"/>
      <c r="JED31" s="1688"/>
      <c r="JEE31" s="1688"/>
      <c r="JEF31" s="1688"/>
      <c r="JEG31" s="1688"/>
      <c r="JEH31" s="1688"/>
      <c r="JEI31" s="1688"/>
      <c r="JEJ31" s="1688"/>
      <c r="JEK31" s="1688"/>
      <c r="JEL31" s="1688"/>
      <c r="JEM31" s="1688"/>
      <c r="JEN31" s="1688"/>
      <c r="JEO31" s="1688"/>
      <c r="JEP31" s="1688"/>
      <c r="JEQ31" s="1688"/>
      <c r="JER31" s="1688"/>
      <c r="JES31" s="1688"/>
      <c r="JET31" s="1688"/>
      <c r="JEU31" s="1688"/>
      <c r="JEV31" s="1688"/>
      <c r="JEW31" s="1688"/>
      <c r="JEX31" s="1688"/>
      <c r="JEY31" s="1688"/>
      <c r="JEZ31" s="1688"/>
      <c r="JFA31" s="1688"/>
      <c r="JFB31" s="1688"/>
      <c r="JFC31" s="1688"/>
      <c r="JFD31" s="1688"/>
      <c r="JFE31" s="1688"/>
      <c r="JFF31" s="1688"/>
      <c r="JFG31" s="1688"/>
      <c r="JFH31" s="1688"/>
      <c r="JFI31" s="1688"/>
      <c r="JFJ31" s="1688"/>
      <c r="JFK31" s="1688"/>
      <c r="JFL31" s="1688"/>
      <c r="JFM31" s="1688"/>
      <c r="JFN31" s="1688"/>
      <c r="JFO31" s="1688"/>
      <c r="JFP31" s="1688"/>
      <c r="JFQ31" s="1688"/>
      <c r="JFR31" s="1688"/>
      <c r="JFS31" s="1688"/>
      <c r="JFT31" s="1688"/>
      <c r="JFU31" s="1688"/>
      <c r="JFV31" s="1688"/>
      <c r="JFW31" s="1688"/>
      <c r="JFX31" s="1688"/>
      <c r="JFY31" s="1688"/>
      <c r="JFZ31" s="1688"/>
      <c r="JGA31" s="1688"/>
      <c r="JGB31" s="1688"/>
      <c r="JGC31" s="1688"/>
      <c r="JGD31" s="1688"/>
      <c r="JGE31" s="1688"/>
      <c r="JGF31" s="1688"/>
      <c r="JGG31" s="1688"/>
      <c r="JGH31" s="1688"/>
      <c r="JGI31" s="1688"/>
      <c r="JGJ31" s="1688"/>
      <c r="JGK31" s="1688"/>
      <c r="JGL31" s="1688"/>
      <c r="JGM31" s="1688"/>
      <c r="JGN31" s="1688"/>
      <c r="JGO31" s="1688"/>
      <c r="JGP31" s="1688"/>
      <c r="JGQ31" s="1688"/>
      <c r="JGR31" s="1688"/>
      <c r="JGS31" s="1688"/>
      <c r="JGT31" s="1688"/>
      <c r="JGU31" s="1688"/>
      <c r="JGV31" s="1688"/>
      <c r="JGW31" s="1688"/>
      <c r="JGX31" s="1688"/>
      <c r="JGY31" s="1688"/>
      <c r="JGZ31" s="1688"/>
      <c r="JHA31" s="1688"/>
      <c r="JHB31" s="1688"/>
      <c r="JHC31" s="1688"/>
      <c r="JHD31" s="1688"/>
      <c r="JHE31" s="1688"/>
      <c r="JHF31" s="1688"/>
      <c r="JHG31" s="1688"/>
      <c r="JHH31" s="1688"/>
      <c r="JHI31" s="1688"/>
      <c r="JHJ31" s="1688"/>
      <c r="JHK31" s="1688"/>
      <c r="JHL31" s="1688"/>
      <c r="JHM31" s="1688"/>
      <c r="JHN31" s="1688"/>
      <c r="JHO31" s="1688"/>
      <c r="JHP31" s="1688"/>
      <c r="JHQ31" s="1688"/>
      <c r="JHR31" s="1688"/>
      <c r="JHS31" s="1688"/>
      <c r="JHT31" s="1688"/>
      <c r="JHU31" s="1688"/>
      <c r="JHV31" s="1688"/>
      <c r="JHW31" s="1688"/>
      <c r="JHX31" s="1688"/>
      <c r="JHY31" s="1688"/>
      <c r="JHZ31" s="1688"/>
      <c r="JIA31" s="1688"/>
      <c r="JIB31" s="1688"/>
      <c r="JIC31" s="1688"/>
      <c r="JID31" s="1688"/>
      <c r="JIE31" s="1688"/>
      <c r="JIF31" s="1688"/>
      <c r="JIG31" s="1688"/>
      <c r="JIH31" s="1688"/>
      <c r="JII31" s="1688"/>
      <c r="JIJ31" s="1688"/>
      <c r="JIK31" s="1688"/>
      <c r="JIL31" s="1688"/>
      <c r="JIM31" s="1688"/>
      <c r="JIN31" s="1688"/>
      <c r="JIO31" s="1688"/>
      <c r="JIP31" s="1688"/>
      <c r="JIQ31" s="1688"/>
      <c r="JIR31" s="1688"/>
      <c r="JIS31" s="1688"/>
      <c r="JIT31" s="1688"/>
      <c r="JIU31" s="1688"/>
      <c r="JIV31" s="1688"/>
      <c r="JIW31" s="1688"/>
      <c r="JIX31" s="1688"/>
      <c r="JIY31" s="1688"/>
      <c r="JIZ31" s="1688"/>
      <c r="JJA31" s="1688"/>
      <c r="JJB31" s="1688"/>
      <c r="JJC31" s="1688"/>
      <c r="JJD31" s="1688"/>
      <c r="JJE31" s="1688"/>
      <c r="JJF31" s="1688"/>
      <c r="JJG31" s="1688"/>
      <c r="JJH31" s="1688"/>
      <c r="JJI31" s="1688"/>
      <c r="JJJ31" s="1688"/>
      <c r="JJK31" s="1688"/>
      <c r="JJL31" s="1688"/>
      <c r="JJM31" s="1688"/>
      <c r="JJN31" s="1688"/>
      <c r="JJO31" s="1688"/>
      <c r="JJP31" s="1688"/>
      <c r="JJQ31" s="1688"/>
      <c r="JJR31" s="1688"/>
      <c r="JJS31" s="1688"/>
      <c r="JJT31" s="1688"/>
      <c r="JJU31" s="1688"/>
      <c r="JJV31" s="1688"/>
      <c r="JJW31" s="1688"/>
      <c r="JJX31" s="1688"/>
      <c r="JJY31" s="1688"/>
      <c r="JJZ31" s="1688"/>
      <c r="JKA31" s="1688"/>
      <c r="JKB31" s="1688"/>
      <c r="JKC31" s="1688"/>
      <c r="JKD31" s="1688"/>
      <c r="JKE31" s="1688"/>
      <c r="JKF31" s="1688"/>
      <c r="JKG31" s="1688"/>
      <c r="JKH31" s="1688"/>
      <c r="JKI31" s="1688"/>
      <c r="JKJ31" s="1688"/>
      <c r="JKK31" s="1688"/>
      <c r="JKL31" s="1688"/>
      <c r="JKM31" s="1688"/>
      <c r="JKN31" s="1688"/>
      <c r="JKO31" s="1688"/>
      <c r="JKP31" s="1688"/>
      <c r="JKQ31" s="1688"/>
      <c r="JKR31" s="1688"/>
      <c r="JKS31" s="1688"/>
      <c r="JKT31" s="1688"/>
      <c r="JKU31" s="1688"/>
      <c r="JKV31" s="1688"/>
      <c r="JKW31" s="1688"/>
      <c r="JKX31" s="1688"/>
      <c r="JKY31" s="1688"/>
      <c r="JKZ31" s="1688"/>
      <c r="JLA31" s="1688"/>
      <c r="JLB31" s="1688"/>
      <c r="JLC31" s="1688"/>
      <c r="JLD31" s="1688"/>
      <c r="JLE31" s="1688"/>
      <c r="JLF31" s="1688"/>
      <c r="JLG31" s="1688"/>
      <c r="JLH31" s="1688"/>
      <c r="JLI31" s="1688"/>
      <c r="JLJ31" s="1688"/>
      <c r="JLK31" s="1688"/>
      <c r="JLL31" s="1688"/>
      <c r="JLM31" s="1688"/>
      <c r="JLN31" s="1688"/>
      <c r="JLO31" s="1688"/>
      <c r="JLP31" s="1688"/>
      <c r="JLQ31" s="1688"/>
      <c r="JLR31" s="1688"/>
      <c r="JLS31" s="1688"/>
      <c r="JLT31" s="1688"/>
      <c r="JLU31" s="1688"/>
      <c r="JLV31" s="1688"/>
      <c r="JLW31" s="1688"/>
      <c r="JLX31" s="1688"/>
      <c r="JLY31" s="1688"/>
      <c r="JLZ31" s="1688"/>
      <c r="JMA31" s="1688"/>
      <c r="JMB31" s="1688"/>
      <c r="JMC31" s="1688"/>
      <c r="JMD31" s="1688"/>
      <c r="JME31" s="1688"/>
      <c r="JMF31" s="1688"/>
      <c r="JMG31" s="1688"/>
      <c r="JMH31" s="1688"/>
      <c r="JMI31" s="1688"/>
      <c r="JMJ31" s="1688"/>
      <c r="JMK31" s="1688"/>
      <c r="JML31" s="1688"/>
      <c r="JMM31" s="1688"/>
      <c r="JMN31" s="1688"/>
      <c r="JMO31" s="1688"/>
      <c r="JMP31" s="1688"/>
      <c r="JMQ31" s="1688"/>
      <c r="JMR31" s="1688"/>
      <c r="JMS31" s="1688"/>
      <c r="JMT31" s="1688"/>
      <c r="JMU31" s="1688"/>
      <c r="JMV31" s="1688"/>
      <c r="JMW31" s="1688"/>
      <c r="JMX31" s="1688"/>
      <c r="JMY31" s="1688"/>
      <c r="JMZ31" s="1688"/>
      <c r="JNA31" s="1688"/>
      <c r="JNB31" s="1688"/>
      <c r="JNC31" s="1688"/>
      <c r="JND31" s="1688"/>
      <c r="JNE31" s="1688"/>
      <c r="JNF31" s="1688"/>
      <c r="JNG31" s="1688"/>
      <c r="JNH31" s="1688"/>
      <c r="JNI31" s="1688"/>
      <c r="JNJ31" s="1688"/>
      <c r="JNK31" s="1688"/>
      <c r="JNL31" s="1688"/>
      <c r="JNM31" s="1688"/>
      <c r="JNN31" s="1688"/>
      <c r="JNO31" s="1688"/>
      <c r="JNP31" s="1688"/>
      <c r="JNQ31" s="1688"/>
      <c r="JNR31" s="1688"/>
      <c r="JNS31" s="1688"/>
      <c r="JNT31" s="1688"/>
      <c r="JNU31" s="1688"/>
      <c r="JNV31" s="1688"/>
      <c r="JNW31" s="1688"/>
      <c r="JNX31" s="1688"/>
      <c r="JNY31" s="1688"/>
      <c r="JNZ31" s="1688"/>
      <c r="JOA31" s="1688"/>
      <c r="JOB31" s="1688"/>
      <c r="JOC31" s="1688"/>
      <c r="JOD31" s="1688"/>
      <c r="JOE31" s="1688"/>
      <c r="JOF31" s="1688"/>
      <c r="JOG31" s="1688"/>
      <c r="JOH31" s="1688"/>
      <c r="JOI31" s="1688"/>
      <c r="JOJ31" s="1688"/>
      <c r="JOK31" s="1688"/>
      <c r="JOL31" s="1688"/>
      <c r="JOM31" s="1688"/>
      <c r="JON31" s="1688"/>
      <c r="JOO31" s="1688"/>
      <c r="JOP31" s="1688"/>
      <c r="JOQ31" s="1688"/>
      <c r="JOR31" s="1688"/>
      <c r="JOS31" s="1688"/>
      <c r="JOT31" s="1688"/>
      <c r="JOU31" s="1688"/>
      <c r="JOV31" s="1688"/>
      <c r="JOW31" s="1688"/>
      <c r="JOX31" s="1688"/>
      <c r="JOY31" s="1688"/>
      <c r="JOZ31" s="1688"/>
      <c r="JPA31" s="1688"/>
      <c r="JPB31" s="1688"/>
      <c r="JPC31" s="1688"/>
      <c r="JPD31" s="1688"/>
      <c r="JPE31" s="1688"/>
      <c r="JPF31" s="1688"/>
      <c r="JPG31" s="1688"/>
      <c r="JPH31" s="1688"/>
      <c r="JPI31" s="1688"/>
      <c r="JPJ31" s="1688"/>
      <c r="JPK31" s="1688"/>
      <c r="JPL31" s="1688"/>
      <c r="JPM31" s="1688"/>
      <c r="JPN31" s="1688"/>
      <c r="JPO31" s="1688"/>
      <c r="JPP31" s="1688"/>
      <c r="JPQ31" s="1688"/>
      <c r="JPR31" s="1688"/>
      <c r="JPS31" s="1688"/>
      <c r="JPT31" s="1688"/>
      <c r="JPU31" s="1688"/>
      <c r="JPV31" s="1688"/>
      <c r="JPW31" s="1688"/>
      <c r="JPX31" s="1688"/>
      <c r="JPY31" s="1688"/>
      <c r="JPZ31" s="1688"/>
      <c r="JQA31" s="1688"/>
      <c r="JQB31" s="1688"/>
      <c r="JQC31" s="1688"/>
      <c r="JQD31" s="1688"/>
      <c r="JQE31" s="1688"/>
      <c r="JQF31" s="1688"/>
      <c r="JQG31" s="1688"/>
      <c r="JQH31" s="1688"/>
      <c r="JQI31" s="1688"/>
      <c r="JQJ31" s="1688"/>
      <c r="JQK31" s="1688"/>
      <c r="JQL31" s="1688"/>
      <c r="JQM31" s="1688"/>
      <c r="JQN31" s="1688"/>
      <c r="JQO31" s="1688"/>
      <c r="JQP31" s="1688"/>
      <c r="JQQ31" s="1688"/>
      <c r="JQR31" s="1688"/>
      <c r="JQS31" s="1688"/>
      <c r="JQT31" s="1688"/>
      <c r="JQU31" s="1688"/>
      <c r="JQV31" s="1688"/>
      <c r="JQW31" s="1688"/>
      <c r="JQX31" s="1688"/>
      <c r="JQY31" s="1688"/>
      <c r="JQZ31" s="1688"/>
      <c r="JRA31" s="1688"/>
      <c r="JRB31" s="1688"/>
      <c r="JRC31" s="1688"/>
      <c r="JRD31" s="1688"/>
      <c r="JRE31" s="1688"/>
      <c r="JRF31" s="1688"/>
      <c r="JRG31" s="1688"/>
      <c r="JRH31" s="1688"/>
      <c r="JRI31" s="1688"/>
      <c r="JRJ31" s="1688"/>
      <c r="JRK31" s="1688"/>
      <c r="JRL31" s="1688"/>
      <c r="JRM31" s="1688"/>
      <c r="JRN31" s="1688"/>
      <c r="JRO31" s="1688"/>
      <c r="JRP31" s="1688"/>
      <c r="JRQ31" s="1688"/>
      <c r="JRR31" s="1688"/>
      <c r="JRS31" s="1688"/>
      <c r="JRT31" s="1688"/>
      <c r="JRU31" s="1688"/>
      <c r="JRV31" s="1688"/>
      <c r="JRW31" s="1688"/>
      <c r="JRX31" s="1688"/>
      <c r="JRY31" s="1688"/>
      <c r="JRZ31" s="1688"/>
      <c r="JSA31" s="1688"/>
      <c r="JSB31" s="1688"/>
      <c r="JSC31" s="1688"/>
      <c r="JSD31" s="1688"/>
      <c r="JSE31" s="1688"/>
      <c r="JSF31" s="1688"/>
      <c r="JSG31" s="1688"/>
      <c r="JSH31" s="1688"/>
      <c r="JSI31" s="1688"/>
      <c r="JSJ31" s="1688"/>
      <c r="JSK31" s="1688"/>
      <c r="JSL31" s="1688"/>
      <c r="JSM31" s="1688"/>
      <c r="JSN31" s="1688"/>
      <c r="JSO31" s="1688"/>
      <c r="JSP31" s="1688"/>
      <c r="JSQ31" s="1688"/>
      <c r="JSR31" s="1688"/>
      <c r="JSS31" s="1688"/>
      <c r="JST31" s="1688"/>
      <c r="JSU31" s="1688"/>
      <c r="JSV31" s="1688"/>
      <c r="JSW31" s="1688"/>
      <c r="JSX31" s="1688"/>
      <c r="JSY31" s="1688"/>
      <c r="JSZ31" s="1688"/>
      <c r="JTA31" s="1688"/>
      <c r="JTB31" s="1688"/>
      <c r="JTC31" s="1688"/>
      <c r="JTD31" s="1688"/>
      <c r="JTE31" s="1688"/>
      <c r="JTF31" s="1688"/>
      <c r="JTG31" s="1688"/>
      <c r="JTH31" s="1688"/>
      <c r="JTI31" s="1688"/>
      <c r="JTJ31" s="1688"/>
      <c r="JTK31" s="1688"/>
      <c r="JTL31" s="1688"/>
      <c r="JTM31" s="1688"/>
      <c r="JTN31" s="1688"/>
      <c r="JTO31" s="1688"/>
      <c r="JTP31" s="1688"/>
      <c r="JTQ31" s="1688"/>
      <c r="JTR31" s="1688"/>
      <c r="JTS31" s="1688"/>
      <c r="JTT31" s="1688"/>
      <c r="JTU31" s="1688"/>
      <c r="JTV31" s="1688"/>
      <c r="JTW31" s="1688"/>
      <c r="JTX31" s="1688"/>
      <c r="JTY31" s="1688"/>
      <c r="JTZ31" s="1688"/>
      <c r="JUA31" s="1688"/>
      <c r="JUB31" s="1688"/>
      <c r="JUC31" s="1688"/>
      <c r="JUD31" s="1688"/>
      <c r="JUE31" s="1688"/>
      <c r="JUF31" s="1688"/>
      <c r="JUG31" s="1688"/>
      <c r="JUH31" s="1688"/>
      <c r="JUI31" s="1688"/>
      <c r="JUJ31" s="1688"/>
      <c r="JUK31" s="1688"/>
      <c r="JUL31" s="1688"/>
      <c r="JUM31" s="1688"/>
      <c r="JUN31" s="1688"/>
      <c r="JUO31" s="1688"/>
      <c r="JUP31" s="1688"/>
      <c r="JUQ31" s="1688"/>
      <c r="JUR31" s="1688"/>
      <c r="JUS31" s="1688"/>
      <c r="JUT31" s="1688"/>
      <c r="JUU31" s="1688"/>
      <c r="JUV31" s="1688"/>
      <c r="JUW31" s="1688"/>
      <c r="JUX31" s="1688"/>
      <c r="JUY31" s="1688"/>
      <c r="JUZ31" s="1688"/>
      <c r="JVA31" s="1688"/>
      <c r="JVB31" s="1688"/>
      <c r="JVC31" s="1688"/>
      <c r="JVD31" s="1688"/>
      <c r="JVE31" s="1688"/>
      <c r="JVF31" s="1688"/>
      <c r="JVG31" s="1688"/>
      <c r="JVH31" s="1688"/>
      <c r="JVI31" s="1688"/>
      <c r="JVJ31" s="1688"/>
      <c r="JVK31" s="1688"/>
      <c r="JVL31" s="1688"/>
      <c r="JVM31" s="1688"/>
      <c r="JVN31" s="1688"/>
      <c r="JVO31" s="1688"/>
      <c r="JVP31" s="1688"/>
      <c r="JVQ31" s="1688"/>
      <c r="JVR31" s="1688"/>
      <c r="JVS31" s="1688"/>
      <c r="JVT31" s="1688"/>
      <c r="JVU31" s="1688"/>
      <c r="JVV31" s="1688"/>
      <c r="JVW31" s="1688"/>
      <c r="JVX31" s="1688"/>
      <c r="JVY31" s="1688"/>
      <c r="JVZ31" s="1688"/>
      <c r="JWA31" s="1688"/>
      <c r="JWB31" s="1688"/>
      <c r="JWC31" s="1688"/>
      <c r="JWD31" s="1688"/>
      <c r="JWE31" s="1688"/>
      <c r="JWF31" s="1688"/>
      <c r="JWG31" s="1688"/>
      <c r="JWH31" s="1688"/>
      <c r="JWI31" s="1688"/>
      <c r="JWJ31" s="1688"/>
      <c r="JWK31" s="1688"/>
      <c r="JWL31" s="1688"/>
      <c r="JWM31" s="1688"/>
      <c r="JWN31" s="1688"/>
      <c r="JWO31" s="1688"/>
      <c r="JWP31" s="1688"/>
      <c r="JWQ31" s="1688"/>
      <c r="JWR31" s="1688"/>
      <c r="JWS31" s="1688"/>
      <c r="JWT31" s="1688"/>
      <c r="JWU31" s="1688"/>
      <c r="JWV31" s="1688"/>
      <c r="JWW31" s="1688"/>
      <c r="JWX31" s="1688"/>
      <c r="JWY31" s="1688"/>
      <c r="JWZ31" s="1688"/>
      <c r="JXA31" s="1688"/>
      <c r="JXB31" s="1688"/>
      <c r="JXC31" s="1688"/>
      <c r="JXD31" s="1688"/>
      <c r="JXE31" s="1688"/>
      <c r="JXF31" s="1688"/>
      <c r="JXG31" s="1688"/>
      <c r="JXH31" s="1688"/>
      <c r="JXI31" s="1688"/>
      <c r="JXJ31" s="1688"/>
      <c r="JXK31" s="1688"/>
      <c r="JXL31" s="1688"/>
      <c r="JXM31" s="1688"/>
      <c r="JXN31" s="1688"/>
      <c r="JXO31" s="1688"/>
      <c r="JXP31" s="1688"/>
      <c r="JXQ31" s="1688"/>
      <c r="JXR31" s="1688"/>
      <c r="JXS31" s="1688"/>
      <c r="JXT31" s="1688"/>
      <c r="JXU31" s="1688"/>
      <c r="JXV31" s="1688"/>
      <c r="JXW31" s="1688"/>
      <c r="JXX31" s="1688"/>
      <c r="JXY31" s="1688"/>
      <c r="JXZ31" s="1688"/>
      <c r="JYA31" s="1688"/>
      <c r="JYB31" s="1688"/>
      <c r="JYC31" s="1688"/>
      <c r="JYD31" s="1688"/>
      <c r="JYE31" s="1688"/>
      <c r="JYF31" s="1688"/>
      <c r="JYG31" s="1688"/>
      <c r="JYH31" s="1688"/>
      <c r="JYI31" s="1688"/>
      <c r="JYJ31" s="1688"/>
      <c r="JYK31" s="1688"/>
      <c r="JYL31" s="1688"/>
      <c r="JYM31" s="1688"/>
      <c r="JYN31" s="1688"/>
      <c r="JYO31" s="1688"/>
      <c r="JYP31" s="1688"/>
      <c r="JYQ31" s="1688"/>
      <c r="JYR31" s="1688"/>
      <c r="JYS31" s="1688"/>
      <c r="JYT31" s="1688"/>
      <c r="JYU31" s="1688"/>
      <c r="JYV31" s="1688"/>
      <c r="JYW31" s="1688"/>
      <c r="JYX31" s="1688"/>
      <c r="JYY31" s="1688"/>
      <c r="JYZ31" s="1688"/>
      <c r="JZA31" s="1688"/>
      <c r="JZB31" s="1688"/>
      <c r="JZC31" s="1688"/>
      <c r="JZD31" s="1688"/>
      <c r="JZE31" s="1688"/>
      <c r="JZF31" s="1688"/>
      <c r="JZG31" s="1688"/>
      <c r="JZH31" s="1688"/>
      <c r="JZI31" s="1688"/>
      <c r="JZJ31" s="1688"/>
      <c r="JZK31" s="1688"/>
      <c r="JZL31" s="1688"/>
      <c r="JZM31" s="1688"/>
      <c r="JZN31" s="1688"/>
      <c r="JZO31" s="1688"/>
      <c r="JZP31" s="1688"/>
      <c r="JZQ31" s="1688"/>
      <c r="JZR31" s="1688"/>
      <c r="JZS31" s="1688"/>
      <c r="JZT31" s="1688"/>
      <c r="JZU31" s="1688"/>
      <c r="JZV31" s="1688"/>
      <c r="JZW31" s="1688"/>
      <c r="JZX31" s="1688"/>
      <c r="JZY31" s="1688"/>
      <c r="JZZ31" s="1688"/>
      <c r="KAA31" s="1688"/>
      <c r="KAB31" s="1688"/>
      <c r="KAC31" s="1688"/>
      <c r="KAD31" s="1688"/>
      <c r="KAE31" s="1688"/>
      <c r="KAF31" s="1688"/>
      <c r="KAG31" s="1688"/>
      <c r="KAH31" s="1688"/>
      <c r="KAI31" s="1688"/>
      <c r="KAJ31" s="1688"/>
      <c r="KAK31" s="1688"/>
      <c r="KAL31" s="1688"/>
      <c r="KAM31" s="1688"/>
      <c r="KAN31" s="1688"/>
      <c r="KAO31" s="1688"/>
      <c r="KAP31" s="1688"/>
      <c r="KAQ31" s="1688"/>
      <c r="KAR31" s="1688"/>
      <c r="KAS31" s="1688"/>
      <c r="KAT31" s="1688"/>
      <c r="KAU31" s="1688"/>
      <c r="KAV31" s="1688"/>
      <c r="KAW31" s="1688"/>
      <c r="KAX31" s="1688"/>
      <c r="KAY31" s="1688"/>
      <c r="KAZ31" s="1688"/>
      <c r="KBA31" s="1688"/>
      <c r="KBB31" s="1688"/>
      <c r="KBC31" s="1688"/>
      <c r="KBD31" s="1688"/>
      <c r="KBE31" s="1688"/>
      <c r="KBF31" s="1688"/>
      <c r="KBG31" s="1688"/>
      <c r="KBH31" s="1688"/>
      <c r="KBI31" s="1688"/>
      <c r="KBJ31" s="1688"/>
      <c r="KBK31" s="1688"/>
      <c r="KBL31" s="1688"/>
      <c r="KBM31" s="1688"/>
      <c r="KBN31" s="1688"/>
      <c r="KBO31" s="1688"/>
      <c r="KBP31" s="1688"/>
      <c r="KBQ31" s="1688"/>
      <c r="KBR31" s="1688"/>
      <c r="KBS31" s="1688"/>
      <c r="KBT31" s="1688"/>
      <c r="KBU31" s="1688"/>
      <c r="KBV31" s="1688"/>
      <c r="KBW31" s="1688"/>
      <c r="KBX31" s="1688"/>
      <c r="KBY31" s="1688"/>
      <c r="KBZ31" s="1688"/>
      <c r="KCA31" s="1688"/>
      <c r="KCB31" s="1688"/>
      <c r="KCC31" s="1688"/>
      <c r="KCD31" s="1688"/>
      <c r="KCE31" s="1688"/>
      <c r="KCF31" s="1688"/>
      <c r="KCG31" s="1688"/>
      <c r="KCH31" s="1688"/>
      <c r="KCI31" s="1688"/>
      <c r="KCJ31" s="1688"/>
      <c r="KCK31" s="1688"/>
      <c r="KCL31" s="1688"/>
      <c r="KCM31" s="1688"/>
      <c r="KCN31" s="1688"/>
      <c r="KCO31" s="1688"/>
      <c r="KCP31" s="1688"/>
      <c r="KCQ31" s="1688"/>
      <c r="KCR31" s="1688"/>
      <c r="KCS31" s="1688"/>
      <c r="KCT31" s="1688"/>
      <c r="KCU31" s="1688"/>
      <c r="KCV31" s="1688"/>
      <c r="KCW31" s="1688"/>
      <c r="KCX31" s="1688"/>
      <c r="KCY31" s="1688"/>
      <c r="KCZ31" s="1688"/>
      <c r="KDA31" s="1688"/>
      <c r="KDB31" s="1688"/>
      <c r="KDC31" s="1688"/>
      <c r="KDD31" s="1688"/>
      <c r="KDE31" s="1688"/>
      <c r="KDF31" s="1688"/>
      <c r="KDG31" s="1688"/>
      <c r="KDH31" s="1688"/>
      <c r="KDI31" s="1688"/>
      <c r="KDJ31" s="1688"/>
      <c r="KDK31" s="1688"/>
      <c r="KDL31" s="1688"/>
      <c r="KDM31" s="1688"/>
      <c r="KDN31" s="1688"/>
      <c r="KDO31" s="1688"/>
      <c r="KDP31" s="1688"/>
      <c r="KDQ31" s="1688"/>
      <c r="KDR31" s="1688"/>
      <c r="KDS31" s="1688"/>
      <c r="KDT31" s="1688"/>
      <c r="KDU31" s="1688"/>
      <c r="KDV31" s="1688"/>
      <c r="KDW31" s="1688"/>
      <c r="KDX31" s="1688"/>
      <c r="KDY31" s="1688"/>
      <c r="KDZ31" s="1688"/>
      <c r="KEA31" s="1688"/>
      <c r="KEB31" s="1688"/>
      <c r="KEC31" s="1688"/>
      <c r="KED31" s="1688"/>
      <c r="KEE31" s="1688"/>
      <c r="KEF31" s="1688"/>
      <c r="KEG31" s="1688"/>
      <c r="KEH31" s="1688"/>
      <c r="KEI31" s="1688"/>
      <c r="KEJ31" s="1688"/>
      <c r="KEK31" s="1688"/>
      <c r="KEL31" s="1688"/>
      <c r="KEM31" s="1688"/>
      <c r="KEN31" s="1688"/>
      <c r="KEO31" s="1688"/>
      <c r="KEP31" s="1688"/>
      <c r="KEQ31" s="1688"/>
      <c r="KER31" s="1688"/>
      <c r="KES31" s="1688"/>
      <c r="KET31" s="1688"/>
      <c r="KEU31" s="1688"/>
      <c r="KEV31" s="1688"/>
      <c r="KEW31" s="1688"/>
      <c r="KEX31" s="1688"/>
      <c r="KEY31" s="1688"/>
      <c r="KEZ31" s="1688"/>
      <c r="KFA31" s="1688"/>
      <c r="KFB31" s="1688"/>
      <c r="KFC31" s="1688"/>
      <c r="KFD31" s="1688"/>
      <c r="KFE31" s="1688"/>
      <c r="KFF31" s="1688"/>
      <c r="KFG31" s="1688"/>
      <c r="KFH31" s="1688"/>
      <c r="KFI31" s="1688"/>
      <c r="KFJ31" s="1688"/>
      <c r="KFK31" s="1688"/>
      <c r="KFL31" s="1688"/>
      <c r="KFM31" s="1688"/>
      <c r="KFN31" s="1688"/>
      <c r="KFO31" s="1688"/>
      <c r="KFP31" s="1688"/>
      <c r="KFQ31" s="1688"/>
      <c r="KFR31" s="1688"/>
      <c r="KFS31" s="1688"/>
      <c r="KFT31" s="1688"/>
      <c r="KFU31" s="1688"/>
      <c r="KFV31" s="1688"/>
      <c r="KFW31" s="1688"/>
      <c r="KFX31" s="1688"/>
      <c r="KFY31" s="1688"/>
      <c r="KFZ31" s="1688"/>
      <c r="KGA31" s="1688"/>
      <c r="KGB31" s="1688"/>
      <c r="KGC31" s="1688"/>
      <c r="KGD31" s="1688"/>
      <c r="KGE31" s="1688"/>
      <c r="KGF31" s="1688"/>
      <c r="KGG31" s="1688"/>
      <c r="KGH31" s="1688"/>
      <c r="KGI31" s="1688"/>
      <c r="KGJ31" s="1688"/>
      <c r="KGK31" s="1688"/>
      <c r="KGL31" s="1688"/>
      <c r="KGM31" s="1688"/>
      <c r="KGN31" s="1688"/>
      <c r="KGO31" s="1688"/>
      <c r="KGP31" s="1688"/>
      <c r="KGQ31" s="1688"/>
      <c r="KGR31" s="1688"/>
      <c r="KGS31" s="1688"/>
      <c r="KGT31" s="1688"/>
      <c r="KGU31" s="1688"/>
      <c r="KGV31" s="1688"/>
      <c r="KGW31" s="1688"/>
      <c r="KGX31" s="1688"/>
      <c r="KGY31" s="1688"/>
      <c r="KGZ31" s="1688"/>
      <c r="KHA31" s="1688"/>
      <c r="KHB31" s="1688"/>
      <c r="KHC31" s="1688"/>
      <c r="KHD31" s="1688"/>
      <c r="KHE31" s="1688"/>
      <c r="KHF31" s="1688"/>
      <c r="KHG31" s="1688"/>
      <c r="KHH31" s="1688"/>
      <c r="KHI31" s="1688"/>
      <c r="KHJ31" s="1688"/>
      <c r="KHK31" s="1688"/>
      <c r="KHL31" s="1688"/>
      <c r="KHM31" s="1688"/>
      <c r="KHN31" s="1688"/>
      <c r="KHO31" s="1688"/>
      <c r="KHP31" s="1688"/>
      <c r="KHQ31" s="1688"/>
      <c r="KHR31" s="1688"/>
      <c r="KHS31" s="1688"/>
      <c r="KHT31" s="1688"/>
      <c r="KHU31" s="1688"/>
      <c r="KHV31" s="1688"/>
      <c r="KHW31" s="1688"/>
      <c r="KHX31" s="1688"/>
      <c r="KHY31" s="1688"/>
      <c r="KHZ31" s="1688"/>
      <c r="KIA31" s="1688"/>
      <c r="KIB31" s="1688"/>
      <c r="KIC31" s="1688"/>
      <c r="KID31" s="1688"/>
      <c r="KIE31" s="1688"/>
      <c r="KIF31" s="1688"/>
      <c r="KIG31" s="1688"/>
      <c r="KIH31" s="1688"/>
      <c r="KII31" s="1688"/>
      <c r="KIJ31" s="1688"/>
      <c r="KIK31" s="1688"/>
      <c r="KIL31" s="1688"/>
      <c r="KIM31" s="1688"/>
      <c r="KIN31" s="1688"/>
      <c r="KIO31" s="1688"/>
      <c r="KIP31" s="1688"/>
      <c r="KIQ31" s="1688"/>
      <c r="KIR31" s="1688"/>
      <c r="KIS31" s="1688"/>
      <c r="KIT31" s="1688"/>
      <c r="KIU31" s="1688"/>
      <c r="KIV31" s="1688"/>
      <c r="KIW31" s="1688"/>
      <c r="KIX31" s="1688"/>
      <c r="KIY31" s="1688"/>
      <c r="KIZ31" s="1688"/>
      <c r="KJA31" s="1688"/>
      <c r="KJB31" s="1688"/>
      <c r="KJC31" s="1688"/>
      <c r="KJD31" s="1688"/>
      <c r="KJE31" s="1688"/>
      <c r="KJF31" s="1688"/>
      <c r="KJG31" s="1688"/>
      <c r="KJH31" s="1688"/>
      <c r="KJI31" s="1688"/>
      <c r="KJJ31" s="1688"/>
      <c r="KJK31" s="1688"/>
      <c r="KJL31" s="1688"/>
      <c r="KJM31" s="1688"/>
      <c r="KJN31" s="1688"/>
      <c r="KJO31" s="1688"/>
      <c r="KJP31" s="1688"/>
      <c r="KJQ31" s="1688"/>
      <c r="KJR31" s="1688"/>
      <c r="KJS31" s="1688"/>
      <c r="KJT31" s="1688"/>
      <c r="KJU31" s="1688"/>
      <c r="KJV31" s="1688"/>
      <c r="KJW31" s="1688"/>
      <c r="KJX31" s="1688"/>
      <c r="KJY31" s="1688"/>
      <c r="KJZ31" s="1688"/>
      <c r="KKA31" s="1688"/>
      <c r="KKB31" s="1688"/>
      <c r="KKC31" s="1688"/>
      <c r="KKD31" s="1688"/>
      <c r="KKE31" s="1688"/>
      <c r="KKF31" s="1688"/>
      <c r="KKG31" s="1688"/>
      <c r="KKH31" s="1688"/>
      <c r="KKI31" s="1688"/>
      <c r="KKJ31" s="1688"/>
      <c r="KKK31" s="1688"/>
      <c r="KKL31" s="1688"/>
      <c r="KKM31" s="1688"/>
      <c r="KKN31" s="1688"/>
      <c r="KKO31" s="1688"/>
      <c r="KKP31" s="1688"/>
      <c r="KKQ31" s="1688"/>
      <c r="KKR31" s="1688"/>
      <c r="KKS31" s="1688"/>
      <c r="KKT31" s="1688"/>
      <c r="KKU31" s="1688"/>
      <c r="KKV31" s="1688"/>
      <c r="KKW31" s="1688"/>
      <c r="KKX31" s="1688"/>
      <c r="KKY31" s="1688"/>
      <c r="KKZ31" s="1688"/>
      <c r="KLA31" s="1688"/>
      <c r="KLB31" s="1688"/>
      <c r="KLC31" s="1688"/>
      <c r="KLD31" s="1688"/>
      <c r="KLE31" s="1688"/>
      <c r="KLF31" s="1688"/>
      <c r="KLG31" s="1688"/>
      <c r="KLH31" s="1688"/>
      <c r="KLI31" s="1688"/>
      <c r="KLJ31" s="1688"/>
      <c r="KLK31" s="1688"/>
      <c r="KLL31" s="1688"/>
      <c r="KLM31" s="1688"/>
      <c r="KLN31" s="1688"/>
      <c r="KLO31" s="1688"/>
      <c r="KLP31" s="1688"/>
      <c r="KLQ31" s="1688"/>
      <c r="KLR31" s="1688"/>
      <c r="KLS31" s="1688"/>
      <c r="KLT31" s="1688"/>
      <c r="KLU31" s="1688"/>
      <c r="KLV31" s="1688"/>
      <c r="KLW31" s="1688"/>
      <c r="KLX31" s="1688"/>
      <c r="KLY31" s="1688"/>
      <c r="KLZ31" s="1688"/>
      <c r="KMA31" s="1688"/>
      <c r="KMB31" s="1688"/>
      <c r="KMC31" s="1688"/>
      <c r="KMD31" s="1688"/>
      <c r="KME31" s="1688"/>
      <c r="KMF31" s="1688"/>
      <c r="KMG31" s="1688"/>
      <c r="KMH31" s="1688"/>
      <c r="KMI31" s="1688"/>
      <c r="KMJ31" s="1688"/>
      <c r="KMK31" s="1688"/>
      <c r="KML31" s="1688"/>
      <c r="KMM31" s="1688"/>
      <c r="KMN31" s="1688"/>
      <c r="KMO31" s="1688"/>
      <c r="KMP31" s="1688"/>
      <c r="KMQ31" s="1688"/>
      <c r="KMR31" s="1688"/>
      <c r="KMS31" s="1688"/>
      <c r="KMT31" s="1688"/>
      <c r="KMU31" s="1688"/>
      <c r="KMV31" s="1688"/>
      <c r="KMW31" s="1688"/>
      <c r="KMX31" s="1688"/>
      <c r="KMY31" s="1688"/>
      <c r="KMZ31" s="1688"/>
      <c r="KNA31" s="1688"/>
      <c r="KNB31" s="1688"/>
      <c r="KNC31" s="1688"/>
      <c r="KND31" s="1688"/>
      <c r="KNE31" s="1688"/>
      <c r="KNF31" s="1688"/>
      <c r="KNG31" s="1688"/>
      <c r="KNH31" s="1688"/>
      <c r="KNI31" s="1688"/>
      <c r="KNJ31" s="1688"/>
      <c r="KNK31" s="1688"/>
      <c r="KNL31" s="1688"/>
      <c r="KNM31" s="1688"/>
      <c r="KNN31" s="1688"/>
      <c r="KNO31" s="1688"/>
      <c r="KNP31" s="1688"/>
      <c r="KNQ31" s="1688"/>
      <c r="KNR31" s="1688"/>
      <c r="KNS31" s="1688"/>
      <c r="KNT31" s="1688"/>
      <c r="KNU31" s="1688"/>
      <c r="KNV31" s="1688"/>
      <c r="KNW31" s="1688"/>
      <c r="KNX31" s="1688"/>
      <c r="KNY31" s="1688"/>
      <c r="KNZ31" s="1688"/>
      <c r="KOA31" s="1688"/>
      <c r="KOB31" s="1688"/>
      <c r="KOC31" s="1688"/>
      <c r="KOD31" s="1688"/>
      <c r="KOE31" s="1688"/>
      <c r="KOF31" s="1688"/>
      <c r="KOG31" s="1688"/>
      <c r="KOH31" s="1688"/>
      <c r="KOI31" s="1688"/>
      <c r="KOJ31" s="1688"/>
      <c r="KOK31" s="1688"/>
      <c r="KOL31" s="1688"/>
      <c r="KOM31" s="1688"/>
      <c r="KON31" s="1688"/>
      <c r="KOO31" s="1688"/>
      <c r="KOP31" s="1688"/>
      <c r="KOQ31" s="1688"/>
      <c r="KOR31" s="1688"/>
      <c r="KOS31" s="1688"/>
      <c r="KOT31" s="1688"/>
      <c r="KOU31" s="1688"/>
      <c r="KOV31" s="1688"/>
      <c r="KOW31" s="1688"/>
      <c r="KOX31" s="1688"/>
      <c r="KOY31" s="1688"/>
      <c r="KOZ31" s="1688"/>
      <c r="KPA31" s="1688"/>
      <c r="KPB31" s="1688"/>
      <c r="KPC31" s="1688"/>
      <c r="KPD31" s="1688"/>
      <c r="KPE31" s="1688"/>
      <c r="KPF31" s="1688"/>
      <c r="KPG31" s="1688"/>
      <c r="KPH31" s="1688"/>
      <c r="KPI31" s="1688"/>
      <c r="KPJ31" s="1688"/>
      <c r="KPK31" s="1688"/>
      <c r="KPL31" s="1688"/>
      <c r="KPM31" s="1688"/>
      <c r="KPN31" s="1688"/>
      <c r="KPO31" s="1688"/>
      <c r="KPP31" s="1688"/>
      <c r="KPQ31" s="1688"/>
      <c r="KPR31" s="1688"/>
      <c r="KPS31" s="1688"/>
      <c r="KPT31" s="1688"/>
      <c r="KPU31" s="1688"/>
      <c r="KPV31" s="1688"/>
      <c r="KPW31" s="1688"/>
      <c r="KPX31" s="1688"/>
      <c r="KPY31" s="1688"/>
      <c r="KPZ31" s="1688"/>
      <c r="KQA31" s="1688"/>
      <c r="KQB31" s="1688"/>
      <c r="KQC31" s="1688"/>
      <c r="KQD31" s="1688"/>
      <c r="KQE31" s="1688"/>
      <c r="KQF31" s="1688"/>
      <c r="KQG31" s="1688"/>
      <c r="KQH31" s="1688"/>
      <c r="KQI31" s="1688"/>
      <c r="KQJ31" s="1688"/>
      <c r="KQK31" s="1688"/>
      <c r="KQL31" s="1688"/>
      <c r="KQM31" s="1688"/>
      <c r="KQN31" s="1688"/>
      <c r="KQO31" s="1688"/>
      <c r="KQP31" s="1688"/>
      <c r="KQQ31" s="1688"/>
      <c r="KQR31" s="1688"/>
      <c r="KQS31" s="1688"/>
      <c r="KQT31" s="1688"/>
      <c r="KQU31" s="1688"/>
      <c r="KQV31" s="1688"/>
      <c r="KQW31" s="1688"/>
      <c r="KQX31" s="1688"/>
      <c r="KQY31" s="1688"/>
      <c r="KQZ31" s="1688"/>
      <c r="KRA31" s="1688"/>
      <c r="KRB31" s="1688"/>
      <c r="KRC31" s="1688"/>
      <c r="KRD31" s="1688"/>
      <c r="KRE31" s="1688"/>
      <c r="KRF31" s="1688"/>
      <c r="KRG31" s="1688"/>
      <c r="KRH31" s="1688"/>
      <c r="KRI31" s="1688"/>
      <c r="KRJ31" s="1688"/>
      <c r="KRK31" s="1688"/>
      <c r="KRL31" s="1688"/>
      <c r="KRM31" s="1688"/>
      <c r="KRN31" s="1688"/>
      <c r="KRO31" s="1688"/>
      <c r="KRP31" s="1688"/>
      <c r="KRQ31" s="1688"/>
      <c r="KRR31" s="1688"/>
      <c r="KRS31" s="1688"/>
      <c r="KRT31" s="1688"/>
      <c r="KRU31" s="1688"/>
      <c r="KRV31" s="1688"/>
      <c r="KRW31" s="1688"/>
      <c r="KRX31" s="1688"/>
      <c r="KRY31" s="1688"/>
      <c r="KRZ31" s="1688"/>
      <c r="KSA31" s="1688"/>
      <c r="KSB31" s="1688"/>
      <c r="KSC31" s="1688"/>
      <c r="KSD31" s="1688"/>
      <c r="KSE31" s="1688"/>
      <c r="KSF31" s="1688"/>
      <c r="KSG31" s="1688"/>
      <c r="KSH31" s="1688"/>
      <c r="KSI31" s="1688"/>
      <c r="KSJ31" s="1688"/>
      <c r="KSK31" s="1688"/>
      <c r="KSL31" s="1688"/>
      <c r="KSM31" s="1688"/>
      <c r="KSN31" s="1688"/>
      <c r="KSO31" s="1688"/>
      <c r="KSP31" s="1688"/>
      <c r="KSQ31" s="1688"/>
      <c r="KSR31" s="1688"/>
      <c r="KSS31" s="1688"/>
      <c r="KST31" s="1688"/>
      <c r="KSU31" s="1688"/>
      <c r="KSV31" s="1688"/>
      <c r="KSW31" s="1688"/>
      <c r="KSX31" s="1688"/>
      <c r="KSY31" s="1688"/>
      <c r="KSZ31" s="1688"/>
      <c r="KTA31" s="1688"/>
      <c r="KTB31" s="1688"/>
      <c r="KTC31" s="1688"/>
      <c r="KTD31" s="1688"/>
      <c r="KTE31" s="1688"/>
      <c r="KTF31" s="1688"/>
      <c r="KTG31" s="1688"/>
      <c r="KTH31" s="1688"/>
      <c r="KTI31" s="1688"/>
      <c r="KTJ31" s="1688"/>
      <c r="KTK31" s="1688"/>
      <c r="KTL31" s="1688"/>
      <c r="KTM31" s="1688"/>
      <c r="KTN31" s="1688"/>
      <c r="KTO31" s="1688"/>
      <c r="KTP31" s="1688"/>
      <c r="KTQ31" s="1688"/>
      <c r="KTR31" s="1688"/>
      <c r="KTS31" s="1688"/>
      <c r="KTT31" s="1688"/>
      <c r="KTU31" s="1688"/>
      <c r="KTV31" s="1688"/>
      <c r="KTW31" s="1688"/>
      <c r="KTX31" s="1688"/>
      <c r="KTY31" s="1688"/>
      <c r="KTZ31" s="1688"/>
      <c r="KUA31" s="1688"/>
      <c r="KUB31" s="1688"/>
      <c r="KUC31" s="1688"/>
      <c r="KUD31" s="1688"/>
      <c r="KUE31" s="1688"/>
      <c r="KUF31" s="1688"/>
      <c r="KUG31" s="1688"/>
      <c r="KUH31" s="1688"/>
      <c r="KUI31" s="1688"/>
      <c r="KUJ31" s="1688"/>
      <c r="KUK31" s="1688"/>
      <c r="KUL31" s="1688"/>
      <c r="KUM31" s="1688"/>
      <c r="KUN31" s="1688"/>
      <c r="KUO31" s="1688"/>
      <c r="KUP31" s="1688"/>
      <c r="KUQ31" s="1688"/>
      <c r="KUR31" s="1688"/>
      <c r="KUS31" s="1688"/>
      <c r="KUT31" s="1688"/>
      <c r="KUU31" s="1688"/>
      <c r="KUV31" s="1688"/>
      <c r="KUW31" s="1688"/>
      <c r="KUX31" s="1688"/>
      <c r="KUY31" s="1688"/>
      <c r="KUZ31" s="1688"/>
      <c r="KVA31" s="1688"/>
      <c r="KVB31" s="1688"/>
      <c r="KVC31" s="1688"/>
      <c r="KVD31" s="1688"/>
      <c r="KVE31" s="1688"/>
      <c r="KVF31" s="1688"/>
      <c r="KVG31" s="1688"/>
      <c r="KVH31" s="1688"/>
      <c r="KVI31" s="1688"/>
      <c r="KVJ31" s="1688"/>
      <c r="KVK31" s="1688"/>
      <c r="KVL31" s="1688"/>
      <c r="KVM31" s="1688"/>
      <c r="KVN31" s="1688"/>
      <c r="KVO31" s="1688"/>
      <c r="KVP31" s="1688"/>
      <c r="KVQ31" s="1688"/>
      <c r="KVR31" s="1688"/>
      <c r="KVS31" s="1688"/>
      <c r="KVT31" s="1688"/>
      <c r="KVU31" s="1688"/>
      <c r="KVV31" s="1688"/>
      <c r="KVW31" s="1688"/>
      <c r="KVX31" s="1688"/>
      <c r="KVY31" s="1688"/>
      <c r="KVZ31" s="1688"/>
      <c r="KWA31" s="1688"/>
      <c r="KWB31" s="1688"/>
      <c r="KWC31" s="1688"/>
      <c r="KWD31" s="1688"/>
      <c r="KWE31" s="1688"/>
      <c r="KWF31" s="1688"/>
      <c r="KWG31" s="1688"/>
      <c r="KWH31" s="1688"/>
      <c r="KWI31" s="1688"/>
      <c r="KWJ31" s="1688"/>
      <c r="KWK31" s="1688"/>
      <c r="KWL31" s="1688"/>
      <c r="KWM31" s="1688"/>
      <c r="KWN31" s="1688"/>
      <c r="KWO31" s="1688"/>
      <c r="KWP31" s="1688"/>
      <c r="KWQ31" s="1688"/>
      <c r="KWR31" s="1688"/>
      <c r="KWS31" s="1688"/>
      <c r="KWT31" s="1688"/>
      <c r="KWU31" s="1688"/>
      <c r="KWV31" s="1688"/>
      <c r="KWW31" s="1688"/>
      <c r="KWX31" s="1688"/>
      <c r="KWY31" s="1688"/>
      <c r="KWZ31" s="1688"/>
      <c r="KXA31" s="1688"/>
      <c r="KXB31" s="1688"/>
      <c r="KXC31" s="1688"/>
      <c r="KXD31" s="1688"/>
      <c r="KXE31" s="1688"/>
      <c r="KXF31" s="1688"/>
      <c r="KXG31" s="1688"/>
      <c r="KXH31" s="1688"/>
      <c r="KXI31" s="1688"/>
      <c r="KXJ31" s="1688"/>
      <c r="KXK31" s="1688"/>
      <c r="KXL31" s="1688"/>
      <c r="KXM31" s="1688"/>
      <c r="KXN31" s="1688"/>
      <c r="KXO31" s="1688"/>
      <c r="KXP31" s="1688"/>
      <c r="KXQ31" s="1688"/>
      <c r="KXR31" s="1688"/>
      <c r="KXS31" s="1688"/>
      <c r="KXT31" s="1688"/>
      <c r="KXU31" s="1688"/>
      <c r="KXV31" s="1688"/>
      <c r="KXW31" s="1688"/>
      <c r="KXX31" s="1688"/>
      <c r="KXY31" s="1688"/>
      <c r="KXZ31" s="1688"/>
      <c r="KYA31" s="1688"/>
      <c r="KYB31" s="1688"/>
      <c r="KYC31" s="1688"/>
      <c r="KYD31" s="1688"/>
      <c r="KYE31" s="1688"/>
      <c r="KYF31" s="1688"/>
      <c r="KYG31" s="1688"/>
      <c r="KYH31" s="1688"/>
      <c r="KYI31" s="1688"/>
      <c r="KYJ31" s="1688"/>
      <c r="KYK31" s="1688"/>
      <c r="KYL31" s="1688"/>
      <c r="KYM31" s="1688"/>
      <c r="KYN31" s="1688"/>
      <c r="KYO31" s="1688"/>
      <c r="KYP31" s="1688"/>
      <c r="KYQ31" s="1688"/>
      <c r="KYR31" s="1688"/>
      <c r="KYS31" s="1688"/>
      <c r="KYT31" s="1688"/>
      <c r="KYU31" s="1688"/>
      <c r="KYV31" s="1688"/>
      <c r="KYW31" s="1688"/>
      <c r="KYX31" s="1688"/>
      <c r="KYY31" s="1688"/>
      <c r="KYZ31" s="1688"/>
      <c r="KZA31" s="1688"/>
      <c r="KZB31" s="1688"/>
      <c r="KZC31" s="1688"/>
      <c r="KZD31" s="1688"/>
      <c r="KZE31" s="1688"/>
      <c r="KZF31" s="1688"/>
      <c r="KZG31" s="1688"/>
      <c r="KZH31" s="1688"/>
      <c r="KZI31" s="1688"/>
      <c r="KZJ31" s="1688"/>
      <c r="KZK31" s="1688"/>
      <c r="KZL31" s="1688"/>
      <c r="KZM31" s="1688"/>
      <c r="KZN31" s="1688"/>
      <c r="KZO31" s="1688"/>
      <c r="KZP31" s="1688"/>
      <c r="KZQ31" s="1688"/>
      <c r="KZR31" s="1688"/>
      <c r="KZS31" s="1688"/>
      <c r="KZT31" s="1688"/>
      <c r="KZU31" s="1688"/>
      <c r="KZV31" s="1688"/>
      <c r="KZW31" s="1688"/>
      <c r="KZX31" s="1688"/>
      <c r="KZY31" s="1688"/>
      <c r="KZZ31" s="1688"/>
      <c r="LAA31" s="1688"/>
      <c r="LAB31" s="1688"/>
      <c r="LAC31" s="1688"/>
      <c r="LAD31" s="1688"/>
      <c r="LAE31" s="1688"/>
      <c r="LAF31" s="1688"/>
      <c r="LAG31" s="1688"/>
      <c r="LAH31" s="1688"/>
      <c r="LAI31" s="1688"/>
      <c r="LAJ31" s="1688"/>
      <c r="LAK31" s="1688"/>
      <c r="LAL31" s="1688"/>
      <c r="LAM31" s="1688"/>
      <c r="LAN31" s="1688"/>
      <c r="LAO31" s="1688"/>
      <c r="LAP31" s="1688"/>
      <c r="LAQ31" s="1688"/>
      <c r="LAR31" s="1688"/>
      <c r="LAS31" s="1688"/>
      <c r="LAT31" s="1688"/>
      <c r="LAU31" s="1688"/>
      <c r="LAV31" s="1688"/>
      <c r="LAW31" s="1688"/>
      <c r="LAX31" s="1688"/>
      <c r="LAY31" s="1688"/>
      <c r="LAZ31" s="1688"/>
      <c r="LBA31" s="1688"/>
      <c r="LBB31" s="1688"/>
      <c r="LBC31" s="1688"/>
      <c r="LBD31" s="1688"/>
      <c r="LBE31" s="1688"/>
      <c r="LBF31" s="1688"/>
      <c r="LBG31" s="1688"/>
      <c r="LBH31" s="1688"/>
      <c r="LBI31" s="1688"/>
      <c r="LBJ31" s="1688"/>
      <c r="LBK31" s="1688"/>
      <c r="LBL31" s="1688"/>
      <c r="LBM31" s="1688"/>
      <c r="LBN31" s="1688"/>
      <c r="LBO31" s="1688"/>
      <c r="LBP31" s="1688"/>
      <c r="LBQ31" s="1688"/>
      <c r="LBR31" s="1688"/>
      <c r="LBS31" s="1688"/>
      <c r="LBT31" s="1688"/>
      <c r="LBU31" s="1688"/>
      <c r="LBV31" s="1688"/>
      <c r="LBW31" s="1688"/>
      <c r="LBX31" s="1688"/>
      <c r="LBY31" s="1688"/>
      <c r="LBZ31" s="1688"/>
      <c r="LCA31" s="1688"/>
      <c r="LCB31" s="1688"/>
      <c r="LCC31" s="1688"/>
      <c r="LCD31" s="1688"/>
      <c r="LCE31" s="1688"/>
      <c r="LCF31" s="1688"/>
      <c r="LCG31" s="1688"/>
      <c r="LCH31" s="1688"/>
      <c r="LCI31" s="1688"/>
      <c r="LCJ31" s="1688"/>
      <c r="LCK31" s="1688"/>
      <c r="LCL31" s="1688"/>
      <c r="LCM31" s="1688"/>
      <c r="LCN31" s="1688"/>
      <c r="LCO31" s="1688"/>
      <c r="LCP31" s="1688"/>
      <c r="LCQ31" s="1688"/>
      <c r="LCR31" s="1688"/>
      <c r="LCS31" s="1688"/>
      <c r="LCT31" s="1688"/>
      <c r="LCU31" s="1688"/>
      <c r="LCV31" s="1688"/>
      <c r="LCW31" s="1688"/>
      <c r="LCX31" s="1688"/>
      <c r="LCY31" s="1688"/>
      <c r="LCZ31" s="1688"/>
      <c r="LDA31" s="1688"/>
      <c r="LDB31" s="1688"/>
      <c r="LDC31" s="1688"/>
      <c r="LDD31" s="1688"/>
      <c r="LDE31" s="1688"/>
      <c r="LDF31" s="1688"/>
      <c r="LDG31" s="1688"/>
      <c r="LDH31" s="1688"/>
      <c r="LDI31" s="1688"/>
      <c r="LDJ31" s="1688"/>
      <c r="LDK31" s="1688"/>
      <c r="LDL31" s="1688"/>
      <c r="LDM31" s="1688"/>
      <c r="LDN31" s="1688"/>
      <c r="LDO31" s="1688"/>
      <c r="LDP31" s="1688"/>
      <c r="LDQ31" s="1688"/>
      <c r="LDR31" s="1688"/>
      <c r="LDS31" s="1688"/>
      <c r="LDT31" s="1688"/>
      <c r="LDU31" s="1688"/>
      <c r="LDV31" s="1688"/>
      <c r="LDW31" s="1688"/>
      <c r="LDX31" s="1688"/>
      <c r="LDY31" s="1688"/>
      <c r="LDZ31" s="1688"/>
      <c r="LEA31" s="1688"/>
      <c r="LEB31" s="1688"/>
      <c r="LEC31" s="1688"/>
      <c r="LED31" s="1688"/>
      <c r="LEE31" s="1688"/>
      <c r="LEF31" s="1688"/>
      <c r="LEG31" s="1688"/>
      <c r="LEH31" s="1688"/>
      <c r="LEI31" s="1688"/>
      <c r="LEJ31" s="1688"/>
      <c r="LEK31" s="1688"/>
      <c r="LEL31" s="1688"/>
      <c r="LEM31" s="1688"/>
      <c r="LEN31" s="1688"/>
      <c r="LEO31" s="1688"/>
      <c r="LEP31" s="1688"/>
      <c r="LEQ31" s="1688"/>
      <c r="LER31" s="1688"/>
      <c r="LES31" s="1688"/>
      <c r="LET31" s="1688"/>
      <c r="LEU31" s="1688"/>
      <c r="LEV31" s="1688"/>
      <c r="LEW31" s="1688"/>
      <c r="LEX31" s="1688"/>
      <c r="LEY31" s="1688"/>
      <c r="LEZ31" s="1688"/>
      <c r="LFA31" s="1688"/>
      <c r="LFB31" s="1688"/>
      <c r="LFC31" s="1688"/>
      <c r="LFD31" s="1688"/>
      <c r="LFE31" s="1688"/>
      <c r="LFF31" s="1688"/>
      <c r="LFG31" s="1688"/>
      <c r="LFH31" s="1688"/>
      <c r="LFI31" s="1688"/>
      <c r="LFJ31" s="1688"/>
      <c r="LFK31" s="1688"/>
      <c r="LFL31" s="1688"/>
      <c r="LFM31" s="1688"/>
      <c r="LFN31" s="1688"/>
      <c r="LFO31" s="1688"/>
      <c r="LFP31" s="1688"/>
      <c r="LFQ31" s="1688"/>
      <c r="LFR31" s="1688"/>
      <c r="LFS31" s="1688"/>
      <c r="LFT31" s="1688"/>
      <c r="LFU31" s="1688"/>
      <c r="LFV31" s="1688"/>
      <c r="LFW31" s="1688"/>
      <c r="LFX31" s="1688"/>
      <c r="LFY31" s="1688"/>
      <c r="LFZ31" s="1688"/>
      <c r="LGA31" s="1688"/>
      <c r="LGB31" s="1688"/>
      <c r="LGC31" s="1688"/>
      <c r="LGD31" s="1688"/>
      <c r="LGE31" s="1688"/>
      <c r="LGF31" s="1688"/>
      <c r="LGG31" s="1688"/>
      <c r="LGH31" s="1688"/>
      <c r="LGI31" s="1688"/>
      <c r="LGJ31" s="1688"/>
      <c r="LGK31" s="1688"/>
      <c r="LGL31" s="1688"/>
      <c r="LGM31" s="1688"/>
      <c r="LGN31" s="1688"/>
      <c r="LGO31" s="1688"/>
      <c r="LGP31" s="1688"/>
      <c r="LGQ31" s="1688"/>
      <c r="LGR31" s="1688"/>
      <c r="LGS31" s="1688"/>
      <c r="LGT31" s="1688"/>
      <c r="LGU31" s="1688"/>
      <c r="LGV31" s="1688"/>
      <c r="LGW31" s="1688"/>
      <c r="LGX31" s="1688"/>
      <c r="LGY31" s="1688"/>
      <c r="LGZ31" s="1688"/>
      <c r="LHA31" s="1688"/>
      <c r="LHB31" s="1688"/>
      <c r="LHC31" s="1688"/>
      <c r="LHD31" s="1688"/>
      <c r="LHE31" s="1688"/>
      <c r="LHF31" s="1688"/>
      <c r="LHG31" s="1688"/>
      <c r="LHH31" s="1688"/>
      <c r="LHI31" s="1688"/>
      <c r="LHJ31" s="1688"/>
      <c r="LHK31" s="1688"/>
      <c r="LHL31" s="1688"/>
      <c r="LHM31" s="1688"/>
      <c r="LHN31" s="1688"/>
      <c r="LHO31" s="1688"/>
      <c r="LHP31" s="1688"/>
      <c r="LHQ31" s="1688"/>
      <c r="LHR31" s="1688"/>
      <c r="LHS31" s="1688"/>
      <c r="LHT31" s="1688"/>
      <c r="LHU31" s="1688"/>
      <c r="LHV31" s="1688"/>
      <c r="LHW31" s="1688"/>
      <c r="LHX31" s="1688"/>
      <c r="LHY31" s="1688"/>
      <c r="LHZ31" s="1688"/>
      <c r="LIA31" s="1688"/>
      <c r="LIB31" s="1688"/>
      <c r="LIC31" s="1688"/>
      <c r="LID31" s="1688"/>
      <c r="LIE31" s="1688"/>
      <c r="LIF31" s="1688"/>
      <c r="LIG31" s="1688"/>
      <c r="LIH31" s="1688"/>
      <c r="LII31" s="1688"/>
      <c r="LIJ31" s="1688"/>
      <c r="LIK31" s="1688"/>
      <c r="LIL31" s="1688"/>
      <c r="LIM31" s="1688"/>
      <c r="LIN31" s="1688"/>
      <c r="LIO31" s="1688"/>
      <c r="LIP31" s="1688"/>
      <c r="LIQ31" s="1688"/>
      <c r="LIR31" s="1688"/>
      <c r="LIS31" s="1688"/>
      <c r="LIT31" s="1688"/>
      <c r="LIU31" s="1688"/>
      <c r="LIV31" s="1688"/>
      <c r="LIW31" s="1688"/>
      <c r="LIX31" s="1688"/>
      <c r="LIY31" s="1688"/>
      <c r="LIZ31" s="1688"/>
      <c r="LJA31" s="1688"/>
      <c r="LJB31" s="1688"/>
      <c r="LJC31" s="1688"/>
      <c r="LJD31" s="1688"/>
      <c r="LJE31" s="1688"/>
      <c r="LJF31" s="1688"/>
      <c r="LJG31" s="1688"/>
      <c r="LJH31" s="1688"/>
      <c r="LJI31" s="1688"/>
      <c r="LJJ31" s="1688"/>
      <c r="LJK31" s="1688"/>
      <c r="LJL31" s="1688"/>
      <c r="LJM31" s="1688"/>
      <c r="LJN31" s="1688"/>
      <c r="LJO31" s="1688"/>
      <c r="LJP31" s="1688"/>
      <c r="LJQ31" s="1688"/>
      <c r="LJR31" s="1688"/>
      <c r="LJS31" s="1688"/>
      <c r="LJT31" s="1688"/>
      <c r="LJU31" s="1688"/>
      <c r="LJV31" s="1688"/>
      <c r="LJW31" s="1688"/>
      <c r="LJX31" s="1688"/>
      <c r="LJY31" s="1688"/>
      <c r="LJZ31" s="1688"/>
      <c r="LKA31" s="1688"/>
      <c r="LKB31" s="1688"/>
      <c r="LKC31" s="1688"/>
      <c r="LKD31" s="1688"/>
      <c r="LKE31" s="1688"/>
      <c r="LKF31" s="1688"/>
      <c r="LKG31" s="1688"/>
      <c r="LKH31" s="1688"/>
      <c r="LKI31" s="1688"/>
      <c r="LKJ31" s="1688"/>
      <c r="LKK31" s="1688"/>
      <c r="LKL31" s="1688"/>
      <c r="LKM31" s="1688"/>
      <c r="LKN31" s="1688"/>
      <c r="LKO31" s="1688"/>
      <c r="LKP31" s="1688"/>
      <c r="LKQ31" s="1688"/>
      <c r="LKR31" s="1688"/>
      <c r="LKS31" s="1688"/>
      <c r="LKT31" s="1688"/>
      <c r="LKU31" s="1688"/>
      <c r="LKV31" s="1688"/>
      <c r="LKW31" s="1688"/>
      <c r="LKX31" s="1688"/>
      <c r="LKY31" s="1688"/>
      <c r="LKZ31" s="1688"/>
      <c r="LLA31" s="1688"/>
      <c r="LLB31" s="1688"/>
      <c r="LLC31" s="1688"/>
      <c r="LLD31" s="1688"/>
      <c r="LLE31" s="1688"/>
      <c r="LLF31" s="1688"/>
      <c r="LLG31" s="1688"/>
      <c r="LLH31" s="1688"/>
      <c r="LLI31" s="1688"/>
      <c r="LLJ31" s="1688"/>
      <c r="LLK31" s="1688"/>
      <c r="LLL31" s="1688"/>
      <c r="LLM31" s="1688"/>
      <c r="LLN31" s="1688"/>
      <c r="LLO31" s="1688"/>
      <c r="LLP31" s="1688"/>
      <c r="LLQ31" s="1688"/>
      <c r="LLR31" s="1688"/>
      <c r="LLS31" s="1688"/>
      <c r="LLT31" s="1688"/>
      <c r="LLU31" s="1688"/>
      <c r="LLV31" s="1688"/>
      <c r="LLW31" s="1688"/>
      <c r="LLX31" s="1688"/>
      <c r="LLY31" s="1688"/>
      <c r="LLZ31" s="1688"/>
      <c r="LMA31" s="1688"/>
      <c r="LMB31" s="1688"/>
      <c r="LMC31" s="1688"/>
      <c r="LMD31" s="1688"/>
      <c r="LME31" s="1688"/>
      <c r="LMF31" s="1688"/>
      <c r="LMG31" s="1688"/>
      <c r="LMH31" s="1688"/>
      <c r="LMI31" s="1688"/>
      <c r="LMJ31" s="1688"/>
      <c r="LMK31" s="1688"/>
      <c r="LML31" s="1688"/>
      <c r="LMM31" s="1688"/>
      <c r="LMN31" s="1688"/>
      <c r="LMO31" s="1688"/>
      <c r="LMP31" s="1688"/>
      <c r="LMQ31" s="1688"/>
      <c r="LMR31" s="1688"/>
      <c r="LMS31" s="1688"/>
      <c r="LMT31" s="1688"/>
      <c r="LMU31" s="1688"/>
      <c r="LMV31" s="1688"/>
      <c r="LMW31" s="1688"/>
      <c r="LMX31" s="1688"/>
      <c r="LMY31" s="1688"/>
      <c r="LMZ31" s="1688"/>
      <c r="LNA31" s="1688"/>
      <c r="LNB31" s="1688"/>
      <c r="LNC31" s="1688"/>
      <c r="LND31" s="1688"/>
      <c r="LNE31" s="1688"/>
      <c r="LNF31" s="1688"/>
      <c r="LNG31" s="1688"/>
      <c r="LNH31" s="1688"/>
      <c r="LNI31" s="1688"/>
      <c r="LNJ31" s="1688"/>
      <c r="LNK31" s="1688"/>
      <c r="LNL31" s="1688"/>
      <c r="LNM31" s="1688"/>
      <c r="LNN31" s="1688"/>
      <c r="LNO31" s="1688"/>
      <c r="LNP31" s="1688"/>
      <c r="LNQ31" s="1688"/>
      <c r="LNR31" s="1688"/>
      <c r="LNS31" s="1688"/>
      <c r="LNT31" s="1688"/>
      <c r="LNU31" s="1688"/>
      <c r="LNV31" s="1688"/>
      <c r="LNW31" s="1688"/>
      <c r="LNX31" s="1688"/>
      <c r="LNY31" s="1688"/>
      <c r="LNZ31" s="1688"/>
      <c r="LOA31" s="1688"/>
      <c r="LOB31" s="1688"/>
      <c r="LOC31" s="1688"/>
      <c r="LOD31" s="1688"/>
      <c r="LOE31" s="1688"/>
      <c r="LOF31" s="1688"/>
      <c r="LOG31" s="1688"/>
      <c r="LOH31" s="1688"/>
      <c r="LOI31" s="1688"/>
      <c r="LOJ31" s="1688"/>
      <c r="LOK31" s="1688"/>
      <c r="LOL31" s="1688"/>
      <c r="LOM31" s="1688"/>
      <c r="LON31" s="1688"/>
      <c r="LOO31" s="1688"/>
      <c r="LOP31" s="1688"/>
      <c r="LOQ31" s="1688"/>
      <c r="LOR31" s="1688"/>
      <c r="LOS31" s="1688"/>
      <c r="LOT31" s="1688"/>
      <c r="LOU31" s="1688"/>
      <c r="LOV31" s="1688"/>
      <c r="LOW31" s="1688"/>
      <c r="LOX31" s="1688"/>
      <c r="LOY31" s="1688"/>
      <c r="LOZ31" s="1688"/>
      <c r="LPA31" s="1688"/>
      <c r="LPB31" s="1688"/>
      <c r="LPC31" s="1688"/>
      <c r="LPD31" s="1688"/>
      <c r="LPE31" s="1688"/>
      <c r="LPF31" s="1688"/>
      <c r="LPG31" s="1688"/>
      <c r="LPH31" s="1688"/>
      <c r="LPI31" s="1688"/>
      <c r="LPJ31" s="1688"/>
      <c r="LPK31" s="1688"/>
      <c r="LPL31" s="1688"/>
      <c r="LPM31" s="1688"/>
      <c r="LPN31" s="1688"/>
      <c r="LPO31" s="1688"/>
      <c r="LPP31" s="1688"/>
      <c r="LPQ31" s="1688"/>
      <c r="LPR31" s="1688"/>
      <c r="LPS31" s="1688"/>
      <c r="LPT31" s="1688"/>
      <c r="LPU31" s="1688"/>
      <c r="LPV31" s="1688"/>
      <c r="LPW31" s="1688"/>
      <c r="LPX31" s="1688"/>
      <c r="LPY31" s="1688"/>
      <c r="LPZ31" s="1688"/>
      <c r="LQA31" s="1688"/>
      <c r="LQB31" s="1688"/>
      <c r="LQC31" s="1688"/>
      <c r="LQD31" s="1688"/>
      <c r="LQE31" s="1688"/>
      <c r="LQF31" s="1688"/>
      <c r="LQG31" s="1688"/>
      <c r="LQH31" s="1688"/>
      <c r="LQI31" s="1688"/>
      <c r="LQJ31" s="1688"/>
      <c r="LQK31" s="1688"/>
      <c r="LQL31" s="1688"/>
      <c r="LQM31" s="1688"/>
      <c r="LQN31" s="1688"/>
      <c r="LQO31" s="1688"/>
      <c r="LQP31" s="1688"/>
      <c r="LQQ31" s="1688"/>
      <c r="LQR31" s="1688"/>
      <c r="LQS31" s="1688"/>
      <c r="LQT31" s="1688"/>
      <c r="LQU31" s="1688"/>
      <c r="LQV31" s="1688"/>
      <c r="LQW31" s="1688"/>
      <c r="LQX31" s="1688"/>
      <c r="LQY31" s="1688"/>
      <c r="LQZ31" s="1688"/>
      <c r="LRA31" s="1688"/>
      <c r="LRB31" s="1688"/>
      <c r="LRC31" s="1688"/>
      <c r="LRD31" s="1688"/>
      <c r="LRE31" s="1688"/>
      <c r="LRF31" s="1688"/>
      <c r="LRG31" s="1688"/>
      <c r="LRH31" s="1688"/>
      <c r="LRI31" s="1688"/>
      <c r="LRJ31" s="1688"/>
      <c r="LRK31" s="1688"/>
      <c r="LRL31" s="1688"/>
      <c r="LRM31" s="1688"/>
      <c r="LRN31" s="1688"/>
      <c r="LRO31" s="1688"/>
      <c r="LRP31" s="1688"/>
      <c r="LRQ31" s="1688"/>
      <c r="LRR31" s="1688"/>
      <c r="LRS31" s="1688"/>
      <c r="LRT31" s="1688"/>
      <c r="LRU31" s="1688"/>
      <c r="LRV31" s="1688"/>
      <c r="LRW31" s="1688"/>
      <c r="LRX31" s="1688"/>
      <c r="LRY31" s="1688"/>
      <c r="LRZ31" s="1688"/>
      <c r="LSA31" s="1688"/>
      <c r="LSB31" s="1688"/>
      <c r="LSC31" s="1688"/>
      <c r="LSD31" s="1688"/>
      <c r="LSE31" s="1688"/>
      <c r="LSF31" s="1688"/>
      <c r="LSG31" s="1688"/>
      <c r="LSH31" s="1688"/>
      <c r="LSI31" s="1688"/>
      <c r="LSJ31" s="1688"/>
      <c r="LSK31" s="1688"/>
      <c r="LSL31" s="1688"/>
      <c r="LSM31" s="1688"/>
      <c r="LSN31" s="1688"/>
      <c r="LSO31" s="1688"/>
      <c r="LSP31" s="1688"/>
      <c r="LSQ31" s="1688"/>
      <c r="LSR31" s="1688"/>
      <c r="LSS31" s="1688"/>
      <c r="LST31" s="1688"/>
      <c r="LSU31" s="1688"/>
      <c r="LSV31" s="1688"/>
      <c r="LSW31" s="1688"/>
      <c r="LSX31" s="1688"/>
      <c r="LSY31" s="1688"/>
      <c r="LSZ31" s="1688"/>
      <c r="LTA31" s="1688"/>
      <c r="LTB31" s="1688"/>
      <c r="LTC31" s="1688"/>
      <c r="LTD31" s="1688"/>
      <c r="LTE31" s="1688"/>
      <c r="LTF31" s="1688"/>
      <c r="LTG31" s="1688"/>
      <c r="LTH31" s="1688"/>
      <c r="LTI31" s="1688"/>
      <c r="LTJ31" s="1688"/>
      <c r="LTK31" s="1688"/>
      <c r="LTL31" s="1688"/>
      <c r="LTM31" s="1688"/>
      <c r="LTN31" s="1688"/>
      <c r="LTO31" s="1688"/>
      <c r="LTP31" s="1688"/>
      <c r="LTQ31" s="1688"/>
      <c r="LTR31" s="1688"/>
      <c r="LTS31" s="1688"/>
      <c r="LTT31" s="1688"/>
      <c r="LTU31" s="1688"/>
      <c r="LTV31" s="1688"/>
      <c r="LTW31" s="1688"/>
      <c r="LTX31" s="1688"/>
      <c r="LTY31" s="1688"/>
      <c r="LTZ31" s="1688"/>
      <c r="LUA31" s="1688"/>
      <c r="LUB31" s="1688"/>
      <c r="LUC31" s="1688"/>
      <c r="LUD31" s="1688"/>
      <c r="LUE31" s="1688"/>
      <c r="LUF31" s="1688"/>
      <c r="LUG31" s="1688"/>
      <c r="LUH31" s="1688"/>
      <c r="LUI31" s="1688"/>
      <c r="LUJ31" s="1688"/>
      <c r="LUK31" s="1688"/>
      <c r="LUL31" s="1688"/>
      <c r="LUM31" s="1688"/>
      <c r="LUN31" s="1688"/>
      <c r="LUO31" s="1688"/>
      <c r="LUP31" s="1688"/>
      <c r="LUQ31" s="1688"/>
      <c r="LUR31" s="1688"/>
      <c r="LUS31" s="1688"/>
      <c r="LUT31" s="1688"/>
      <c r="LUU31" s="1688"/>
      <c r="LUV31" s="1688"/>
      <c r="LUW31" s="1688"/>
      <c r="LUX31" s="1688"/>
      <c r="LUY31" s="1688"/>
      <c r="LUZ31" s="1688"/>
      <c r="LVA31" s="1688"/>
      <c r="LVB31" s="1688"/>
      <c r="LVC31" s="1688"/>
      <c r="LVD31" s="1688"/>
      <c r="LVE31" s="1688"/>
      <c r="LVF31" s="1688"/>
      <c r="LVG31" s="1688"/>
      <c r="LVH31" s="1688"/>
      <c r="LVI31" s="1688"/>
      <c r="LVJ31" s="1688"/>
      <c r="LVK31" s="1688"/>
      <c r="LVL31" s="1688"/>
      <c r="LVM31" s="1688"/>
      <c r="LVN31" s="1688"/>
      <c r="LVO31" s="1688"/>
      <c r="LVP31" s="1688"/>
      <c r="LVQ31" s="1688"/>
      <c r="LVR31" s="1688"/>
      <c r="LVS31" s="1688"/>
      <c r="LVT31" s="1688"/>
      <c r="LVU31" s="1688"/>
      <c r="LVV31" s="1688"/>
      <c r="LVW31" s="1688"/>
      <c r="LVX31" s="1688"/>
      <c r="LVY31" s="1688"/>
      <c r="LVZ31" s="1688"/>
      <c r="LWA31" s="1688"/>
      <c r="LWB31" s="1688"/>
      <c r="LWC31" s="1688"/>
      <c r="LWD31" s="1688"/>
      <c r="LWE31" s="1688"/>
      <c r="LWF31" s="1688"/>
      <c r="LWG31" s="1688"/>
      <c r="LWH31" s="1688"/>
      <c r="LWI31" s="1688"/>
      <c r="LWJ31" s="1688"/>
      <c r="LWK31" s="1688"/>
      <c r="LWL31" s="1688"/>
      <c r="LWM31" s="1688"/>
      <c r="LWN31" s="1688"/>
      <c r="LWO31" s="1688"/>
      <c r="LWP31" s="1688"/>
      <c r="LWQ31" s="1688"/>
      <c r="LWR31" s="1688"/>
      <c r="LWS31" s="1688"/>
      <c r="LWT31" s="1688"/>
      <c r="LWU31" s="1688"/>
      <c r="LWV31" s="1688"/>
      <c r="LWW31" s="1688"/>
      <c r="LWX31" s="1688"/>
      <c r="LWY31" s="1688"/>
      <c r="LWZ31" s="1688"/>
      <c r="LXA31" s="1688"/>
      <c r="LXB31" s="1688"/>
      <c r="LXC31" s="1688"/>
      <c r="LXD31" s="1688"/>
      <c r="LXE31" s="1688"/>
      <c r="LXF31" s="1688"/>
      <c r="LXG31" s="1688"/>
      <c r="LXH31" s="1688"/>
      <c r="LXI31" s="1688"/>
      <c r="LXJ31" s="1688"/>
      <c r="LXK31" s="1688"/>
      <c r="LXL31" s="1688"/>
      <c r="LXM31" s="1688"/>
      <c r="LXN31" s="1688"/>
      <c r="LXO31" s="1688"/>
      <c r="LXP31" s="1688"/>
      <c r="LXQ31" s="1688"/>
      <c r="LXR31" s="1688"/>
      <c r="LXS31" s="1688"/>
      <c r="LXT31" s="1688"/>
      <c r="LXU31" s="1688"/>
      <c r="LXV31" s="1688"/>
      <c r="LXW31" s="1688"/>
      <c r="LXX31" s="1688"/>
      <c r="LXY31" s="1688"/>
      <c r="LXZ31" s="1688"/>
      <c r="LYA31" s="1688"/>
      <c r="LYB31" s="1688"/>
      <c r="LYC31" s="1688"/>
      <c r="LYD31" s="1688"/>
      <c r="LYE31" s="1688"/>
      <c r="LYF31" s="1688"/>
      <c r="LYG31" s="1688"/>
      <c r="LYH31" s="1688"/>
      <c r="LYI31" s="1688"/>
      <c r="LYJ31" s="1688"/>
      <c r="LYK31" s="1688"/>
      <c r="LYL31" s="1688"/>
      <c r="LYM31" s="1688"/>
      <c r="LYN31" s="1688"/>
      <c r="LYO31" s="1688"/>
      <c r="LYP31" s="1688"/>
      <c r="LYQ31" s="1688"/>
      <c r="LYR31" s="1688"/>
      <c r="LYS31" s="1688"/>
      <c r="LYT31" s="1688"/>
      <c r="LYU31" s="1688"/>
      <c r="LYV31" s="1688"/>
      <c r="LYW31" s="1688"/>
      <c r="LYX31" s="1688"/>
      <c r="LYY31" s="1688"/>
      <c r="LYZ31" s="1688"/>
      <c r="LZA31" s="1688"/>
      <c r="LZB31" s="1688"/>
      <c r="LZC31" s="1688"/>
      <c r="LZD31" s="1688"/>
      <c r="LZE31" s="1688"/>
      <c r="LZF31" s="1688"/>
      <c r="LZG31" s="1688"/>
      <c r="LZH31" s="1688"/>
      <c r="LZI31" s="1688"/>
      <c r="LZJ31" s="1688"/>
      <c r="LZK31" s="1688"/>
      <c r="LZL31" s="1688"/>
      <c r="LZM31" s="1688"/>
      <c r="LZN31" s="1688"/>
      <c r="LZO31" s="1688"/>
      <c r="LZP31" s="1688"/>
      <c r="LZQ31" s="1688"/>
      <c r="LZR31" s="1688"/>
      <c r="LZS31" s="1688"/>
      <c r="LZT31" s="1688"/>
      <c r="LZU31" s="1688"/>
      <c r="LZV31" s="1688"/>
      <c r="LZW31" s="1688"/>
      <c r="LZX31" s="1688"/>
      <c r="LZY31" s="1688"/>
      <c r="LZZ31" s="1688"/>
      <c r="MAA31" s="1688"/>
      <c r="MAB31" s="1688"/>
      <c r="MAC31" s="1688"/>
      <c r="MAD31" s="1688"/>
      <c r="MAE31" s="1688"/>
      <c r="MAF31" s="1688"/>
      <c r="MAG31" s="1688"/>
      <c r="MAH31" s="1688"/>
      <c r="MAI31" s="1688"/>
      <c r="MAJ31" s="1688"/>
      <c r="MAK31" s="1688"/>
      <c r="MAL31" s="1688"/>
      <c r="MAM31" s="1688"/>
      <c r="MAN31" s="1688"/>
      <c r="MAO31" s="1688"/>
      <c r="MAP31" s="1688"/>
      <c r="MAQ31" s="1688"/>
      <c r="MAR31" s="1688"/>
      <c r="MAS31" s="1688"/>
      <c r="MAT31" s="1688"/>
      <c r="MAU31" s="1688"/>
      <c r="MAV31" s="1688"/>
      <c r="MAW31" s="1688"/>
      <c r="MAX31" s="1688"/>
      <c r="MAY31" s="1688"/>
      <c r="MAZ31" s="1688"/>
      <c r="MBA31" s="1688"/>
      <c r="MBB31" s="1688"/>
      <c r="MBC31" s="1688"/>
      <c r="MBD31" s="1688"/>
      <c r="MBE31" s="1688"/>
      <c r="MBF31" s="1688"/>
      <c r="MBG31" s="1688"/>
      <c r="MBH31" s="1688"/>
      <c r="MBI31" s="1688"/>
      <c r="MBJ31" s="1688"/>
      <c r="MBK31" s="1688"/>
      <c r="MBL31" s="1688"/>
      <c r="MBM31" s="1688"/>
      <c r="MBN31" s="1688"/>
      <c r="MBO31" s="1688"/>
      <c r="MBP31" s="1688"/>
      <c r="MBQ31" s="1688"/>
      <c r="MBR31" s="1688"/>
      <c r="MBS31" s="1688"/>
      <c r="MBT31" s="1688"/>
      <c r="MBU31" s="1688"/>
      <c r="MBV31" s="1688"/>
      <c r="MBW31" s="1688"/>
      <c r="MBX31" s="1688"/>
      <c r="MBY31" s="1688"/>
      <c r="MBZ31" s="1688"/>
      <c r="MCA31" s="1688"/>
      <c r="MCB31" s="1688"/>
      <c r="MCC31" s="1688"/>
      <c r="MCD31" s="1688"/>
      <c r="MCE31" s="1688"/>
      <c r="MCF31" s="1688"/>
      <c r="MCG31" s="1688"/>
      <c r="MCH31" s="1688"/>
      <c r="MCI31" s="1688"/>
      <c r="MCJ31" s="1688"/>
      <c r="MCK31" s="1688"/>
      <c r="MCL31" s="1688"/>
      <c r="MCM31" s="1688"/>
      <c r="MCN31" s="1688"/>
      <c r="MCO31" s="1688"/>
      <c r="MCP31" s="1688"/>
      <c r="MCQ31" s="1688"/>
      <c r="MCR31" s="1688"/>
      <c r="MCS31" s="1688"/>
      <c r="MCT31" s="1688"/>
      <c r="MCU31" s="1688"/>
      <c r="MCV31" s="1688"/>
      <c r="MCW31" s="1688"/>
      <c r="MCX31" s="1688"/>
      <c r="MCY31" s="1688"/>
      <c r="MCZ31" s="1688"/>
      <c r="MDA31" s="1688"/>
      <c r="MDB31" s="1688"/>
      <c r="MDC31" s="1688"/>
      <c r="MDD31" s="1688"/>
      <c r="MDE31" s="1688"/>
      <c r="MDF31" s="1688"/>
      <c r="MDG31" s="1688"/>
      <c r="MDH31" s="1688"/>
      <c r="MDI31" s="1688"/>
      <c r="MDJ31" s="1688"/>
      <c r="MDK31" s="1688"/>
      <c r="MDL31" s="1688"/>
      <c r="MDM31" s="1688"/>
      <c r="MDN31" s="1688"/>
      <c r="MDO31" s="1688"/>
      <c r="MDP31" s="1688"/>
      <c r="MDQ31" s="1688"/>
      <c r="MDR31" s="1688"/>
      <c r="MDS31" s="1688"/>
      <c r="MDT31" s="1688"/>
      <c r="MDU31" s="1688"/>
      <c r="MDV31" s="1688"/>
      <c r="MDW31" s="1688"/>
      <c r="MDX31" s="1688"/>
      <c r="MDY31" s="1688"/>
      <c r="MDZ31" s="1688"/>
      <c r="MEA31" s="1688"/>
      <c r="MEB31" s="1688"/>
      <c r="MEC31" s="1688"/>
      <c r="MED31" s="1688"/>
      <c r="MEE31" s="1688"/>
      <c r="MEF31" s="1688"/>
      <c r="MEG31" s="1688"/>
      <c r="MEH31" s="1688"/>
      <c r="MEI31" s="1688"/>
      <c r="MEJ31" s="1688"/>
      <c r="MEK31" s="1688"/>
      <c r="MEL31" s="1688"/>
      <c r="MEM31" s="1688"/>
      <c r="MEN31" s="1688"/>
      <c r="MEO31" s="1688"/>
      <c r="MEP31" s="1688"/>
      <c r="MEQ31" s="1688"/>
      <c r="MER31" s="1688"/>
      <c r="MES31" s="1688"/>
      <c r="MET31" s="1688"/>
      <c r="MEU31" s="1688"/>
      <c r="MEV31" s="1688"/>
      <c r="MEW31" s="1688"/>
      <c r="MEX31" s="1688"/>
      <c r="MEY31" s="1688"/>
      <c r="MEZ31" s="1688"/>
      <c r="MFA31" s="1688"/>
      <c r="MFB31" s="1688"/>
      <c r="MFC31" s="1688"/>
      <c r="MFD31" s="1688"/>
      <c r="MFE31" s="1688"/>
      <c r="MFF31" s="1688"/>
      <c r="MFG31" s="1688"/>
      <c r="MFH31" s="1688"/>
      <c r="MFI31" s="1688"/>
      <c r="MFJ31" s="1688"/>
      <c r="MFK31" s="1688"/>
      <c r="MFL31" s="1688"/>
      <c r="MFM31" s="1688"/>
      <c r="MFN31" s="1688"/>
      <c r="MFO31" s="1688"/>
      <c r="MFP31" s="1688"/>
      <c r="MFQ31" s="1688"/>
      <c r="MFR31" s="1688"/>
      <c r="MFS31" s="1688"/>
      <c r="MFT31" s="1688"/>
      <c r="MFU31" s="1688"/>
      <c r="MFV31" s="1688"/>
      <c r="MFW31" s="1688"/>
      <c r="MFX31" s="1688"/>
      <c r="MFY31" s="1688"/>
      <c r="MFZ31" s="1688"/>
      <c r="MGA31" s="1688"/>
      <c r="MGB31" s="1688"/>
      <c r="MGC31" s="1688"/>
      <c r="MGD31" s="1688"/>
      <c r="MGE31" s="1688"/>
      <c r="MGF31" s="1688"/>
      <c r="MGG31" s="1688"/>
      <c r="MGH31" s="1688"/>
      <c r="MGI31" s="1688"/>
      <c r="MGJ31" s="1688"/>
      <c r="MGK31" s="1688"/>
      <c r="MGL31" s="1688"/>
      <c r="MGM31" s="1688"/>
      <c r="MGN31" s="1688"/>
      <c r="MGO31" s="1688"/>
      <c r="MGP31" s="1688"/>
      <c r="MGQ31" s="1688"/>
      <c r="MGR31" s="1688"/>
      <c r="MGS31" s="1688"/>
      <c r="MGT31" s="1688"/>
      <c r="MGU31" s="1688"/>
      <c r="MGV31" s="1688"/>
      <c r="MGW31" s="1688"/>
      <c r="MGX31" s="1688"/>
      <c r="MGY31" s="1688"/>
      <c r="MGZ31" s="1688"/>
      <c r="MHA31" s="1688"/>
      <c r="MHB31" s="1688"/>
      <c r="MHC31" s="1688"/>
      <c r="MHD31" s="1688"/>
      <c r="MHE31" s="1688"/>
      <c r="MHF31" s="1688"/>
      <c r="MHG31" s="1688"/>
      <c r="MHH31" s="1688"/>
      <c r="MHI31" s="1688"/>
      <c r="MHJ31" s="1688"/>
      <c r="MHK31" s="1688"/>
      <c r="MHL31" s="1688"/>
      <c r="MHM31" s="1688"/>
      <c r="MHN31" s="1688"/>
      <c r="MHO31" s="1688"/>
      <c r="MHP31" s="1688"/>
      <c r="MHQ31" s="1688"/>
      <c r="MHR31" s="1688"/>
      <c r="MHS31" s="1688"/>
      <c r="MHT31" s="1688"/>
      <c r="MHU31" s="1688"/>
      <c r="MHV31" s="1688"/>
      <c r="MHW31" s="1688"/>
      <c r="MHX31" s="1688"/>
      <c r="MHY31" s="1688"/>
      <c r="MHZ31" s="1688"/>
      <c r="MIA31" s="1688"/>
      <c r="MIB31" s="1688"/>
      <c r="MIC31" s="1688"/>
      <c r="MID31" s="1688"/>
      <c r="MIE31" s="1688"/>
      <c r="MIF31" s="1688"/>
      <c r="MIG31" s="1688"/>
      <c r="MIH31" s="1688"/>
      <c r="MII31" s="1688"/>
      <c r="MIJ31" s="1688"/>
      <c r="MIK31" s="1688"/>
      <c r="MIL31" s="1688"/>
      <c r="MIM31" s="1688"/>
      <c r="MIN31" s="1688"/>
      <c r="MIO31" s="1688"/>
      <c r="MIP31" s="1688"/>
      <c r="MIQ31" s="1688"/>
      <c r="MIR31" s="1688"/>
      <c r="MIS31" s="1688"/>
      <c r="MIT31" s="1688"/>
      <c r="MIU31" s="1688"/>
      <c r="MIV31" s="1688"/>
      <c r="MIW31" s="1688"/>
      <c r="MIX31" s="1688"/>
      <c r="MIY31" s="1688"/>
      <c r="MIZ31" s="1688"/>
      <c r="MJA31" s="1688"/>
      <c r="MJB31" s="1688"/>
      <c r="MJC31" s="1688"/>
      <c r="MJD31" s="1688"/>
      <c r="MJE31" s="1688"/>
      <c r="MJF31" s="1688"/>
      <c r="MJG31" s="1688"/>
      <c r="MJH31" s="1688"/>
      <c r="MJI31" s="1688"/>
      <c r="MJJ31" s="1688"/>
      <c r="MJK31" s="1688"/>
      <c r="MJL31" s="1688"/>
      <c r="MJM31" s="1688"/>
      <c r="MJN31" s="1688"/>
      <c r="MJO31" s="1688"/>
      <c r="MJP31" s="1688"/>
      <c r="MJQ31" s="1688"/>
      <c r="MJR31" s="1688"/>
      <c r="MJS31" s="1688"/>
      <c r="MJT31" s="1688"/>
      <c r="MJU31" s="1688"/>
      <c r="MJV31" s="1688"/>
      <c r="MJW31" s="1688"/>
      <c r="MJX31" s="1688"/>
      <c r="MJY31" s="1688"/>
      <c r="MJZ31" s="1688"/>
      <c r="MKA31" s="1688"/>
      <c r="MKB31" s="1688"/>
      <c r="MKC31" s="1688"/>
      <c r="MKD31" s="1688"/>
      <c r="MKE31" s="1688"/>
      <c r="MKF31" s="1688"/>
      <c r="MKG31" s="1688"/>
      <c r="MKH31" s="1688"/>
      <c r="MKI31" s="1688"/>
      <c r="MKJ31" s="1688"/>
      <c r="MKK31" s="1688"/>
      <c r="MKL31" s="1688"/>
      <c r="MKM31" s="1688"/>
      <c r="MKN31" s="1688"/>
      <c r="MKO31" s="1688"/>
      <c r="MKP31" s="1688"/>
      <c r="MKQ31" s="1688"/>
      <c r="MKR31" s="1688"/>
      <c r="MKS31" s="1688"/>
      <c r="MKT31" s="1688"/>
      <c r="MKU31" s="1688"/>
      <c r="MKV31" s="1688"/>
      <c r="MKW31" s="1688"/>
      <c r="MKX31" s="1688"/>
      <c r="MKY31" s="1688"/>
      <c r="MKZ31" s="1688"/>
      <c r="MLA31" s="1688"/>
      <c r="MLB31" s="1688"/>
      <c r="MLC31" s="1688"/>
      <c r="MLD31" s="1688"/>
      <c r="MLE31" s="1688"/>
      <c r="MLF31" s="1688"/>
      <c r="MLG31" s="1688"/>
      <c r="MLH31" s="1688"/>
      <c r="MLI31" s="1688"/>
      <c r="MLJ31" s="1688"/>
      <c r="MLK31" s="1688"/>
      <c r="MLL31" s="1688"/>
      <c r="MLM31" s="1688"/>
      <c r="MLN31" s="1688"/>
      <c r="MLO31" s="1688"/>
      <c r="MLP31" s="1688"/>
      <c r="MLQ31" s="1688"/>
      <c r="MLR31" s="1688"/>
      <c r="MLS31" s="1688"/>
      <c r="MLT31" s="1688"/>
      <c r="MLU31" s="1688"/>
      <c r="MLV31" s="1688"/>
      <c r="MLW31" s="1688"/>
      <c r="MLX31" s="1688"/>
      <c r="MLY31" s="1688"/>
      <c r="MLZ31" s="1688"/>
      <c r="MMA31" s="1688"/>
      <c r="MMB31" s="1688"/>
      <c r="MMC31" s="1688"/>
      <c r="MMD31" s="1688"/>
      <c r="MME31" s="1688"/>
      <c r="MMF31" s="1688"/>
      <c r="MMG31" s="1688"/>
      <c r="MMH31" s="1688"/>
      <c r="MMI31" s="1688"/>
      <c r="MMJ31" s="1688"/>
      <c r="MMK31" s="1688"/>
      <c r="MML31" s="1688"/>
      <c r="MMM31" s="1688"/>
      <c r="MMN31" s="1688"/>
      <c r="MMO31" s="1688"/>
      <c r="MMP31" s="1688"/>
      <c r="MMQ31" s="1688"/>
      <c r="MMR31" s="1688"/>
      <c r="MMS31" s="1688"/>
      <c r="MMT31" s="1688"/>
      <c r="MMU31" s="1688"/>
      <c r="MMV31" s="1688"/>
      <c r="MMW31" s="1688"/>
      <c r="MMX31" s="1688"/>
      <c r="MMY31" s="1688"/>
      <c r="MMZ31" s="1688"/>
      <c r="MNA31" s="1688"/>
      <c r="MNB31" s="1688"/>
      <c r="MNC31" s="1688"/>
      <c r="MND31" s="1688"/>
      <c r="MNE31" s="1688"/>
      <c r="MNF31" s="1688"/>
      <c r="MNG31" s="1688"/>
      <c r="MNH31" s="1688"/>
      <c r="MNI31" s="1688"/>
      <c r="MNJ31" s="1688"/>
      <c r="MNK31" s="1688"/>
      <c r="MNL31" s="1688"/>
      <c r="MNM31" s="1688"/>
      <c r="MNN31" s="1688"/>
      <c r="MNO31" s="1688"/>
      <c r="MNP31" s="1688"/>
      <c r="MNQ31" s="1688"/>
      <c r="MNR31" s="1688"/>
      <c r="MNS31" s="1688"/>
      <c r="MNT31" s="1688"/>
      <c r="MNU31" s="1688"/>
      <c r="MNV31" s="1688"/>
      <c r="MNW31" s="1688"/>
      <c r="MNX31" s="1688"/>
      <c r="MNY31" s="1688"/>
      <c r="MNZ31" s="1688"/>
      <c r="MOA31" s="1688"/>
      <c r="MOB31" s="1688"/>
      <c r="MOC31" s="1688"/>
      <c r="MOD31" s="1688"/>
      <c r="MOE31" s="1688"/>
      <c r="MOF31" s="1688"/>
      <c r="MOG31" s="1688"/>
      <c r="MOH31" s="1688"/>
      <c r="MOI31" s="1688"/>
      <c r="MOJ31" s="1688"/>
      <c r="MOK31" s="1688"/>
      <c r="MOL31" s="1688"/>
      <c r="MOM31" s="1688"/>
      <c r="MON31" s="1688"/>
      <c r="MOO31" s="1688"/>
      <c r="MOP31" s="1688"/>
      <c r="MOQ31" s="1688"/>
      <c r="MOR31" s="1688"/>
      <c r="MOS31" s="1688"/>
      <c r="MOT31" s="1688"/>
      <c r="MOU31" s="1688"/>
      <c r="MOV31" s="1688"/>
      <c r="MOW31" s="1688"/>
      <c r="MOX31" s="1688"/>
      <c r="MOY31" s="1688"/>
      <c r="MOZ31" s="1688"/>
      <c r="MPA31" s="1688"/>
      <c r="MPB31" s="1688"/>
      <c r="MPC31" s="1688"/>
      <c r="MPD31" s="1688"/>
      <c r="MPE31" s="1688"/>
      <c r="MPF31" s="1688"/>
      <c r="MPG31" s="1688"/>
      <c r="MPH31" s="1688"/>
      <c r="MPI31" s="1688"/>
      <c r="MPJ31" s="1688"/>
      <c r="MPK31" s="1688"/>
      <c r="MPL31" s="1688"/>
      <c r="MPM31" s="1688"/>
      <c r="MPN31" s="1688"/>
      <c r="MPO31" s="1688"/>
      <c r="MPP31" s="1688"/>
      <c r="MPQ31" s="1688"/>
      <c r="MPR31" s="1688"/>
      <c r="MPS31" s="1688"/>
      <c r="MPT31" s="1688"/>
      <c r="MPU31" s="1688"/>
      <c r="MPV31" s="1688"/>
      <c r="MPW31" s="1688"/>
      <c r="MPX31" s="1688"/>
      <c r="MPY31" s="1688"/>
      <c r="MPZ31" s="1688"/>
      <c r="MQA31" s="1688"/>
      <c r="MQB31" s="1688"/>
      <c r="MQC31" s="1688"/>
      <c r="MQD31" s="1688"/>
      <c r="MQE31" s="1688"/>
      <c r="MQF31" s="1688"/>
      <c r="MQG31" s="1688"/>
      <c r="MQH31" s="1688"/>
      <c r="MQI31" s="1688"/>
      <c r="MQJ31" s="1688"/>
      <c r="MQK31" s="1688"/>
      <c r="MQL31" s="1688"/>
      <c r="MQM31" s="1688"/>
      <c r="MQN31" s="1688"/>
      <c r="MQO31" s="1688"/>
      <c r="MQP31" s="1688"/>
      <c r="MQQ31" s="1688"/>
      <c r="MQR31" s="1688"/>
      <c r="MQS31" s="1688"/>
      <c r="MQT31" s="1688"/>
      <c r="MQU31" s="1688"/>
      <c r="MQV31" s="1688"/>
      <c r="MQW31" s="1688"/>
      <c r="MQX31" s="1688"/>
      <c r="MQY31" s="1688"/>
      <c r="MQZ31" s="1688"/>
      <c r="MRA31" s="1688"/>
      <c r="MRB31" s="1688"/>
      <c r="MRC31" s="1688"/>
      <c r="MRD31" s="1688"/>
      <c r="MRE31" s="1688"/>
      <c r="MRF31" s="1688"/>
      <c r="MRG31" s="1688"/>
      <c r="MRH31" s="1688"/>
      <c r="MRI31" s="1688"/>
      <c r="MRJ31" s="1688"/>
      <c r="MRK31" s="1688"/>
      <c r="MRL31" s="1688"/>
      <c r="MRM31" s="1688"/>
      <c r="MRN31" s="1688"/>
      <c r="MRO31" s="1688"/>
      <c r="MRP31" s="1688"/>
      <c r="MRQ31" s="1688"/>
      <c r="MRR31" s="1688"/>
      <c r="MRS31" s="1688"/>
      <c r="MRT31" s="1688"/>
      <c r="MRU31" s="1688"/>
      <c r="MRV31" s="1688"/>
      <c r="MRW31" s="1688"/>
      <c r="MRX31" s="1688"/>
      <c r="MRY31" s="1688"/>
      <c r="MRZ31" s="1688"/>
      <c r="MSA31" s="1688"/>
      <c r="MSB31" s="1688"/>
      <c r="MSC31" s="1688"/>
      <c r="MSD31" s="1688"/>
      <c r="MSE31" s="1688"/>
      <c r="MSF31" s="1688"/>
      <c r="MSG31" s="1688"/>
      <c r="MSH31" s="1688"/>
      <c r="MSI31" s="1688"/>
      <c r="MSJ31" s="1688"/>
      <c r="MSK31" s="1688"/>
      <c r="MSL31" s="1688"/>
      <c r="MSM31" s="1688"/>
      <c r="MSN31" s="1688"/>
      <c r="MSO31" s="1688"/>
      <c r="MSP31" s="1688"/>
      <c r="MSQ31" s="1688"/>
      <c r="MSR31" s="1688"/>
      <c r="MSS31" s="1688"/>
      <c r="MST31" s="1688"/>
      <c r="MSU31" s="1688"/>
      <c r="MSV31" s="1688"/>
      <c r="MSW31" s="1688"/>
      <c r="MSX31" s="1688"/>
      <c r="MSY31" s="1688"/>
      <c r="MSZ31" s="1688"/>
      <c r="MTA31" s="1688"/>
      <c r="MTB31" s="1688"/>
      <c r="MTC31" s="1688"/>
      <c r="MTD31" s="1688"/>
      <c r="MTE31" s="1688"/>
      <c r="MTF31" s="1688"/>
      <c r="MTG31" s="1688"/>
      <c r="MTH31" s="1688"/>
      <c r="MTI31" s="1688"/>
      <c r="MTJ31" s="1688"/>
      <c r="MTK31" s="1688"/>
      <c r="MTL31" s="1688"/>
      <c r="MTM31" s="1688"/>
      <c r="MTN31" s="1688"/>
      <c r="MTO31" s="1688"/>
      <c r="MTP31" s="1688"/>
      <c r="MTQ31" s="1688"/>
      <c r="MTR31" s="1688"/>
      <c r="MTS31" s="1688"/>
      <c r="MTT31" s="1688"/>
      <c r="MTU31" s="1688"/>
      <c r="MTV31" s="1688"/>
      <c r="MTW31" s="1688"/>
      <c r="MTX31" s="1688"/>
      <c r="MTY31" s="1688"/>
      <c r="MTZ31" s="1688"/>
      <c r="MUA31" s="1688"/>
      <c r="MUB31" s="1688"/>
      <c r="MUC31" s="1688"/>
      <c r="MUD31" s="1688"/>
      <c r="MUE31" s="1688"/>
      <c r="MUF31" s="1688"/>
      <c r="MUG31" s="1688"/>
      <c r="MUH31" s="1688"/>
      <c r="MUI31" s="1688"/>
      <c r="MUJ31" s="1688"/>
      <c r="MUK31" s="1688"/>
      <c r="MUL31" s="1688"/>
      <c r="MUM31" s="1688"/>
      <c r="MUN31" s="1688"/>
      <c r="MUO31" s="1688"/>
      <c r="MUP31" s="1688"/>
      <c r="MUQ31" s="1688"/>
      <c r="MUR31" s="1688"/>
      <c r="MUS31" s="1688"/>
      <c r="MUT31" s="1688"/>
      <c r="MUU31" s="1688"/>
      <c r="MUV31" s="1688"/>
      <c r="MUW31" s="1688"/>
      <c r="MUX31" s="1688"/>
      <c r="MUY31" s="1688"/>
      <c r="MUZ31" s="1688"/>
      <c r="MVA31" s="1688"/>
      <c r="MVB31" s="1688"/>
      <c r="MVC31" s="1688"/>
      <c r="MVD31" s="1688"/>
      <c r="MVE31" s="1688"/>
      <c r="MVF31" s="1688"/>
      <c r="MVG31" s="1688"/>
      <c r="MVH31" s="1688"/>
      <c r="MVI31" s="1688"/>
      <c r="MVJ31" s="1688"/>
      <c r="MVK31" s="1688"/>
      <c r="MVL31" s="1688"/>
      <c r="MVM31" s="1688"/>
      <c r="MVN31" s="1688"/>
      <c r="MVO31" s="1688"/>
      <c r="MVP31" s="1688"/>
      <c r="MVQ31" s="1688"/>
      <c r="MVR31" s="1688"/>
      <c r="MVS31" s="1688"/>
      <c r="MVT31" s="1688"/>
      <c r="MVU31" s="1688"/>
      <c r="MVV31" s="1688"/>
      <c r="MVW31" s="1688"/>
      <c r="MVX31" s="1688"/>
      <c r="MVY31" s="1688"/>
      <c r="MVZ31" s="1688"/>
      <c r="MWA31" s="1688"/>
      <c r="MWB31" s="1688"/>
      <c r="MWC31" s="1688"/>
      <c r="MWD31" s="1688"/>
      <c r="MWE31" s="1688"/>
      <c r="MWF31" s="1688"/>
      <c r="MWG31" s="1688"/>
      <c r="MWH31" s="1688"/>
      <c r="MWI31" s="1688"/>
      <c r="MWJ31" s="1688"/>
      <c r="MWK31" s="1688"/>
      <c r="MWL31" s="1688"/>
      <c r="MWM31" s="1688"/>
      <c r="MWN31" s="1688"/>
      <c r="MWO31" s="1688"/>
      <c r="MWP31" s="1688"/>
      <c r="MWQ31" s="1688"/>
      <c r="MWR31" s="1688"/>
      <c r="MWS31" s="1688"/>
      <c r="MWT31" s="1688"/>
      <c r="MWU31" s="1688"/>
      <c r="MWV31" s="1688"/>
      <c r="MWW31" s="1688"/>
      <c r="MWX31" s="1688"/>
      <c r="MWY31" s="1688"/>
      <c r="MWZ31" s="1688"/>
      <c r="MXA31" s="1688"/>
      <c r="MXB31" s="1688"/>
      <c r="MXC31" s="1688"/>
      <c r="MXD31" s="1688"/>
      <c r="MXE31" s="1688"/>
      <c r="MXF31" s="1688"/>
      <c r="MXG31" s="1688"/>
      <c r="MXH31" s="1688"/>
      <c r="MXI31" s="1688"/>
      <c r="MXJ31" s="1688"/>
      <c r="MXK31" s="1688"/>
      <c r="MXL31" s="1688"/>
      <c r="MXM31" s="1688"/>
      <c r="MXN31" s="1688"/>
      <c r="MXO31" s="1688"/>
      <c r="MXP31" s="1688"/>
      <c r="MXQ31" s="1688"/>
      <c r="MXR31" s="1688"/>
      <c r="MXS31" s="1688"/>
      <c r="MXT31" s="1688"/>
      <c r="MXU31" s="1688"/>
      <c r="MXV31" s="1688"/>
      <c r="MXW31" s="1688"/>
      <c r="MXX31" s="1688"/>
      <c r="MXY31" s="1688"/>
      <c r="MXZ31" s="1688"/>
      <c r="MYA31" s="1688"/>
      <c r="MYB31" s="1688"/>
      <c r="MYC31" s="1688"/>
      <c r="MYD31" s="1688"/>
      <c r="MYE31" s="1688"/>
      <c r="MYF31" s="1688"/>
      <c r="MYG31" s="1688"/>
      <c r="MYH31" s="1688"/>
      <c r="MYI31" s="1688"/>
      <c r="MYJ31" s="1688"/>
      <c r="MYK31" s="1688"/>
      <c r="MYL31" s="1688"/>
      <c r="MYM31" s="1688"/>
      <c r="MYN31" s="1688"/>
      <c r="MYO31" s="1688"/>
      <c r="MYP31" s="1688"/>
      <c r="MYQ31" s="1688"/>
      <c r="MYR31" s="1688"/>
      <c r="MYS31" s="1688"/>
      <c r="MYT31" s="1688"/>
      <c r="MYU31" s="1688"/>
      <c r="MYV31" s="1688"/>
      <c r="MYW31" s="1688"/>
      <c r="MYX31" s="1688"/>
      <c r="MYY31" s="1688"/>
      <c r="MYZ31" s="1688"/>
      <c r="MZA31" s="1688"/>
      <c r="MZB31" s="1688"/>
      <c r="MZC31" s="1688"/>
      <c r="MZD31" s="1688"/>
      <c r="MZE31" s="1688"/>
      <c r="MZF31" s="1688"/>
      <c r="MZG31" s="1688"/>
      <c r="MZH31" s="1688"/>
      <c r="MZI31" s="1688"/>
      <c r="MZJ31" s="1688"/>
      <c r="MZK31" s="1688"/>
      <c r="MZL31" s="1688"/>
      <c r="MZM31" s="1688"/>
      <c r="MZN31" s="1688"/>
      <c r="MZO31" s="1688"/>
      <c r="MZP31" s="1688"/>
      <c r="MZQ31" s="1688"/>
      <c r="MZR31" s="1688"/>
      <c r="MZS31" s="1688"/>
      <c r="MZT31" s="1688"/>
      <c r="MZU31" s="1688"/>
      <c r="MZV31" s="1688"/>
      <c r="MZW31" s="1688"/>
      <c r="MZX31" s="1688"/>
      <c r="MZY31" s="1688"/>
      <c r="MZZ31" s="1688"/>
      <c r="NAA31" s="1688"/>
      <c r="NAB31" s="1688"/>
      <c r="NAC31" s="1688"/>
      <c r="NAD31" s="1688"/>
      <c r="NAE31" s="1688"/>
      <c r="NAF31" s="1688"/>
      <c r="NAG31" s="1688"/>
      <c r="NAH31" s="1688"/>
      <c r="NAI31" s="1688"/>
      <c r="NAJ31" s="1688"/>
      <c r="NAK31" s="1688"/>
      <c r="NAL31" s="1688"/>
      <c r="NAM31" s="1688"/>
      <c r="NAN31" s="1688"/>
      <c r="NAO31" s="1688"/>
      <c r="NAP31" s="1688"/>
      <c r="NAQ31" s="1688"/>
      <c r="NAR31" s="1688"/>
      <c r="NAS31" s="1688"/>
      <c r="NAT31" s="1688"/>
      <c r="NAU31" s="1688"/>
      <c r="NAV31" s="1688"/>
      <c r="NAW31" s="1688"/>
      <c r="NAX31" s="1688"/>
      <c r="NAY31" s="1688"/>
      <c r="NAZ31" s="1688"/>
      <c r="NBA31" s="1688"/>
      <c r="NBB31" s="1688"/>
      <c r="NBC31" s="1688"/>
      <c r="NBD31" s="1688"/>
      <c r="NBE31" s="1688"/>
      <c r="NBF31" s="1688"/>
      <c r="NBG31" s="1688"/>
      <c r="NBH31" s="1688"/>
      <c r="NBI31" s="1688"/>
      <c r="NBJ31" s="1688"/>
      <c r="NBK31" s="1688"/>
      <c r="NBL31" s="1688"/>
      <c r="NBM31" s="1688"/>
      <c r="NBN31" s="1688"/>
      <c r="NBO31" s="1688"/>
      <c r="NBP31" s="1688"/>
      <c r="NBQ31" s="1688"/>
      <c r="NBR31" s="1688"/>
      <c r="NBS31" s="1688"/>
      <c r="NBT31" s="1688"/>
      <c r="NBU31" s="1688"/>
      <c r="NBV31" s="1688"/>
      <c r="NBW31" s="1688"/>
      <c r="NBX31" s="1688"/>
      <c r="NBY31" s="1688"/>
      <c r="NBZ31" s="1688"/>
      <c r="NCA31" s="1688"/>
      <c r="NCB31" s="1688"/>
      <c r="NCC31" s="1688"/>
      <c r="NCD31" s="1688"/>
      <c r="NCE31" s="1688"/>
      <c r="NCF31" s="1688"/>
      <c r="NCG31" s="1688"/>
      <c r="NCH31" s="1688"/>
      <c r="NCI31" s="1688"/>
      <c r="NCJ31" s="1688"/>
      <c r="NCK31" s="1688"/>
      <c r="NCL31" s="1688"/>
      <c r="NCM31" s="1688"/>
      <c r="NCN31" s="1688"/>
      <c r="NCO31" s="1688"/>
      <c r="NCP31" s="1688"/>
      <c r="NCQ31" s="1688"/>
      <c r="NCR31" s="1688"/>
      <c r="NCS31" s="1688"/>
      <c r="NCT31" s="1688"/>
      <c r="NCU31" s="1688"/>
      <c r="NCV31" s="1688"/>
      <c r="NCW31" s="1688"/>
      <c r="NCX31" s="1688"/>
      <c r="NCY31" s="1688"/>
      <c r="NCZ31" s="1688"/>
      <c r="NDA31" s="1688"/>
      <c r="NDB31" s="1688"/>
      <c r="NDC31" s="1688"/>
      <c r="NDD31" s="1688"/>
      <c r="NDE31" s="1688"/>
      <c r="NDF31" s="1688"/>
      <c r="NDG31" s="1688"/>
      <c r="NDH31" s="1688"/>
      <c r="NDI31" s="1688"/>
      <c r="NDJ31" s="1688"/>
      <c r="NDK31" s="1688"/>
      <c r="NDL31" s="1688"/>
      <c r="NDM31" s="1688"/>
      <c r="NDN31" s="1688"/>
      <c r="NDO31" s="1688"/>
      <c r="NDP31" s="1688"/>
      <c r="NDQ31" s="1688"/>
      <c r="NDR31" s="1688"/>
      <c r="NDS31" s="1688"/>
      <c r="NDT31" s="1688"/>
      <c r="NDU31" s="1688"/>
      <c r="NDV31" s="1688"/>
      <c r="NDW31" s="1688"/>
      <c r="NDX31" s="1688"/>
      <c r="NDY31" s="1688"/>
      <c r="NDZ31" s="1688"/>
      <c r="NEA31" s="1688"/>
      <c r="NEB31" s="1688"/>
      <c r="NEC31" s="1688"/>
      <c r="NED31" s="1688"/>
      <c r="NEE31" s="1688"/>
      <c r="NEF31" s="1688"/>
      <c r="NEG31" s="1688"/>
      <c r="NEH31" s="1688"/>
      <c r="NEI31" s="1688"/>
      <c r="NEJ31" s="1688"/>
      <c r="NEK31" s="1688"/>
      <c r="NEL31" s="1688"/>
      <c r="NEM31" s="1688"/>
      <c r="NEN31" s="1688"/>
      <c r="NEO31" s="1688"/>
      <c r="NEP31" s="1688"/>
      <c r="NEQ31" s="1688"/>
      <c r="NER31" s="1688"/>
      <c r="NES31" s="1688"/>
      <c r="NET31" s="1688"/>
      <c r="NEU31" s="1688"/>
      <c r="NEV31" s="1688"/>
      <c r="NEW31" s="1688"/>
      <c r="NEX31" s="1688"/>
      <c r="NEY31" s="1688"/>
      <c r="NEZ31" s="1688"/>
      <c r="NFA31" s="1688"/>
      <c r="NFB31" s="1688"/>
      <c r="NFC31" s="1688"/>
      <c r="NFD31" s="1688"/>
      <c r="NFE31" s="1688"/>
      <c r="NFF31" s="1688"/>
      <c r="NFG31" s="1688"/>
      <c r="NFH31" s="1688"/>
      <c r="NFI31" s="1688"/>
      <c r="NFJ31" s="1688"/>
      <c r="NFK31" s="1688"/>
      <c r="NFL31" s="1688"/>
      <c r="NFM31" s="1688"/>
      <c r="NFN31" s="1688"/>
      <c r="NFO31" s="1688"/>
      <c r="NFP31" s="1688"/>
      <c r="NFQ31" s="1688"/>
      <c r="NFR31" s="1688"/>
      <c r="NFS31" s="1688"/>
      <c r="NFT31" s="1688"/>
      <c r="NFU31" s="1688"/>
      <c r="NFV31" s="1688"/>
      <c r="NFW31" s="1688"/>
      <c r="NFX31" s="1688"/>
      <c r="NFY31" s="1688"/>
      <c r="NFZ31" s="1688"/>
      <c r="NGA31" s="1688"/>
      <c r="NGB31" s="1688"/>
      <c r="NGC31" s="1688"/>
      <c r="NGD31" s="1688"/>
      <c r="NGE31" s="1688"/>
      <c r="NGF31" s="1688"/>
      <c r="NGG31" s="1688"/>
      <c r="NGH31" s="1688"/>
      <c r="NGI31" s="1688"/>
      <c r="NGJ31" s="1688"/>
      <c r="NGK31" s="1688"/>
      <c r="NGL31" s="1688"/>
      <c r="NGM31" s="1688"/>
      <c r="NGN31" s="1688"/>
      <c r="NGO31" s="1688"/>
      <c r="NGP31" s="1688"/>
      <c r="NGQ31" s="1688"/>
      <c r="NGR31" s="1688"/>
      <c r="NGS31" s="1688"/>
      <c r="NGT31" s="1688"/>
      <c r="NGU31" s="1688"/>
      <c r="NGV31" s="1688"/>
      <c r="NGW31" s="1688"/>
      <c r="NGX31" s="1688"/>
      <c r="NGY31" s="1688"/>
      <c r="NGZ31" s="1688"/>
      <c r="NHA31" s="1688"/>
      <c r="NHB31" s="1688"/>
      <c r="NHC31" s="1688"/>
      <c r="NHD31" s="1688"/>
      <c r="NHE31" s="1688"/>
      <c r="NHF31" s="1688"/>
      <c r="NHG31" s="1688"/>
      <c r="NHH31" s="1688"/>
      <c r="NHI31" s="1688"/>
      <c r="NHJ31" s="1688"/>
      <c r="NHK31" s="1688"/>
      <c r="NHL31" s="1688"/>
      <c r="NHM31" s="1688"/>
      <c r="NHN31" s="1688"/>
      <c r="NHO31" s="1688"/>
      <c r="NHP31" s="1688"/>
      <c r="NHQ31" s="1688"/>
      <c r="NHR31" s="1688"/>
      <c r="NHS31" s="1688"/>
      <c r="NHT31" s="1688"/>
      <c r="NHU31" s="1688"/>
      <c r="NHV31" s="1688"/>
      <c r="NHW31" s="1688"/>
      <c r="NHX31" s="1688"/>
      <c r="NHY31" s="1688"/>
      <c r="NHZ31" s="1688"/>
      <c r="NIA31" s="1688"/>
      <c r="NIB31" s="1688"/>
      <c r="NIC31" s="1688"/>
      <c r="NID31" s="1688"/>
      <c r="NIE31" s="1688"/>
      <c r="NIF31" s="1688"/>
      <c r="NIG31" s="1688"/>
      <c r="NIH31" s="1688"/>
      <c r="NII31" s="1688"/>
      <c r="NIJ31" s="1688"/>
      <c r="NIK31" s="1688"/>
      <c r="NIL31" s="1688"/>
      <c r="NIM31" s="1688"/>
      <c r="NIN31" s="1688"/>
      <c r="NIO31" s="1688"/>
      <c r="NIP31" s="1688"/>
      <c r="NIQ31" s="1688"/>
      <c r="NIR31" s="1688"/>
      <c r="NIS31" s="1688"/>
      <c r="NIT31" s="1688"/>
      <c r="NIU31" s="1688"/>
      <c r="NIV31" s="1688"/>
      <c r="NIW31" s="1688"/>
      <c r="NIX31" s="1688"/>
      <c r="NIY31" s="1688"/>
      <c r="NIZ31" s="1688"/>
      <c r="NJA31" s="1688"/>
      <c r="NJB31" s="1688"/>
      <c r="NJC31" s="1688"/>
      <c r="NJD31" s="1688"/>
      <c r="NJE31" s="1688"/>
      <c r="NJF31" s="1688"/>
      <c r="NJG31" s="1688"/>
      <c r="NJH31" s="1688"/>
      <c r="NJI31" s="1688"/>
      <c r="NJJ31" s="1688"/>
      <c r="NJK31" s="1688"/>
      <c r="NJL31" s="1688"/>
      <c r="NJM31" s="1688"/>
      <c r="NJN31" s="1688"/>
      <c r="NJO31" s="1688"/>
      <c r="NJP31" s="1688"/>
      <c r="NJQ31" s="1688"/>
      <c r="NJR31" s="1688"/>
      <c r="NJS31" s="1688"/>
      <c r="NJT31" s="1688"/>
      <c r="NJU31" s="1688"/>
      <c r="NJV31" s="1688"/>
      <c r="NJW31" s="1688"/>
      <c r="NJX31" s="1688"/>
      <c r="NJY31" s="1688"/>
      <c r="NJZ31" s="1688"/>
      <c r="NKA31" s="1688"/>
      <c r="NKB31" s="1688"/>
      <c r="NKC31" s="1688"/>
      <c r="NKD31" s="1688"/>
      <c r="NKE31" s="1688"/>
      <c r="NKF31" s="1688"/>
      <c r="NKG31" s="1688"/>
      <c r="NKH31" s="1688"/>
      <c r="NKI31" s="1688"/>
      <c r="NKJ31" s="1688"/>
      <c r="NKK31" s="1688"/>
      <c r="NKL31" s="1688"/>
      <c r="NKM31" s="1688"/>
      <c r="NKN31" s="1688"/>
      <c r="NKO31" s="1688"/>
      <c r="NKP31" s="1688"/>
      <c r="NKQ31" s="1688"/>
      <c r="NKR31" s="1688"/>
      <c r="NKS31" s="1688"/>
      <c r="NKT31" s="1688"/>
      <c r="NKU31" s="1688"/>
      <c r="NKV31" s="1688"/>
      <c r="NKW31" s="1688"/>
      <c r="NKX31" s="1688"/>
      <c r="NKY31" s="1688"/>
      <c r="NKZ31" s="1688"/>
      <c r="NLA31" s="1688"/>
      <c r="NLB31" s="1688"/>
      <c r="NLC31" s="1688"/>
      <c r="NLD31" s="1688"/>
      <c r="NLE31" s="1688"/>
      <c r="NLF31" s="1688"/>
      <c r="NLG31" s="1688"/>
      <c r="NLH31" s="1688"/>
      <c r="NLI31" s="1688"/>
      <c r="NLJ31" s="1688"/>
      <c r="NLK31" s="1688"/>
      <c r="NLL31" s="1688"/>
      <c r="NLM31" s="1688"/>
      <c r="NLN31" s="1688"/>
      <c r="NLO31" s="1688"/>
      <c r="NLP31" s="1688"/>
      <c r="NLQ31" s="1688"/>
      <c r="NLR31" s="1688"/>
      <c r="NLS31" s="1688"/>
      <c r="NLT31" s="1688"/>
      <c r="NLU31" s="1688"/>
      <c r="NLV31" s="1688"/>
      <c r="NLW31" s="1688"/>
      <c r="NLX31" s="1688"/>
      <c r="NLY31" s="1688"/>
      <c r="NLZ31" s="1688"/>
      <c r="NMA31" s="1688"/>
      <c r="NMB31" s="1688"/>
      <c r="NMC31" s="1688"/>
      <c r="NMD31" s="1688"/>
      <c r="NME31" s="1688"/>
      <c r="NMF31" s="1688"/>
      <c r="NMG31" s="1688"/>
      <c r="NMH31" s="1688"/>
      <c r="NMI31" s="1688"/>
      <c r="NMJ31" s="1688"/>
      <c r="NMK31" s="1688"/>
      <c r="NML31" s="1688"/>
      <c r="NMM31" s="1688"/>
      <c r="NMN31" s="1688"/>
      <c r="NMO31" s="1688"/>
      <c r="NMP31" s="1688"/>
      <c r="NMQ31" s="1688"/>
      <c r="NMR31" s="1688"/>
      <c r="NMS31" s="1688"/>
      <c r="NMT31" s="1688"/>
      <c r="NMU31" s="1688"/>
      <c r="NMV31" s="1688"/>
      <c r="NMW31" s="1688"/>
      <c r="NMX31" s="1688"/>
      <c r="NMY31" s="1688"/>
      <c r="NMZ31" s="1688"/>
      <c r="NNA31" s="1688"/>
      <c r="NNB31" s="1688"/>
      <c r="NNC31" s="1688"/>
      <c r="NND31" s="1688"/>
      <c r="NNE31" s="1688"/>
      <c r="NNF31" s="1688"/>
      <c r="NNG31" s="1688"/>
      <c r="NNH31" s="1688"/>
      <c r="NNI31" s="1688"/>
      <c r="NNJ31" s="1688"/>
      <c r="NNK31" s="1688"/>
      <c r="NNL31" s="1688"/>
      <c r="NNM31" s="1688"/>
      <c r="NNN31" s="1688"/>
      <c r="NNO31" s="1688"/>
      <c r="NNP31" s="1688"/>
      <c r="NNQ31" s="1688"/>
      <c r="NNR31" s="1688"/>
      <c r="NNS31" s="1688"/>
      <c r="NNT31" s="1688"/>
      <c r="NNU31" s="1688"/>
      <c r="NNV31" s="1688"/>
      <c r="NNW31" s="1688"/>
      <c r="NNX31" s="1688"/>
      <c r="NNY31" s="1688"/>
      <c r="NNZ31" s="1688"/>
      <c r="NOA31" s="1688"/>
      <c r="NOB31" s="1688"/>
      <c r="NOC31" s="1688"/>
      <c r="NOD31" s="1688"/>
      <c r="NOE31" s="1688"/>
      <c r="NOF31" s="1688"/>
      <c r="NOG31" s="1688"/>
      <c r="NOH31" s="1688"/>
      <c r="NOI31" s="1688"/>
      <c r="NOJ31" s="1688"/>
      <c r="NOK31" s="1688"/>
      <c r="NOL31" s="1688"/>
      <c r="NOM31" s="1688"/>
      <c r="NON31" s="1688"/>
      <c r="NOO31" s="1688"/>
      <c r="NOP31" s="1688"/>
      <c r="NOQ31" s="1688"/>
      <c r="NOR31" s="1688"/>
      <c r="NOS31" s="1688"/>
      <c r="NOT31" s="1688"/>
      <c r="NOU31" s="1688"/>
      <c r="NOV31" s="1688"/>
      <c r="NOW31" s="1688"/>
      <c r="NOX31" s="1688"/>
      <c r="NOY31" s="1688"/>
      <c r="NOZ31" s="1688"/>
      <c r="NPA31" s="1688"/>
      <c r="NPB31" s="1688"/>
      <c r="NPC31" s="1688"/>
      <c r="NPD31" s="1688"/>
      <c r="NPE31" s="1688"/>
      <c r="NPF31" s="1688"/>
      <c r="NPG31" s="1688"/>
      <c r="NPH31" s="1688"/>
      <c r="NPI31" s="1688"/>
      <c r="NPJ31" s="1688"/>
      <c r="NPK31" s="1688"/>
      <c r="NPL31" s="1688"/>
      <c r="NPM31" s="1688"/>
      <c r="NPN31" s="1688"/>
      <c r="NPO31" s="1688"/>
      <c r="NPP31" s="1688"/>
      <c r="NPQ31" s="1688"/>
      <c r="NPR31" s="1688"/>
      <c r="NPS31" s="1688"/>
      <c r="NPT31" s="1688"/>
      <c r="NPU31" s="1688"/>
      <c r="NPV31" s="1688"/>
      <c r="NPW31" s="1688"/>
      <c r="NPX31" s="1688"/>
      <c r="NPY31" s="1688"/>
      <c r="NPZ31" s="1688"/>
      <c r="NQA31" s="1688"/>
      <c r="NQB31" s="1688"/>
      <c r="NQC31" s="1688"/>
      <c r="NQD31" s="1688"/>
      <c r="NQE31" s="1688"/>
      <c r="NQF31" s="1688"/>
      <c r="NQG31" s="1688"/>
      <c r="NQH31" s="1688"/>
      <c r="NQI31" s="1688"/>
      <c r="NQJ31" s="1688"/>
      <c r="NQK31" s="1688"/>
      <c r="NQL31" s="1688"/>
      <c r="NQM31" s="1688"/>
      <c r="NQN31" s="1688"/>
      <c r="NQO31" s="1688"/>
      <c r="NQP31" s="1688"/>
      <c r="NQQ31" s="1688"/>
      <c r="NQR31" s="1688"/>
      <c r="NQS31" s="1688"/>
      <c r="NQT31" s="1688"/>
      <c r="NQU31" s="1688"/>
      <c r="NQV31" s="1688"/>
      <c r="NQW31" s="1688"/>
      <c r="NQX31" s="1688"/>
      <c r="NQY31" s="1688"/>
      <c r="NQZ31" s="1688"/>
      <c r="NRA31" s="1688"/>
      <c r="NRB31" s="1688"/>
      <c r="NRC31" s="1688"/>
      <c r="NRD31" s="1688"/>
      <c r="NRE31" s="1688"/>
      <c r="NRF31" s="1688"/>
      <c r="NRG31" s="1688"/>
      <c r="NRH31" s="1688"/>
      <c r="NRI31" s="1688"/>
      <c r="NRJ31" s="1688"/>
      <c r="NRK31" s="1688"/>
      <c r="NRL31" s="1688"/>
      <c r="NRM31" s="1688"/>
      <c r="NRN31" s="1688"/>
      <c r="NRO31" s="1688"/>
      <c r="NRP31" s="1688"/>
      <c r="NRQ31" s="1688"/>
      <c r="NRR31" s="1688"/>
      <c r="NRS31" s="1688"/>
      <c r="NRT31" s="1688"/>
      <c r="NRU31" s="1688"/>
      <c r="NRV31" s="1688"/>
      <c r="NRW31" s="1688"/>
      <c r="NRX31" s="1688"/>
      <c r="NRY31" s="1688"/>
      <c r="NRZ31" s="1688"/>
      <c r="NSA31" s="1688"/>
      <c r="NSB31" s="1688"/>
      <c r="NSC31" s="1688"/>
      <c r="NSD31" s="1688"/>
      <c r="NSE31" s="1688"/>
      <c r="NSF31" s="1688"/>
      <c r="NSG31" s="1688"/>
      <c r="NSH31" s="1688"/>
      <c r="NSI31" s="1688"/>
      <c r="NSJ31" s="1688"/>
      <c r="NSK31" s="1688"/>
      <c r="NSL31" s="1688"/>
      <c r="NSM31" s="1688"/>
      <c r="NSN31" s="1688"/>
      <c r="NSO31" s="1688"/>
      <c r="NSP31" s="1688"/>
      <c r="NSQ31" s="1688"/>
      <c r="NSR31" s="1688"/>
      <c r="NSS31" s="1688"/>
      <c r="NST31" s="1688"/>
      <c r="NSU31" s="1688"/>
      <c r="NSV31" s="1688"/>
      <c r="NSW31" s="1688"/>
      <c r="NSX31" s="1688"/>
      <c r="NSY31" s="1688"/>
      <c r="NSZ31" s="1688"/>
      <c r="NTA31" s="1688"/>
      <c r="NTB31" s="1688"/>
      <c r="NTC31" s="1688"/>
      <c r="NTD31" s="1688"/>
      <c r="NTE31" s="1688"/>
      <c r="NTF31" s="1688"/>
      <c r="NTG31" s="1688"/>
      <c r="NTH31" s="1688"/>
      <c r="NTI31" s="1688"/>
      <c r="NTJ31" s="1688"/>
      <c r="NTK31" s="1688"/>
      <c r="NTL31" s="1688"/>
      <c r="NTM31" s="1688"/>
      <c r="NTN31" s="1688"/>
      <c r="NTO31" s="1688"/>
      <c r="NTP31" s="1688"/>
      <c r="NTQ31" s="1688"/>
      <c r="NTR31" s="1688"/>
      <c r="NTS31" s="1688"/>
      <c r="NTT31" s="1688"/>
      <c r="NTU31" s="1688"/>
      <c r="NTV31" s="1688"/>
      <c r="NTW31" s="1688"/>
      <c r="NTX31" s="1688"/>
      <c r="NTY31" s="1688"/>
      <c r="NTZ31" s="1688"/>
      <c r="NUA31" s="1688"/>
      <c r="NUB31" s="1688"/>
      <c r="NUC31" s="1688"/>
      <c r="NUD31" s="1688"/>
      <c r="NUE31" s="1688"/>
      <c r="NUF31" s="1688"/>
      <c r="NUG31" s="1688"/>
      <c r="NUH31" s="1688"/>
      <c r="NUI31" s="1688"/>
      <c r="NUJ31" s="1688"/>
      <c r="NUK31" s="1688"/>
      <c r="NUL31" s="1688"/>
      <c r="NUM31" s="1688"/>
      <c r="NUN31" s="1688"/>
      <c r="NUO31" s="1688"/>
      <c r="NUP31" s="1688"/>
      <c r="NUQ31" s="1688"/>
      <c r="NUR31" s="1688"/>
      <c r="NUS31" s="1688"/>
      <c r="NUT31" s="1688"/>
      <c r="NUU31" s="1688"/>
      <c r="NUV31" s="1688"/>
      <c r="NUW31" s="1688"/>
      <c r="NUX31" s="1688"/>
      <c r="NUY31" s="1688"/>
      <c r="NUZ31" s="1688"/>
      <c r="NVA31" s="1688"/>
      <c r="NVB31" s="1688"/>
      <c r="NVC31" s="1688"/>
      <c r="NVD31" s="1688"/>
      <c r="NVE31" s="1688"/>
      <c r="NVF31" s="1688"/>
      <c r="NVG31" s="1688"/>
      <c r="NVH31" s="1688"/>
      <c r="NVI31" s="1688"/>
      <c r="NVJ31" s="1688"/>
      <c r="NVK31" s="1688"/>
      <c r="NVL31" s="1688"/>
      <c r="NVM31" s="1688"/>
      <c r="NVN31" s="1688"/>
      <c r="NVO31" s="1688"/>
      <c r="NVP31" s="1688"/>
      <c r="NVQ31" s="1688"/>
      <c r="NVR31" s="1688"/>
      <c r="NVS31" s="1688"/>
      <c r="NVT31" s="1688"/>
      <c r="NVU31" s="1688"/>
      <c r="NVV31" s="1688"/>
      <c r="NVW31" s="1688"/>
      <c r="NVX31" s="1688"/>
      <c r="NVY31" s="1688"/>
      <c r="NVZ31" s="1688"/>
      <c r="NWA31" s="1688"/>
      <c r="NWB31" s="1688"/>
      <c r="NWC31" s="1688"/>
      <c r="NWD31" s="1688"/>
      <c r="NWE31" s="1688"/>
      <c r="NWF31" s="1688"/>
      <c r="NWG31" s="1688"/>
      <c r="NWH31" s="1688"/>
      <c r="NWI31" s="1688"/>
      <c r="NWJ31" s="1688"/>
      <c r="NWK31" s="1688"/>
      <c r="NWL31" s="1688"/>
      <c r="NWM31" s="1688"/>
      <c r="NWN31" s="1688"/>
      <c r="NWO31" s="1688"/>
      <c r="NWP31" s="1688"/>
      <c r="NWQ31" s="1688"/>
      <c r="NWR31" s="1688"/>
      <c r="NWS31" s="1688"/>
      <c r="NWT31" s="1688"/>
      <c r="NWU31" s="1688"/>
      <c r="NWV31" s="1688"/>
      <c r="NWW31" s="1688"/>
      <c r="NWX31" s="1688"/>
      <c r="NWY31" s="1688"/>
      <c r="NWZ31" s="1688"/>
      <c r="NXA31" s="1688"/>
      <c r="NXB31" s="1688"/>
      <c r="NXC31" s="1688"/>
      <c r="NXD31" s="1688"/>
      <c r="NXE31" s="1688"/>
      <c r="NXF31" s="1688"/>
      <c r="NXG31" s="1688"/>
      <c r="NXH31" s="1688"/>
      <c r="NXI31" s="1688"/>
      <c r="NXJ31" s="1688"/>
      <c r="NXK31" s="1688"/>
      <c r="NXL31" s="1688"/>
      <c r="NXM31" s="1688"/>
      <c r="NXN31" s="1688"/>
      <c r="NXO31" s="1688"/>
      <c r="NXP31" s="1688"/>
      <c r="NXQ31" s="1688"/>
      <c r="NXR31" s="1688"/>
      <c r="NXS31" s="1688"/>
      <c r="NXT31" s="1688"/>
      <c r="NXU31" s="1688"/>
      <c r="NXV31" s="1688"/>
      <c r="NXW31" s="1688"/>
      <c r="NXX31" s="1688"/>
      <c r="NXY31" s="1688"/>
      <c r="NXZ31" s="1688"/>
      <c r="NYA31" s="1688"/>
      <c r="NYB31" s="1688"/>
      <c r="NYC31" s="1688"/>
      <c r="NYD31" s="1688"/>
      <c r="NYE31" s="1688"/>
      <c r="NYF31" s="1688"/>
      <c r="NYG31" s="1688"/>
      <c r="NYH31" s="1688"/>
      <c r="NYI31" s="1688"/>
      <c r="NYJ31" s="1688"/>
      <c r="NYK31" s="1688"/>
      <c r="NYL31" s="1688"/>
      <c r="NYM31" s="1688"/>
      <c r="NYN31" s="1688"/>
      <c r="NYO31" s="1688"/>
      <c r="NYP31" s="1688"/>
      <c r="NYQ31" s="1688"/>
      <c r="NYR31" s="1688"/>
      <c r="NYS31" s="1688"/>
      <c r="NYT31" s="1688"/>
      <c r="NYU31" s="1688"/>
      <c r="NYV31" s="1688"/>
      <c r="NYW31" s="1688"/>
      <c r="NYX31" s="1688"/>
      <c r="NYY31" s="1688"/>
      <c r="NYZ31" s="1688"/>
      <c r="NZA31" s="1688"/>
      <c r="NZB31" s="1688"/>
      <c r="NZC31" s="1688"/>
      <c r="NZD31" s="1688"/>
      <c r="NZE31" s="1688"/>
      <c r="NZF31" s="1688"/>
      <c r="NZG31" s="1688"/>
      <c r="NZH31" s="1688"/>
      <c r="NZI31" s="1688"/>
      <c r="NZJ31" s="1688"/>
      <c r="NZK31" s="1688"/>
      <c r="NZL31" s="1688"/>
      <c r="NZM31" s="1688"/>
      <c r="NZN31" s="1688"/>
      <c r="NZO31" s="1688"/>
      <c r="NZP31" s="1688"/>
      <c r="NZQ31" s="1688"/>
      <c r="NZR31" s="1688"/>
      <c r="NZS31" s="1688"/>
      <c r="NZT31" s="1688"/>
      <c r="NZU31" s="1688"/>
      <c r="NZV31" s="1688"/>
      <c r="NZW31" s="1688"/>
      <c r="NZX31" s="1688"/>
      <c r="NZY31" s="1688"/>
      <c r="NZZ31" s="1688"/>
      <c r="OAA31" s="1688"/>
      <c r="OAB31" s="1688"/>
      <c r="OAC31" s="1688"/>
      <c r="OAD31" s="1688"/>
      <c r="OAE31" s="1688"/>
      <c r="OAF31" s="1688"/>
      <c r="OAG31" s="1688"/>
      <c r="OAH31" s="1688"/>
      <c r="OAI31" s="1688"/>
      <c r="OAJ31" s="1688"/>
      <c r="OAK31" s="1688"/>
      <c r="OAL31" s="1688"/>
      <c r="OAM31" s="1688"/>
      <c r="OAN31" s="1688"/>
      <c r="OAO31" s="1688"/>
      <c r="OAP31" s="1688"/>
      <c r="OAQ31" s="1688"/>
      <c r="OAR31" s="1688"/>
      <c r="OAS31" s="1688"/>
      <c r="OAT31" s="1688"/>
      <c r="OAU31" s="1688"/>
      <c r="OAV31" s="1688"/>
      <c r="OAW31" s="1688"/>
      <c r="OAX31" s="1688"/>
      <c r="OAY31" s="1688"/>
      <c r="OAZ31" s="1688"/>
      <c r="OBA31" s="1688"/>
      <c r="OBB31" s="1688"/>
      <c r="OBC31" s="1688"/>
      <c r="OBD31" s="1688"/>
      <c r="OBE31" s="1688"/>
      <c r="OBF31" s="1688"/>
      <c r="OBG31" s="1688"/>
      <c r="OBH31" s="1688"/>
      <c r="OBI31" s="1688"/>
      <c r="OBJ31" s="1688"/>
      <c r="OBK31" s="1688"/>
      <c r="OBL31" s="1688"/>
      <c r="OBM31" s="1688"/>
      <c r="OBN31" s="1688"/>
      <c r="OBO31" s="1688"/>
      <c r="OBP31" s="1688"/>
      <c r="OBQ31" s="1688"/>
      <c r="OBR31" s="1688"/>
      <c r="OBS31" s="1688"/>
      <c r="OBT31" s="1688"/>
      <c r="OBU31" s="1688"/>
      <c r="OBV31" s="1688"/>
      <c r="OBW31" s="1688"/>
      <c r="OBX31" s="1688"/>
      <c r="OBY31" s="1688"/>
      <c r="OBZ31" s="1688"/>
      <c r="OCA31" s="1688"/>
      <c r="OCB31" s="1688"/>
      <c r="OCC31" s="1688"/>
      <c r="OCD31" s="1688"/>
      <c r="OCE31" s="1688"/>
      <c r="OCF31" s="1688"/>
      <c r="OCG31" s="1688"/>
      <c r="OCH31" s="1688"/>
      <c r="OCI31" s="1688"/>
      <c r="OCJ31" s="1688"/>
      <c r="OCK31" s="1688"/>
      <c r="OCL31" s="1688"/>
      <c r="OCM31" s="1688"/>
      <c r="OCN31" s="1688"/>
      <c r="OCO31" s="1688"/>
      <c r="OCP31" s="1688"/>
      <c r="OCQ31" s="1688"/>
      <c r="OCR31" s="1688"/>
      <c r="OCS31" s="1688"/>
      <c r="OCT31" s="1688"/>
      <c r="OCU31" s="1688"/>
      <c r="OCV31" s="1688"/>
      <c r="OCW31" s="1688"/>
      <c r="OCX31" s="1688"/>
      <c r="OCY31" s="1688"/>
      <c r="OCZ31" s="1688"/>
      <c r="ODA31" s="1688"/>
      <c r="ODB31" s="1688"/>
      <c r="ODC31" s="1688"/>
      <c r="ODD31" s="1688"/>
      <c r="ODE31" s="1688"/>
      <c r="ODF31" s="1688"/>
      <c r="ODG31" s="1688"/>
      <c r="ODH31" s="1688"/>
      <c r="ODI31" s="1688"/>
      <c r="ODJ31" s="1688"/>
      <c r="ODK31" s="1688"/>
      <c r="ODL31" s="1688"/>
      <c r="ODM31" s="1688"/>
      <c r="ODN31" s="1688"/>
      <c r="ODO31" s="1688"/>
      <c r="ODP31" s="1688"/>
      <c r="ODQ31" s="1688"/>
      <c r="ODR31" s="1688"/>
      <c r="ODS31" s="1688"/>
      <c r="ODT31" s="1688"/>
      <c r="ODU31" s="1688"/>
      <c r="ODV31" s="1688"/>
      <c r="ODW31" s="1688"/>
      <c r="ODX31" s="1688"/>
      <c r="ODY31" s="1688"/>
      <c r="ODZ31" s="1688"/>
      <c r="OEA31" s="1688"/>
      <c r="OEB31" s="1688"/>
      <c r="OEC31" s="1688"/>
      <c r="OED31" s="1688"/>
      <c r="OEE31" s="1688"/>
      <c r="OEF31" s="1688"/>
      <c r="OEG31" s="1688"/>
      <c r="OEH31" s="1688"/>
      <c r="OEI31" s="1688"/>
      <c r="OEJ31" s="1688"/>
      <c r="OEK31" s="1688"/>
      <c r="OEL31" s="1688"/>
      <c r="OEM31" s="1688"/>
      <c r="OEN31" s="1688"/>
      <c r="OEO31" s="1688"/>
      <c r="OEP31" s="1688"/>
      <c r="OEQ31" s="1688"/>
      <c r="OER31" s="1688"/>
      <c r="OES31" s="1688"/>
      <c r="OET31" s="1688"/>
      <c r="OEU31" s="1688"/>
      <c r="OEV31" s="1688"/>
      <c r="OEW31" s="1688"/>
      <c r="OEX31" s="1688"/>
      <c r="OEY31" s="1688"/>
      <c r="OEZ31" s="1688"/>
      <c r="OFA31" s="1688"/>
      <c r="OFB31" s="1688"/>
      <c r="OFC31" s="1688"/>
      <c r="OFD31" s="1688"/>
      <c r="OFE31" s="1688"/>
      <c r="OFF31" s="1688"/>
      <c r="OFG31" s="1688"/>
      <c r="OFH31" s="1688"/>
      <c r="OFI31" s="1688"/>
      <c r="OFJ31" s="1688"/>
      <c r="OFK31" s="1688"/>
      <c r="OFL31" s="1688"/>
      <c r="OFM31" s="1688"/>
      <c r="OFN31" s="1688"/>
      <c r="OFO31" s="1688"/>
      <c r="OFP31" s="1688"/>
      <c r="OFQ31" s="1688"/>
      <c r="OFR31" s="1688"/>
      <c r="OFS31" s="1688"/>
      <c r="OFT31" s="1688"/>
      <c r="OFU31" s="1688"/>
      <c r="OFV31" s="1688"/>
      <c r="OFW31" s="1688"/>
      <c r="OFX31" s="1688"/>
      <c r="OFY31" s="1688"/>
      <c r="OFZ31" s="1688"/>
      <c r="OGA31" s="1688"/>
      <c r="OGB31" s="1688"/>
      <c r="OGC31" s="1688"/>
      <c r="OGD31" s="1688"/>
      <c r="OGE31" s="1688"/>
      <c r="OGF31" s="1688"/>
      <c r="OGG31" s="1688"/>
      <c r="OGH31" s="1688"/>
      <c r="OGI31" s="1688"/>
      <c r="OGJ31" s="1688"/>
      <c r="OGK31" s="1688"/>
      <c r="OGL31" s="1688"/>
      <c r="OGM31" s="1688"/>
      <c r="OGN31" s="1688"/>
      <c r="OGO31" s="1688"/>
      <c r="OGP31" s="1688"/>
      <c r="OGQ31" s="1688"/>
      <c r="OGR31" s="1688"/>
      <c r="OGS31" s="1688"/>
      <c r="OGT31" s="1688"/>
      <c r="OGU31" s="1688"/>
      <c r="OGV31" s="1688"/>
      <c r="OGW31" s="1688"/>
      <c r="OGX31" s="1688"/>
      <c r="OGY31" s="1688"/>
      <c r="OGZ31" s="1688"/>
      <c r="OHA31" s="1688"/>
      <c r="OHB31" s="1688"/>
      <c r="OHC31" s="1688"/>
      <c r="OHD31" s="1688"/>
      <c r="OHE31" s="1688"/>
      <c r="OHF31" s="1688"/>
      <c r="OHG31" s="1688"/>
      <c r="OHH31" s="1688"/>
      <c r="OHI31" s="1688"/>
      <c r="OHJ31" s="1688"/>
      <c r="OHK31" s="1688"/>
      <c r="OHL31" s="1688"/>
      <c r="OHM31" s="1688"/>
      <c r="OHN31" s="1688"/>
      <c r="OHO31" s="1688"/>
      <c r="OHP31" s="1688"/>
      <c r="OHQ31" s="1688"/>
      <c r="OHR31" s="1688"/>
      <c r="OHS31" s="1688"/>
      <c r="OHT31" s="1688"/>
      <c r="OHU31" s="1688"/>
      <c r="OHV31" s="1688"/>
      <c r="OHW31" s="1688"/>
      <c r="OHX31" s="1688"/>
      <c r="OHY31" s="1688"/>
      <c r="OHZ31" s="1688"/>
      <c r="OIA31" s="1688"/>
      <c r="OIB31" s="1688"/>
      <c r="OIC31" s="1688"/>
      <c r="OID31" s="1688"/>
      <c r="OIE31" s="1688"/>
      <c r="OIF31" s="1688"/>
      <c r="OIG31" s="1688"/>
      <c r="OIH31" s="1688"/>
      <c r="OII31" s="1688"/>
      <c r="OIJ31" s="1688"/>
      <c r="OIK31" s="1688"/>
      <c r="OIL31" s="1688"/>
      <c r="OIM31" s="1688"/>
      <c r="OIN31" s="1688"/>
      <c r="OIO31" s="1688"/>
      <c r="OIP31" s="1688"/>
      <c r="OIQ31" s="1688"/>
      <c r="OIR31" s="1688"/>
      <c r="OIS31" s="1688"/>
      <c r="OIT31" s="1688"/>
      <c r="OIU31" s="1688"/>
      <c r="OIV31" s="1688"/>
      <c r="OIW31" s="1688"/>
      <c r="OIX31" s="1688"/>
      <c r="OIY31" s="1688"/>
      <c r="OIZ31" s="1688"/>
      <c r="OJA31" s="1688"/>
      <c r="OJB31" s="1688"/>
      <c r="OJC31" s="1688"/>
      <c r="OJD31" s="1688"/>
      <c r="OJE31" s="1688"/>
      <c r="OJF31" s="1688"/>
      <c r="OJG31" s="1688"/>
      <c r="OJH31" s="1688"/>
      <c r="OJI31" s="1688"/>
      <c r="OJJ31" s="1688"/>
      <c r="OJK31" s="1688"/>
      <c r="OJL31" s="1688"/>
      <c r="OJM31" s="1688"/>
      <c r="OJN31" s="1688"/>
      <c r="OJO31" s="1688"/>
      <c r="OJP31" s="1688"/>
      <c r="OJQ31" s="1688"/>
      <c r="OJR31" s="1688"/>
      <c r="OJS31" s="1688"/>
      <c r="OJT31" s="1688"/>
      <c r="OJU31" s="1688"/>
      <c r="OJV31" s="1688"/>
      <c r="OJW31" s="1688"/>
      <c r="OJX31" s="1688"/>
      <c r="OJY31" s="1688"/>
      <c r="OJZ31" s="1688"/>
      <c r="OKA31" s="1688"/>
      <c r="OKB31" s="1688"/>
      <c r="OKC31" s="1688"/>
      <c r="OKD31" s="1688"/>
      <c r="OKE31" s="1688"/>
      <c r="OKF31" s="1688"/>
      <c r="OKG31" s="1688"/>
      <c r="OKH31" s="1688"/>
      <c r="OKI31" s="1688"/>
      <c r="OKJ31" s="1688"/>
      <c r="OKK31" s="1688"/>
      <c r="OKL31" s="1688"/>
      <c r="OKM31" s="1688"/>
      <c r="OKN31" s="1688"/>
      <c r="OKO31" s="1688"/>
      <c r="OKP31" s="1688"/>
      <c r="OKQ31" s="1688"/>
      <c r="OKR31" s="1688"/>
      <c r="OKS31" s="1688"/>
      <c r="OKT31" s="1688"/>
      <c r="OKU31" s="1688"/>
      <c r="OKV31" s="1688"/>
      <c r="OKW31" s="1688"/>
      <c r="OKX31" s="1688"/>
      <c r="OKY31" s="1688"/>
      <c r="OKZ31" s="1688"/>
      <c r="OLA31" s="1688"/>
      <c r="OLB31" s="1688"/>
      <c r="OLC31" s="1688"/>
      <c r="OLD31" s="1688"/>
      <c r="OLE31" s="1688"/>
      <c r="OLF31" s="1688"/>
      <c r="OLG31" s="1688"/>
      <c r="OLH31" s="1688"/>
      <c r="OLI31" s="1688"/>
      <c r="OLJ31" s="1688"/>
      <c r="OLK31" s="1688"/>
      <c r="OLL31" s="1688"/>
      <c r="OLM31" s="1688"/>
      <c r="OLN31" s="1688"/>
      <c r="OLO31" s="1688"/>
      <c r="OLP31" s="1688"/>
      <c r="OLQ31" s="1688"/>
      <c r="OLR31" s="1688"/>
      <c r="OLS31" s="1688"/>
      <c r="OLT31" s="1688"/>
      <c r="OLU31" s="1688"/>
      <c r="OLV31" s="1688"/>
      <c r="OLW31" s="1688"/>
      <c r="OLX31" s="1688"/>
      <c r="OLY31" s="1688"/>
      <c r="OLZ31" s="1688"/>
      <c r="OMA31" s="1688"/>
      <c r="OMB31" s="1688"/>
      <c r="OMC31" s="1688"/>
      <c r="OMD31" s="1688"/>
      <c r="OME31" s="1688"/>
      <c r="OMF31" s="1688"/>
      <c r="OMG31" s="1688"/>
      <c r="OMH31" s="1688"/>
      <c r="OMI31" s="1688"/>
      <c r="OMJ31" s="1688"/>
      <c r="OMK31" s="1688"/>
      <c r="OML31" s="1688"/>
      <c r="OMM31" s="1688"/>
      <c r="OMN31" s="1688"/>
      <c r="OMO31" s="1688"/>
      <c r="OMP31" s="1688"/>
      <c r="OMQ31" s="1688"/>
      <c r="OMR31" s="1688"/>
      <c r="OMS31" s="1688"/>
      <c r="OMT31" s="1688"/>
      <c r="OMU31" s="1688"/>
      <c r="OMV31" s="1688"/>
      <c r="OMW31" s="1688"/>
      <c r="OMX31" s="1688"/>
      <c r="OMY31" s="1688"/>
      <c r="OMZ31" s="1688"/>
      <c r="ONA31" s="1688"/>
      <c r="ONB31" s="1688"/>
      <c r="ONC31" s="1688"/>
      <c r="OND31" s="1688"/>
      <c r="ONE31" s="1688"/>
      <c r="ONF31" s="1688"/>
      <c r="ONG31" s="1688"/>
      <c r="ONH31" s="1688"/>
      <c r="ONI31" s="1688"/>
      <c r="ONJ31" s="1688"/>
      <c r="ONK31" s="1688"/>
      <c r="ONL31" s="1688"/>
      <c r="ONM31" s="1688"/>
      <c r="ONN31" s="1688"/>
      <c r="ONO31" s="1688"/>
      <c r="ONP31" s="1688"/>
      <c r="ONQ31" s="1688"/>
      <c r="ONR31" s="1688"/>
      <c r="ONS31" s="1688"/>
      <c r="ONT31" s="1688"/>
      <c r="ONU31" s="1688"/>
      <c r="ONV31" s="1688"/>
      <c r="ONW31" s="1688"/>
      <c r="ONX31" s="1688"/>
      <c r="ONY31" s="1688"/>
      <c r="ONZ31" s="1688"/>
      <c r="OOA31" s="1688"/>
      <c r="OOB31" s="1688"/>
      <c r="OOC31" s="1688"/>
      <c r="OOD31" s="1688"/>
      <c r="OOE31" s="1688"/>
      <c r="OOF31" s="1688"/>
      <c r="OOG31" s="1688"/>
      <c r="OOH31" s="1688"/>
      <c r="OOI31" s="1688"/>
      <c r="OOJ31" s="1688"/>
      <c r="OOK31" s="1688"/>
      <c r="OOL31" s="1688"/>
      <c r="OOM31" s="1688"/>
      <c r="OON31" s="1688"/>
      <c r="OOO31" s="1688"/>
      <c r="OOP31" s="1688"/>
      <c r="OOQ31" s="1688"/>
      <c r="OOR31" s="1688"/>
      <c r="OOS31" s="1688"/>
      <c r="OOT31" s="1688"/>
      <c r="OOU31" s="1688"/>
      <c r="OOV31" s="1688"/>
      <c r="OOW31" s="1688"/>
      <c r="OOX31" s="1688"/>
      <c r="OOY31" s="1688"/>
      <c r="OOZ31" s="1688"/>
      <c r="OPA31" s="1688"/>
      <c r="OPB31" s="1688"/>
      <c r="OPC31" s="1688"/>
      <c r="OPD31" s="1688"/>
      <c r="OPE31" s="1688"/>
      <c r="OPF31" s="1688"/>
      <c r="OPG31" s="1688"/>
      <c r="OPH31" s="1688"/>
      <c r="OPI31" s="1688"/>
      <c r="OPJ31" s="1688"/>
      <c r="OPK31" s="1688"/>
      <c r="OPL31" s="1688"/>
      <c r="OPM31" s="1688"/>
      <c r="OPN31" s="1688"/>
      <c r="OPO31" s="1688"/>
      <c r="OPP31" s="1688"/>
      <c r="OPQ31" s="1688"/>
      <c r="OPR31" s="1688"/>
      <c r="OPS31" s="1688"/>
      <c r="OPT31" s="1688"/>
      <c r="OPU31" s="1688"/>
      <c r="OPV31" s="1688"/>
      <c r="OPW31" s="1688"/>
      <c r="OPX31" s="1688"/>
      <c r="OPY31" s="1688"/>
      <c r="OPZ31" s="1688"/>
      <c r="OQA31" s="1688"/>
      <c r="OQB31" s="1688"/>
      <c r="OQC31" s="1688"/>
      <c r="OQD31" s="1688"/>
      <c r="OQE31" s="1688"/>
      <c r="OQF31" s="1688"/>
      <c r="OQG31" s="1688"/>
      <c r="OQH31" s="1688"/>
      <c r="OQI31" s="1688"/>
      <c r="OQJ31" s="1688"/>
      <c r="OQK31" s="1688"/>
      <c r="OQL31" s="1688"/>
      <c r="OQM31" s="1688"/>
      <c r="OQN31" s="1688"/>
      <c r="OQO31" s="1688"/>
      <c r="OQP31" s="1688"/>
      <c r="OQQ31" s="1688"/>
      <c r="OQR31" s="1688"/>
      <c r="OQS31" s="1688"/>
      <c r="OQT31" s="1688"/>
      <c r="OQU31" s="1688"/>
      <c r="OQV31" s="1688"/>
      <c r="OQW31" s="1688"/>
      <c r="OQX31" s="1688"/>
      <c r="OQY31" s="1688"/>
      <c r="OQZ31" s="1688"/>
      <c r="ORA31" s="1688"/>
      <c r="ORB31" s="1688"/>
      <c r="ORC31" s="1688"/>
      <c r="ORD31" s="1688"/>
      <c r="ORE31" s="1688"/>
      <c r="ORF31" s="1688"/>
      <c r="ORG31" s="1688"/>
      <c r="ORH31" s="1688"/>
      <c r="ORI31" s="1688"/>
      <c r="ORJ31" s="1688"/>
      <c r="ORK31" s="1688"/>
      <c r="ORL31" s="1688"/>
      <c r="ORM31" s="1688"/>
      <c r="ORN31" s="1688"/>
      <c r="ORO31" s="1688"/>
      <c r="ORP31" s="1688"/>
      <c r="ORQ31" s="1688"/>
      <c r="ORR31" s="1688"/>
      <c r="ORS31" s="1688"/>
      <c r="ORT31" s="1688"/>
      <c r="ORU31" s="1688"/>
      <c r="ORV31" s="1688"/>
      <c r="ORW31" s="1688"/>
      <c r="ORX31" s="1688"/>
      <c r="ORY31" s="1688"/>
      <c r="ORZ31" s="1688"/>
      <c r="OSA31" s="1688"/>
      <c r="OSB31" s="1688"/>
      <c r="OSC31" s="1688"/>
      <c r="OSD31" s="1688"/>
      <c r="OSE31" s="1688"/>
      <c r="OSF31" s="1688"/>
      <c r="OSG31" s="1688"/>
      <c r="OSH31" s="1688"/>
      <c r="OSI31" s="1688"/>
      <c r="OSJ31" s="1688"/>
      <c r="OSK31" s="1688"/>
      <c r="OSL31" s="1688"/>
      <c r="OSM31" s="1688"/>
      <c r="OSN31" s="1688"/>
      <c r="OSO31" s="1688"/>
      <c r="OSP31" s="1688"/>
      <c r="OSQ31" s="1688"/>
      <c r="OSR31" s="1688"/>
      <c r="OSS31" s="1688"/>
      <c r="OST31" s="1688"/>
      <c r="OSU31" s="1688"/>
      <c r="OSV31" s="1688"/>
      <c r="OSW31" s="1688"/>
      <c r="OSX31" s="1688"/>
      <c r="OSY31" s="1688"/>
      <c r="OSZ31" s="1688"/>
      <c r="OTA31" s="1688"/>
      <c r="OTB31" s="1688"/>
      <c r="OTC31" s="1688"/>
      <c r="OTD31" s="1688"/>
      <c r="OTE31" s="1688"/>
      <c r="OTF31" s="1688"/>
      <c r="OTG31" s="1688"/>
      <c r="OTH31" s="1688"/>
      <c r="OTI31" s="1688"/>
      <c r="OTJ31" s="1688"/>
      <c r="OTK31" s="1688"/>
      <c r="OTL31" s="1688"/>
      <c r="OTM31" s="1688"/>
      <c r="OTN31" s="1688"/>
      <c r="OTO31" s="1688"/>
      <c r="OTP31" s="1688"/>
      <c r="OTQ31" s="1688"/>
      <c r="OTR31" s="1688"/>
      <c r="OTS31" s="1688"/>
      <c r="OTT31" s="1688"/>
      <c r="OTU31" s="1688"/>
      <c r="OTV31" s="1688"/>
      <c r="OTW31" s="1688"/>
      <c r="OTX31" s="1688"/>
      <c r="OTY31" s="1688"/>
      <c r="OTZ31" s="1688"/>
      <c r="OUA31" s="1688"/>
      <c r="OUB31" s="1688"/>
      <c r="OUC31" s="1688"/>
      <c r="OUD31" s="1688"/>
      <c r="OUE31" s="1688"/>
      <c r="OUF31" s="1688"/>
      <c r="OUG31" s="1688"/>
      <c r="OUH31" s="1688"/>
      <c r="OUI31" s="1688"/>
      <c r="OUJ31" s="1688"/>
      <c r="OUK31" s="1688"/>
      <c r="OUL31" s="1688"/>
      <c r="OUM31" s="1688"/>
      <c r="OUN31" s="1688"/>
      <c r="OUO31" s="1688"/>
      <c r="OUP31" s="1688"/>
      <c r="OUQ31" s="1688"/>
      <c r="OUR31" s="1688"/>
      <c r="OUS31" s="1688"/>
      <c r="OUT31" s="1688"/>
      <c r="OUU31" s="1688"/>
      <c r="OUV31" s="1688"/>
      <c r="OUW31" s="1688"/>
      <c r="OUX31" s="1688"/>
      <c r="OUY31" s="1688"/>
      <c r="OUZ31" s="1688"/>
      <c r="OVA31" s="1688"/>
      <c r="OVB31" s="1688"/>
      <c r="OVC31" s="1688"/>
      <c r="OVD31" s="1688"/>
      <c r="OVE31" s="1688"/>
      <c r="OVF31" s="1688"/>
      <c r="OVG31" s="1688"/>
      <c r="OVH31" s="1688"/>
      <c r="OVI31" s="1688"/>
      <c r="OVJ31" s="1688"/>
      <c r="OVK31" s="1688"/>
      <c r="OVL31" s="1688"/>
      <c r="OVM31" s="1688"/>
      <c r="OVN31" s="1688"/>
      <c r="OVO31" s="1688"/>
      <c r="OVP31" s="1688"/>
      <c r="OVQ31" s="1688"/>
      <c r="OVR31" s="1688"/>
      <c r="OVS31" s="1688"/>
      <c r="OVT31" s="1688"/>
      <c r="OVU31" s="1688"/>
      <c r="OVV31" s="1688"/>
      <c r="OVW31" s="1688"/>
      <c r="OVX31" s="1688"/>
      <c r="OVY31" s="1688"/>
      <c r="OVZ31" s="1688"/>
      <c r="OWA31" s="1688"/>
      <c r="OWB31" s="1688"/>
      <c r="OWC31" s="1688"/>
      <c r="OWD31" s="1688"/>
      <c r="OWE31" s="1688"/>
      <c r="OWF31" s="1688"/>
      <c r="OWG31" s="1688"/>
      <c r="OWH31" s="1688"/>
      <c r="OWI31" s="1688"/>
      <c r="OWJ31" s="1688"/>
      <c r="OWK31" s="1688"/>
      <c r="OWL31" s="1688"/>
      <c r="OWM31" s="1688"/>
      <c r="OWN31" s="1688"/>
      <c r="OWO31" s="1688"/>
      <c r="OWP31" s="1688"/>
      <c r="OWQ31" s="1688"/>
      <c r="OWR31" s="1688"/>
      <c r="OWS31" s="1688"/>
      <c r="OWT31" s="1688"/>
      <c r="OWU31" s="1688"/>
      <c r="OWV31" s="1688"/>
      <c r="OWW31" s="1688"/>
      <c r="OWX31" s="1688"/>
      <c r="OWY31" s="1688"/>
      <c r="OWZ31" s="1688"/>
      <c r="OXA31" s="1688"/>
      <c r="OXB31" s="1688"/>
      <c r="OXC31" s="1688"/>
      <c r="OXD31" s="1688"/>
      <c r="OXE31" s="1688"/>
      <c r="OXF31" s="1688"/>
      <c r="OXG31" s="1688"/>
      <c r="OXH31" s="1688"/>
      <c r="OXI31" s="1688"/>
      <c r="OXJ31" s="1688"/>
      <c r="OXK31" s="1688"/>
      <c r="OXL31" s="1688"/>
      <c r="OXM31" s="1688"/>
      <c r="OXN31" s="1688"/>
      <c r="OXO31" s="1688"/>
      <c r="OXP31" s="1688"/>
      <c r="OXQ31" s="1688"/>
      <c r="OXR31" s="1688"/>
      <c r="OXS31" s="1688"/>
      <c r="OXT31" s="1688"/>
      <c r="OXU31" s="1688"/>
      <c r="OXV31" s="1688"/>
      <c r="OXW31" s="1688"/>
      <c r="OXX31" s="1688"/>
      <c r="OXY31" s="1688"/>
      <c r="OXZ31" s="1688"/>
      <c r="OYA31" s="1688"/>
      <c r="OYB31" s="1688"/>
      <c r="OYC31" s="1688"/>
      <c r="OYD31" s="1688"/>
      <c r="OYE31" s="1688"/>
      <c r="OYF31" s="1688"/>
      <c r="OYG31" s="1688"/>
      <c r="OYH31" s="1688"/>
      <c r="OYI31" s="1688"/>
      <c r="OYJ31" s="1688"/>
      <c r="OYK31" s="1688"/>
      <c r="OYL31" s="1688"/>
      <c r="OYM31" s="1688"/>
      <c r="OYN31" s="1688"/>
      <c r="OYO31" s="1688"/>
      <c r="OYP31" s="1688"/>
      <c r="OYQ31" s="1688"/>
      <c r="OYR31" s="1688"/>
      <c r="OYS31" s="1688"/>
      <c r="OYT31" s="1688"/>
      <c r="OYU31" s="1688"/>
      <c r="OYV31" s="1688"/>
      <c r="OYW31" s="1688"/>
      <c r="OYX31" s="1688"/>
      <c r="OYY31" s="1688"/>
      <c r="OYZ31" s="1688"/>
      <c r="OZA31" s="1688"/>
      <c r="OZB31" s="1688"/>
      <c r="OZC31" s="1688"/>
      <c r="OZD31" s="1688"/>
      <c r="OZE31" s="1688"/>
      <c r="OZF31" s="1688"/>
      <c r="OZG31" s="1688"/>
      <c r="OZH31" s="1688"/>
      <c r="OZI31" s="1688"/>
      <c r="OZJ31" s="1688"/>
      <c r="OZK31" s="1688"/>
      <c r="OZL31" s="1688"/>
      <c r="OZM31" s="1688"/>
      <c r="OZN31" s="1688"/>
      <c r="OZO31" s="1688"/>
      <c r="OZP31" s="1688"/>
      <c r="OZQ31" s="1688"/>
      <c r="OZR31" s="1688"/>
      <c r="OZS31" s="1688"/>
      <c r="OZT31" s="1688"/>
      <c r="OZU31" s="1688"/>
      <c r="OZV31" s="1688"/>
      <c r="OZW31" s="1688"/>
      <c r="OZX31" s="1688"/>
      <c r="OZY31" s="1688"/>
      <c r="OZZ31" s="1688"/>
      <c r="PAA31" s="1688"/>
      <c r="PAB31" s="1688"/>
      <c r="PAC31" s="1688"/>
      <c r="PAD31" s="1688"/>
      <c r="PAE31" s="1688"/>
      <c r="PAF31" s="1688"/>
      <c r="PAG31" s="1688"/>
      <c r="PAH31" s="1688"/>
      <c r="PAI31" s="1688"/>
      <c r="PAJ31" s="1688"/>
      <c r="PAK31" s="1688"/>
      <c r="PAL31" s="1688"/>
      <c r="PAM31" s="1688"/>
      <c r="PAN31" s="1688"/>
      <c r="PAO31" s="1688"/>
      <c r="PAP31" s="1688"/>
      <c r="PAQ31" s="1688"/>
      <c r="PAR31" s="1688"/>
      <c r="PAS31" s="1688"/>
      <c r="PAT31" s="1688"/>
      <c r="PAU31" s="1688"/>
      <c r="PAV31" s="1688"/>
      <c r="PAW31" s="1688"/>
      <c r="PAX31" s="1688"/>
      <c r="PAY31" s="1688"/>
      <c r="PAZ31" s="1688"/>
      <c r="PBA31" s="1688"/>
      <c r="PBB31" s="1688"/>
      <c r="PBC31" s="1688"/>
      <c r="PBD31" s="1688"/>
      <c r="PBE31" s="1688"/>
      <c r="PBF31" s="1688"/>
      <c r="PBG31" s="1688"/>
      <c r="PBH31" s="1688"/>
      <c r="PBI31" s="1688"/>
      <c r="PBJ31" s="1688"/>
      <c r="PBK31" s="1688"/>
      <c r="PBL31" s="1688"/>
      <c r="PBM31" s="1688"/>
      <c r="PBN31" s="1688"/>
      <c r="PBO31" s="1688"/>
      <c r="PBP31" s="1688"/>
      <c r="PBQ31" s="1688"/>
      <c r="PBR31" s="1688"/>
      <c r="PBS31" s="1688"/>
      <c r="PBT31" s="1688"/>
      <c r="PBU31" s="1688"/>
      <c r="PBV31" s="1688"/>
      <c r="PBW31" s="1688"/>
      <c r="PBX31" s="1688"/>
      <c r="PBY31" s="1688"/>
      <c r="PBZ31" s="1688"/>
      <c r="PCA31" s="1688"/>
      <c r="PCB31" s="1688"/>
      <c r="PCC31" s="1688"/>
      <c r="PCD31" s="1688"/>
      <c r="PCE31" s="1688"/>
      <c r="PCF31" s="1688"/>
      <c r="PCG31" s="1688"/>
      <c r="PCH31" s="1688"/>
      <c r="PCI31" s="1688"/>
      <c r="PCJ31" s="1688"/>
      <c r="PCK31" s="1688"/>
      <c r="PCL31" s="1688"/>
      <c r="PCM31" s="1688"/>
      <c r="PCN31" s="1688"/>
      <c r="PCO31" s="1688"/>
      <c r="PCP31" s="1688"/>
      <c r="PCQ31" s="1688"/>
      <c r="PCR31" s="1688"/>
      <c r="PCS31" s="1688"/>
      <c r="PCT31" s="1688"/>
      <c r="PCU31" s="1688"/>
      <c r="PCV31" s="1688"/>
      <c r="PCW31" s="1688"/>
      <c r="PCX31" s="1688"/>
      <c r="PCY31" s="1688"/>
      <c r="PCZ31" s="1688"/>
      <c r="PDA31" s="1688"/>
      <c r="PDB31" s="1688"/>
      <c r="PDC31" s="1688"/>
      <c r="PDD31" s="1688"/>
      <c r="PDE31" s="1688"/>
      <c r="PDF31" s="1688"/>
      <c r="PDG31" s="1688"/>
      <c r="PDH31" s="1688"/>
      <c r="PDI31" s="1688"/>
      <c r="PDJ31" s="1688"/>
      <c r="PDK31" s="1688"/>
      <c r="PDL31" s="1688"/>
      <c r="PDM31" s="1688"/>
      <c r="PDN31" s="1688"/>
      <c r="PDO31" s="1688"/>
      <c r="PDP31" s="1688"/>
      <c r="PDQ31" s="1688"/>
      <c r="PDR31" s="1688"/>
      <c r="PDS31" s="1688"/>
      <c r="PDT31" s="1688"/>
      <c r="PDU31" s="1688"/>
      <c r="PDV31" s="1688"/>
      <c r="PDW31" s="1688"/>
      <c r="PDX31" s="1688"/>
      <c r="PDY31" s="1688"/>
      <c r="PDZ31" s="1688"/>
      <c r="PEA31" s="1688"/>
      <c r="PEB31" s="1688"/>
      <c r="PEC31" s="1688"/>
      <c r="PED31" s="1688"/>
      <c r="PEE31" s="1688"/>
      <c r="PEF31" s="1688"/>
      <c r="PEG31" s="1688"/>
      <c r="PEH31" s="1688"/>
      <c r="PEI31" s="1688"/>
      <c r="PEJ31" s="1688"/>
      <c r="PEK31" s="1688"/>
      <c r="PEL31" s="1688"/>
      <c r="PEM31" s="1688"/>
      <c r="PEN31" s="1688"/>
      <c r="PEO31" s="1688"/>
      <c r="PEP31" s="1688"/>
      <c r="PEQ31" s="1688"/>
      <c r="PER31" s="1688"/>
      <c r="PES31" s="1688"/>
      <c r="PET31" s="1688"/>
      <c r="PEU31" s="1688"/>
      <c r="PEV31" s="1688"/>
      <c r="PEW31" s="1688"/>
      <c r="PEX31" s="1688"/>
      <c r="PEY31" s="1688"/>
      <c r="PEZ31" s="1688"/>
      <c r="PFA31" s="1688"/>
      <c r="PFB31" s="1688"/>
      <c r="PFC31" s="1688"/>
      <c r="PFD31" s="1688"/>
      <c r="PFE31" s="1688"/>
      <c r="PFF31" s="1688"/>
      <c r="PFG31" s="1688"/>
      <c r="PFH31" s="1688"/>
      <c r="PFI31" s="1688"/>
      <c r="PFJ31" s="1688"/>
      <c r="PFK31" s="1688"/>
      <c r="PFL31" s="1688"/>
      <c r="PFM31" s="1688"/>
      <c r="PFN31" s="1688"/>
      <c r="PFO31" s="1688"/>
      <c r="PFP31" s="1688"/>
      <c r="PFQ31" s="1688"/>
      <c r="PFR31" s="1688"/>
      <c r="PFS31" s="1688"/>
      <c r="PFT31" s="1688"/>
      <c r="PFU31" s="1688"/>
      <c r="PFV31" s="1688"/>
      <c r="PFW31" s="1688"/>
      <c r="PFX31" s="1688"/>
      <c r="PFY31" s="1688"/>
      <c r="PFZ31" s="1688"/>
      <c r="PGA31" s="1688"/>
      <c r="PGB31" s="1688"/>
      <c r="PGC31" s="1688"/>
      <c r="PGD31" s="1688"/>
      <c r="PGE31" s="1688"/>
      <c r="PGF31" s="1688"/>
      <c r="PGG31" s="1688"/>
      <c r="PGH31" s="1688"/>
      <c r="PGI31" s="1688"/>
      <c r="PGJ31" s="1688"/>
      <c r="PGK31" s="1688"/>
      <c r="PGL31" s="1688"/>
      <c r="PGM31" s="1688"/>
      <c r="PGN31" s="1688"/>
      <c r="PGO31" s="1688"/>
      <c r="PGP31" s="1688"/>
      <c r="PGQ31" s="1688"/>
      <c r="PGR31" s="1688"/>
      <c r="PGS31" s="1688"/>
      <c r="PGT31" s="1688"/>
      <c r="PGU31" s="1688"/>
      <c r="PGV31" s="1688"/>
      <c r="PGW31" s="1688"/>
      <c r="PGX31" s="1688"/>
      <c r="PGY31" s="1688"/>
      <c r="PGZ31" s="1688"/>
      <c r="PHA31" s="1688"/>
      <c r="PHB31" s="1688"/>
      <c r="PHC31" s="1688"/>
      <c r="PHD31" s="1688"/>
      <c r="PHE31" s="1688"/>
      <c r="PHF31" s="1688"/>
      <c r="PHG31" s="1688"/>
      <c r="PHH31" s="1688"/>
      <c r="PHI31" s="1688"/>
      <c r="PHJ31" s="1688"/>
      <c r="PHK31" s="1688"/>
      <c r="PHL31" s="1688"/>
      <c r="PHM31" s="1688"/>
      <c r="PHN31" s="1688"/>
      <c r="PHO31" s="1688"/>
      <c r="PHP31" s="1688"/>
      <c r="PHQ31" s="1688"/>
      <c r="PHR31" s="1688"/>
      <c r="PHS31" s="1688"/>
      <c r="PHT31" s="1688"/>
      <c r="PHU31" s="1688"/>
      <c r="PHV31" s="1688"/>
      <c r="PHW31" s="1688"/>
      <c r="PHX31" s="1688"/>
      <c r="PHY31" s="1688"/>
      <c r="PHZ31" s="1688"/>
      <c r="PIA31" s="1688"/>
      <c r="PIB31" s="1688"/>
      <c r="PIC31" s="1688"/>
      <c r="PID31" s="1688"/>
      <c r="PIE31" s="1688"/>
      <c r="PIF31" s="1688"/>
      <c r="PIG31" s="1688"/>
      <c r="PIH31" s="1688"/>
      <c r="PII31" s="1688"/>
      <c r="PIJ31" s="1688"/>
      <c r="PIK31" s="1688"/>
      <c r="PIL31" s="1688"/>
      <c r="PIM31" s="1688"/>
      <c r="PIN31" s="1688"/>
      <c r="PIO31" s="1688"/>
      <c r="PIP31" s="1688"/>
      <c r="PIQ31" s="1688"/>
      <c r="PIR31" s="1688"/>
      <c r="PIS31" s="1688"/>
      <c r="PIT31" s="1688"/>
      <c r="PIU31" s="1688"/>
      <c r="PIV31" s="1688"/>
      <c r="PIW31" s="1688"/>
      <c r="PIX31" s="1688"/>
      <c r="PIY31" s="1688"/>
      <c r="PIZ31" s="1688"/>
      <c r="PJA31" s="1688"/>
      <c r="PJB31" s="1688"/>
      <c r="PJC31" s="1688"/>
      <c r="PJD31" s="1688"/>
      <c r="PJE31" s="1688"/>
      <c r="PJF31" s="1688"/>
      <c r="PJG31" s="1688"/>
      <c r="PJH31" s="1688"/>
      <c r="PJI31" s="1688"/>
      <c r="PJJ31" s="1688"/>
      <c r="PJK31" s="1688"/>
      <c r="PJL31" s="1688"/>
      <c r="PJM31" s="1688"/>
      <c r="PJN31" s="1688"/>
      <c r="PJO31" s="1688"/>
      <c r="PJP31" s="1688"/>
      <c r="PJQ31" s="1688"/>
      <c r="PJR31" s="1688"/>
      <c r="PJS31" s="1688"/>
      <c r="PJT31" s="1688"/>
      <c r="PJU31" s="1688"/>
      <c r="PJV31" s="1688"/>
      <c r="PJW31" s="1688"/>
      <c r="PJX31" s="1688"/>
      <c r="PJY31" s="1688"/>
      <c r="PJZ31" s="1688"/>
      <c r="PKA31" s="1688"/>
      <c r="PKB31" s="1688"/>
      <c r="PKC31" s="1688"/>
      <c r="PKD31" s="1688"/>
      <c r="PKE31" s="1688"/>
      <c r="PKF31" s="1688"/>
      <c r="PKG31" s="1688"/>
      <c r="PKH31" s="1688"/>
      <c r="PKI31" s="1688"/>
      <c r="PKJ31" s="1688"/>
      <c r="PKK31" s="1688"/>
      <c r="PKL31" s="1688"/>
      <c r="PKM31" s="1688"/>
      <c r="PKN31" s="1688"/>
      <c r="PKO31" s="1688"/>
      <c r="PKP31" s="1688"/>
      <c r="PKQ31" s="1688"/>
      <c r="PKR31" s="1688"/>
      <c r="PKS31" s="1688"/>
      <c r="PKT31" s="1688"/>
      <c r="PKU31" s="1688"/>
      <c r="PKV31" s="1688"/>
      <c r="PKW31" s="1688"/>
      <c r="PKX31" s="1688"/>
      <c r="PKY31" s="1688"/>
      <c r="PKZ31" s="1688"/>
      <c r="PLA31" s="1688"/>
      <c r="PLB31" s="1688"/>
      <c r="PLC31" s="1688"/>
      <c r="PLD31" s="1688"/>
      <c r="PLE31" s="1688"/>
      <c r="PLF31" s="1688"/>
      <c r="PLG31" s="1688"/>
      <c r="PLH31" s="1688"/>
      <c r="PLI31" s="1688"/>
      <c r="PLJ31" s="1688"/>
      <c r="PLK31" s="1688"/>
      <c r="PLL31" s="1688"/>
      <c r="PLM31" s="1688"/>
      <c r="PLN31" s="1688"/>
      <c r="PLO31" s="1688"/>
      <c r="PLP31" s="1688"/>
      <c r="PLQ31" s="1688"/>
      <c r="PLR31" s="1688"/>
      <c r="PLS31" s="1688"/>
      <c r="PLT31" s="1688"/>
      <c r="PLU31" s="1688"/>
      <c r="PLV31" s="1688"/>
      <c r="PLW31" s="1688"/>
      <c r="PLX31" s="1688"/>
      <c r="PLY31" s="1688"/>
      <c r="PLZ31" s="1688"/>
      <c r="PMA31" s="1688"/>
      <c r="PMB31" s="1688"/>
      <c r="PMC31" s="1688"/>
      <c r="PMD31" s="1688"/>
      <c r="PME31" s="1688"/>
      <c r="PMF31" s="1688"/>
      <c r="PMG31" s="1688"/>
      <c r="PMH31" s="1688"/>
      <c r="PMI31" s="1688"/>
      <c r="PMJ31" s="1688"/>
      <c r="PMK31" s="1688"/>
      <c r="PML31" s="1688"/>
      <c r="PMM31" s="1688"/>
      <c r="PMN31" s="1688"/>
      <c r="PMO31" s="1688"/>
      <c r="PMP31" s="1688"/>
      <c r="PMQ31" s="1688"/>
      <c r="PMR31" s="1688"/>
      <c r="PMS31" s="1688"/>
      <c r="PMT31" s="1688"/>
      <c r="PMU31" s="1688"/>
      <c r="PMV31" s="1688"/>
      <c r="PMW31" s="1688"/>
      <c r="PMX31" s="1688"/>
      <c r="PMY31" s="1688"/>
      <c r="PMZ31" s="1688"/>
      <c r="PNA31" s="1688"/>
      <c r="PNB31" s="1688"/>
      <c r="PNC31" s="1688"/>
      <c r="PND31" s="1688"/>
      <c r="PNE31" s="1688"/>
      <c r="PNF31" s="1688"/>
      <c r="PNG31" s="1688"/>
      <c r="PNH31" s="1688"/>
      <c r="PNI31" s="1688"/>
      <c r="PNJ31" s="1688"/>
      <c r="PNK31" s="1688"/>
      <c r="PNL31" s="1688"/>
      <c r="PNM31" s="1688"/>
      <c r="PNN31" s="1688"/>
      <c r="PNO31" s="1688"/>
      <c r="PNP31" s="1688"/>
      <c r="PNQ31" s="1688"/>
      <c r="PNR31" s="1688"/>
      <c r="PNS31" s="1688"/>
      <c r="PNT31" s="1688"/>
      <c r="PNU31" s="1688"/>
      <c r="PNV31" s="1688"/>
      <c r="PNW31" s="1688"/>
      <c r="PNX31" s="1688"/>
      <c r="PNY31" s="1688"/>
      <c r="PNZ31" s="1688"/>
      <c r="POA31" s="1688"/>
      <c r="POB31" s="1688"/>
      <c r="POC31" s="1688"/>
      <c r="POD31" s="1688"/>
      <c r="POE31" s="1688"/>
      <c r="POF31" s="1688"/>
      <c r="POG31" s="1688"/>
      <c r="POH31" s="1688"/>
      <c r="POI31" s="1688"/>
      <c r="POJ31" s="1688"/>
      <c r="POK31" s="1688"/>
      <c r="POL31" s="1688"/>
      <c r="POM31" s="1688"/>
      <c r="PON31" s="1688"/>
      <c r="POO31" s="1688"/>
      <c r="POP31" s="1688"/>
      <c r="POQ31" s="1688"/>
      <c r="POR31" s="1688"/>
      <c r="POS31" s="1688"/>
      <c r="POT31" s="1688"/>
      <c r="POU31" s="1688"/>
      <c r="POV31" s="1688"/>
      <c r="POW31" s="1688"/>
      <c r="POX31" s="1688"/>
      <c r="POY31" s="1688"/>
      <c r="POZ31" s="1688"/>
      <c r="PPA31" s="1688"/>
      <c r="PPB31" s="1688"/>
      <c r="PPC31" s="1688"/>
      <c r="PPD31" s="1688"/>
      <c r="PPE31" s="1688"/>
      <c r="PPF31" s="1688"/>
      <c r="PPG31" s="1688"/>
      <c r="PPH31" s="1688"/>
      <c r="PPI31" s="1688"/>
      <c r="PPJ31" s="1688"/>
      <c r="PPK31" s="1688"/>
      <c r="PPL31" s="1688"/>
      <c r="PPM31" s="1688"/>
      <c r="PPN31" s="1688"/>
      <c r="PPO31" s="1688"/>
      <c r="PPP31" s="1688"/>
      <c r="PPQ31" s="1688"/>
      <c r="PPR31" s="1688"/>
      <c r="PPS31" s="1688"/>
      <c r="PPT31" s="1688"/>
      <c r="PPU31" s="1688"/>
      <c r="PPV31" s="1688"/>
      <c r="PPW31" s="1688"/>
      <c r="PPX31" s="1688"/>
      <c r="PPY31" s="1688"/>
      <c r="PPZ31" s="1688"/>
      <c r="PQA31" s="1688"/>
      <c r="PQB31" s="1688"/>
      <c r="PQC31" s="1688"/>
      <c r="PQD31" s="1688"/>
      <c r="PQE31" s="1688"/>
      <c r="PQF31" s="1688"/>
      <c r="PQG31" s="1688"/>
      <c r="PQH31" s="1688"/>
      <c r="PQI31" s="1688"/>
      <c r="PQJ31" s="1688"/>
      <c r="PQK31" s="1688"/>
      <c r="PQL31" s="1688"/>
      <c r="PQM31" s="1688"/>
      <c r="PQN31" s="1688"/>
      <c r="PQO31" s="1688"/>
      <c r="PQP31" s="1688"/>
      <c r="PQQ31" s="1688"/>
      <c r="PQR31" s="1688"/>
      <c r="PQS31" s="1688"/>
      <c r="PQT31" s="1688"/>
      <c r="PQU31" s="1688"/>
      <c r="PQV31" s="1688"/>
      <c r="PQW31" s="1688"/>
      <c r="PQX31" s="1688"/>
      <c r="PQY31" s="1688"/>
      <c r="PQZ31" s="1688"/>
      <c r="PRA31" s="1688"/>
      <c r="PRB31" s="1688"/>
      <c r="PRC31" s="1688"/>
      <c r="PRD31" s="1688"/>
      <c r="PRE31" s="1688"/>
      <c r="PRF31" s="1688"/>
      <c r="PRG31" s="1688"/>
      <c r="PRH31" s="1688"/>
      <c r="PRI31" s="1688"/>
      <c r="PRJ31" s="1688"/>
      <c r="PRK31" s="1688"/>
      <c r="PRL31" s="1688"/>
      <c r="PRM31" s="1688"/>
      <c r="PRN31" s="1688"/>
      <c r="PRO31" s="1688"/>
      <c r="PRP31" s="1688"/>
      <c r="PRQ31" s="1688"/>
      <c r="PRR31" s="1688"/>
      <c r="PRS31" s="1688"/>
      <c r="PRT31" s="1688"/>
      <c r="PRU31" s="1688"/>
      <c r="PRV31" s="1688"/>
      <c r="PRW31" s="1688"/>
      <c r="PRX31" s="1688"/>
      <c r="PRY31" s="1688"/>
      <c r="PRZ31" s="1688"/>
      <c r="PSA31" s="1688"/>
      <c r="PSB31" s="1688"/>
      <c r="PSC31" s="1688"/>
      <c r="PSD31" s="1688"/>
      <c r="PSE31" s="1688"/>
      <c r="PSF31" s="1688"/>
      <c r="PSG31" s="1688"/>
      <c r="PSH31" s="1688"/>
      <c r="PSI31" s="1688"/>
      <c r="PSJ31" s="1688"/>
      <c r="PSK31" s="1688"/>
      <c r="PSL31" s="1688"/>
      <c r="PSM31" s="1688"/>
      <c r="PSN31" s="1688"/>
      <c r="PSO31" s="1688"/>
      <c r="PSP31" s="1688"/>
      <c r="PSQ31" s="1688"/>
      <c r="PSR31" s="1688"/>
      <c r="PSS31" s="1688"/>
      <c r="PST31" s="1688"/>
      <c r="PSU31" s="1688"/>
      <c r="PSV31" s="1688"/>
      <c r="PSW31" s="1688"/>
      <c r="PSX31" s="1688"/>
      <c r="PSY31" s="1688"/>
      <c r="PSZ31" s="1688"/>
      <c r="PTA31" s="1688"/>
      <c r="PTB31" s="1688"/>
      <c r="PTC31" s="1688"/>
      <c r="PTD31" s="1688"/>
      <c r="PTE31" s="1688"/>
      <c r="PTF31" s="1688"/>
      <c r="PTG31" s="1688"/>
      <c r="PTH31" s="1688"/>
      <c r="PTI31" s="1688"/>
      <c r="PTJ31" s="1688"/>
      <c r="PTK31" s="1688"/>
      <c r="PTL31" s="1688"/>
      <c r="PTM31" s="1688"/>
      <c r="PTN31" s="1688"/>
      <c r="PTO31" s="1688"/>
      <c r="PTP31" s="1688"/>
      <c r="PTQ31" s="1688"/>
      <c r="PTR31" s="1688"/>
      <c r="PTS31" s="1688"/>
      <c r="PTT31" s="1688"/>
      <c r="PTU31" s="1688"/>
      <c r="PTV31" s="1688"/>
      <c r="PTW31" s="1688"/>
      <c r="PTX31" s="1688"/>
      <c r="PTY31" s="1688"/>
      <c r="PTZ31" s="1688"/>
      <c r="PUA31" s="1688"/>
      <c r="PUB31" s="1688"/>
      <c r="PUC31" s="1688"/>
      <c r="PUD31" s="1688"/>
      <c r="PUE31" s="1688"/>
      <c r="PUF31" s="1688"/>
      <c r="PUG31" s="1688"/>
      <c r="PUH31" s="1688"/>
      <c r="PUI31" s="1688"/>
      <c r="PUJ31" s="1688"/>
      <c r="PUK31" s="1688"/>
      <c r="PUL31" s="1688"/>
      <c r="PUM31" s="1688"/>
      <c r="PUN31" s="1688"/>
      <c r="PUO31" s="1688"/>
      <c r="PUP31" s="1688"/>
      <c r="PUQ31" s="1688"/>
      <c r="PUR31" s="1688"/>
      <c r="PUS31" s="1688"/>
      <c r="PUT31" s="1688"/>
      <c r="PUU31" s="1688"/>
      <c r="PUV31" s="1688"/>
      <c r="PUW31" s="1688"/>
      <c r="PUX31" s="1688"/>
      <c r="PUY31" s="1688"/>
      <c r="PUZ31" s="1688"/>
      <c r="PVA31" s="1688"/>
      <c r="PVB31" s="1688"/>
      <c r="PVC31" s="1688"/>
      <c r="PVD31" s="1688"/>
      <c r="PVE31" s="1688"/>
      <c r="PVF31" s="1688"/>
      <c r="PVG31" s="1688"/>
      <c r="PVH31" s="1688"/>
      <c r="PVI31" s="1688"/>
      <c r="PVJ31" s="1688"/>
      <c r="PVK31" s="1688"/>
      <c r="PVL31" s="1688"/>
      <c r="PVM31" s="1688"/>
      <c r="PVN31" s="1688"/>
      <c r="PVO31" s="1688"/>
      <c r="PVP31" s="1688"/>
      <c r="PVQ31" s="1688"/>
      <c r="PVR31" s="1688"/>
      <c r="PVS31" s="1688"/>
      <c r="PVT31" s="1688"/>
      <c r="PVU31" s="1688"/>
      <c r="PVV31" s="1688"/>
      <c r="PVW31" s="1688"/>
      <c r="PVX31" s="1688"/>
      <c r="PVY31" s="1688"/>
      <c r="PVZ31" s="1688"/>
      <c r="PWA31" s="1688"/>
      <c r="PWB31" s="1688"/>
      <c r="PWC31" s="1688"/>
      <c r="PWD31" s="1688"/>
      <c r="PWE31" s="1688"/>
      <c r="PWF31" s="1688"/>
      <c r="PWG31" s="1688"/>
      <c r="PWH31" s="1688"/>
      <c r="PWI31" s="1688"/>
      <c r="PWJ31" s="1688"/>
      <c r="PWK31" s="1688"/>
      <c r="PWL31" s="1688"/>
      <c r="PWM31" s="1688"/>
      <c r="PWN31" s="1688"/>
      <c r="PWO31" s="1688"/>
      <c r="PWP31" s="1688"/>
      <c r="PWQ31" s="1688"/>
      <c r="PWR31" s="1688"/>
      <c r="PWS31" s="1688"/>
      <c r="PWT31" s="1688"/>
      <c r="PWU31" s="1688"/>
      <c r="PWV31" s="1688"/>
      <c r="PWW31" s="1688"/>
      <c r="PWX31" s="1688"/>
      <c r="PWY31" s="1688"/>
      <c r="PWZ31" s="1688"/>
      <c r="PXA31" s="1688"/>
      <c r="PXB31" s="1688"/>
      <c r="PXC31" s="1688"/>
      <c r="PXD31" s="1688"/>
      <c r="PXE31" s="1688"/>
      <c r="PXF31" s="1688"/>
      <c r="PXG31" s="1688"/>
      <c r="PXH31" s="1688"/>
      <c r="PXI31" s="1688"/>
      <c r="PXJ31" s="1688"/>
      <c r="PXK31" s="1688"/>
      <c r="PXL31" s="1688"/>
      <c r="PXM31" s="1688"/>
      <c r="PXN31" s="1688"/>
      <c r="PXO31" s="1688"/>
      <c r="PXP31" s="1688"/>
      <c r="PXQ31" s="1688"/>
      <c r="PXR31" s="1688"/>
      <c r="PXS31" s="1688"/>
      <c r="PXT31" s="1688"/>
      <c r="PXU31" s="1688"/>
      <c r="PXV31" s="1688"/>
      <c r="PXW31" s="1688"/>
      <c r="PXX31" s="1688"/>
      <c r="PXY31" s="1688"/>
      <c r="PXZ31" s="1688"/>
      <c r="PYA31" s="1688"/>
      <c r="PYB31" s="1688"/>
      <c r="PYC31" s="1688"/>
      <c r="PYD31" s="1688"/>
      <c r="PYE31" s="1688"/>
      <c r="PYF31" s="1688"/>
      <c r="PYG31" s="1688"/>
      <c r="PYH31" s="1688"/>
      <c r="PYI31" s="1688"/>
      <c r="PYJ31" s="1688"/>
      <c r="PYK31" s="1688"/>
      <c r="PYL31" s="1688"/>
      <c r="PYM31" s="1688"/>
      <c r="PYN31" s="1688"/>
      <c r="PYO31" s="1688"/>
      <c r="PYP31" s="1688"/>
      <c r="PYQ31" s="1688"/>
      <c r="PYR31" s="1688"/>
      <c r="PYS31" s="1688"/>
      <c r="PYT31" s="1688"/>
      <c r="PYU31" s="1688"/>
      <c r="PYV31" s="1688"/>
      <c r="PYW31" s="1688"/>
      <c r="PYX31" s="1688"/>
      <c r="PYY31" s="1688"/>
      <c r="PYZ31" s="1688"/>
      <c r="PZA31" s="1688"/>
      <c r="PZB31" s="1688"/>
      <c r="PZC31" s="1688"/>
      <c r="PZD31" s="1688"/>
      <c r="PZE31" s="1688"/>
      <c r="PZF31" s="1688"/>
      <c r="PZG31" s="1688"/>
      <c r="PZH31" s="1688"/>
      <c r="PZI31" s="1688"/>
      <c r="PZJ31" s="1688"/>
      <c r="PZK31" s="1688"/>
      <c r="PZL31" s="1688"/>
      <c r="PZM31" s="1688"/>
      <c r="PZN31" s="1688"/>
      <c r="PZO31" s="1688"/>
      <c r="PZP31" s="1688"/>
      <c r="PZQ31" s="1688"/>
      <c r="PZR31" s="1688"/>
      <c r="PZS31" s="1688"/>
      <c r="PZT31" s="1688"/>
      <c r="PZU31" s="1688"/>
      <c r="PZV31" s="1688"/>
      <c r="PZW31" s="1688"/>
      <c r="PZX31" s="1688"/>
      <c r="PZY31" s="1688"/>
      <c r="PZZ31" s="1688"/>
      <c r="QAA31" s="1688"/>
      <c r="QAB31" s="1688"/>
      <c r="QAC31" s="1688"/>
      <c r="QAD31" s="1688"/>
      <c r="QAE31" s="1688"/>
      <c r="QAF31" s="1688"/>
      <c r="QAG31" s="1688"/>
      <c r="QAH31" s="1688"/>
      <c r="QAI31" s="1688"/>
      <c r="QAJ31" s="1688"/>
      <c r="QAK31" s="1688"/>
      <c r="QAL31" s="1688"/>
      <c r="QAM31" s="1688"/>
      <c r="QAN31" s="1688"/>
      <c r="QAO31" s="1688"/>
      <c r="QAP31" s="1688"/>
      <c r="QAQ31" s="1688"/>
      <c r="QAR31" s="1688"/>
      <c r="QAS31" s="1688"/>
      <c r="QAT31" s="1688"/>
      <c r="QAU31" s="1688"/>
      <c r="QAV31" s="1688"/>
      <c r="QAW31" s="1688"/>
      <c r="QAX31" s="1688"/>
      <c r="QAY31" s="1688"/>
      <c r="QAZ31" s="1688"/>
      <c r="QBA31" s="1688"/>
      <c r="QBB31" s="1688"/>
      <c r="QBC31" s="1688"/>
      <c r="QBD31" s="1688"/>
      <c r="QBE31" s="1688"/>
      <c r="QBF31" s="1688"/>
      <c r="QBG31" s="1688"/>
      <c r="QBH31" s="1688"/>
      <c r="QBI31" s="1688"/>
      <c r="QBJ31" s="1688"/>
      <c r="QBK31" s="1688"/>
      <c r="QBL31" s="1688"/>
      <c r="QBM31" s="1688"/>
      <c r="QBN31" s="1688"/>
      <c r="QBO31" s="1688"/>
      <c r="QBP31" s="1688"/>
      <c r="QBQ31" s="1688"/>
      <c r="QBR31" s="1688"/>
      <c r="QBS31" s="1688"/>
      <c r="QBT31" s="1688"/>
      <c r="QBU31" s="1688"/>
      <c r="QBV31" s="1688"/>
      <c r="QBW31" s="1688"/>
      <c r="QBX31" s="1688"/>
      <c r="QBY31" s="1688"/>
      <c r="QBZ31" s="1688"/>
      <c r="QCA31" s="1688"/>
      <c r="QCB31" s="1688"/>
      <c r="QCC31" s="1688"/>
      <c r="QCD31" s="1688"/>
      <c r="QCE31" s="1688"/>
      <c r="QCF31" s="1688"/>
      <c r="QCG31" s="1688"/>
      <c r="QCH31" s="1688"/>
      <c r="QCI31" s="1688"/>
      <c r="QCJ31" s="1688"/>
      <c r="QCK31" s="1688"/>
      <c r="QCL31" s="1688"/>
      <c r="QCM31" s="1688"/>
      <c r="QCN31" s="1688"/>
      <c r="QCO31" s="1688"/>
      <c r="QCP31" s="1688"/>
      <c r="QCQ31" s="1688"/>
      <c r="QCR31" s="1688"/>
      <c r="QCS31" s="1688"/>
      <c r="QCT31" s="1688"/>
      <c r="QCU31" s="1688"/>
      <c r="QCV31" s="1688"/>
      <c r="QCW31" s="1688"/>
      <c r="QCX31" s="1688"/>
      <c r="QCY31" s="1688"/>
      <c r="QCZ31" s="1688"/>
      <c r="QDA31" s="1688"/>
      <c r="QDB31" s="1688"/>
      <c r="QDC31" s="1688"/>
      <c r="QDD31" s="1688"/>
      <c r="QDE31" s="1688"/>
      <c r="QDF31" s="1688"/>
      <c r="QDG31" s="1688"/>
      <c r="QDH31" s="1688"/>
      <c r="QDI31" s="1688"/>
      <c r="QDJ31" s="1688"/>
      <c r="QDK31" s="1688"/>
      <c r="QDL31" s="1688"/>
      <c r="QDM31" s="1688"/>
      <c r="QDN31" s="1688"/>
      <c r="QDO31" s="1688"/>
      <c r="QDP31" s="1688"/>
      <c r="QDQ31" s="1688"/>
      <c r="QDR31" s="1688"/>
      <c r="QDS31" s="1688"/>
      <c r="QDT31" s="1688"/>
      <c r="QDU31" s="1688"/>
      <c r="QDV31" s="1688"/>
      <c r="QDW31" s="1688"/>
      <c r="QDX31" s="1688"/>
      <c r="QDY31" s="1688"/>
      <c r="QDZ31" s="1688"/>
      <c r="QEA31" s="1688"/>
      <c r="QEB31" s="1688"/>
      <c r="QEC31" s="1688"/>
      <c r="QED31" s="1688"/>
      <c r="QEE31" s="1688"/>
      <c r="QEF31" s="1688"/>
      <c r="QEG31" s="1688"/>
      <c r="QEH31" s="1688"/>
      <c r="QEI31" s="1688"/>
      <c r="QEJ31" s="1688"/>
      <c r="QEK31" s="1688"/>
      <c r="QEL31" s="1688"/>
      <c r="QEM31" s="1688"/>
      <c r="QEN31" s="1688"/>
      <c r="QEO31" s="1688"/>
      <c r="QEP31" s="1688"/>
      <c r="QEQ31" s="1688"/>
      <c r="QER31" s="1688"/>
      <c r="QES31" s="1688"/>
      <c r="QET31" s="1688"/>
      <c r="QEU31" s="1688"/>
      <c r="QEV31" s="1688"/>
      <c r="QEW31" s="1688"/>
      <c r="QEX31" s="1688"/>
      <c r="QEY31" s="1688"/>
      <c r="QEZ31" s="1688"/>
      <c r="QFA31" s="1688"/>
      <c r="QFB31" s="1688"/>
      <c r="QFC31" s="1688"/>
      <c r="QFD31" s="1688"/>
      <c r="QFE31" s="1688"/>
      <c r="QFF31" s="1688"/>
      <c r="QFG31" s="1688"/>
      <c r="QFH31" s="1688"/>
      <c r="QFI31" s="1688"/>
      <c r="QFJ31" s="1688"/>
      <c r="QFK31" s="1688"/>
      <c r="QFL31" s="1688"/>
      <c r="QFM31" s="1688"/>
      <c r="QFN31" s="1688"/>
      <c r="QFO31" s="1688"/>
      <c r="QFP31" s="1688"/>
      <c r="QFQ31" s="1688"/>
      <c r="QFR31" s="1688"/>
      <c r="QFS31" s="1688"/>
      <c r="QFT31" s="1688"/>
      <c r="QFU31" s="1688"/>
      <c r="QFV31" s="1688"/>
      <c r="QFW31" s="1688"/>
      <c r="QFX31" s="1688"/>
      <c r="QFY31" s="1688"/>
      <c r="QFZ31" s="1688"/>
      <c r="QGA31" s="1688"/>
      <c r="QGB31" s="1688"/>
      <c r="QGC31" s="1688"/>
      <c r="QGD31" s="1688"/>
      <c r="QGE31" s="1688"/>
      <c r="QGF31" s="1688"/>
      <c r="QGG31" s="1688"/>
      <c r="QGH31" s="1688"/>
      <c r="QGI31" s="1688"/>
      <c r="QGJ31" s="1688"/>
      <c r="QGK31" s="1688"/>
      <c r="QGL31" s="1688"/>
      <c r="QGM31" s="1688"/>
      <c r="QGN31" s="1688"/>
      <c r="QGO31" s="1688"/>
      <c r="QGP31" s="1688"/>
      <c r="QGQ31" s="1688"/>
      <c r="QGR31" s="1688"/>
      <c r="QGS31" s="1688"/>
      <c r="QGT31" s="1688"/>
      <c r="QGU31" s="1688"/>
      <c r="QGV31" s="1688"/>
      <c r="QGW31" s="1688"/>
      <c r="QGX31" s="1688"/>
      <c r="QGY31" s="1688"/>
      <c r="QGZ31" s="1688"/>
      <c r="QHA31" s="1688"/>
      <c r="QHB31" s="1688"/>
      <c r="QHC31" s="1688"/>
      <c r="QHD31" s="1688"/>
      <c r="QHE31" s="1688"/>
      <c r="QHF31" s="1688"/>
      <c r="QHG31" s="1688"/>
      <c r="QHH31" s="1688"/>
      <c r="QHI31" s="1688"/>
      <c r="QHJ31" s="1688"/>
      <c r="QHK31" s="1688"/>
      <c r="QHL31" s="1688"/>
      <c r="QHM31" s="1688"/>
      <c r="QHN31" s="1688"/>
      <c r="QHO31" s="1688"/>
      <c r="QHP31" s="1688"/>
      <c r="QHQ31" s="1688"/>
      <c r="QHR31" s="1688"/>
      <c r="QHS31" s="1688"/>
      <c r="QHT31" s="1688"/>
      <c r="QHU31" s="1688"/>
      <c r="QHV31" s="1688"/>
      <c r="QHW31" s="1688"/>
      <c r="QHX31" s="1688"/>
      <c r="QHY31" s="1688"/>
      <c r="QHZ31" s="1688"/>
      <c r="QIA31" s="1688"/>
      <c r="QIB31" s="1688"/>
      <c r="QIC31" s="1688"/>
      <c r="QID31" s="1688"/>
      <c r="QIE31" s="1688"/>
      <c r="QIF31" s="1688"/>
      <c r="QIG31" s="1688"/>
      <c r="QIH31" s="1688"/>
      <c r="QII31" s="1688"/>
      <c r="QIJ31" s="1688"/>
      <c r="QIK31" s="1688"/>
      <c r="QIL31" s="1688"/>
      <c r="QIM31" s="1688"/>
      <c r="QIN31" s="1688"/>
      <c r="QIO31" s="1688"/>
      <c r="QIP31" s="1688"/>
      <c r="QIQ31" s="1688"/>
      <c r="QIR31" s="1688"/>
      <c r="QIS31" s="1688"/>
      <c r="QIT31" s="1688"/>
      <c r="QIU31" s="1688"/>
      <c r="QIV31" s="1688"/>
      <c r="QIW31" s="1688"/>
      <c r="QIX31" s="1688"/>
      <c r="QIY31" s="1688"/>
      <c r="QIZ31" s="1688"/>
      <c r="QJA31" s="1688"/>
      <c r="QJB31" s="1688"/>
      <c r="QJC31" s="1688"/>
      <c r="QJD31" s="1688"/>
      <c r="QJE31" s="1688"/>
      <c r="QJF31" s="1688"/>
      <c r="QJG31" s="1688"/>
      <c r="QJH31" s="1688"/>
      <c r="QJI31" s="1688"/>
      <c r="QJJ31" s="1688"/>
      <c r="QJK31" s="1688"/>
      <c r="QJL31" s="1688"/>
      <c r="QJM31" s="1688"/>
      <c r="QJN31" s="1688"/>
      <c r="QJO31" s="1688"/>
      <c r="QJP31" s="1688"/>
      <c r="QJQ31" s="1688"/>
      <c r="QJR31" s="1688"/>
      <c r="QJS31" s="1688"/>
      <c r="QJT31" s="1688"/>
      <c r="QJU31" s="1688"/>
      <c r="QJV31" s="1688"/>
      <c r="QJW31" s="1688"/>
      <c r="QJX31" s="1688"/>
      <c r="QJY31" s="1688"/>
      <c r="QJZ31" s="1688"/>
      <c r="QKA31" s="1688"/>
      <c r="QKB31" s="1688"/>
      <c r="QKC31" s="1688"/>
      <c r="QKD31" s="1688"/>
      <c r="QKE31" s="1688"/>
      <c r="QKF31" s="1688"/>
      <c r="QKG31" s="1688"/>
      <c r="QKH31" s="1688"/>
      <c r="QKI31" s="1688"/>
      <c r="QKJ31" s="1688"/>
      <c r="QKK31" s="1688"/>
      <c r="QKL31" s="1688"/>
      <c r="QKM31" s="1688"/>
      <c r="QKN31" s="1688"/>
      <c r="QKO31" s="1688"/>
      <c r="QKP31" s="1688"/>
      <c r="QKQ31" s="1688"/>
      <c r="QKR31" s="1688"/>
      <c r="QKS31" s="1688"/>
      <c r="QKT31" s="1688"/>
      <c r="QKU31" s="1688"/>
      <c r="QKV31" s="1688"/>
      <c r="QKW31" s="1688"/>
      <c r="QKX31" s="1688"/>
      <c r="QKY31" s="1688"/>
      <c r="QKZ31" s="1688"/>
      <c r="QLA31" s="1688"/>
      <c r="QLB31" s="1688"/>
      <c r="QLC31" s="1688"/>
      <c r="QLD31" s="1688"/>
      <c r="QLE31" s="1688"/>
      <c r="QLF31" s="1688"/>
      <c r="QLG31" s="1688"/>
      <c r="QLH31" s="1688"/>
      <c r="QLI31" s="1688"/>
      <c r="QLJ31" s="1688"/>
      <c r="QLK31" s="1688"/>
      <c r="QLL31" s="1688"/>
      <c r="QLM31" s="1688"/>
      <c r="QLN31" s="1688"/>
      <c r="QLO31" s="1688"/>
      <c r="QLP31" s="1688"/>
      <c r="QLQ31" s="1688"/>
      <c r="QLR31" s="1688"/>
      <c r="QLS31" s="1688"/>
      <c r="QLT31" s="1688"/>
      <c r="QLU31" s="1688"/>
      <c r="QLV31" s="1688"/>
      <c r="QLW31" s="1688"/>
      <c r="QLX31" s="1688"/>
      <c r="QLY31" s="1688"/>
      <c r="QLZ31" s="1688"/>
      <c r="QMA31" s="1688"/>
      <c r="QMB31" s="1688"/>
      <c r="QMC31" s="1688"/>
      <c r="QMD31" s="1688"/>
      <c r="QME31" s="1688"/>
      <c r="QMF31" s="1688"/>
      <c r="QMG31" s="1688"/>
      <c r="QMH31" s="1688"/>
      <c r="QMI31" s="1688"/>
      <c r="QMJ31" s="1688"/>
      <c r="QMK31" s="1688"/>
      <c r="QML31" s="1688"/>
      <c r="QMM31" s="1688"/>
      <c r="QMN31" s="1688"/>
      <c r="QMO31" s="1688"/>
      <c r="QMP31" s="1688"/>
      <c r="QMQ31" s="1688"/>
      <c r="QMR31" s="1688"/>
      <c r="QMS31" s="1688"/>
      <c r="QMT31" s="1688"/>
      <c r="QMU31" s="1688"/>
      <c r="QMV31" s="1688"/>
      <c r="QMW31" s="1688"/>
      <c r="QMX31" s="1688"/>
      <c r="QMY31" s="1688"/>
      <c r="QMZ31" s="1688"/>
      <c r="QNA31" s="1688"/>
      <c r="QNB31" s="1688"/>
      <c r="QNC31" s="1688"/>
      <c r="QND31" s="1688"/>
      <c r="QNE31" s="1688"/>
      <c r="QNF31" s="1688"/>
      <c r="QNG31" s="1688"/>
      <c r="QNH31" s="1688"/>
      <c r="QNI31" s="1688"/>
      <c r="QNJ31" s="1688"/>
      <c r="QNK31" s="1688"/>
      <c r="QNL31" s="1688"/>
      <c r="QNM31" s="1688"/>
      <c r="QNN31" s="1688"/>
      <c r="QNO31" s="1688"/>
      <c r="QNP31" s="1688"/>
      <c r="QNQ31" s="1688"/>
      <c r="QNR31" s="1688"/>
      <c r="QNS31" s="1688"/>
      <c r="QNT31" s="1688"/>
      <c r="QNU31" s="1688"/>
      <c r="QNV31" s="1688"/>
      <c r="QNW31" s="1688"/>
      <c r="QNX31" s="1688"/>
      <c r="QNY31" s="1688"/>
      <c r="QNZ31" s="1688"/>
      <c r="QOA31" s="1688"/>
      <c r="QOB31" s="1688"/>
      <c r="QOC31" s="1688"/>
      <c r="QOD31" s="1688"/>
      <c r="QOE31" s="1688"/>
      <c r="QOF31" s="1688"/>
      <c r="QOG31" s="1688"/>
      <c r="QOH31" s="1688"/>
      <c r="QOI31" s="1688"/>
      <c r="QOJ31" s="1688"/>
      <c r="QOK31" s="1688"/>
      <c r="QOL31" s="1688"/>
      <c r="QOM31" s="1688"/>
      <c r="QON31" s="1688"/>
      <c r="QOO31" s="1688"/>
      <c r="QOP31" s="1688"/>
      <c r="QOQ31" s="1688"/>
      <c r="QOR31" s="1688"/>
      <c r="QOS31" s="1688"/>
      <c r="QOT31" s="1688"/>
      <c r="QOU31" s="1688"/>
      <c r="QOV31" s="1688"/>
      <c r="QOW31" s="1688"/>
      <c r="QOX31" s="1688"/>
      <c r="QOY31" s="1688"/>
      <c r="QOZ31" s="1688"/>
      <c r="QPA31" s="1688"/>
      <c r="QPB31" s="1688"/>
      <c r="QPC31" s="1688"/>
      <c r="QPD31" s="1688"/>
      <c r="QPE31" s="1688"/>
      <c r="QPF31" s="1688"/>
      <c r="QPG31" s="1688"/>
      <c r="QPH31" s="1688"/>
      <c r="QPI31" s="1688"/>
      <c r="QPJ31" s="1688"/>
      <c r="QPK31" s="1688"/>
      <c r="QPL31" s="1688"/>
      <c r="QPM31" s="1688"/>
      <c r="QPN31" s="1688"/>
      <c r="QPO31" s="1688"/>
      <c r="QPP31" s="1688"/>
      <c r="QPQ31" s="1688"/>
      <c r="QPR31" s="1688"/>
      <c r="QPS31" s="1688"/>
      <c r="QPT31" s="1688"/>
      <c r="QPU31" s="1688"/>
      <c r="QPV31" s="1688"/>
      <c r="QPW31" s="1688"/>
      <c r="QPX31" s="1688"/>
      <c r="QPY31" s="1688"/>
      <c r="QPZ31" s="1688"/>
      <c r="QQA31" s="1688"/>
      <c r="QQB31" s="1688"/>
      <c r="QQC31" s="1688"/>
      <c r="QQD31" s="1688"/>
      <c r="QQE31" s="1688"/>
      <c r="QQF31" s="1688"/>
      <c r="QQG31" s="1688"/>
      <c r="QQH31" s="1688"/>
      <c r="QQI31" s="1688"/>
      <c r="QQJ31" s="1688"/>
      <c r="QQK31" s="1688"/>
      <c r="QQL31" s="1688"/>
      <c r="QQM31" s="1688"/>
      <c r="QQN31" s="1688"/>
      <c r="QQO31" s="1688"/>
      <c r="QQP31" s="1688"/>
      <c r="QQQ31" s="1688"/>
      <c r="QQR31" s="1688"/>
      <c r="QQS31" s="1688"/>
      <c r="QQT31" s="1688"/>
      <c r="QQU31" s="1688"/>
      <c r="QQV31" s="1688"/>
      <c r="QQW31" s="1688"/>
      <c r="QQX31" s="1688"/>
      <c r="QQY31" s="1688"/>
      <c r="QQZ31" s="1688"/>
      <c r="QRA31" s="1688"/>
      <c r="QRB31" s="1688"/>
      <c r="QRC31" s="1688"/>
      <c r="QRD31" s="1688"/>
      <c r="QRE31" s="1688"/>
      <c r="QRF31" s="1688"/>
      <c r="QRG31" s="1688"/>
      <c r="QRH31" s="1688"/>
      <c r="QRI31" s="1688"/>
      <c r="QRJ31" s="1688"/>
      <c r="QRK31" s="1688"/>
      <c r="QRL31" s="1688"/>
      <c r="QRM31" s="1688"/>
      <c r="QRN31" s="1688"/>
      <c r="QRO31" s="1688"/>
      <c r="QRP31" s="1688"/>
      <c r="QRQ31" s="1688"/>
      <c r="QRR31" s="1688"/>
      <c r="QRS31" s="1688"/>
      <c r="QRT31" s="1688"/>
      <c r="QRU31" s="1688"/>
      <c r="QRV31" s="1688"/>
      <c r="QRW31" s="1688"/>
      <c r="QRX31" s="1688"/>
      <c r="QRY31" s="1688"/>
      <c r="QRZ31" s="1688"/>
      <c r="QSA31" s="1688"/>
      <c r="QSB31" s="1688"/>
      <c r="QSC31" s="1688"/>
      <c r="QSD31" s="1688"/>
      <c r="QSE31" s="1688"/>
      <c r="QSF31" s="1688"/>
      <c r="QSG31" s="1688"/>
      <c r="QSH31" s="1688"/>
      <c r="QSI31" s="1688"/>
      <c r="QSJ31" s="1688"/>
      <c r="QSK31" s="1688"/>
      <c r="QSL31" s="1688"/>
      <c r="QSM31" s="1688"/>
      <c r="QSN31" s="1688"/>
      <c r="QSO31" s="1688"/>
      <c r="QSP31" s="1688"/>
      <c r="QSQ31" s="1688"/>
      <c r="QSR31" s="1688"/>
      <c r="QSS31" s="1688"/>
      <c r="QST31" s="1688"/>
      <c r="QSU31" s="1688"/>
      <c r="QSV31" s="1688"/>
      <c r="QSW31" s="1688"/>
      <c r="QSX31" s="1688"/>
      <c r="QSY31" s="1688"/>
      <c r="QSZ31" s="1688"/>
      <c r="QTA31" s="1688"/>
      <c r="QTB31" s="1688"/>
      <c r="QTC31" s="1688"/>
      <c r="QTD31" s="1688"/>
      <c r="QTE31" s="1688"/>
      <c r="QTF31" s="1688"/>
      <c r="QTG31" s="1688"/>
      <c r="QTH31" s="1688"/>
      <c r="QTI31" s="1688"/>
      <c r="QTJ31" s="1688"/>
      <c r="QTK31" s="1688"/>
      <c r="QTL31" s="1688"/>
      <c r="QTM31" s="1688"/>
      <c r="QTN31" s="1688"/>
      <c r="QTO31" s="1688"/>
      <c r="QTP31" s="1688"/>
      <c r="QTQ31" s="1688"/>
      <c r="QTR31" s="1688"/>
      <c r="QTS31" s="1688"/>
      <c r="QTT31" s="1688"/>
      <c r="QTU31" s="1688"/>
      <c r="QTV31" s="1688"/>
      <c r="QTW31" s="1688"/>
      <c r="QTX31" s="1688"/>
      <c r="QTY31" s="1688"/>
      <c r="QTZ31" s="1688"/>
      <c r="QUA31" s="1688"/>
      <c r="QUB31" s="1688"/>
      <c r="QUC31" s="1688"/>
      <c r="QUD31" s="1688"/>
      <c r="QUE31" s="1688"/>
      <c r="QUF31" s="1688"/>
      <c r="QUG31" s="1688"/>
      <c r="QUH31" s="1688"/>
      <c r="QUI31" s="1688"/>
      <c r="QUJ31" s="1688"/>
      <c r="QUK31" s="1688"/>
      <c r="QUL31" s="1688"/>
      <c r="QUM31" s="1688"/>
      <c r="QUN31" s="1688"/>
      <c r="QUO31" s="1688"/>
      <c r="QUP31" s="1688"/>
      <c r="QUQ31" s="1688"/>
      <c r="QUR31" s="1688"/>
      <c r="QUS31" s="1688"/>
      <c r="QUT31" s="1688"/>
      <c r="QUU31" s="1688"/>
      <c r="QUV31" s="1688"/>
      <c r="QUW31" s="1688"/>
      <c r="QUX31" s="1688"/>
      <c r="QUY31" s="1688"/>
      <c r="QUZ31" s="1688"/>
      <c r="QVA31" s="1688"/>
      <c r="QVB31" s="1688"/>
      <c r="QVC31" s="1688"/>
      <c r="QVD31" s="1688"/>
      <c r="QVE31" s="1688"/>
      <c r="QVF31" s="1688"/>
      <c r="QVG31" s="1688"/>
      <c r="QVH31" s="1688"/>
      <c r="QVI31" s="1688"/>
      <c r="QVJ31" s="1688"/>
      <c r="QVK31" s="1688"/>
      <c r="QVL31" s="1688"/>
      <c r="QVM31" s="1688"/>
      <c r="QVN31" s="1688"/>
      <c r="QVO31" s="1688"/>
      <c r="QVP31" s="1688"/>
      <c r="QVQ31" s="1688"/>
      <c r="QVR31" s="1688"/>
      <c r="QVS31" s="1688"/>
      <c r="QVT31" s="1688"/>
      <c r="QVU31" s="1688"/>
      <c r="QVV31" s="1688"/>
      <c r="QVW31" s="1688"/>
      <c r="QVX31" s="1688"/>
      <c r="QVY31" s="1688"/>
      <c r="QVZ31" s="1688"/>
      <c r="QWA31" s="1688"/>
      <c r="QWB31" s="1688"/>
      <c r="QWC31" s="1688"/>
      <c r="QWD31" s="1688"/>
      <c r="QWE31" s="1688"/>
      <c r="QWF31" s="1688"/>
      <c r="QWG31" s="1688"/>
      <c r="QWH31" s="1688"/>
      <c r="QWI31" s="1688"/>
      <c r="QWJ31" s="1688"/>
      <c r="QWK31" s="1688"/>
      <c r="QWL31" s="1688"/>
      <c r="QWM31" s="1688"/>
      <c r="QWN31" s="1688"/>
      <c r="QWO31" s="1688"/>
      <c r="QWP31" s="1688"/>
      <c r="QWQ31" s="1688"/>
      <c r="QWR31" s="1688"/>
      <c r="QWS31" s="1688"/>
      <c r="QWT31" s="1688"/>
      <c r="QWU31" s="1688"/>
      <c r="QWV31" s="1688"/>
      <c r="QWW31" s="1688"/>
      <c r="QWX31" s="1688"/>
      <c r="QWY31" s="1688"/>
      <c r="QWZ31" s="1688"/>
      <c r="QXA31" s="1688"/>
      <c r="QXB31" s="1688"/>
      <c r="QXC31" s="1688"/>
      <c r="QXD31" s="1688"/>
      <c r="QXE31" s="1688"/>
      <c r="QXF31" s="1688"/>
      <c r="QXG31" s="1688"/>
      <c r="QXH31" s="1688"/>
      <c r="QXI31" s="1688"/>
      <c r="QXJ31" s="1688"/>
      <c r="QXK31" s="1688"/>
      <c r="QXL31" s="1688"/>
      <c r="QXM31" s="1688"/>
      <c r="QXN31" s="1688"/>
      <c r="QXO31" s="1688"/>
      <c r="QXP31" s="1688"/>
      <c r="QXQ31" s="1688"/>
      <c r="QXR31" s="1688"/>
      <c r="QXS31" s="1688"/>
      <c r="QXT31" s="1688"/>
      <c r="QXU31" s="1688"/>
      <c r="QXV31" s="1688"/>
      <c r="QXW31" s="1688"/>
      <c r="QXX31" s="1688"/>
      <c r="QXY31" s="1688"/>
      <c r="QXZ31" s="1688"/>
      <c r="QYA31" s="1688"/>
      <c r="QYB31" s="1688"/>
      <c r="QYC31" s="1688"/>
      <c r="QYD31" s="1688"/>
      <c r="QYE31" s="1688"/>
      <c r="QYF31" s="1688"/>
      <c r="QYG31" s="1688"/>
      <c r="QYH31" s="1688"/>
      <c r="QYI31" s="1688"/>
      <c r="QYJ31" s="1688"/>
      <c r="QYK31" s="1688"/>
      <c r="QYL31" s="1688"/>
      <c r="QYM31" s="1688"/>
      <c r="QYN31" s="1688"/>
      <c r="QYO31" s="1688"/>
      <c r="QYP31" s="1688"/>
      <c r="QYQ31" s="1688"/>
      <c r="QYR31" s="1688"/>
      <c r="QYS31" s="1688"/>
      <c r="QYT31" s="1688"/>
      <c r="QYU31" s="1688"/>
      <c r="QYV31" s="1688"/>
      <c r="QYW31" s="1688"/>
      <c r="QYX31" s="1688"/>
      <c r="QYY31" s="1688"/>
      <c r="QYZ31" s="1688"/>
      <c r="QZA31" s="1688"/>
      <c r="QZB31" s="1688"/>
      <c r="QZC31" s="1688"/>
      <c r="QZD31" s="1688"/>
      <c r="QZE31" s="1688"/>
      <c r="QZF31" s="1688"/>
      <c r="QZG31" s="1688"/>
      <c r="QZH31" s="1688"/>
      <c r="QZI31" s="1688"/>
      <c r="QZJ31" s="1688"/>
      <c r="QZK31" s="1688"/>
      <c r="QZL31" s="1688"/>
      <c r="QZM31" s="1688"/>
      <c r="QZN31" s="1688"/>
      <c r="QZO31" s="1688"/>
      <c r="QZP31" s="1688"/>
      <c r="QZQ31" s="1688"/>
      <c r="QZR31" s="1688"/>
      <c r="QZS31" s="1688"/>
      <c r="QZT31" s="1688"/>
      <c r="QZU31" s="1688"/>
      <c r="QZV31" s="1688"/>
      <c r="QZW31" s="1688"/>
      <c r="QZX31" s="1688"/>
      <c r="QZY31" s="1688"/>
      <c r="QZZ31" s="1688"/>
      <c r="RAA31" s="1688"/>
      <c r="RAB31" s="1688"/>
      <c r="RAC31" s="1688"/>
      <c r="RAD31" s="1688"/>
      <c r="RAE31" s="1688"/>
      <c r="RAF31" s="1688"/>
      <c r="RAG31" s="1688"/>
      <c r="RAH31" s="1688"/>
      <c r="RAI31" s="1688"/>
      <c r="RAJ31" s="1688"/>
      <c r="RAK31" s="1688"/>
      <c r="RAL31" s="1688"/>
      <c r="RAM31" s="1688"/>
      <c r="RAN31" s="1688"/>
      <c r="RAO31" s="1688"/>
      <c r="RAP31" s="1688"/>
      <c r="RAQ31" s="1688"/>
      <c r="RAR31" s="1688"/>
      <c r="RAS31" s="1688"/>
      <c r="RAT31" s="1688"/>
      <c r="RAU31" s="1688"/>
      <c r="RAV31" s="1688"/>
      <c r="RAW31" s="1688"/>
      <c r="RAX31" s="1688"/>
      <c r="RAY31" s="1688"/>
      <c r="RAZ31" s="1688"/>
      <c r="RBA31" s="1688"/>
      <c r="RBB31" s="1688"/>
      <c r="RBC31" s="1688"/>
      <c r="RBD31" s="1688"/>
      <c r="RBE31" s="1688"/>
      <c r="RBF31" s="1688"/>
      <c r="RBG31" s="1688"/>
      <c r="RBH31" s="1688"/>
      <c r="RBI31" s="1688"/>
      <c r="RBJ31" s="1688"/>
      <c r="RBK31" s="1688"/>
      <c r="RBL31" s="1688"/>
      <c r="RBM31" s="1688"/>
      <c r="RBN31" s="1688"/>
      <c r="RBO31" s="1688"/>
      <c r="RBP31" s="1688"/>
      <c r="RBQ31" s="1688"/>
      <c r="RBR31" s="1688"/>
      <c r="RBS31" s="1688"/>
      <c r="RBT31" s="1688"/>
      <c r="RBU31" s="1688"/>
      <c r="RBV31" s="1688"/>
      <c r="RBW31" s="1688"/>
      <c r="RBX31" s="1688"/>
      <c r="RBY31" s="1688"/>
      <c r="RBZ31" s="1688"/>
      <c r="RCA31" s="1688"/>
      <c r="RCB31" s="1688"/>
      <c r="RCC31" s="1688"/>
      <c r="RCD31" s="1688"/>
      <c r="RCE31" s="1688"/>
      <c r="RCF31" s="1688"/>
      <c r="RCG31" s="1688"/>
      <c r="RCH31" s="1688"/>
      <c r="RCI31" s="1688"/>
      <c r="RCJ31" s="1688"/>
      <c r="RCK31" s="1688"/>
      <c r="RCL31" s="1688"/>
      <c r="RCM31" s="1688"/>
      <c r="RCN31" s="1688"/>
      <c r="RCO31" s="1688"/>
      <c r="RCP31" s="1688"/>
      <c r="RCQ31" s="1688"/>
      <c r="RCR31" s="1688"/>
      <c r="RCS31" s="1688"/>
      <c r="RCT31" s="1688"/>
      <c r="RCU31" s="1688"/>
      <c r="RCV31" s="1688"/>
      <c r="RCW31" s="1688"/>
      <c r="RCX31" s="1688"/>
      <c r="RCY31" s="1688"/>
      <c r="RCZ31" s="1688"/>
      <c r="RDA31" s="1688"/>
      <c r="RDB31" s="1688"/>
      <c r="RDC31" s="1688"/>
      <c r="RDD31" s="1688"/>
      <c r="RDE31" s="1688"/>
      <c r="RDF31" s="1688"/>
      <c r="RDG31" s="1688"/>
      <c r="RDH31" s="1688"/>
      <c r="RDI31" s="1688"/>
      <c r="RDJ31" s="1688"/>
      <c r="RDK31" s="1688"/>
      <c r="RDL31" s="1688"/>
      <c r="RDM31" s="1688"/>
      <c r="RDN31" s="1688"/>
      <c r="RDO31" s="1688"/>
      <c r="RDP31" s="1688"/>
      <c r="RDQ31" s="1688"/>
      <c r="RDR31" s="1688"/>
      <c r="RDS31" s="1688"/>
      <c r="RDT31" s="1688"/>
      <c r="RDU31" s="1688"/>
      <c r="RDV31" s="1688"/>
      <c r="RDW31" s="1688"/>
      <c r="RDX31" s="1688"/>
      <c r="RDY31" s="1688"/>
      <c r="RDZ31" s="1688"/>
      <c r="REA31" s="1688"/>
      <c r="REB31" s="1688"/>
      <c r="REC31" s="1688"/>
      <c r="RED31" s="1688"/>
      <c r="REE31" s="1688"/>
      <c r="REF31" s="1688"/>
      <c r="REG31" s="1688"/>
      <c r="REH31" s="1688"/>
      <c r="REI31" s="1688"/>
      <c r="REJ31" s="1688"/>
      <c r="REK31" s="1688"/>
      <c r="REL31" s="1688"/>
      <c r="REM31" s="1688"/>
      <c r="REN31" s="1688"/>
      <c r="REO31" s="1688"/>
      <c r="REP31" s="1688"/>
      <c r="REQ31" s="1688"/>
      <c r="RER31" s="1688"/>
      <c r="RES31" s="1688"/>
      <c r="RET31" s="1688"/>
      <c r="REU31" s="1688"/>
      <c r="REV31" s="1688"/>
      <c r="REW31" s="1688"/>
      <c r="REX31" s="1688"/>
      <c r="REY31" s="1688"/>
      <c r="REZ31" s="1688"/>
      <c r="RFA31" s="1688"/>
      <c r="RFB31" s="1688"/>
      <c r="RFC31" s="1688"/>
      <c r="RFD31" s="1688"/>
      <c r="RFE31" s="1688"/>
      <c r="RFF31" s="1688"/>
      <c r="RFG31" s="1688"/>
      <c r="RFH31" s="1688"/>
      <c r="RFI31" s="1688"/>
      <c r="RFJ31" s="1688"/>
      <c r="RFK31" s="1688"/>
      <c r="RFL31" s="1688"/>
      <c r="RFM31" s="1688"/>
      <c r="RFN31" s="1688"/>
      <c r="RFO31" s="1688"/>
      <c r="RFP31" s="1688"/>
      <c r="RFQ31" s="1688"/>
      <c r="RFR31" s="1688"/>
      <c r="RFS31" s="1688"/>
      <c r="RFT31" s="1688"/>
      <c r="RFU31" s="1688"/>
      <c r="RFV31" s="1688"/>
      <c r="RFW31" s="1688"/>
      <c r="RFX31" s="1688"/>
      <c r="RFY31" s="1688"/>
      <c r="RFZ31" s="1688"/>
      <c r="RGA31" s="1688"/>
      <c r="RGB31" s="1688"/>
      <c r="RGC31" s="1688"/>
      <c r="RGD31" s="1688"/>
      <c r="RGE31" s="1688"/>
      <c r="RGF31" s="1688"/>
      <c r="RGG31" s="1688"/>
      <c r="RGH31" s="1688"/>
      <c r="RGI31" s="1688"/>
      <c r="RGJ31" s="1688"/>
      <c r="RGK31" s="1688"/>
      <c r="RGL31" s="1688"/>
      <c r="RGM31" s="1688"/>
      <c r="RGN31" s="1688"/>
      <c r="RGO31" s="1688"/>
      <c r="RGP31" s="1688"/>
      <c r="RGQ31" s="1688"/>
      <c r="RGR31" s="1688"/>
      <c r="RGS31" s="1688"/>
      <c r="RGT31" s="1688"/>
      <c r="RGU31" s="1688"/>
      <c r="RGV31" s="1688"/>
      <c r="RGW31" s="1688"/>
      <c r="RGX31" s="1688"/>
      <c r="RGY31" s="1688"/>
      <c r="RGZ31" s="1688"/>
      <c r="RHA31" s="1688"/>
      <c r="RHB31" s="1688"/>
      <c r="RHC31" s="1688"/>
      <c r="RHD31" s="1688"/>
      <c r="RHE31" s="1688"/>
      <c r="RHF31" s="1688"/>
      <c r="RHG31" s="1688"/>
      <c r="RHH31" s="1688"/>
      <c r="RHI31" s="1688"/>
      <c r="RHJ31" s="1688"/>
      <c r="RHK31" s="1688"/>
      <c r="RHL31" s="1688"/>
      <c r="RHM31" s="1688"/>
      <c r="RHN31" s="1688"/>
      <c r="RHO31" s="1688"/>
      <c r="RHP31" s="1688"/>
      <c r="RHQ31" s="1688"/>
      <c r="RHR31" s="1688"/>
      <c r="RHS31" s="1688"/>
      <c r="RHT31" s="1688"/>
      <c r="RHU31" s="1688"/>
      <c r="RHV31" s="1688"/>
      <c r="RHW31" s="1688"/>
      <c r="RHX31" s="1688"/>
      <c r="RHY31" s="1688"/>
      <c r="RHZ31" s="1688"/>
      <c r="RIA31" s="1688"/>
      <c r="RIB31" s="1688"/>
      <c r="RIC31" s="1688"/>
      <c r="RID31" s="1688"/>
      <c r="RIE31" s="1688"/>
      <c r="RIF31" s="1688"/>
      <c r="RIG31" s="1688"/>
      <c r="RIH31" s="1688"/>
      <c r="RII31" s="1688"/>
      <c r="RIJ31" s="1688"/>
      <c r="RIK31" s="1688"/>
      <c r="RIL31" s="1688"/>
      <c r="RIM31" s="1688"/>
      <c r="RIN31" s="1688"/>
      <c r="RIO31" s="1688"/>
      <c r="RIP31" s="1688"/>
      <c r="RIQ31" s="1688"/>
      <c r="RIR31" s="1688"/>
      <c r="RIS31" s="1688"/>
      <c r="RIT31" s="1688"/>
      <c r="RIU31" s="1688"/>
      <c r="RIV31" s="1688"/>
      <c r="RIW31" s="1688"/>
      <c r="RIX31" s="1688"/>
      <c r="RIY31" s="1688"/>
      <c r="RIZ31" s="1688"/>
      <c r="RJA31" s="1688"/>
      <c r="RJB31" s="1688"/>
      <c r="RJC31" s="1688"/>
      <c r="RJD31" s="1688"/>
      <c r="RJE31" s="1688"/>
      <c r="RJF31" s="1688"/>
      <c r="RJG31" s="1688"/>
      <c r="RJH31" s="1688"/>
      <c r="RJI31" s="1688"/>
      <c r="RJJ31" s="1688"/>
      <c r="RJK31" s="1688"/>
      <c r="RJL31" s="1688"/>
      <c r="RJM31" s="1688"/>
      <c r="RJN31" s="1688"/>
      <c r="RJO31" s="1688"/>
      <c r="RJP31" s="1688"/>
      <c r="RJQ31" s="1688"/>
      <c r="RJR31" s="1688"/>
      <c r="RJS31" s="1688"/>
      <c r="RJT31" s="1688"/>
      <c r="RJU31" s="1688"/>
      <c r="RJV31" s="1688"/>
      <c r="RJW31" s="1688"/>
      <c r="RJX31" s="1688"/>
      <c r="RJY31" s="1688"/>
      <c r="RJZ31" s="1688"/>
      <c r="RKA31" s="1688"/>
      <c r="RKB31" s="1688"/>
      <c r="RKC31" s="1688"/>
      <c r="RKD31" s="1688"/>
      <c r="RKE31" s="1688"/>
      <c r="RKF31" s="1688"/>
      <c r="RKG31" s="1688"/>
      <c r="RKH31" s="1688"/>
      <c r="RKI31" s="1688"/>
      <c r="RKJ31" s="1688"/>
      <c r="RKK31" s="1688"/>
      <c r="RKL31" s="1688"/>
      <c r="RKM31" s="1688"/>
      <c r="RKN31" s="1688"/>
      <c r="RKO31" s="1688"/>
      <c r="RKP31" s="1688"/>
      <c r="RKQ31" s="1688"/>
      <c r="RKR31" s="1688"/>
      <c r="RKS31" s="1688"/>
      <c r="RKT31" s="1688"/>
      <c r="RKU31" s="1688"/>
      <c r="RKV31" s="1688"/>
      <c r="RKW31" s="1688"/>
      <c r="RKX31" s="1688"/>
      <c r="RKY31" s="1688"/>
      <c r="RKZ31" s="1688"/>
      <c r="RLA31" s="1688"/>
      <c r="RLB31" s="1688"/>
      <c r="RLC31" s="1688"/>
      <c r="RLD31" s="1688"/>
      <c r="RLE31" s="1688"/>
      <c r="RLF31" s="1688"/>
      <c r="RLG31" s="1688"/>
      <c r="RLH31" s="1688"/>
      <c r="RLI31" s="1688"/>
      <c r="RLJ31" s="1688"/>
      <c r="RLK31" s="1688"/>
      <c r="RLL31" s="1688"/>
      <c r="RLM31" s="1688"/>
      <c r="RLN31" s="1688"/>
      <c r="RLO31" s="1688"/>
      <c r="RLP31" s="1688"/>
      <c r="RLQ31" s="1688"/>
      <c r="RLR31" s="1688"/>
      <c r="RLS31" s="1688"/>
      <c r="RLT31" s="1688"/>
      <c r="RLU31" s="1688"/>
      <c r="RLV31" s="1688"/>
      <c r="RLW31" s="1688"/>
      <c r="RLX31" s="1688"/>
      <c r="RLY31" s="1688"/>
      <c r="RLZ31" s="1688"/>
      <c r="RMA31" s="1688"/>
      <c r="RMB31" s="1688"/>
      <c r="RMC31" s="1688"/>
      <c r="RMD31" s="1688"/>
      <c r="RME31" s="1688"/>
      <c r="RMF31" s="1688"/>
      <c r="RMG31" s="1688"/>
      <c r="RMH31" s="1688"/>
      <c r="RMI31" s="1688"/>
      <c r="RMJ31" s="1688"/>
      <c r="RMK31" s="1688"/>
      <c r="RML31" s="1688"/>
      <c r="RMM31" s="1688"/>
      <c r="RMN31" s="1688"/>
      <c r="RMO31" s="1688"/>
      <c r="RMP31" s="1688"/>
      <c r="RMQ31" s="1688"/>
      <c r="RMR31" s="1688"/>
      <c r="RMS31" s="1688"/>
      <c r="RMT31" s="1688"/>
      <c r="RMU31" s="1688"/>
      <c r="RMV31" s="1688"/>
      <c r="RMW31" s="1688"/>
      <c r="RMX31" s="1688"/>
      <c r="RMY31" s="1688"/>
      <c r="RMZ31" s="1688"/>
      <c r="RNA31" s="1688"/>
      <c r="RNB31" s="1688"/>
      <c r="RNC31" s="1688"/>
      <c r="RND31" s="1688"/>
      <c r="RNE31" s="1688"/>
      <c r="RNF31" s="1688"/>
      <c r="RNG31" s="1688"/>
      <c r="RNH31" s="1688"/>
      <c r="RNI31" s="1688"/>
      <c r="RNJ31" s="1688"/>
      <c r="RNK31" s="1688"/>
      <c r="RNL31" s="1688"/>
      <c r="RNM31" s="1688"/>
      <c r="RNN31" s="1688"/>
      <c r="RNO31" s="1688"/>
      <c r="RNP31" s="1688"/>
      <c r="RNQ31" s="1688"/>
      <c r="RNR31" s="1688"/>
      <c r="RNS31" s="1688"/>
      <c r="RNT31" s="1688"/>
      <c r="RNU31" s="1688"/>
      <c r="RNV31" s="1688"/>
      <c r="RNW31" s="1688"/>
      <c r="RNX31" s="1688"/>
      <c r="RNY31" s="1688"/>
      <c r="RNZ31" s="1688"/>
      <c r="ROA31" s="1688"/>
      <c r="ROB31" s="1688"/>
      <c r="ROC31" s="1688"/>
      <c r="ROD31" s="1688"/>
      <c r="ROE31" s="1688"/>
      <c r="ROF31" s="1688"/>
      <c r="ROG31" s="1688"/>
      <c r="ROH31" s="1688"/>
      <c r="ROI31" s="1688"/>
      <c r="ROJ31" s="1688"/>
      <c r="ROK31" s="1688"/>
      <c r="ROL31" s="1688"/>
      <c r="ROM31" s="1688"/>
      <c r="RON31" s="1688"/>
      <c r="ROO31" s="1688"/>
      <c r="ROP31" s="1688"/>
      <c r="ROQ31" s="1688"/>
      <c r="ROR31" s="1688"/>
      <c r="ROS31" s="1688"/>
      <c r="ROT31" s="1688"/>
      <c r="ROU31" s="1688"/>
      <c r="ROV31" s="1688"/>
      <c r="ROW31" s="1688"/>
      <c r="ROX31" s="1688"/>
      <c r="ROY31" s="1688"/>
      <c r="ROZ31" s="1688"/>
      <c r="RPA31" s="1688"/>
      <c r="RPB31" s="1688"/>
      <c r="RPC31" s="1688"/>
      <c r="RPD31" s="1688"/>
      <c r="RPE31" s="1688"/>
      <c r="RPF31" s="1688"/>
      <c r="RPG31" s="1688"/>
      <c r="RPH31" s="1688"/>
      <c r="RPI31" s="1688"/>
      <c r="RPJ31" s="1688"/>
      <c r="RPK31" s="1688"/>
      <c r="RPL31" s="1688"/>
      <c r="RPM31" s="1688"/>
      <c r="RPN31" s="1688"/>
      <c r="RPO31" s="1688"/>
      <c r="RPP31" s="1688"/>
      <c r="RPQ31" s="1688"/>
      <c r="RPR31" s="1688"/>
      <c r="RPS31" s="1688"/>
      <c r="RPT31" s="1688"/>
      <c r="RPU31" s="1688"/>
      <c r="RPV31" s="1688"/>
      <c r="RPW31" s="1688"/>
      <c r="RPX31" s="1688"/>
      <c r="RPY31" s="1688"/>
      <c r="RPZ31" s="1688"/>
      <c r="RQA31" s="1688"/>
      <c r="RQB31" s="1688"/>
      <c r="RQC31" s="1688"/>
      <c r="RQD31" s="1688"/>
      <c r="RQE31" s="1688"/>
      <c r="RQF31" s="1688"/>
      <c r="RQG31" s="1688"/>
      <c r="RQH31" s="1688"/>
      <c r="RQI31" s="1688"/>
      <c r="RQJ31" s="1688"/>
      <c r="RQK31" s="1688"/>
      <c r="RQL31" s="1688"/>
      <c r="RQM31" s="1688"/>
      <c r="RQN31" s="1688"/>
      <c r="RQO31" s="1688"/>
      <c r="RQP31" s="1688"/>
      <c r="RQQ31" s="1688"/>
      <c r="RQR31" s="1688"/>
      <c r="RQS31" s="1688"/>
      <c r="RQT31" s="1688"/>
      <c r="RQU31" s="1688"/>
      <c r="RQV31" s="1688"/>
      <c r="RQW31" s="1688"/>
      <c r="RQX31" s="1688"/>
      <c r="RQY31" s="1688"/>
      <c r="RQZ31" s="1688"/>
      <c r="RRA31" s="1688"/>
      <c r="RRB31" s="1688"/>
      <c r="RRC31" s="1688"/>
      <c r="RRD31" s="1688"/>
      <c r="RRE31" s="1688"/>
      <c r="RRF31" s="1688"/>
      <c r="RRG31" s="1688"/>
      <c r="RRH31" s="1688"/>
      <c r="RRI31" s="1688"/>
      <c r="RRJ31" s="1688"/>
      <c r="RRK31" s="1688"/>
      <c r="RRL31" s="1688"/>
      <c r="RRM31" s="1688"/>
      <c r="RRN31" s="1688"/>
      <c r="RRO31" s="1688"/>
      <c r="RRP31" s="1688"/>
      <c r="RRQ31" s="1688"/>
      <c r="RRR31" s="1688"/>
      <c r="RRS31" s="1688"/>
      <c r="RRT31" s="1688"/>
      <c r="RRU31" s="1688"/>
      <c r="RRV31" s="1688"/>
      <c r="RRW31" s="1688"/>
      <c r="RRX31" s="1688"/>
      <c r="RRY31" s="1688"/>
      <c r="RRZ31" s="1688"/>
      <c r="RSA31" s="1688"/>
      <c r="RSB31" s="1688"/>
      <c r="RSC31" s="1688"/>
      <c r="RSD31" s="1688"/>
      <c r="RSE31" s="1688"/>
      <c r="RSF31" s="1688"/>
      <c r="RSG31" s="1688"/>
      <c r="RSH31" s="1688"/>
      <c r="RSI31" s="1688"/>
      <c r="RSJ31" s="1688"/>
      <c r="RSK31" s="1688"/>
      <c r="RSL31" s="1688"/>
      <c r="RSM31" s="1688"/>
      <c r="RSN31" s="1688"/>
      <c r="RSO31" s="1688"/>
      <c r="RSP31" s="1688"/>
      <c r="RSQ31" s="1688"/>
      <c r="RSR31" s="1688"/>
      <c r="RSS31" s="1688"/>
      <c r="RST31" s="1688"/>
      <c r="RSU31" s="1688"/>
      <c r="RSV31" s="1688"/>
      <c r="RSW31" s="1688"/>
      <c r="RSX31" s="1688"/>
      <c r="RSY31" s="1688"/>
      <c r="RSZ31" s="1688"/>
      <c r="RTA31" s="1688"/>
      <c r="RTB31" s="1688"/>
      <c r="RTC31" s="1688"/>
      <c r="RTD31" s="1688"/>
      <c r="RTE31" s="1688"/>
      <c r="RTF31" s="1688"/>
      <c r="RTG31" s="1688"/>
      <c r="RTH31" s="1688"/>
      <c r="RTI31" s="1688"/>
      <c r="RTJ31" s="1688"/>
      <c r="RTK31" s="1688"/>
      <c r="RTL31" s="1688"/>
      <c r="RTM31" s="1688"/>
      <c r="RTN31" s="1688"/>
      <c r="RTO31" s="1688"/>
      <c r="RTP31" s="1688"/>
      <c r="RTQ31" s="1688"/>
      <c r="RTR31" s="1688"/>
      <c r="RTS31" s="1688"/>
      <c r="RTT31" s="1688"/>
      <c r="RTU31" s="1688"/>
      <c r="RTV31" s="1688"/>
      <c r="RTW31" s="1688"/>
      <c r="RTX31" s="1688"/>
      <c r="RTY31" s="1688"/>
      <c r="RTZ31" s="1688"/>
      <c r="RUA31" s="1688"/>
      <c r="RUB31" s="1688"/>
      <c r="RUC31" s="1688"/>
      <c r="RUD31" s="1688"/>
      <c r="RUE31" s="1688"/>
      <c r="RUF31" s="1688"/>
      <c r="RUG31" s="1688"/>
      <c r="RUH31" s="1688"/>
      <c r="RUI31" s="1688"/>
      <c r="RUJ31" s="1688"/>
      <c r="RUK31" s="1688"/>
      <c r="RUL31" s="1688"/>
      <c r="RUM31" s="1688"/>
      <c r="RUN31" s="1688"/>
      <c r="RUO31" s="1688"/>
      <c r="RUP31" s="1688"/>
      <c r="RUQ31" s="1688"/>
      <c r="RUR31" s="1688"/>
      <c r="RUS31" s="1688"/>
      <c r="RUT31" s="1688"/>
      <c r="RUU31" s="1688"/>
      <c r="RUV31" s="1688"/>
      <c r="RUW31" s="1688"/>
      <c r="RUX31" s="1688"/>
      <c r="RUY31" s="1688"/>
      <c r="RUZ31" s="1688"/>
      <c r="RVA31" s="1688"/>
      <c r="RVB31" s="1688"/>
      <c r="RVC31" s="1688"/>
      <c r="RVD31" s="1688"/>
      <c r="RVE31" s="1688"/>
      <c r="RVF31" s="1688"/>
      <c r="RVG31" s="1688"/>
      <c r="RVH31" s="1688"/>
      <c r="RVI31" s="1688"/>
      <c r="RVJ31" s="1688"/>
      <c r="RVK31" s="1688"/>
      <c r="RVL31" s="1688"/>
      <c r="RVM31" s="1688"/>
      <c r="RVN31" s="1688"/>
      <c r="RVO31" s="1688"/>
      <c r="RVP31" s="1688"/>
      <c r="RVQ31" s="1688"/>
      <c r="RVR31" s="1688"/>
      <c r="RVS31" s="1688"/>
      <c r="RVT31" s="1688"/>
      <c r="RVU31" s="1688"/>
      <c r="RVV31" s="1688"/>
      <c r="RVW31" s="1688"/>
      <c r="RVX31" s="1688"/>
      <c r="RVY31" s="1688"/>
      <c r="RVZ31" s="1688"/>
      <c r="RWA31" s="1688"/>
      <c r="RWB31" s="1688"/>
      <c r="RWC31" s="1688"/>
      <c r="RWD31" s="1688"/>
      <c r="RWE31" s="1688"/>
      <c r="RWF31" s="1688"/>
      <c r="RWG31" s="1688"/>
      <c r="RWH31" s="1688"/>
      <c r="RWI31" s="1688"/>
      <c r="RWJ31" s="1688"/>
      <c r="RWK31" s="1688"/>
      <c r="RWL31" s="1688"/>
      <c r="RWM31" s="1688"/>
      <c r="RWN31" s="1688"/>
      <c r="RWO31" s="1688"/>
      <c r="RWP31" s="1688"/>
      <c r="RWQ31" s="1688"/>
      <c r="RWR31" s="1688"/>
      <c r="RWS31" s="1688"/>
      <c r="RWT31" s="1688"/>
      <c r="RWU31" s="1688"/>
      <c r="RWV31" s="1688"/>
      <c r="RWW31" s="1688"/>
      <c r="RWX31" s="1688"/>
      <c r="RWY31" s="1688"/>
      <c r="RWZ31" s="1688"/>
      <c r="RXA31" s="1688"/>
      <c r="RXB31" s="1688"/>
      <c r="RXC31" s="1688"/>
      <c r="RXD31" s="1688"/>
      <c r="RXE31" s="1688"/>
      <c r="RXF31" s="1688"/>
      <c r="RXG31" s="1688"/>
      <c r="RXH31" s="1688"/>
      <c r="RXI31" s="1688"/>
      <c r="RXJ31" s="1688"/>
      <c r="RXK31" s="1688"/>
      <c r="RXL31" s="1688"/>
      <c r="RXM31" s="1688"/>
      <c r="RXN31" s="1688"/>
      <c r="RXO31" s="1688"/>
      <c r="RXP31" s="1688"/>
      <c r="RXQ31" s="1688"/>
      <c r="RXR31" s="1688"/>
      <c r="RXS31" s="1688"/>
      <c r="RXT31" s="1688"/>
      <c r="RXU31" s="1688"/>
      <c r="RXV31" s="1688"/>
      <c r="RXW31" s="1688"/>
      <c r="RXX31" s="1688"/>
      <c r="RXY31" s="1688"/>
      <c r="RXZ31" s="1688"/>
      <c r="RYA31" s="1688"/>
      <c r="RYB31" s="1688"/>
      <c r="RYC31" s="1688"/>
      <c r="RYD31" s="1688"/>
      <c r="RYE31" s="1688"/>
      <c r="RYF31" s="1688"/>
      <c r="RYG31" s="1688"/>
      <c r="RYH31" s="1688"/>
      <c r="RYI31" s="1688"/>
      <c r="RYJ31" s="1688"/>
      <c r="RYK31" s="1688"/>
      <c r="RYL31" s="1688"/>
      <c r="RYM31" s="1688"/>
      <c r="RYN31" s="1688"/>
      <c r="RYO31" s="1688"/>
      <c r="RYP31" s="1688"/>
      <c r="RYQ31" s="1688"/>
      <c r="RYR31" s="1688"/>
      <c r="RYS31" s="1688"/>
      <c r="RYT31" s="1688"/>
      <c r="RYU31" s="1688"/>
      <c r="RYV31" s="1688"/>
      <c r="RYW31" s="1688"/>
      <c r="RYX31" s="1688"/>
      <c r="RYY31" s="1688"/>
      <c r="RYZ31" s="1688"/>
      <c r="RZA31" s="1688"/>
      <c r="RZB31" s="1688"/>
      <c r="RZC31" s="1688"/>
      <c r="RZD31" s="1688"/>
      <c r="RZE31" s="1688"/>
      <c r="RZF31" s="1688"/>
      <c r="RZG31" s="1688"/>
      <c r="RZH31" s="1688"/>
      <c r="RZI31" s="1688"/>
      <c r="RZJ31" s="1688"/>
      <c r="RZK31" s="1688"/>
      <c r="RZL31" s="1688"/>
      <c r="RZM31" s="1688"/>
      <c r="RZN31" s="1688"/>
      <c r="RZO31" s="1688"/>
      <c r="RZP31" s="1688"/>
      <c r="RZQ31" s="1688"/>
      <c r="RZR31" s="1688"/>
      <c r="RZS31" s="1688"/>
      <c r="RZT31" s="1688"/>
      <c r="RZU31" s="1688"/>
      <c r="RZV31" s="1688"/>
      <c r="RZW31" s="1688"/>
      <c r="RZX31" s="1688"/>
      <c r="RZY31" s="1688"/>
      <c r="RZZ31" s="1688"/>
      <c r="SAA31" s="1688"/>
      <c r="SAB31" s="1688"/>
      <c r="SAC31" s="1688"/>
      <c r="SAD31" s="1688"/>
      <c r="SAE31" s="1688"/>
      <c r="SAF31" s="1688"/>
      <c r="SAG31" s="1688"/>
      <c r="SAH31" s="1688"/>
      <c r="SAI31" s="1688"/>
      <c r="SAJ31" s="1688"/>
      <c r="SAK31" s="1688"/>
      <c r="SAL31" s="1688"/>
      <c r="SAM31" s="1688"/>
      <c r="SAN31" s="1688"/>
      <c r="SAO31" s="1688"/>
      <c r="SAP31" s="1688"/>
      <c r="SAQ31" s="1688"/>
      <c r="SAR31" s="1688"/>
      <c r="SAS31" s="1688"/>
      <c r="SAT31" s="1688"/>
      <c r="SAU31" s="1688"/>
      <c r="SAV31" s="1688"/>
      <c r="SAW31" s="1688"/>
      <c r="SAX31" s="1688"/>
      <c r="SAY31" s="1688"/>
      <c r="SAZ31" s="1688"/>
      <c r="SBA31" s="1688"/>
      <c r="SBB31" s="1688"/>
      <c r="SBC31" s="1688"/>
      <c r="SBD31" s="1688"/>
      <c r="SBE31" s="1688"/>
      <c r="SBF31" s="1688"/>
      <c r="SBG31" s="1688"/>
      <c r="SBH31" s="1688"/>
      <c r="SBI31" s="1688"/>
      <c r="SBJ31" s="1688"/>
      <c r="SBK31" s="1688"/>
      <c r="SBL31" s="1688"/>
      <c r="SBM31" s="1688"/>
      <c r="SBN31" s="1688"/>
      <c r="SBO31" s="1688"/>
      <c r="SBP31" s="1688"/>
      <c r="SBQ31" s="1688"/>
      <c r="SBR31" s="1688"/>
      <c r="SBS31" s="1688"/>
      <c r="SBT31" s="1688"/>
      <c r="SBU31" s="1688"/>
      <c r="SBV31" s="1688"/>
      <c r="SBW31" s="1688"/>
      <c r="SBX31" s="1688"/>
      <c r="SBY31" s="1688"/>
      <c r="SBZ31" s="1688"/>
      <c r="SCA31" s="1688"/>
      <c r="SCB31" s="1688"/>
      <c r="SCC31" s="1688"/>
      <c r="SCD31" s="1688"/>
      <c r="SCE31" s="1688"/>
      <c r="SCF31" s="1688"/>
      <c r="SCG31" s="1688"/>
      <c r="SCH31" s="1688"/>
      <c r="SCI31" s="1688"/>
      <c r="SCJ31" s="1688"/>
      <c r="SCK31" s="1688"/>
      <c r="SCL31" s="1688"/>
      <c r="SCM31" s="1688"/>
      <c r="SCN31" s="1688"/>
      <c r="SCO31" s="1688"/>
      <c r="SCP31" s="1688"/>
      <c r="SCQ31" s="1688"/>
      <c r="SCR31" s="1688"/>
      <c r="SCS31" s="1688"/>
      <c r="SCT31" s="1688"/>
      <c r="SCU31" s="1688"/>
      <c r="SCV31" s="1688"/>
      <c r="SCW31" s="1688"/>
      <c r="SCX31" s="1688"/>
      <c r="SCY31" s="1688"/>
      <c r="SCZ31" s="1688"/>
      <c r="SDA31" s="1688"/>
      <c r="SDB31" s="1688"/>
      <c r="SDC31" s="1688"/>
      <c r="SDD31" s="1688"/>
      <c r="SDE31" s="1688"/>
      <c r="SDF31" s="1688"/>
      <c r="SDG31" s="1688"/>
      <c r="SDH31" s="1688"/>
      <c r="SDI31" s="1688"/>
      <c r="SDJ31" s="1688"/>
      <c r="SDK31" s="1688"/>
      <c r="SDL31" s="1688"/>
      <c r="SDM31" s="1688"/>
      <c r="SDN31" s="1688"/>
      <c r="SDO31" s="1688"/>
      <c r="SDP31" s="1688"/>
      <c r="SDQ31" s="1688"/>
      <c r="SDR31" s="1688"/>
      <c r="SDS31" s="1688"/>
      <c r="SDT31" s="1688"/>
      <c r="SDU31" s="1688"/>
      <c r="SDV31" s="1688"/>
      <c r="SDW31" s="1688"/>
      <c r="SDX31" s="1688"/>
      <c r="SDY31" s="1688"/>
      <c r="SDZ31" s="1688"/>
      <c r="SEA31" s="1688"/>
      <c r="SEB31" s="1688"/>
      <c r="SEC31" s="1688"/>
      <c r="SED31" s="1688"/>
      <c r="SEE31" s="1688"/>
      <c r="SEF31" s="1688"/>
      <c r="SEG31" s="1688"/>
      <c r="SEH31" s="1688"/>
      <c r="SEI31" s="1688"/>
      <c r="SEJ31" s="1688"/>
      <c r="SEK31" s="1688"/>
      <c r="SEL31" s="1688"/>
      <c r="SEM31" s="1688"/>
      <c r="SEN31" s="1688"/>
      <c r="SEO31" s="1688"/>
      <c r="SEP31" s="1688"/>
      <c r="SEQ31" s="1688"/>
      <c r="SER31" s="1688"/>
      <c r="SES31" s="1688"/>
      <c r="SET31" s="1688"/>
      <c r="SEU31" s="1688"/>
      <c r="SEV31" s="1688"/>
      <c r="SEW31" s="1688"/>
      <c r="SEX31" s="1688"/>
      <c r="SEY31" s="1688"/>
      <c r="SEZ31" s="1688"/>
      <c r="SFA31" s="1688"/>
      <c r="SFB31" s="1688"/>
      <c r="SFC31" s="1688"/>
      <c r="SFD31" s="1688"/>
      <c r="SFE31" s="1688"/>
      <c r="SFF31" s="1688"/>
      <c r="SFG31" s="1688"/>
      <c r="SFH31" s="1688"/>
      <c r="SFI31" s="1688"/>
      <c r="SFJ31" s="1688"/>
      <c r="SFK31" s="1688"/>
      <c r="SFL31" s="1688"/>
      <c r="SFM31" s="1688"/>
      <c r="SFN31" s="1688"/>
      <c r="SFO31" s="1688"/>
      <c r="SFP31" s="1688"/>
      <c r="SFQ31" s="1688"/>
      <c r="SFR31" s="1688"/>
      <c r="SFS31" s="1688"/>
      <c r="SFT31" s="1688"/>
      <c r="SFU31" s="1688"/>
      <c r="SFV31" s="1688"/>
      <c r="SFW31" s="1688"/>
      <c r="SFX31" s="1688"/>
      <c r="SFY31" s="1688"/>
      <c r="SFZ31" s="1688"/>
      <c r="SGA31" s="1688"/>
      <c r="SGB31" s="1688"/>
      <c r="SGC31" s="1688"/>
      <c r="SGD31" s="1688"/>
      <c r="SGE31" s="1688"/>
      <c r="SGF31" s="1688"/>
      <c r="SGG31" s="1688"/>
      <c r="SGH31" s="1688"/>
      <c r="SGI31" s="1688"/>
      <c r="SGJ31" s="1688"/>
      <c r="SGK31" s="1688"/>
      <c r="SGL31" s="1688"/>
      <c r="SGM31" s="1688"/>
      <c r="SGN31" s="1688"/>
      <c r="SGO31" s="1688"/>
      <c r="SGP31" s="1688"/>
      <c r="SGQ31" s="1688"/>
      <c r="SGR31" s="1688"/>
      <c r="SGS31" s="1688"/>
      <c r="SGT31" s="1688"/>
      <c r="SGU31" s="1688"/>
      <c r="SGV31" s="1688"/>
      <c r="SGW31" s="1688"/>
      <c r="SGX31" s="1688"/>
      <c r="SGY31" s="1688"/>
      <c r="SGZ31" s="1688"/>
      <c r="SHA31" s="1688"/>
      <c r="SHB31" s="1688"/>
      <c r="SHC31" s="1688"/>
      <c r="SHD31" s="1688"/>
      <c r="SHE31" s="1688"/>
      <c r="SHF31" s="1688"/>
      <c r="SHG31" s="1688"/>
      <c r="SHH31" s="1688"/>
      <c r="SHI31" s="1688"/>
      <c r="SHJ31" s="1688"/>
      <c r="SHK31" s="1688"/>
      <c r="SHL31" s="1688"/>
      <c r="SHM31" s="1688"/>
      <c r="SHN31" s="1688"/>
      <c r="SHO31" s="1688"/>
      <c r="SHP31" s="1688"/>
      <c r="SHQ31" s="1688"/>
      <c r="SHR31" s="1688"/>
      <c r="SHS31" s="1688"/>
      <c r="SHT31" s="1688"/>
      <c r="SHU31" s="1688"/>
      <c r="SHV31" s="1688"/>
      <c r="SHW31" s="1688"/>
      <c r="SHX31" s="1688"/>
      <c r="SHY31" s="1688"/>
      <c r="SHZ31" s="1688"/>
      <c r="SIA31" s="1688"/>
      <c r="SIB31" s="1688"/>
      <c r="SIC31" s="1688"/>
      <c r="SID31" s="1688"/>
      <c r="SIE31" s="1688"/>
      <c r="SIF31" s="1688"/>
      <c r="SIG31" s="1688"/>
      <c r="SIH31" s="1688"/>
      <c r="SII31" s="1688"/>
      <c r="SIJ31" s="1688"/>
      <c r="SIK31" s="1688"/>
      <c r="SIL31" s="1688"/>
      <c r="SIM31" s="1688"/>
      <c r="SIN31" s="1688"/>
      <c r="SIO31" s="1688"/>
      <c r="SIP31" s="1688"/>
      <c r="SIQ31" s="1688"/>
      <c r="SIR31" s="1688"/>
      <c r="SIS31" s="1688"/>
      <c r="SIT31" s="1688"/>
      <c r="SIU31" s="1688"/>
      <c r="SIV31" s="1688"/>
      <c r="SIW31" s="1688"/>
      <c r="SIX31" s="1688"/>
      <c r="SIY31" s="1688"/>
      <c r="SIZ31" s="1688"/>
      <c r="SJA31" s="1688"/>
      <c r="SJB31" s="1688"/>
      <c r="SJC31" s="1688"/>
      <c r="SJD31" s="1688"/>
      <c r="SJE31" s="1688"/>
      <c r="SJF31" s="1688"/>
      <c r="SJG31" s="1688"/>
      <c r="SJH31" s="1688"/>
      <c r="SJI31" s="1688"/>
      <c r="SJJ31" s="1688"/>
      <c r="SJK31" s="1688"/>
      <c r="SJL31" s="1688"/>
      <c r="SJM31" s="1688"/>
      <c r="SJN31" s="1688"/>
      <c r="SJO31" s="1688"/>
      <c r="SJP31" s="1688"/>
      <c r="SJQ31" s="1688"/>
      <c r="SJR31" s="1688"/>
      <c r="SJS31" s="1688"/>
      <c r="SJT31" s="1688"/>
      <c r="SJU31" s="1688"/>
      <c r="SJV31" s="1688"/>
      <c r="SJW31" s="1688"/>
      <c r="SJX31" s="1688"/>
      <c r="SJY31" s="1688"/>
      <c r="SJZ31" s="1688"/>
      <c r="SKA31" s="1688"/>
      <c r="SKB31" s="1688"/>
      <c r="SKC31" s="1688"/>
      <c r="SKD31" s="1688"/>
      <c r="SKE31" s="1688"/>
      <c r="SKF31" s="1688"/>
      <c r="SKG31" s="1688"/>
      <c r="SKH31" s="1688"/>
      <c r="SKI31" s="1688"/>
      <c r="SKJ31" s="1688"/>
      <c r="SKK31" s="1688"/>
      <c r="SKL31" s="1688"/>
      <c r="SKM31" s="1688"/>
      <c r="SKN31" s="1688"/>
      <c r="SKO31" s="1688"/>
      <c r="SKP31" s="1688"/>
      <c r="SKQ31" s="1688"/>
      <c r="SKR31" s="1688"/>
      <c r="SKS31" s="1688"/>
      <c r="SKT31" s="1688"/>
      <c r="SKU31" s="1688"/>
      <c r="SKV31" s="1688"/>
      <c r="SKW31" s="1688"/>
      <c r="SKX31" s="1688"/>
      <c r="SKY31" s="1688"/>
      <c r="SKZ31" s="1688"/>
      <c r="SLA31" s="1688"/>
      <c r="SLB31" s="1688"/>
      <c r="SLC31" s="1688"/>
      <c r="SLD31" s="1688"/>
      <c r="SLE31" s="1688"/>
      <c r="SLF31" s="1688"/>
      <c r="SLG31" s="1688"/>
      <c r="SLH31" s="1688"/>
      <c r="SLI31" s="1688"/>
      <c r="SLJ31" s="1688"/>
      <c r="SLK31" s="1688"/>
      <c r="SLL31" s="1688"/>
      <c r="SLM31" s="1688"/>
      <c r="SLN31" s="1688"/>
      <c r="SLO31" s="1688"/>
      <c r="SLP31" s="1688"/>
      <c r="SLQ31" s="1688"/>
      <c r="SLR31" s="1688"/>
      <c r="SLS31" s="1688"/>
      <c r="SLT31" s="1688"/>
      <c r="SLU31" s="1688"/>
      <c r="SLV31" s="1688"/>
      <c r="SLW31" s="1688"/>
      <c r="SLX31" s="1688"/>
      <c r="SLY31" s="1688"/>
      <c r="SLZ31" s="1688"/>
      <c r="SMA31" s="1688"/>
      <c r="SMB31" s="1688"/>
      <c r="SMC31" s="1688"/>
      <c r="SMD31" s="1688"/>
      <c r="SME31" s="1688"/>
      <c r="SMF31" s="1688"/>
      <c r="SMG31" s="1688"/>
      <c r="SMH31" s="1688"/>
      <c r="SMI31" s="1688"/>
      <c r="SMJ31" s="1688"/>
      <c r="SMK31" s="1688"/>
      <c r="SML31" s="1688"/>
      <c r="SMM31" s="1688"/>
      <c r="SMN31" s="1688"/>
      <c r="SMO31" s="1688"/>
      <c r="SMP31" s="1688"/>
      <c r="SMQ31" s="1688"/>
      <c r="SMR31" s="1688"/>
      <c r="SMS31" s="1688"/>
      <c r="SMT31" s="1688"/>
      <c r="SMU31" s="1688"/>
      <c r="SMV31" s="1688"/>
      <c r="SMW31" s="1688"/>
      <c r="SMX31" s="1688"/>
      <c r="SMY31" s="1688"/>
      <c r="SMZ31" s="1688"/>
      <c r="SNA31" s="1688"/>
      <c r="SNB31" s="1688"/>
      <c r="SNC31" s="1688"/>
      <c r="SND31" s="1688"/>
      <c r="SNE31" s="1688"/>
      <c r="SNF31" s="1688"/>
      <c r="SNG31" s="1688"/>
      <c r="SNH31" s="1688"/>
      <c r="SNI31" s="1688"/>
      <c r="SNJ31" s="1688"/>
      <c r="SNK31" s="1688"/>
      <c r="SNL31" s="1688"/>
      <c r="SNM31" s="1688"/>
      <c r="SNN31" s="1688"/>
      <c r="SNO31" s="1688"/>
      <c r="SNP31" s="1688"/>
      <c r="SNQ31" s="1688"/>
      <c r="SNR31" s="1688"/>
      <c r="SNS31" s="1688"/>
      <c r="SNT31" s="1688"/>
      <c r="SNU31" s="1688"/>
      <c r="SNV31" s="1688"/>
      <c r="SNW31" s="1688"/>
      <c r="SNX31" s="1688"/>
      <c r="SNY31" s="1688"/>
      <c r="SNZ31" s="1688"/>
      <c r="SOA31" s="1688"/>
      <c r="SOB31" s="1688"/>
      <c r="SOC31" s="1688"/>
      <c r="SOD31" s="1688"/>
      <c r="SOE31" s="1688"/>
      <c r="SOF31" s="1688"/>
      <c r="SOG31" s="1688"/>
      <c r="SOH31" s="1688"/>
      <c r="SOI31" s="1688"/>
      <c r="SOJ31" s="1688"/>
      <c r="SOK31" s="1688"/>
      <c r="SOL31" s="1688"/>
      <c r="SOM31" s="1688"/>
      <c r="SON31" s="1688"/>
      <c r="SOO31" s="1688"/>
      <c r="SOP31" s="1688"/>
      <c r="SOQ31" s="1688"/>
      <c r="SOR31" s="1688"/>
      <c r="SOS31" s="1688"/>
      <c r="SOT31" s="1688"/>
      <c r="SOU31" s="1688"/>
      <c r="SOV31" s="1688"/>
      <c r="SOW31" s="1688"/>
      <c r="SOX31" s="1688"/>
      <c r="SOY31" s="1688"/>
      <c r="SOZ31" s="1688"/>
      <c r="SPA31" s="1688"/>
      <c r="SPB31" s="1688"/>
      <c r="SPC31" s="1688"/>
      <c r="SPD31" s="1688"/>
      <c r="SPE31" s="1688"/>
      <c r="SPF31" s="1688"/>
      <c r="SPG31" s="1688"/>
      <c r="SPH31" s="1688"/>
      <c r="SPI31" s="1688"/>
      <c r="SPJ31" s="1688"/>
      <c r="SPK31" s="1688"/>
      <c r="SPL31" s="1688"/>
      <c r="SPM31" s="1688"/>
      <c r="SPN31" s="1688"/>
      <c r="SPO31" s="1688"/>
      <c r="SPP31" s="1688"/>
      <c r="SPQ31" s="1688"/>
      <c r="SPR31" s="1688"/>
      <c r="SPS31" s="1688"/>
      <c r="SPT31" s="1688"/>
      <c r="SPU31" s="1688"/>
      <c r="SPV31" s="1688"/>
      <c r="SPW31" s="1688"/>
      <c r="SPX31" s="1688"/>
      <c r="SPY31" s="1688"/>
      <c r="SPZ31" s="1688"/>
      <c r="SQA31" s="1688"/>
      <c r="SQB31" s="1688"/>
      <c r="SQC31" s="1688"/>
      <c r="SQD31" s="1688"/>
      <c r="SQE31" s="1688"/>
      <c r="SQF31" s="1688"/>
      <c r="SQG31" s="1688"/>
      <c r="SQH31" s="1688"/>
      <c r="SQI31" s="1688"/>
      <c r="SQJ31" s="1688"/>
      <c r="SQK31" s="1688"/>
      <c r="SQL31" s="1688"/>
      <c r="SQM31" s="1688"/>
      <c r="SQN31" s="1688"/>
      <c r="SQO31" s="1688"/>
      <c r="SQP31" s="1688"/>
      <c r="SQQ31" s="1688"/>
      <c r="SQR31" s="1688"/>
      <c r="SQS31" s="1688"/>
      <c r="SQT31" s="1688"/>
      <c r="SQU31" s="1688"/>
      <c r="SQV31" s="1688"/>
      <c r="SQW31" s="1688"/>
      <c r="SQX31" s="1688"/>
      <c r="SQY31" s="1688"/>
      <c r="SQZ31" s="1688"/>
      <c r="SRA31" s="1688"/>
      <c r="SRB31" s="1688"/>
      <c r="SRC31" s="1688"/>
      <c r="SRD31" s="1688"/>
      <c r="SRE31" s="1688"/>
      <c r="SRF31" s="1688"/>
      <c r="SRG31" s="1688"/>
      <c r="SRH31" s="1688"/>
      <c r="SRI31" s="1688"/>
      <c r="SRJ31" s="1688"/>
      <c r="SRK31" s="1688"/>
      <c r="SRL31" s="1688"/>
      <c r="SRM31" s="1688"/>
      <c r="SRN31" s="1688"/>
      <c r="SRO31" s="1688"/>
      <c r="SRP31" s="1688"/>
      <c r="SRQ31" s="1688"/>
      <c r="SRR31" s="1688"/>
      <c r="SRS31" s="1688"/>
      <c r="SRT31" s="1688"/>
      <c r="SRU31" s="1688"/>
      <c r="SRV31" s="1688"/>
      <c r="SRW31" s="1688"/>
      <c r="SRX31" s="1688"/>
      <c r="SRY31" s="1688"/>
      <c r="SRZ31" s="1688"/>
      <c r="SSA31" s="1688"/>
      <c r="SSB31" s="1688"/>
      <c r="SSC31" s="1688"/>
      <c r="SSD31" s="1688"/>
      <c r="SSE31" s="1688"/>
      <c r="SSF31" s="1688"/>
      <c r="SSG31" s="1688"/>
      <c r="SSH31" s="1688"/>
      <c r="SSI31" s="1688"/>
      <c r="SSJ31" s="1688"/>
      <c r="SSK31" s="1688"/>
      <c r="SSL31" s="1688"/>
      <c r="SSM31" s="1688"/>
      <c r="SSN31" s="1688"/>
      <c r="SSO31" s="1688"/>
      <c r="SSP31" s="1688"/>
      <c r="SSQ31" s="1688"/>
      <c r="SSR31" s="1688"/>
      <c r="SSS31" s="1688"/>
      <c r="SST31" s="1688"/>
      <c r="SSU31" s="1688"/>
      <c r="SSV31" s="1688"/>
      <c r="SSW31" s="1688"/>
      <c r="SSX31" s="1688"/>
      <c r="SSY31" s="1688"/>
      <c r="SSZ31" s="1688"/>
      <c r="STA31" s="1688"/>
      <c r="STB31" s="1688"/>
      <c r="STC31" s="1688"/>
      <c r="STD31" s="1688"/>
      <c r="STE31" s="1688"/>
      <c r="STF31" s="1688"/>
      <c r="STG31" s="1688"/>
      <c r="STH31" s="1688"/>
      <c r="STI31" s="1688"/>
      <c r="STJ31" s="1688"/>
      <c r="STK31" s="1688"/>
      <c r="STL31" s="1688"/>
      <c r="STM31" s="1688"/>
      <c r="STN31" s="1688"/>
      <c r="STO31" s="1688"/>
      <c r="STP31" s="1688"/>
      <c r="STQ31" s="1688"/>
      <c r="STR31" s="1688"/>
      <c r="STS31" s="1688"/>
      <c r="STT31" s="1688"/>
      <c r="STU31" s="1688"/>
      <c r="STV31" s="1688"/>
      <c r="STW31" s="1688"/>
      <c r="STX31" s="1688"/>
      <c r="STY31" s="1688"/>
      <c r="STZ31" s="1688"/>
      <c r="SUA31" s="1688"/>
      <c r="SUB31" s="1688"/>
      <c r="SUC31" s="1688"/>
      <c r="SUD31" s="1688"/>
      <c r="SUE31" s="1688"/>
      <c r="SUF31" s="1688"/>
      <c r="SUG31" s="1688"/>
      <c r="SUH31" s="1688"/>
      <c r="SUI31" s="1688"/>
      <c r="SUJ31" s="1688"/>
      <c r="SUK31" s="1688"/>
      <c r="SUL31" s="1688"/>
      <c r="SUM31" s="1688"/>
      <c r="SUN31" s="1688"/>
      <c r="SUO31" s="1688"/>
      <c r="SUP31" s="1688"/>
      <c r="SUQ31" s="1688"/>
      <c r="SUR31" s="1688"/>
      <c r="SUS31" s="1688"/>
      <c r="SUT31" s="1688"/>
      <c r="SUU31" s="1688"/>
      <c r="SUV31" s="1688"/>
      <c r="SUW31" s="1688"/>
      <c r="SUX31" s="1688"/>
      <c r="SUY31" s="1688"/>
      <c r="SUZ31" s="1688"/>
      <c r="SVA31" s="1688"/>
      <c r="SVB31" s="1688"/>
      <c r="SVC31" s="1688"/>
      <c r="SVD31" s="1688"/>
      <c r="SVE31" s="1688"/>
      <c r="SVF31" s="1688"/>
      <c r="SVG31" s="1688"/>
      <c r="SVH31" s="1688"/>
      <c r="SVI31" s="1688"/>
      <c r="SVJ31" s="1688"/>
      <c r="SVK31" s="1688"/>
      <c r="SVL31" s="1688"/>
      <c r="SVM31" s="1688"/>
      <c r="SVN31" s="1688"/>
      <c r="SVO31" s="1688"/>
      <c r="SVP31" s="1688"/>
      <c r="SVQ31" s="1688"/>
      <c r="SVR31" s="1688"/>
      <c r="SVS31" s="1688"/>
      <c r="SVT31" s="1688"/>
      <c r="SVU31" s="1688"/>
      <c r="SVV31" s="1688"/>
      <c r="SVW31" s="1688"/>
      <c r="SVX31" s="1688"/>
      <c r="SVY31" s="1688"/>
      <c r="SVZ31" s="1688"/>
      <c r="SWA31" s="1688"/>
      <c r="SWB31" s="1688"/>
      <c r="SWC31" s="1688"/>
      <c r="SWD31" s="1688"/>
      <c r="SWE31" s="1688"/>
      <c r="SWF31" s="1688"/>
      <c r="SWG31" s="1688"/>
      <c r="SWH31" s="1688"/>
      <c r="SWI31" s="1688"/>
      <c r="SWJ31" s="1688"/>
      <c r="SWK31" s="1688"/>
      <c r="SWL31" s="1688"/>
      <c r="SWM31" s="1688"/>
      <c r="SWN31" s="1688"/>
      <c r="SWO31" s="1688"/>
      <c r="SWP31" s="1688"/>
      <c r="SWQ31" s="1688"/>
      <c r="SWR31" s="1688"/>
      <c r="SWS31" s="1688"/>
      <c r="SWT31" s="1688"/>
      <c r="SWU31" s="1688"/>
      <c r="SWV31" s="1688"/>
      <c r="SWW31" s="1688"/>
      <c r="SWX31" s="1688"/>
      <c r="SWY31" s="1688"/>
      <c r="SWZ31" s="1688"/>
      <c r="SXA31" s="1688"/>
      <c r="SXB31" s="1688"/>
      <c r="SXC31" s="1688"/>
      <c r="SXD31" s="1688"/>
      <c r="SXE31" s="1688"/>
      <c r="SXF31" s="1688"/>
      <c r="SXG31" s="1688"/>
      <c r="SXH31" s="1688"/>
      <c r="SXI31" s="1688"/>
      <c r="SXJ31" s="1688"/>
      <c r="SXK31" s="1688"/>
      <c r="SXL31" s="1688"/>
      <c r="SXM31" s="1688"/>
      <c r="SXN31" s="1688"/>
      <c r="SXO31" s="1688"/>
      <c r="SXP31" s="1688"/>
      <c r="SXQ31" s="1688"/>
      <c r="SXR31" s="1688"/>
      <c r="SXS31" s="1688"/>
      <c r="SXT31" s="1688"/>
      <c r="SXU31" s="1688"/>
      <c r="SXV31" s="1688"/>
      <c r="SXW31" s="1688"/>
      <c r="SXX31" s="1688"/>
      <c r="SXY31" s="1688"/>
      <c r="SXZ31" s="1688"/>
      <c r="SYA31" s="1688"/>
      <c r="SYB31" s="1688"/>
      <c r="SYC31" s="1688"/>
      <c r="SYD31" s="1688"/>
      <c r="SYE31" s="1688"/>
      <c r="SYF31" s="1688"/>
      <c r="SYG31" s="1688"/>
      <c r="SYH31" s="1688"/>
      <c r="SYI31" s="1688"/>
      <c r="SYJ31" s="1688"/>
      <c r="SYK31" s="1688"/>
      <c r="SYL31" s="1688"/>
      <c r="SYM31" s="1688"/>
      <c r="SYN31" s="1688"/>
      <c r="SYO31" s="1688"/>
      <c r="SYP31" s="1688"/>
      <c r="SYQ31" s="1688"/>
      <c r="SYR31" s="1688"/>
      <c r="SYS31" s="1688"/>
      <c r="SYT31" s="1688"/>
      <c r="SYU31" s="1688"/>
      <c r="SYV31" s="1688"/>
      <c r="SYW31" s="1688"/>
      <c r="SYX31" s="1688"/>
      <c r="SYY31" s="1688"/>
      <c r="SYZ31" s="1688"/>
      <c r="SZA31" s="1688"/>
      <c r="SZB31" s="1688"/>
      <c r="SZC31" s="1688"/>
      <c r="SZD31" s="1688"/>
      <c r="SZE31" s="1688"/>
      <c r="SZF31" s="1688"/>
      <c r="SZG31" s="1688"/>
      <c r="SZH31" s="1688"/>
      <c r="SZI31" s="1688"/>
      <c r="SZJ31" s="1688"/>
      <c r="SZK31" s="1688"/>
      <c r="SZL31" s="1688"/>
      <c r="SZM31" s="1688"/>
      <c r="SZN31" s="1688"/>
      <c r="SZO31" s="1688"/>
      <c r="SZP31" s="1688"/>
      <c r="SZQ31" s="1688"/>
      <c r="SZR31" s="1688"/>
      <c r="SZS31" s="1688"/>
      <c r="SZT31" s="1688"/>
      <c r="SZU31" s="1688"/>
      <c r="SZV31" s="1688"/>
      <c r="SZW31" s="1688"/>
      <c r="SZX31" s="1688"/>
      <c r="SZY31" s="1688"/>
      <c r="SZZ31" s="1688"/>
      <c r="TAA31" s="1688"/>
      <c r="TAB31" s="1688"/>
      <c r="TAC31" s="1688"/>
      <c r="TAD31" s="1688"/>
      <c r="TAE31" s="1688"/>
      <c r="TAF31" s="1688"/>
      <c r="TAG31" s="1688"/>
      <c r="TAH31" s="1688"/>
      <c r="TAI31" s="1688"/>
      <c r="TAJ31" s="1688"/>
      <c r="TAK31" s="1688"/>
      <c r="TAL31" s="1688"/>
      <c r="TAM31" s="1688"/>
      <c r="TAN31" s="1688"/>
      <c r="TAO31" s="1688"/>
      <c r="TAP31" s="1688"/>
      <c r="TAQ31" s="1688"/>
      <c r="TAR31" s="1688"/>
      <c r="TAS31" s="1688"/>
      <c r="TAT31" s="1688"/>
      <c r="TAU31" s="1688"/>
      <c r="TAV31" s="1688"/>
      <c r="TAW31" s="1688"/>
      <c r="TAX31" s="1688"/>
      <c r="TAY31" s="1688"/>
      <c r="TAZ31" s="1688"/>
      <c r="TBA31" s="1688"/>
      <c r="TBB31" s="1688"/>
      <c r="TBC31" s="1688"/>
      <c r="TBD31" s="1688"/>
      <c r="TBE31" s="1688"/>
      <c r="TBF31" s="1688"/>
      <c r="TBG31" s="1688"/>
      <c r="TBH31" s="1688"/>
      <c r="TBI31" s="1688"/>
      <c r="TBJ31" s="1688"/>
      <c r="TBK31" s="1688"/>
      <c r="TBL31" s="1688"/>
      <c r="TBM31" s="1688"/>
      <c r="TBN31" s="1688"/>
      <c r="TBO31" s="1688"/>
      <c r="TBP31" s="1688"/>
      <c r="TBQ31" s="1688"/>
      <c r="TBR31" s="1688"/>
      <c r="TBS31" s="1688"/>
      <c r="TBT31" s="1688"/>
      <c r="TBU31" s="1688"/>
      <c r="TBV31" s="1688"/>
      <c r="TBW31" s="1688"/>
      <c r="TBX31" s="1688"/>
      <c r="TBY31" s="1688"/>
      <c r="TBZ31" s="1688"/>
      <c r="TCA31" s="1688"/>
      <c r="TCB31" s="1688"/>
      <c r="TCC31" s="1688"/>
      <c r="TCD31" s="1688"/>
      <c r="TCE31" s="1688"/>
      <c r="TCF31" s="1688"/>
      <c r="TCG31" s="1688"/>
      <c r="TCH31" s="1688"/>
      <c r="TCI31" s="1688"/>
      <c r="TCJ31" s="1688"/>
      <c r="TCK31" s="1688"/>
      <c r="TCL31" s="1688"/>
      <c r="TCM31" s="1688"/>
      <c r="TCN31" s="1688"/>
      <c r="TCO31" s="1688"/>
      <c r="TCP31" s="1688"/>
      <c r="TCQ31" s="1688"/>
      <c r="TCR31" s="1688"/>
      <c r="TCS31" s="1688"/>
      <c r="TCT31" s="1688"/>
      <c r="TCU31" s="1688"/>
      <c r="TCV31" s="1688"/>
      <c r="TCW31" s="1688"/>
      <c r="TCX31" s="1688"/>
      <c r="TCY31" s="1688"/>
      <c r="TCZ31" s="1688"/>
      <c r="TDA31" s="1688"/>
      <c r="TDB31" s="1688"/>
      <c r="TDC31" s="1688"/>
      <c r="TDD31" s="1688"/>
      <c r="TDE31" s="1688"/>
      <c r="TDF31" s="1688"/>
      <c r="TDG31" s="1688"/>
      <c r="TDH31" s="1688"/>
      <c r="TDI31" s="1688"/>
      <c r="TDJ31" s="1688"/>
      <c r="TDK31" s="1688"/>
      <c r="TDL31" s="1688"/>
      <c r="TDM31" s="1688"/>
      <c r="TDN31" s="1688"/>
      <c r="TDO31" s="1688"/>
      <c r="TDP31" s="1688"/>
      <c r="TDQ31" s="1688"/>
      <c r="TDR31" s="1688"/>
      <c r="TDS31" s="1688"/>
      <c r="TDT31" s="1688"/>
      <c r="TDU31" s="1688"/>
      <c r="TDV31" s="1688"/>
      <c r="TDW31" s="1688"/>
      <c r="TDX31" s="1688"/>
      <c r="TDY31" s="1688"/>
      <c r="TDZ31" s="1688"/>
      <c r="TEA31" s="1688"/>
      <c r="TEB31" s="1688"/>
      <c r="TEC31" s="1688"/>
      <c r="TED31" s="1688"/>
      <c r="TEE31" s="1688"/>
      <c r="TEF31" s="1688"/>
      <c r="TEG31" s="1688"/>
      <c r="TEH31" s="1688"/>
      <c r="TEI31" s="1688"/>
      <c r="TEJ31" s="1688"/>
      <c r="TEK31" s="1688"/>
      <c r="TEL31" s="1688"/>
      <c r="TEM31" s="1688"/>
      <c r="TEN31" s="1688"/>
      <c r="TEO31" s="1688"/>
      <c r="TEP31" s="1688"/>
      <c r="TEQ31" s="1688"/>
      <c r="TER31" s="1688"/>
      <c r="TES31" s="1688"/>
      <c r="TET31" s="1688"/>
      <c r="TEU31" s="1688"/>
      <c r="TEV31" s="1688"/>
      <c r="TEW31" s="1688"/>
      <c r="TEX31" s="1688"/>
      <c r="TEY31" s="1688"/>
      <c r="TEZ31" s="1688"/>
      <c r="TFA31" s="1688"/>
      <c r="TFB31" s="1688"/>
      <c r="TFC31" s="1688"/>
      <c r="TFD31" s="1688"/>
      <c r="TFE31" s="1688"/>
      <c r="TFF31" s="1688"/>
      <c r="TFG31" s="1688"/>
      <c r="TFH31" s="1688"/>
      <c r="TFI31" s="1688"/>
      <c r="TFJ31" s="1688"/>
      <c r="TFK31" s="1688"/>
      <c r="TFL31" s="1688"/>
      <c r="TFM31" s="1688"/>
      <c r="TFN31" s="1688"/>
      <c r="TFO31" s="1688"/>
      <c r="TFP31" s="1688"/>
      <c r="TFQ31" s="1688"/>
      <c r="TFR31" s="1688"/>
      <c r="TFS31" s="1688"/>
      <c r="TFT31" s="1688"/>
      <c r="TFU31" s="1688"/>
      <c r="TFV31" s="1688"/>
      <c r="TFW31" s="1688"/>
      <c r="TFX31" s="1688"/>
      <c r="TFY31" s="1688"/>
      <c r="TFZ31" s="1688"/>
      <c r="TGA31" s="1688"/>
      <c r="TGB31" s="1688"/>
      <c r="TGC31" s="1688"/>
      <c r="TGD31" s="1688"/>
      <c r="TGE31" s="1688"/>
      <c r="TGF31" s="1688"/>
      <c r="TGG31" s="1688"/>
      <c r="TGH31" s="1688"/>
      <c r="TGI31" s="1688"/>
      <c r="TGJ31" s="1688"/>
      <c r="TGK31" s="1688"/>
      <c r="TGL31" s="1688"/>
      <c r="TGM31" s="1688"/>
      <c r="TGN31" s="1688"/>
      <c r="TGO31" s="1688"/>
      <c r="TGP31" s="1688"/>
      <c r="TGQ31" s="1688"/>
      <c r="TGR31" s="1688"/>
      <c r="TGS31" s="1688"/>
      <c r="TGT31" s="1688"/>
      <c r="TGU31" s="1688"/>
      <c r="TGV31" s="1688"/>
      <c r="TGW31" s="1688"/>
      <c r="TGX31" s="1688"/>
      <c r="TGY31" s="1688"/>
      <c r="TGZ31" s="1688"/>
      <c r="THA31" s="1688"/>
      <c r="THB31" s="1688"/>
      <c r="THC31" s="1688"/>
      <c r="THD31" s="1688"/>
      <c r="THE31" s="1688"/>
      <c r="THF31" s="1688"/>
      <c r="THG31" s="1688"/>
      <c r="THH31" s="1688"/>
      <c r="THI31" s="1688"/>
      <c r="THJ31" s="1688"/>
      <c r="THK31" s="1688"/>
      <c r="THL31" s="1688"/>
      <c r="THM31" s="1688"/>
      <c r="THN31" s="1688"/>
      <c r="THO31" s="1688"/>
      <c r="THP31" s="1688"/>
      <c r="THQ31" s="1688"/>
      <c r="THR31" s="1688"/>
      <c r="THS31" s="1688"/>
      <c r="THT31" s="1688"/>
      <c r="THU31" s="1688"/>
      <c r="THV31" s="1688"/>
      <c r="THW31" s="1688"/>
      <c r="THX31" s="1688"/>
      <c r="THY31" s="1688"/>
      <c r="THZ31" s="1688"/>
      <c r="TIA31" s="1688"/>
      <c r="TIB31" s="1688"/>
      <c r="TIC31" s="1688"/>
      <c r="TID31" s="1688"/>
      <c r="TIE31" s="1688"/>
      <c r="TIF31" s="1688"/>
      <c r="TIG31" s="1688"/>
      <c r="TIH31" s="1688"/>
      <c r="TII31" s="1688"/>
      <c r="TIJ31" s="1688"/>
      <c r="TIK31" s="1688"/>
      <c r="TIL31" s="1688"/>
      <c r="TIM31" s="1688"/>
      <c r="TIN31" s="1688"/>
      <c r="TIO31" s="1688"/>
      <c r="TIP31" s="1688"/>
      <c r="TIQ31" s="1688"/>
      <c r="TIR31" s="1688"/>
      <c r="TIS31" s="1688"/>
      <c r="TIT31" s="1688"/>
      <c r="TIU31" s="1688"/>
      <c r="TIV31" s="1688"/>
      <c r="TIW31" s="1688"/>
      <c r="TIX31" s="1688"/>
      <c r="TIY31" s="1688"/>
      <c r="TIZ31" s="1688"/>
      <c r="TJA31" s="1688"/>
      <c r="TJB31" s="1688"/>
      <c r="TJC31" s="1688"/>
      <c r="TJD31" s="1688"/>
      <c r="TJE31" s="1688"/>
      <c r="TJF31" s="1688"/>
      <c r="TJG31" s="1688"/>
      <c r="TJH31" s="1688"/>
      <c r="TJI31" s="1688"/>
      <c r="TJJ31" s="1688"/>
      <c r="TJK31" s="1688"/>
      <c r="TJL31" s="1688"/>
      <c r="TJM31" s="1688"/>
      <c r="TJN31" s="1688"/>
      <c r="TJO31" s="1688"/>
      <c r="TJP31" s="1688"/>
      <c r="TJQ31" s="1688"/>
      <c r="TJR31" s="1688"/>
      <c r="TJS31" s="1688"/>
      <c r="TJT31" s="1688"/>
      <c r="TJU31" s="1688"/>
      <c r="TJV31" s="1688"/>
      <c r="TJW31" s="1688"/>
      <c r="TJX31" s="1688"/>
      <c r="TJY31" s="1688"/>
      <c r="TJZ31" s="1688"/>
      <c r="TKA31" s="1688"/>
      <c r="TKB31" s="1688"/>
      <c r="TKC31" s="1688"/>
      <c r="TKD31" s="1688"/>
      <c r="TKE31" s="1688"/>
      <c r="TKF31" s="1688"/>
      <c r="TKG31" s="1688"/>
      <c r="TKH31" s="1688"/>
      <c r="TKI31" s="1688"/>
      <c r="TKJ31" s="1688"/>
      <c r="TKK31" s="1688"/>
      <c r="TKL31" s="1688"/>
      <c r="TKM31" s="1688"/>
      <c r="TKN31" s="1688"/>
      <c r="TKO31" s="1688"/>
      <c r="TKP31" s="1688"/>
      <c r="TKQ31" s="1688"/>
      <c r="TKR31" s="1688"/>
      <c r="TKS31" s="1688"/>
      <c r="TKT31" s="1688"/>
      <c r="TKU31" s="1688"/>
      <c r="TKV31" s="1688"/>
      <c r="TKW31" s="1688"/>
      <c r="TKX31" s="1688"/>
      <c r="TKY31" s="1688"/>
      <c r="TKZ31" s="1688"/>
      <c r="TLA31" s="1688"/>
      <c r="TLB31" s="1688"/>
      <c r="TLC31" s="1688"/>
      <c r="TLD31" s="1688"/>
      <c r="TLE31" s="1688"/>
      <c r="TLF31" s="1688"/>
      <c r="TLG31" s="1688"/>
      <c r="TLH31" s="1688"/>
      <c r="TLI31" s="1688"/>
      <c r="TLJ31" s="1688"/>
      <c r="TLK31" s="1688"/>
      <c r="TLL31" s="1688"/>
      <c r="TLM31" s="1688"/>
      <c r="TLN31" s="1688"/>
      <c r="TLO31" s="1688"/>
      <c r="TLP31" s="1688"/>
      <c r="TLQ31" s="1688"/>
      <c r="TLR31" s="1688"/>
      <c r="TLS31" s="1688"/>
      <c r="TLT31" s="1688"/>
      <c r="TLU31" s="1688"/>
      <c r="TLV31" s="1688"/>
      <c r="TLW31" s="1688"/>
      <c r="TLX31" s="1688"/>
      <c r="TLY31" s="1688"/>
      <c r="TLZ31" s="1688"/>
      <c r="TMA31" s="1688"/>
      <c r="TMB31" s="1688"/>
      <c r="TMC31" s="1688"/>
      <c r="TMD31" s="1688"/>
      <c r="TME31" s="1688"/>
      <c r="TMF31" s="1688"/>
      <c r="TMG31" s="1688"/>
      <c r="TMH31" s="1688"/>
      <c r="TMI31" s="1688"/>
      <c r="TMJ31" s="1688"/>
      <c r="TMK31" s="1688"/>
      <c r="TML31" s="1688"/>
      <c r="TMM31" s="1688"/>
      <c r="TMN31" s="1688"/>
      <c r="TMO31" s="1688"/>
      <c r="TMP31" s="1688"/>
      <c r="TMQ31" s="1688"/>
      <c r="TMR31" s="1688"/>
      <c r="TMS31" s="1688"/>
      <c r="TMT31" s="1688"/>
      <c r="TMU31" s="1688"/>
      <c r="TMV31" s="1688"/>
      <c r="TMW31" s="1688"/>
      <c r="TMX31" s="1688"/>
      <c r="TMY31" s="1688"/>
      <c r="TMZ31" s="1688"/>
      <c r="TNA31" s="1688"/>
      <c r="TNB31" s="1688"/>
      <c r="TNC31" s="1688"/>
      <c r="TND31" s="1688"/>
      <c r="TNE31" s="1688"/>
      <c r="TNF31" s="1688"/>
      <c r="TNG31" s="1688"/>
      <c r="TNH31" s="1688"/>
      <c r="TNI31" s="1688"/>
      <c r="TNJ31" s="1688"/>
      <c r="TNK31" s="1688"/>
      <c r="TNL31" s="1688"/>
      <c r="TNM31" s="1688"/>
      <c r="TNN31" s="1688"/>
      <c r="TNO31" s="1688"/>
      <c r="TNP31" s="1688"/>
      <c r="TNQ31" s="1688"/>
      <c r="TNR31" s="1688"/>
      <c r="TNS31" s="1688"/>
      <c r="TNT31" s="1688"/>
      <c r="TNU31" s="1688"/>
      <c r="TNV31" s="1688"/>
      <c r="TNW31" s="1688"/>
      <c r="TNX31" s="1688"/>
      <c r="TNY31" s="1688"/>
      <c r="TNZ31" s="1688"/>
      <c r="TOA31" s="1688"/>
      <c r="TOB31" s="1688"/>
      <c r="TOC31" s="1688"/>
      <c r="TOD31" s="1688"/>
      <c r="TOE31" s="1688"/>
      <c r="TOF31" s="1688"/>
      <c r="TOG31" s="1688"/>
      <c r="TOH31" s="1688"/>
      <c r="TOI31" s="1688"/>
      <c r="TOJ31" s="1688"/>
      <c r="TOK31" s="1688"/>
      <c r="TOL31" s="1688"/>
      <c r="TOM31" s="1688"/>
      <c r="TON31" s="1688"/>
      <c r="TOO31" s="1688"/>
      <c r="TOP31" s="1688"/>
      <c r="TOQ31" s="1688"/>
      <c r="TOR31" s="1688"/>
      <c r="TOS31" s="1688"/>
      <c r="TOT31" s="1688"/>
      <c r="TOU31" s="1688"/>
      <c r="TOV31" s="1688"/>
      <c r="TOW31" s="1688"/>
      <c r="TOX31" s="1688"/>
      <c r="TOY31" s="1688"/>
      <c r="TOZ31" s="1688"/>
      <c r="TPA31" s="1688"/>
      <c r="TPB31" s="1688"/>
      <c r="TPC31" s="1688"/>
      <c r="TPD31" s="1688"/>
      <c r="TPE31" s="1688"/>
      <c r="TPF31" s="1688"/>
      <c r="TPG31" s="1688"/>
      <c r="TPH31" s="1688"/>
      <c r="TPI31" s="1688"/>
      <c r="TPJ31" s="1688"/>
      <c r="TPK31" s="1688"/>
      <c r="TPL31" s="1688"/>
      <c r="TPM31" s="1688"/>
      <c r="TPN31" s="1688"/>
      <c r="TPO31" s="1688"/>
      <c r="TPP31" s="1688"/>
      <c r="TPQ31" s="1688"/>
      <c r="TPR31" s="1688"/>
      <c r="TPS31" s="1688"/>
      <c r="TPT31" s="1688"/>
      <c r="TPU31" s="1688"/>
      <c r="TPV31" s="1688"/>
      <c r="TPW31" s="1688"/>
      <c r="TPX31" s="1688"/>
      <c r="TPY31" s="1688"/>
      <c r="TPZ31" s="1688"/>
      <c r="TQA31" s="1688"/>
      <c r="TQB31" s="1688"/>
      <c r="TQC31" s="1688"/>
      <c r="TQD31" s="1688"/>
      <c r="TQE31" s="1688"/>
      <c r="TQF31" s="1688"/>
      <c r="TQG31" s="1688"/>
      <c r="TQH31" s="1688"/>
      <c r="TQI31" s="1688"/>
      <c r="TQJ31" s="1688"/>
      <c r="TQK31" s="1688"/>
      <c r="TQL31" s="1688"/>
      <c r="TQM31" s="1688"/>
      <c r="TQN31" s="1688"/>
      <c r="TQO31" s="1688"/>
      <c r="TQP31" s="1688"/>
      <c r="TQQ31" s="1688"/>
      <c r="TQR31" s="1688"/>
      <c r="TQS31" s="1688"/>
      <c r="TQT31" s="1688"/>
      <c r="TQU31" s="1688"/>
      <c r="TQV31" s="1688"/>
      <c r="TQW31" s="1688"/>
      <c r="TQX31" s="1688"/>
      <c r="TQY31" s="1688"/>
      <c r="TQZ31" s="1688"/>
      <c r="TRA31" s="1688"/>
      <c r="TRB31" s="1688"/>
      <c r="TRC31" s="1688"/>
      <c r="TRD31" s="1688"/>
      <c r="TRE31" s="1688"/>
      <c r="TRF31" s="1688"/>
      <c r="TRG31" s="1688"/>
      <c r="TRH31" s="1688"/>
      <c r="TRI31" s="1688"/>
      <c r="TRJ31" s="1688"/>
      <c r="TRK31" s="1688"/>
      <c r="TRL31" s="1688"/>
      <c r="TRM31" s="1688"/>
      <c r="TRN31" s="1688"/>
      <c r="TRO31" s="1688"/>
      <c r="TRP31" s="1688"/>
      <c r="TRQ31" s="1688"/>
      <c r="TRR31" s="1688"/>
      <c r="TRS31" s="1688"/>
      <c r="TRT31" s="1688"/>
      <c r="TRU31" s="1688"/>
      <c r="TRV31" s="1688"/>
      <c r="TRW31" s="1688"/>
      <c r="TRX31" s="1688"/>
      <c r="TRY31" s="1688"/>
      <c r="TRZ31" s="1688"/>
      <c r="TSA31" s="1688"/>
      <c r="TSB31" s="1688"/>
      <c r="TSC31" s="1688"/>
      <c r="TSD31" s="1688"/>
      <c r="TSE31" s="1688"/>
      <c r="TSF31" s="1688"/>
      <c r="TSG31" s="1688"/>
      <c r="TSH31" s="1688"/>
      <c r="TSI31" s="1688"/>
      <c r="TSJ31" s="1688"/>
      <c r="TSK31" s="1688"/>
      <c r="TSL31" s="1688"/>
      <c r="TSM31" s="1688"/>
      <c r="TSN31" s="1688"/>
      <c r="TSO31" s="1688"/>
      <c r="TSP31" s="1688"/>
      <c r="TSQ31" s="1688"/>
      <c r="TSR31" s="1688"/>
      <c r="TSS31" s="1688"/>
      <c r="TST31" s="1688"/>
      <c r="TSU31" s="1688"/>
      <c r="TSV31" s="1688"/>
      <c r="TSW31" s="1688"/>
      <c r="TSX31" s="1688"/>
      <c r="TSY31" s="1688"/>
      <c r="TSZ31" s="1688"/>
      <c r="TTA31" s="1688"/>
      <c r="TTB31" s="1688"/>
      <c r="TTC31" s="1688"/>
      <c r="TTD31" s="1688"/>
      <c r="TTE31" s="1688"/>
      <c r="TTF31" s="1688"/>
      <c r="TTG31" s="1688"/>
      <c r="TTH31" s="1688"/>
      <c r="TTI31" s="1688"/>
      <c r="TTJ31" s="1688"/>
      <c r="TTK31" s="1688"/>
      <c r="TTL31" s="1688"/>
      <c r="TTM31" s="1688"/>
      <c r="TTN31" s="1688"/>
      <c r="TTO31" s="1688"/>
      <c r="TTP31" s="1688"/>
      <c r="TTQ31" s="1688"/>
      <c r="TTR31" s="1688"/>
      <c r="TTS31" s="1688"/>
      <c r="TTT31" s="1688"/>
      <c r="TTU31" s="1688"/>
      <c r="TTV31" s="1688"/>
      <c r="TTW31" s="1688"/>
      <c r="TTX31" s="1688"/>
      <c r="TTY31" s="1688"/>
      <c r="TTZ31" s="1688"/>
      <c r="TUA31" s="1688"/>
      <c r="TUB31" s="1688"/>
      <c r="TUC31" s="1688"/>
      <c r="TUD31" s="1688"/>
      <c r="TUE31" s="1688"/>
      <c r="TUF31" s="1688"/>
      <c r="TUG31" s="1688"/>
      <c r="TUH31" s="1688"/>
      <c r="TUI31" s="1688"/>
      <c r="TUJ31" s="1688"/>
      <c r="TUK31" s="1688"/>
      <c r="TUL31" s="1688"/>
      <c r="TUM31" s="1688"/>
      <c r="TUN31" s="1688"/>
      <c r="TUO31" s="1688"/>
      <c r="TUP31" s="1688"/>
      <c r="TUQ31" s="1688"/>
      <c r="TUR31" s="1688"/>
      <c r="TUS31" s="1688"/>
      <c r="TUT31" s="1688"/>
      <c r="TUU31" s="1688"/>
      <c r="TUV31" s="1688"/>
      <c r="TUW31" s="1688"/>
      <c r="TUX31" s="1688"/>
      <c r="TUY31" s="1688"/>
      <c r="TUZ31" s="1688"/>
      <c r="TVA31" s="1688"/>
      <c r="TVB31" s="1688"/>
      <c r="TVC31" s="1688"/>
      <c r="TVD31" s="1688"/>
      <c r="TVE31" s="1688"/>
      <c r="TVF31" s="1688"/>
      <c r="TVG31" s="1688"/>
      <c r="TVH31" s="1688"/>
      <c r="TVI31" s="1688"/>
      <c r="TVJ31" s="1688"/>
      <c r="TVK31" s="1688"/>
      <c r="TVL31" s="1688"/>
      <c r="TVM31" s="1688"/>
      <c r="TVN31" s="1688"/>
      <c r="TVO31" s="1688"/>
      <c r="TVP31" s="1688"/>
      <c r="TVQ31" s="1688"/>
      <c r="TVR31" s="1688"/>
      <c r="TVS31" s="1688"/>
      <c r="TVT31" s="1688"/>
      <c r="TVU31" s="1688"/>
      <c r="TVV31" s="1688"/>
      <c r="TVW31" s="1688"/>
      <c r="TVX31" s="1688"/>
      <c r="TVY31" s="1688"/>
      <c r="TVZ31" s="1688"/>
      <c r="TWA31" s="1688"/>
      <c r="TWB31" s="1688"/>
      <c r="TWC31" s="1688"/>
      <c r="TWD31" s="1688"/>
      <c r="TWE31" s="1688"/>
      <c r="TWF31" s="1688"/>
      <c r="TWG31" s="1688"/>
      <c r="TWH31" s="1688"/>
      <c r="TWI31" s="1688"/>
      <c r="TWJ31" s="1688"/>
      <c r="TWK31" s="1688"/>
      <c r="TWL31" s="1688"/>
      <c r="TWM31" s="1688"/>
      <c r="TWN31" s="1688"/>
      <c r="TWO31" s="1688"/>
      <c r="TWP31" s="1688"/>
      <c r="TWQ31" s="1688"/>
      <c r="TWR31" s="1688"/>
      <c r="TWS31" s="1688"/>
      <c r="TWT31" s="1688"/>
      <c r="TWU31" s="1688"/>
      <c r="TWV31" s="1688"/>
      <c r="TWW31" s="1688"/>
      <c r="TWX31" s="1688"/>
      <c r="TWY31" s="1688"/>
      <c r="TWZ31" s="1688"/>
      <c r="TXA31" s="1688"/>
      <c r="TXB31" s="1688"/>
      <c r="TXC31" s="1688"/>
      <c r="TXD31" s="1688"/>
      <c r="TXE31" s="1688"/>
      <c r="TXF31" s="1688"/>
      <c r="TXG31" s="1688"/>
      <c r="TXH31" s="1688"/>
      <c r="TXI31" s="1688"/>
      <c r="TXJ31" s="1688"/>
      <c r="TXK31" s="1688"/>
      <c r="TXL31" s="1688"/>
      <c r="TXM31" s="1688"/>
      <c r="TXN31" s="1688"/>
      <c r="TXO31" s="1688"/>
      <c r="TXP31" s="1688"/>
      <c r="TXQ31" s="1688"/>
      <c r="TXR31" s="1688"/>
      <c r="TXS31" s="1688"/>
      <c r="TXT31" s="1688"/>
      <c r="TXU31" s="1688"/>
      <c r="TXV31" s="1688"/>
      <c r="TXW31" s="1688"/>
      <c r="TXX31" s="1688"/>
      <c r="TXY31" s="1688"/>
      <c r="TXZ31" s="1688"/>
      <c r="TYA31" s="1688"/>
      <c r="TYB31" s="1688"/>
      <c r="TYC31" s="1688"/>
      <c r="TYD31" s="1688"/>
      <c r="TYE31" s="1688"/>
      <c r="TYF31" s="1688"/>
      <c r="TYG31" s="1688"/>
      <c r="TYH31" s="1688"/>
      <c r="TYI31" s="1688"/>
      <c r="TYJ31" s="1688"/>
      <c r="TYK31" s="1688"/>
      <c r="TYL31" s="1688"/>
      <c r="TYM31" s="1688"/>
      <c r="TYN31" s="1688"/>
      <c r="TYO31" s="1688"/>
      <c r="TYP31" s="1688"/>
      <c r="TYQ31" s="1688"/>
      <c r="TYR31" s="1688"/>
      <c r="TYS31" s="1688"/>
      <c r="TYT31" s="1688"/>
      <c r="TYU31" s="1688"/>
      <c r="TYV31" s="1688"/>
      <c r="TYW31" s="1688"/>
      <c r="TYX31" s="1688"/>
      <c r="TYY31" s="1688"/>
      <c r="TYZ31" s="1688"/>
      <c r="TZA31" s="1688"/>
      <c r="TZB31" s="1688"/>
      <c r="TZC31" s="1688"/>
      <c r="TZD31" s="1688"/>
      <c r="TZE31" s="1688"/>
      <c r="TZF31" s="1688"/>
      <c r="TZG31" s="1688"/>
      <c r="TZH31" s="1688"/>
      <c r="TZI31" s="1688"/>
      <c r="TZJ31" s="1688"/>
      <c r="TZK31" s="1688"/>
      <c r="TZL31" s="1688"/>
      <c r="TZM31" s="1688"/>
      <c r="TZN31" s="1688"/>
      <c r="TZO31" s="1688"/>
      <c r="TZP31" s="1688"/>
      <c r="TZQ31" s="1688"/>
      <c r="TZR31" s="1688"/>
      <c r="TZS31" s="1688"/>
      <c r="TZT31" s="1688"/>
      <c r="TZU31" s="1688"/>
      <c r="TZV31" s="1688"/>
      <c r="TZW31" s="1688"/>
      <c r="TZX31" s="1688"/>
      <c r="TZY31" s="1688"/>
      <c r="TZZ31" s="1688"/>
      <c r="UAA31" s="1688"/>
      <c r="UAB31" s="1688"/>
      <c r="UAC31" s="1688"/>
      <c r="UAD31" s="1688"/>
      <c r="UAE31" s="1688"/>
      <c r="UAF31" s="1688"/>
      <c r="UAG31" s="1688"/>
      <c r="UAH31" s="1688"/>
      <c r="UAI31" s="1688"/>
      <c r="UAJ31" s="1688"/>
      <c r="UAK31" s="1688"/>
      <c r="UAL31" s="1688"/>
      <c r="UAM31" s="1688"/>
      <c r="UAN31" s="1688"/>
      <c r="UAO31" s="1688"/>
      <c r="UAP31" s="1688"/>
      <c r="UAQ31" s="1688"/>
      <c r="UAR31" s="1688"/>
      <c r="UAS31" s="1688"/>
      <c r="UAT31" s="1688"/>
      <c r="UAU31" s="1688"/>
      <c r="UAV31" s="1688"/>
      <c r="UAW31" s="1688"/>
      <c r="UAX31" s="1688"/>
      <c r="UAY31" s="1688"/>
      <c r="UAZ31" s="1688"/>
      <c r="UBA31" s="1688"/>
      <c r="UBB31" s="1688"/>
      <c r="UBC31" s="1688"/>
      <c r="UBD31" s="1688"/>
      <c r="UBE31" s="1688"/>
      <c r="UBF31" s="1688"/>
      <c r="UBG31" s="1688"/>
      <c r="UBH31" s="1688"/>
      <c r="UBI31" s="1688"/>
      <c r="UBJ31" s="1688"/>
      <c r="UBK31" s="1688"/>
      <c r="UBL31" s="1688"/>
      <c r="UBM31" s="1688"/>
      <c r="UBN31" s="1688"/>
      <c r="UBO31" s="1688"/>
      <c r="UBP31" s="1688"/>
      <c r="UBQ31" s="1688"/>
      <c r="UBR31" s="1688"/>
      <c r="UBS31" s="1688"/>
      <c r="UBT31" s="1688"/>
      <c r="UBU31" s="1688"/>
      <c r="UBV31" s="1688"/>
      <c r="UBW31" s="1688"/>
      <c r="UBX31" s="1688"/>
      <c r="UBY31" s="1688"/>
      <c r="UBZ31" s="1688"/>
      <c r="UCA31" s="1688"/>
      <c r="UCB31" s="1688"/>
      <c r="UCC31" s="1688"/>
      <c r="UCD31" s="1688"/>
      <c r="UCE31" s="1688"/>
      <c r="UCF31" s="1688"/>
      <c r="UCG31" s="1688"/>
      <c r="UCH31" s="1688"/>
      <c r="UCI31" s="1688"/>
      <c r="UCJ31" s="1688"/>
      <c r="UCK31" s="1688"/>
      <c r="UCL31" s="1688"/>
      <c r="UCM31" s="1688"/>
      <c r="UCN31" s="1688"/>
      <c r="UCO31" s="1688"/>
      <c r="UCP31" s="1688"/>
      <c r="UCQ31" s="1688"/>
      <c r="UCR31" s="1688"/>
      <c r="UCS31" s="1688"/>
      <c r="UCT31" s="1688"/>
      <c r="UCU31" s="1688"/>
      <c r="UCV31" s="1688"/>
      <c r="UCW31" s="1688"/>
      <c r="UCX31" s="1688"/>
      <c r="UCY31" s="1688"/>
      <c r="UCZ31" s="1688"/>
      <c r="UDA31" s="1688"/>
      <c r="UDB31" s="1688"/>
      <c r="UDC31" s="1688"/>
      <c r="UDD31" s="1688"/>
      <c r="UDE31" s="1688"/>
      <c r="UDF31" s="1688"/>
      <c r="UDG31" s="1688"/>
      <c r="UDH31" s="1688"/>
      <c r="UDI31" s="1688"/>
      <c r="UDJ31" s="1688"/>
      <c r="UDK31" s="1688"/>
      <c r="UDL31" s="1688"/>
      <c r="UDM31" s="1688"/>
      <c r="UDN31" s="1688"/>
      <c r="UDO31" s="1688"/>
      <c r="UDP31" s="1688"/>
      <c r="UDQ31" s="1688"/>
      <c r="UDR31" s="1688"/>
      <c r="UDS31" s="1688"/>
      <c r="UDT31" s="1688"/>
      <c r="UDU31" s="1688"/>
      <c r="UDV31" s="1688"/>
      <c r="UDW31" s="1688"/>
      <c r="UDX31" s="1688"/>
      <c r="UDY31" s="1688"/>
      <c r="UDZ31" s="1688"/>
      <c r="UEA31" s="1688"/>
      <c r="UEB31" s="1688"/>
      <c r="UEC31" s="1688"/>
      <c r="UED31" s="1688"/>
      <c r="UEE31" s="1688"/>
      <c r="UEF31" s="1688"/>
      <c r="UEG31" s="1688"/>
      <c r="UEH31" s="1688"/>
      <c r="UEI31" s="1688"/>
      <c r="UEJ31" s="1688"/>
      <c r="UEK31" s="1688"/>
      <c r="UEL31" s="1688"/>
      <c r="UEM31" s="1688"/>
      <c r="UEN31" s="1688"/>
      <c r="UEO31" s="1688"/>
      <c r="UEP31" s="1688"/>
      <c r="UEQ31" s="1688"/>
      <c r="UER31" s="1688"/>
      <c r="UES31" s="1688"/>
      <c r="UET31" s="1688"/>
      <c r="UEU31" s="1688"/>
      <c r="UEV31" s="1688"/>
      <c r="UEW31" s="1688"/>
      <c r="UEX31" s="1688"/>
      <c r="UEY31" s="1688"/>
      <c r="UEZ31" s="1688"/>
      <c r="UFA31" s="1688"/>
      <c r="UFB31" s="1688"/>
      <c r="UFC31" s="1688"/>
      <c r="UFD31" s="1688"/>
      <c r="UFE31" s="1688"/>
      <c r="UFF31" s="1688"/>
      <c r="UFG31" s="1688"/>
      <c r="UFH31" s="1688"/>
      <c r="UFI31" s="1688"/>
      <c r="UFJ31" s="1688"/>
      <c r="UFK31" s="1688"/>
      <c r="UFL31" s="1688"/>
      <c r="UFM31" s="1688"/>
      <c r="UFN31" s="1688"/>
      <c r="UFO31" s="1688"/>
      <c r="UFP31" s="1688"/>
      <c r="UFQ31" s="1688"/>
      <c r="UFR31" s="1688"/>
      <c r="UFS31" s="1688"/>
      <c r="UFT31" s="1688"/>
      <c r="UFU31" s="1688"/>
      <c r="UFV31" s="1688"/>
      <c r="UFW31" s="1688"/>
      <c r="UFX31" s="1688"/>
      <c r="UFY31" s="1688"/>
      <c r="UFZ31" s="1688"/>
      <c r="UGA31" s="1688"/>
      <c r="UGB31" s="1688"/>
      <c r="UGC31" s="1688"/>
      <c r="UGD31" s="1688"/>
      <c r="UGE31" s="1688"/>
      <c r="UGF31" s="1688"/>
      <c r="UGG31" s="1688"/>
      <c r="UGH31" s="1688"/>
      <c r="UGI31" s="1688"/>
      <c r="UGJ31" s="1688"/>
      <c r="UGK31" s="1688"/>
      <c r="UGL31" s="1688"/>
      <c r="UGM31" s="1688"/>
      <c r="UGN31" s="1688"/>
      <c r="UGO31" s="1688"/>
      <c r="UGP31" s="1688"/>
      <c r="UGQ31" s="1688"/>
      <c r="UGR31" s="1688"/>
      <c r="UGS31" s="1688"/>
      <c r="UGT31" s="1688"/>
      <c r="UGU31" s="1688"/>
      <c r="UGV31" s="1688"/>
      <c r="UGW31" s="1688"/>
      <c r="UGX31" s="1688"/>
      <c r="UGY31" s="1688"/>
      <c r="UGZ31" s="1688"/>
      <c r="UHA31" s="1688"/>
      <c r="UHB31" s="1688"/>
      <c r="UHC31" s="1688"/>
      <c r="UHD31" s="1688"/>
      <c r="UHE31" s="1688"/>
      <c r="UHF31" s="1688"/>
      <c r="UHG31" s="1688"/>
      <c r="UHH31" s="1688"/>
      <c r="UHI31" s="1688"/>
      <c r="UHJ31" s="1688"/>
      <c r="UHK31" s="1688"/>
      <c r="UHL31" s="1688"/>
      <c r="UHM31" s="1688"/>
      <c r="UHN31" s="1688"/>
      <c r="UHO31" s="1688"/>
      <c r="UHP31" s="1688"/>
      <c r="UHQ31" s="1688"/>
      <c r="UHR31" s="1688"/>
      <c r="UHS31" s="1688"/>
      <c r="UHT31" s="1688"/>
      <c r="UHU31" s="1688"/>
      <c r="UHV31" s="1688"/>
      <c r="UHW31" s="1688"/>
      <c r="UHX31" s="1688"/>
      <c r="UHY31" s="1688"/>
      <c r="UHZ31" s="1688"/>
      <c r="UIA31" s="1688"/>
      <c r="UIB31" s="1688"/>
      <c r="UIC31" s="1688"/>
      <c r="UID31" s="1688"/>
      <c r="UIE31" s="1688"/>
      <c r="UIF31" s="1688"/>
      <c r="UIG31" s="1688"/>
      <c r="UIH31" s="1688"/>
      <c r="UII31" s="1688"/>
      <c r="UIJ31" s="1688"/>
      <c r="UIK31" s="1688"/>
      <c r="UIL31" s="1688"/>
      <c r="UIM31" s="1688"/>
      <c r="UIN31" s="1688"/>
      <c r="UIO31" s="1688"/>
      <c r="UIP31" s="1688"/>
      <c r="UIQ31" s="1688"/>
      <c r="UIR31" s="1688"/>
      <c r="UIS31" s="1688"/>
      <c r="UIT31" s="1688"/>
      <c r="UIU31" s="1688"/>
      <c r="UIV31" s="1688"/>
      <c r="UIW31" s="1688"/>
      <c r="UIX31" s="1688"/>
      <c r="UIY31" s="1688"/>
      <c r="UIZ31" s="1688"/>
      <c r="UJA31" s="1688"/>
      <c r="UJB31" s="1688"/>
      <c r="UJC31" s="1688"/>
      <c r="UJD31" s="1688"/>
      <c r="UJE31" s="1688"/>
      <c r="UJF31" s="1688"/>
      <c r="UJG31" s="1688"/>
      <c r="UJH31" s="1688"/>
      <c r="UJI31" s="1688"/>
      <c r="UJJ31" s="1688"/>
      <c r="UJK31" s="1688"/>
      <c r="UJL31" s="1688"/>
      <c r="UJM31" s="1688"/>
      <c r="UJN31" s="1688"/>
      <c r="UJO31" s="1688"/>
      <c r="UJP31" s="1688"/>
      <c r="UJQ31" s="1688"/>
      <c r="UJR31" s="1688"/>
      <c r="UJS31" s="1688"/>
      <c r="UJT31" s="1688"/>
      <c r="UJU31" s="1688"/>
      <c r="UJV31" s="1688"/>
      <c r="UJW31" s="1688"/>
      <c r="UJX31" s="1688"/>
      <c r="UJY31" s="1688"/>
      <c r="UJZ31" s="1688"/>
      <c r="UKA31" s="1688"/>
      <c r="UKB31" s="1688"/>
      <c r="UKC31" s="1688"/>
      <c r="UKD31" s="1688"/>
      <c r="UKE31" s="1688"/>
      <c r="UKF31" s="1688"/>
      <c r="UKG31" s="1688"/>
      <c r="UKH31" s="1688"/>
      <c r="UKI31" s="1688"/>
      <c r="UKJ31" s="1688"/>
      <c r="UKK31" s="1688"/>
      <c r="UKL31" s="1688"/>
      <c r="UKM31" s="1688"/>
      <c r="UKN31" s="1688"/>
      <c r="UKO31" s="1688"/>
      <c r="UKP31" s="1688"/>
      <c r="UKQ31" s="1688"/>
      <c r="UKR31" s="1688"/>
      <c r="UKS31" s="1688"/>
      <c r="UKT31" s="1688"/>
      <c r="UKU31" s="1688"/>
      <c r="UKV31" s="1688"/>
      <c r="UKW31" s="1688"/>
      <c r="UKX31" s="1688"/>
      <c r="UKY31" s="1688"/>
      <c r="UKZ31" s="1688"/>
      <c r="ULA31" s="1688"/>
      <c r="ULB31" s="1688"/>
      <c r="ULC31" s="1688"/>
      <c r="ULD31" s="1688"/>
      <c r="ULE31" s="1688"/>
      <c r="ULF31" s="1688"/>
      <c r="ULG31" s="1688"/>
      <c r="ULH31" s="1688"/>
      <c r="ULI31" s="1688"/>
      <c r="ULJ31" s="1688"/>
      <c r="ULK31" s="1688"/>
      <c r="ULL31" s="1688"/>
      <c r="ULM31" s="1688"/>
      <c r="ULN31" s="1688"/>
      <c r="ULO31" s="1688"/>
      <c r="ULP31" s="1688"/>
      <c r="ULQ31" s="1688"/>
      <c r="ULR31" s="1688"/>
      <c r="ULS31" s="1688"/>
      <c r="ULT31" s="1688"/>
      <c r="ULU31" s="1688"/>
      <c r="ULV31" s="1688"/>
      <c r="ULW31" s="1688"/>
      <c r="ULX31" s="1688"/>
      <c r="ULY31" s="1688"/>
      <c r="ULZ31" s="1688"/>
      <c r="UMA31" s="1688"/>
      <c r="UMB31" s="1688"/>
      <c r="UMC31" s="1688"/>
      <c r="UMD31" s="1688"/>
      <c r="UME31" s="1688"/>
      <c r="UMF31" s="1688"/>
      <c r="UMG31" s="1688"/>
      <c r="UMH31" s="1688"/>
      <c r="UMI31" s="1688"/>
      <c r="UMJ31" s="1688"/>
      <c r="UMK31" s="1688"/>
      <c r="UML31" s="1688"/>
      <c r="UMM31" s="1688"/>
      <c r="UMN31" s="1688"/>
      <c r="UMO31" s="1688"/>
      <c r="UMP31" s="1688"/>
      <c r="UMQ31" s="1688"/>
      <c r="UMR31" s="1688"/>
      <c r="UMS31" s="1688"/>
      <c r="UMT31" s="1688"/>
      <c r="UMU31" s="1688"/>
      <c r="UMV31" s="1688"/>
      <c r="UMW31" s="1688"/>
      <c r="UMX31" s="1688"/>
      <c r="UMY31" s="1688"/>
      <c r="UMZ31" s="1688"/>
      <c r="UNA31" s="1688"/>
      <c r="UNB31" s="1688"/>
      <c r="UNC31" s="1688"/>
      <c r="UND31" s="1688"/>
      <c r="UNE31" s="1688"/>
      <c r="UNF31" s="1688"/>
      <c r="UNG31" s="1688"/>
      <c r="UNH31" s="1688"/>
      <c r="UNI31" s="1688"/>
      <c r="UNJ31" s="1688"/>
      <c r="UNK31" s="1688"/>
      <c r="UNL31" s="1688"/>
      <c r="UNM31" s="1688"/>
      <c r="UNN31" s="1688"/>
      <c r="UNO31" s="1688"/>
      <c r="UNP31" s="1688"/>
      <c r="UNQ31" s="1688"/>
      <c r="UNR31" s="1688"/>
      <c r="UNS31" s="1688"/>
      <c r="UNT31" s="1688"/>
      <c r="UNU31" s="1688"/>
      <c r="UNV31" s="1688"/>
      <c r="UNW31" s="1688"/>
      <c r="UNX31" s="1688"/>
      <c r="UNY31" s="1688"/>
      <c r="UNZ31" s="1688"/>
      <c r="UOA31" s="1688"/>
      <c r="UOB31" s="1688"/>
      <c r="UOC31" s="1688"/>
      <c r="UOD31" s="1688"/>
      <c r="UOE31" s="1688"/>
      <c r="UOF31" s="1688"/>
      <c r="UOG31" s="1688"/>
      <c r="UOH31" s="1688"/>
      <c r="UOI31" s="1688"/>
      <c r="UOJ31" s="1688"/>
      <c r="UOK31" s="1688"/>
      <c r="UOL31" s="1688"/>
      <c r="UOM31" s="1688"/>
      <c r="UON31" s="1688"/>
      <c r="UOO31" s="1688"/>
      <c r="UOP31" s="1688"/>
      <c r="UOQ31" s="1688"/>
      <c r="UOR31" s="1688"/>
      <c r="UOS31" s="1688"/>
      <c r="UOT31" s="1688"/>
      <c r="UOU31" s="1688"/>
      <c r="UOV31" s="1688"/>
      <c r="UOW31" s="1688"/>
      <c r="UOX31" s="1688"/>
      <c r="UOY31" s="1688"/>
      <c r="UOZ31" s="1688"/>
      <c r="UPA31" s="1688"/>
      <c r="UPB31" s="1688"/>
      <c r="UPC31" s="1688"/>
      <c r="UPD31" s="1688"/>
      <c r="UPE31" s="1688"/>
      <c r="UPF31" s="1688"/>
      <c r="UPG31" s="1688"/>
      <c r="UPH31" s="1688"/>
      <c r="UPI31" s="1688"/>
      <c r="UPJ31" s="1688"/>
      <c r="UPK31" s="1688"/>
      <c r="UPL31" s="1688"/>
      <c r="UPM31" s="1688"/>
      <c r="UPN31" s="1688"/>
      <c r="UPO31" s="1688"/>
      <c r="UPP31" s="1688"/>
      <c r="UPQ31" s="1688"/>
      <c r="UPR31" s="1688"/>
      <c r="UPS31" s="1688"/>
      <c r="UPT31" s="1688"/>
      <c r="UPU31" s="1688"/>
      <c r="UPV31" s="1688"/>
      <c r="UPW31" s="1688"/>
      <c r="UPX31" s="1688"/>
      <c r="UPY31" s="1688"/>
      <c r="UPZ31" s="1688"/>
      <c r="UQA31" s="1688"/>
      <c r="UQB31" s="1688"/>
      <c r="UQC31" s="1688"/>
      <c r="UQD31" s="1688"/>
      <c r="UQE31" s="1688"/>
      <c r="UQF31" s="1688"/>
      <c r="UQG31" s="1688"/>
      <c r="UQH31" s="1688"/>
      <c r="UQI31" s="1688"/>
      <c r="UQJ31" s="1688"/>
      <c r="UQK31" s="1688"/>
      <c r="UQL31" s="1688"/>
      <c r="UQM31" s="1688"/>
      <c r="UQN31" s="1688"/>
      <c r="UQO31" s="1688"/>
      <c r="UQP31" s="1688"/>
      <c r="UQQ31" s="1688"/>
      <c r="UQR31" s="1688"/>
      <c r="UQS31" s="1688"/>
      <c r="UQT31" s="1688"/>
      <c r="UQU31" s="1688"/>
      <c r="UQV31" s="1688"/>
      <c r="UQW31" s="1688"/>
      <c r="UQX31" s="1688"/>
      <c r="UQY31" s="1688"/>
      <c r="UQZ31" s="1688"/>
      <c r="URA31" s="1688"/>
      <c r="URB31" s="1688"/>
      <c r="URC31" s="1688"/>
      <c r="URD31" s="1688"/>
      <c r="URE31" s="1688"/>
      <c r="URF31" s="1688"/>
      <c r="URG31" s="1688"/>
      <c r="URH31" s="1688"/>
      <c r="URI31" s="1688"/>
      <c r="URJ31" s="1688"/>
      <c r="URK31" s="1688"/>
      <c r="URL31" s="1688"/>
      <c r="URM31" s="1688"/>
      <c r="URN31" s="1688"/>
      <c r="URO31" s="1688"/>
      <c r="URP31" s="1688"/>
      <c r="URQ31" s="1688"/>
      <c r="URR31" s="1688"/>
      <c r="URS31" s="1688"/>
      <c r="URT31" s="1688"/>
      <c r="URU31" s="1688"/>
      <c r="URV31" s="1688"/>
      <c r="URW31" s="1688"/>
      <c r="URX31" s="1688"/>
      <c r="URY31" s="1688"/>
      <c r="URZ31" s="1688"/>
      <c r="USA31" s="1688"/>
      <c r="USB31" s="1688"/>
      <c r="USC31" s="1688"/>
      <c r="USD31" s="1688"/>
      <c r="USE31" s="1688"/>
      <c r="USF31" s="1688"/>
      <c r="USG31" s="1688"/>
      <c r="USH31" s="1688"/>
      <c r="USI31" s="1688"/>
      <c r="USJ31" s="1688"/>
      <c r="USK31" s="1688"/>
      <c r="USL31" s="1688"/>
      <c r="USM31" s="1688"/>
      <c r="USN31" s="1688"/>
      <c r="USO31" s="1688"/>
      <c r="USP31" s="1688"/>
      <c r="USQ31" s="1688"/>
      <c r="USR31" s="1688"/>
      <c r="USS31" s="1688"/>
      <c r="UST31" s="1688"/>
      <c r="USU31" s="1688"/>
      <c r="USV31" s="1688"/>
      <c r="USW31" s="1688"/>
      <c r="USX31" s="1688"/>
      <c r="USY31" s="1688"/>
      <c r="USZ31" s="1688"/>
      <c r="UTA31" s="1688"/>
      <c r="UTB31" s="1688"/>
      <c r="UTC31" s="1688"/>
      <c r="UTD31" s="1688"/>
      <c r="UTE31" s="1688"/>
      <c r="UTF31" s="1688"/>
      <c r="UTG31" s="1688"/>
      <c r="UTH31" s="1688"/>
      <c r="UTI31" s="1688"/>
      <c r="UTJ31" s="1688"/>
      <c r="UTK31" s="1688"/>
      <c r="UTL31" s="1688"/>
      <c r="UTM31" s="1688"/>
      <c r="UTN31" s="1688"/>
      <c r="UTO31" s="1688"/>
      <c r="UTP31" s="1688"/>
      <c r="UTQ31" s="1688"/>
      <c r="UTR31" s="1688"/>
      <c r="UTS31" s="1688"/>
      <c r="UTT31" s="1688"/>
      <c r="UTU31" s="1688"/>
      <c r="UTV31" s="1688"/>
      <c r="UTW31" s="1688"/>
      <c r="UTX31" s="1688"/>
      <c r="UTY31" s="1688"/>
      <c r="UTZ31" s="1688"/>
      <c r="UUA31" s="1688"/>
      <c r="UUB31" s="1688"/>
      <c r="UUC31" s="1688"/>
      <c r="UUD31" s="1688"/>
      <c r="UUE31" s="1688"/>
      <c r="UUF31" s="1688"/>
      <c r="UUG31" s="1688"/>
      <c r="UUH31" s="1688"/>
      <c r="UUI31" s="1688"/>
      <c r="UUJ31" s="1688"/>
      <c r="UUK31" s="1688"/>
      <c r="UUL31" s="1688"/>
      <c r="UUM31" s="1688"/>
      <c r="UUN31" s="1688"/>
      <c r="UUO31" s="1688"/>
      <c r="UUP31" s="1688"/>
      <c r="UUQ31" s="1688"/>
      <c r="UUR31" s="1688"/>
      <c r="UUS31" s="1688"/>
      <c r="UUT31" s="1688"/>
      <c r="UUU31" s="1688"/>
      <c r="UUV31" s="1688"/>
      <c r="UUW31" s="1688"/>
      <c r="UUX31" s="1688"/>
      <c r="UUY31" s="1688"/>
      <c r="UUZ31" s="1688"/>
      <c r="UVA31" s="1688"/>
      <c r="UVB31" s="1688"/>
      <c r="UVC31" s="1688"/>
      <c r="UVD31" s="1688"/>
      <c r="UVE31" s="1688"/>
      <c r="UVF31" s="1688"/>
      <c r="UVG31" s="1688"/>
      <c r="UVH31" s="1688"/>
      <c r="UVI31" s="1688"/>
      <c r="UVJ31" s="1688"/>
      <c r="UVK31" s="1688"/>
      <c r="UVL31" s="1688"/>
      <c r="UVM31" s="1688"/>
      <c r="UVN31" s="1688"/>
      <c r="UVO31" s="1688"/>
      <c r="UVP31" s="1688"/>
      <c r="UVQ31" s="1688"/>
      <c r="UVR31" s="1688"/>
      <c r="UVS31" s="1688"/>
      <c r="UVT31" s="1688"/>
      <c r="UVU31" s="1688"/>
      <c r="UVV31" s="1688"/>
      <c r="UVW31" s="1688"/>
      <c r="UVX31" s="1688"/>
      <c r="UVY31" s="1688"/>
      <c r="UVZ31" s="1688"/>
      <c r="UWA31" s="1688"/>
      <c r="UWB31" s="1688"/>
      <c r="UWC31" s="1688"/>
      <c r="UWD31" s="1688"/>
      <c r="UWE31" s="1688"/>
      <c r="UWF31" s="1688"/>
      <c r="UWG31" s="1688"/>
      <c r="UWH31" s="1688"/>
      <c r="UWI31" s="1688"/>
      <c r="UWJ31" s="1688"/>
      <c r="UWK31" s="1688"/>
      <c r="UWL31" s="1688"/>
      <c r="UWM31" s="1688"/>
      <c r="UWN31" s="1688"/>
      <c r="UWO31" s="1688"/>
      <c r="UWP31" s="1688"/>
      <c r="UWQ31" s="1688"/>
      <c r="UWR31" s="1688"/>
      <c r="UWS31" s="1688"/>
      <c r="UWT31" s="1688"/>
      <c r="UWU31" s="1688"/>
      <c r="UWV31" s="1688"/>
      <c r="UWW31" s="1688"/>
      <c r="UWX31" s="1688"/>
      <c r="UWY31" s="1688"/>
      <c r="UWZ31" s="1688"/>
      <c r="UXA31" s="1688"/>
      <c r="UXB31" s="1688"/>
      <c r="UXC31" s="1688"/>
      <c r="UXD31" s="1688"/>
      <c r="UXE31" s="1688"/>
      <c r="UXF31" s="1688"/>
      <c r="UXG31" s="1688"/>
      <c r="UXH31" s="1688"/>
      <c r="UXI31" s="1688"/>
      <c r="UXJ31" s="1688"/>
      <c r="UXK31" s="1688"/>
      <c r="UXL31" s="1688"/>
      <c r="UXM31" s="1688"/>
      <c r="UXN31" s="1688"/>
      <c r="UXO31" s="1688"/>
      <c r="UXP31" s="1688"/>
      <c r="UXQ31" s="1688"/>
      <c r="UXR31" s="1688"/>
      <c r="UXS31" s="1688"/>
      <c r="UXT31" s="1688"/>
      <c r="UXU31" s="1688"/>
      <c r="UXV31" s="1688"/>
      <c r="UXW31" s="1688"/>
      <c r="UXX31" s="1688"/>
      <c r="UXY31" s="1688"/>
      <c r="UXZ31" s="1688"/>
      <c r="UYA31" s="1688"/>
      <c r="UYB31" s="1688"/>
      <c r="UYC31" s="1688"/>
      <c r="UYD31" s="1688"/>
      <c r="UYE31" s="1688"/>
      <c r="UYF31" s="1688"/>
      <c r="UYG31" s="1688"/>
      <c r="UYH31" s="1688"/>
      <c r="UYI31" s="1688"/>
      <c r="UYJ31" s="1688"/>
      <c r="UYK31" s="1688"/>
      <c r="UYL31" s="1688"/>
      <c r="UYM31" s="1688"/>
      <c r="UYN31" s="1688"/>
      <c r="UYO31" s="1688"/>
      <c r="UYP31" s="1688"/>
      <c r="UYQ31" s="1688"/>
      <c r="UYR31" s="1688"/>
      <c r="UYS31" s="1688"/>
      <c r="UYT31" s="1688"/>
      <c r="UYU31" s="1688"/>
      <c r="UYV31" s="1688"/>
      <c r="UYW31" s="1688"/>
      <c r="UYX31" s="1688"/>
      <c r="UYY31" s="1688"/>
      <c r="UYZ31" s="1688"/>
      <c r="UZA31" s="1688"/>
      <c r="UZB31" s="1688"/>
      <c r="UZC31" s="1688"/>
      <c r="UZD31" s="1688"/>
      <c r="UZE31" s="1688"/>
      <c r="UZF31" s="1688"/>
      <c r="UZG31" s="1688"/>
      <c r="UZH31" s="1688"/>
      <c r="UZI31" s="1688"/>
      <c r="UZJ31" s="1688"/>
      <c r="UZK31" s="1688"/>
      <c r="UZL31" s="1688"/>
      <c r="UZM31" s="1688"/>
      <c r="UZN31" s="1688"/>
      <c r="UZO31" s="1688"/>
      <c r="UZP31" s="1688"/>
      <c r="UZQ31" s="1688"/>
      <c r="UZR31" s="1688"/>
      <c r="UZS31" s="1688"/>
      <c r="UZT31" s="1688"/>
      <c r="UZU31" s="1688"/>
      <c r="UZV31" s="1688"/>
      <c r="UZW31" s="1688"/>
      <c r="UZX31" s="1688"/>
      <c r="UZY31" s="1688"/>
      <c r="UZZ31" s="1688"/>
      <c r="VAA31" s="1688"/>
      <c r="VAB31" s="1688"/>
      <c r="VAC31" s="1688"/>
      <c r="VAD31" s="1688"/>
      <c r="VAE31" s="1688"/>
      <c r="VAF31" s="1688"/>
      <c r="VAG31" s="1688"/>
      <c r="VAH31" s="1688"/>
      <c r="VAI31" s="1688"/>
      <c r="VAJ31" s="1688"/>
      <c r="VAK31" s="1688"/>
      <c r="VAL31" s="1688"/>
      <c r="VAM31" s="1688"/>
      <c r="VAN31" s="1688"/>
      <c r="VAO31" s="1688"/>
      <c r="VAP31" s="1688"/>
      <c r="VAQ31" s="1688"/>
      <c r="VAR31" s="1688"/>
      <c r="VAS31" s="1688"/>
      <c r="VAT31" s="1688"/>
      <c r="VAU31" s="1688"/>
      <c r="VAV31" s="1688"/>
      <c r="VAW31" s="1688"/>
      <c r="VAX31" s="1688"/>
      <c r="VAY31" s="1688"/>
      <c r="VAZ31" s="1688"/>
      <c r="VBA31" s="1688"/>
      <c r="VBB31" s="1688"/>
      <c r="VBC31" s="1688"/>
      <c r="VBD31" s="1688"/>
      <c r="VBE31" s="1688"/>
      <c r="VBF31" s="1688"/>
      <c r="VBG31" s="1688"/>
      <c r="VBH31" s="1688"/>
      <c r="VBI31" s="1688"/>
      <c r="VBJ31" s="1688"/>
      <c r="VBK31" s="1688"/>
      <c r="VBL31" s="1688"/>
      <c r="VBM31" s="1688"/>
      <c r="VBN31" s="1688"/>
      <c r="VBO31" s="1688"/>
      <c r="VBP31" s="1688"/>
      <c r="VBQ31" s="1688"/>
      <c r="VBR31" s="1688"/>
      <c r="VBS31" s="1688"/>
      <c r="VBT31" s="1688"/>
      <c r="VBU31" s="1688"/>
      <c r="VBV31" s="1688"/>
      <c r="VBW31" s="1688"/>
      <c r="VBX31" s="1688"/>
      <c r="VBY31" s="1688"/>
      <c r="VBZ31" s="1688"/>
      <c r="VCA31" s="1688"/>
      <c r="VCB31" s="1688"/>
      <c r="VCC31" s="1688"/>
      <c r="VCD31" s="1688"/>
      <c r="VCE31" s="1688"/>
      <c r="VCF31" s="1688"/>
      <c r="VCG31" s="1688"/>
      <c r="VCH31" s="1688"/>
      <c r="VCI31" s="1688"/>
      <c r="VCJ31" s="1688"/>
      <c r="VCK31" s="1688"/>
      <c r="VCL31" s="1688"/>
      <c r="VCM31" s="1688"/>
      <c r="VCN31" s="1688"/>
      <c r="VCO31" s="1688"/>
      <c r="VCP31" s="1688"/>
      <c r="VCQ31" s="1688"/>
      <c r="VCR31" s="1688"/>
      <c r="VCS31" s="1688"/>
      <c r="VCT31" s="1688"/>
      <c r="VCU31" s="1688"/>
      <c r="VCV31" s="1688"/>
      <c r="VCW31" s="1688"/>
      <c r="VCX31" s="1688"/>
      <c r="VCY31" s="1688"/>
      <c r="VCZ31" s="1688"/>
      <c r="VDA31" s="1688"/>
      <c r="VDB31" s="1688"/>
      <c r="VDC31" s="1688"/>
      <c r="VDD31" s="1688"/>
      <c r="VDE31" s="1688"/>
      <c r="VDF31" s="1688"/>
      <c r="VDG31" s="1688"/>
      <c r="VDH31" s="1688"/>
      <c r="VDI31" s="1688"/>
      <c r="VDJ31" s="1688"/>
      <c r="VDK31" s="1688"/>
      <c r="VDL31" s="1688"/>
      <c r="VDM31" s="1688"/>
      <c r="VDN31" s="1688"/>
      <c r="VDO31" s="1688"/>
      <c r="VDP31" s="1688"/>
      <c r="VDQ31" s="1688"/>
      <c r="VDR31" s="1688"/>
      <c r="VDS31" s="1688"/>
      <c r="VDT31" s="1688"/>
      <c r="VDU31" s="1688"/>
      <c r="VDV31" s="1688"/>
      <c r="VDW31" s="1688"/>
      <c r="VDX31" s="1688"/>
      <c r="VDY31" s="1688"/>
      <c r="VDZ31" s="1688"/>
      <c r="VEA31" s="1688"/>
      <c r="VEB31" s="1688"/>
      <c r="VEC31" s="1688"/>
      <c r="VED31" s="1688"/>
      <c r="VEE31" s="1688"/>
      <c r="VEF31" s="1688"/>
      <c r="VEG31" s="1688"/>
      <c r="VEH31" s="1688"/>
      <c r="VEI31" s="1688"/>
      <c r="VEJ31" s="1688"/>
      <c r="VEK31" s="1688"/>
      <c r="VEL31" s="1688"/>
      <c r="VEM31" s="1688"/>
      <c r="VEN31" s="1688"/>
      <c r="VEO31" s="1688"/>
      <c r="VEP31" s="1688"/>
      <c r="VEQ31" s="1688"/>
      <c r="VER31" s="1688"/>
      <c r="VES31" s="1688"/>
      <c r="VET31" s="1688"/>
      <c r="VEU31" s="1688"/>
      <c r="VEV31" s="1688"/>
      <c r="VEW31" s="1688"/>
      <c r="VEX31" s="1688"/>
      <c r="VEY31" s="1688"/>
      <c r="VEZ31" s="1688"/>
      <c r="VFA31" s="1688"/>
      <c r="VFB31" s="1688"/>
      <c r="VFC31" s="1688"/>
      <c r="VFD31" s="1688"/>
      <c r="VFE31" s="1688"/>
      <c r="VFF31" s="1688"/>
      <c r="VFG31" s="1688"/>
      <c r="VFH31" s="1688"/>
      <c r="VFI31" s="1688"/>
      <c r="VFJ31" s="1688"/>
      <c r="VFK31" s="1688"/>
      <c r="VFL31" s="1688"/>
      <c r="VFM31" s="1688"/>
      <c r="VFN31" s="1688"/>
      <c r="VFO31" s="1688"/>
      <c r="VFP31" s="1688"/>
      <c r="VFQ31" s="1688"/>
      <c r="VFR31" s="1688"/>
      <c r="VFS31" s="1688"/>
      <c r="VFT31" s="1688"/>
      <c r="VFU31" s="1688"/>
      <c r="VFV31" s="1688"/>
      <c r="VFW31" s="1688"/>
      <c r="VFX31" s="1688"/>
      <c r="VFY31" s="1688"/>
      <c r="VFZ31" s="1688"/>
      <c r="VGA31" s="1688"/>
      <c r="VGB31" s="1688"/>
      <c r="VGC31" s="1688"/>
      <c r="VGD31" s="1688"/>
      <c r="VGE31" s="1688"/>
      <c r="VGF31" s="1688"/>
      <c r="VGG31" s="1688"/>
      <c r="VGH31" s="1688"/>
      <c r="VGI31" s="1688"/>
      <c r="VGJ31" s="1688"/>
      <c r="VGK31" s="1688"/>
      <c r="VGL31" s="1688"/>
      <c r="VGM31" s="1688"/>
      <c r="VGN31" s="1688"/>
      <c r="VGO31" s="1688"/>
      <c r="VGP31" s="1688"/>
      <c r="VGQ31" s="1688"/>
      <c r="VGR31" s="1688"/>
      <c r="VGS31" s="1688"/>
      <c r="VGT31" s="1688"/>
      <c r="VGU31" s="1688"/>
      <c r="VGV31" s="1688"/>
      <c r="VGW31" s="1688"/>
      <c r="VGX31" s="1688"/>
      <c r="VGY31" s="1688"/>
      <c r="VGZ31" s="1688"/>
      <c r="VHA31" s="1688"/>
      <c r="VHB31" s="1688"/>
      <c r="VHC31" s="1688"/>
      <c r="VHD31" s="1688"/>
      <c r="VHE31" s="1688"/>
      <c r="VHF31" s="1688"/>
      <c r="VHG31" s="1688"/>
      <c r="VHH31" s="1688"/>
      <c r="VHI31" s="1688"/>
      <c r="VHJ31" s="1688"/>
      <c r="VHK31" s="1688"/>
      <c r="VHL31" s="1688"/>
      <c r="VHM31" s="1688"/>
      <c r="VHN31" s="1688"/>
      <c r="VHO31" s="1688"/>
      <c r="VHP31" s="1688"/>
      <c r="VHQ31" s="1688"/>
      <c r="VHR31" s="1688"/>
      <c r="VHS31" s="1688"/>
      <c r="VHT31" s="1688"/>
      <c r="VHU31" s="1688"/>
      <c r="VHV31" s="1688"/>
      <c r="VHW31" s="1688"/>
      <c r="VHX31" s="1688"/>
      <c r="VHY31" s="1688"/>
      <c r="VHZ31" s="1688"/>
      <c r="VIA31" s="1688"/>
      <c r="VIB31" s="1688"/>
      <c r="VIC31" s="1688"/>
      <c r="VID31" s="1688"/>
      <c r="VIE31" s="1688"/>
      <c r="VIF31" s="1688"/>
      <c r="VIG31" s="1688"/>
      <c r="VIH31" s="1688"/>
      <c r="VII31" s="1688"/>
      <c r="VIJ31" s="1688"/>
      <c r="VIK31" s="1688"/>
      <c r="VIL31" s="1688"/>
      <c r="VIM31" s="1688"/>
      <c r="VIN31" s="1688"/>
      <c r="VIO31" s="1688"/>
      <c r="VIP31" s="1688"/>
      <c r="VIQ31" s="1688"/>
      <c r="VIR31" s="1688"/>
      <c r="VIS31" s="1688"/>
      <c r="VIT31" s="1688"/>
      <c r="VIU31" s="1688"/>
      <c r="VIV31" s="1688"/>
      <c r="VIW31" s="1688"/>
      <c r="VIX31" s="1688"/>
      <c r="VIY31" s="1688"/>
      <c r="VIZ31" s="1688"/>
      <c r="VJA31" s="1688"/>
      <c r="VJB31" s="1688"/>
      <c r="VJC31" s="1688"/>
      <c r="VJD31" s="1688"/>
      <c r="VJE31" s="1688"/>
      <c r="VJF31" s="1688"/>
      <c r="VJG31" s="1688"/>
      <c r="VJH31" s="1688"/>
      <c r="VJI31" s="1688"/>
      <c r="VJJ31" s="1688"/>
      <c r="VJK31" s="1688"/>
      <c r="VJL31" s="1688"/>
      <c r="VJM31" s="1688"/>
      <c r="VJN31" s="1688"/>
      <c r="VJO31" s="1688"/>
      <c r="VJP31" s="1688"/>
      <c r="VJQ31" s="1688"/>
      <c r="VJR31" s="1688"/>
      <c r="VJS31" s="1688"/>
      <c r="VJT31" s="1688"/>
      <c r="VJU31" s="1688"/>
      <c r="VJV31" s="1688"/>
      <c r="VJW31" s="1688"/>
      <c r="VJX31" s="1688"/>
      <c r="VJY31" s="1688"/>
      <c r="VJZ31" s="1688"/>
      <c r="VKA31" s="1688"/>
      <c r="VKB31" s="1688"/>
      <c r="VKC31" s="1688"/>
      <c r="VKD31" s="1688"/>
      <c r="VKE31" s="1688"/>
      <c r="VKF31" s="1688"/>
      <c r="VKG31" s="1688"/>
      <c r="VKH31" s="1688"/>
      <c r="VKI31" s="1688"/>
      <c r="VKJ31" s="1688"/>
      <c r="VKK31" s="1688"/>
      <c r="VKL31" s="1688"/>
      <c r="VKM31" s="1688"/>
      <c r="VKN31" s="1688"/>
      <c r="VKO31" s="1688"/>
      <c r="VKP31" s="1688"/>
      <c r="VKQ31" s="1688"/>
      <c r="VKR31" s="1688"/>
      <c r="VKS31" s="1688"/>
      <c r="VKT31" s="1688"/>
      <c r="VKU31" s="1688"/>
      <c r="VKV31" s="1688"/>
      <c r="VKW31" s="1688"/>
      <c r="VKX31" s="1688"/>
      <c r="VKY31" s="1688"/>
      <c r="VKZ31" s="1688"/>
      <c r="VLA31" s="1688"/>
      <c r="VLB31" s="1688"/>
      <c r="VLC31" s="1688"/>
      <c r="VLD31" s="1688"/>
      <c r="VLE31" s="1688"/>
      <c r="VLF31" s="1688"/>
      <c r="VLG31" s="1688"/>
      <c r="VLH31" s="1688"/>
      <c r="VLI31" s="1688"/>
      <c r="VLJ31" s="1688"/>
      <c r="VLK31" s="1688"/>
      <c r="VLL31" s="1688"/>
      <c r="VLM31" s="1688"/>
      <c r="VLN31" s="1688"/>
      <c r="VLO31" s="1688"/>
      <c r="VLP31" s="1688"/>
      <c r="VLQ31" s="1688"/>
      <c r="VLR31" s="1688"/>
      <c r="VLS31" s="1688"/>
      <c r="VLT31" s="1688"/>
      <c r="VLU31" s="1688"/>
      <c r="VLV31" s="1688"/>
      <c r="VLW31" s="1688"/>
      <c r="VLX31" s="1688"/>
      <c r="VLY31" s="1688"/>
      <c r="VLZ31" s="1688"/>
      <c r="VMA31" s="1688"/>
      <c r="VMB31" s="1688"/>
      <c r="VMC31" s="1688"/>
      <c r="VMD31" s="1688"/>
      <c r="VME31" s="1688"/>
      <c r="VMF31" s="1688"/>
      <c r="VMG31" s="1688"/>
      <c r="VMH31" s="1688"/>
      <c r="VMI31" s="1688"/>
      <c r="VMJ31" s="1688"/>
      <c r="VMK31" s="1688"/>
      <c r="VML31" s="1688"/>
      <c r="VMM31" s="1688"/>
      <c r="VMN31" s="1688"/>
      <c r="VMO31" s="1688"/>
      <c r="VMP31" s="1688"/>
      <c r="VMQ31" s="1688"/>
      <c r="VMR31" s="1688"/>
      <c r="VMS31" s="1688"/>
      <c r="VMT31" s="1688"/>
      <c r="VMU31" s="1688"/>
      <c r="VMV31" s="1688"/>
      <c r="VMW31" s="1688"/>
      <c r="VMX31" s="1688"/>
      <c r="VMY31" s="1688"/>
      <c r="VMZ31" s="1688"/>
      <c r="VNA31" s="1688"/>
      <c r="VNB31" s="1688"/>
      <c r="VNC31" s="1688"/>
      <c r="VND31" s="1688"/>
      <c r="VNE31" s="1688"/>
      <c r="VNF31" s="1688"/>
      <c r="VNG31" s="1688"/>
      <c r="VNH31" s="1688"/>
      <c r="VNI31" s="1688"/>
      <c r="VNJ31" s="1688"/>
      <c r="VNK31" s="1688"/>
      <c r="VNL31" s="1688"/>
      <c r="VNM31" s="1688"/>
      <c r="VNN31" s="1688"/>
      <c r="VNO31" s="1688"/>
      <c r="VNP31" s="1688"/>
      <c r="VNQ31" s="1688"/>
      <c r="VNR31" s="1688"/>
      <c r="VNS31" s="1688"/>
      <c r="VNT31" s="1688"/>
      <c r="VNU31" s="1688"/>
      <c r="VNV31" s="1688"/>
      <c r="VNW31" s="1688"/>
      <c r="VNX31" s="1688"/>
      <c r="VNY31" s="1688"/>
      <c r="VNZ31" s="1688"/>
      <c r="VOA31" s="1688"/>
      <c r="VOB31" s="1688"/>
      <c r="VOC31" s="1688"/>
      <c r="VOD31" s="1688"/>
      <c r="VOE31" s="1688"/>
      <c r="VOF31" s="1688"/>
      <c r="VOG31" s="1688"/>
      <c r="VOH31" s="1688"/>
      <c r="VOI31" s="1688"/>
      <c r="VOJ31" s="1688"/>
      <c r="VOK31" s="1688"/>
      <c r="VOL31" s="1688"/>
      <c r="VOM31" s="1688"/>
      <c r="VON31" s="1688"/>
      <c r="VOO31" s="1688"/>
      <c r="VOP31" s="1688"/>
      <c r="VOQ31" s="1688"/>
      <c r="VOR31" s="1688"/>
      <c r="VOS31" s="1688"/>
      <c r="VOT31" s="1688"/>
      <c r="VOU31" s="1688"/>
      <c r="VOV31" s="1688"/>
      <c r="VOW31" s="1688"/>
      <c r="VOX31" s="1688"/>
      <c r="VOY31" s="1688"/>
      <c r="VOZ31" s="1688"/>
      <c r="VPA31" s="1688"/>
      <c r="VPB31" s="1688"/>
      <c r="VPC31" s="1688"/>
      <c r="VPD31" s="1688"/>
      <c r="VPE31" s="1688"/>
      <c r="VPF31" s="1688"/>
      <c r="VPG31" s="1688"/>
      <c r="VPH31" s="1688"/>
      <c r="VPI31" s="1688"/>
      <c r="VPJ31" s="1688"/>
      <c r="VPK31" s="1688"/>
      <c r="VPL31" s="1688"/>
      <c r="VPM31" s="1688"/>
      <c r="VPN31" s="1688"/>
      <c r="VPO31" s="1688"/>
      <c r="VPP31" s="1688"/>
      <c r="VPQ31" s="1688"/>
      <c r="VPR31" s="1688"/>
      <c r="VPS31" s="1688"/>
      <c r="VPT31" s="1688"/>
      <c r="VPU31" s="1688"/>
      <c r="VPV31" s="1688"/>
      <c r="VPW31" s="1688"/>
      <c r="VPX31" s="1688"/>
      <c r="VPY31" s="1688"/>
      <c r="VPZ31" s="1688"/>
      <c r="VQA31" s="1688"/>
      <c r="VQB31" s="1688"/>
      <c r="VQC31" s="1688"/>
      <c r="VQD31" s="1688"/>
      <c r="VQE31" s="1688"/>
      <c r="VQF31" s="1688"/>
      <c r="VQG31" s="1688"/>
      <c r="VQH31" s="1688"/>
      <c r="VQI31" s="1688"/>
      <c r="VQJ31" s="1688"/>
      <c r="VQK31" s="1688"/>
      <c r="VQL31" s="1688"/>
      <c r="VQM31" s="1688"/>
      <c r="VQN31" s="1688"/>
      <c r="VQO31" s="1688"/>
      <c r="VQP31" s="1688"/>
      <c r="VQQ31" s="1688"/>
      <c r="VQR31" s="1688"/>
      <c r="VQS31" s="1688"/>
      <c r="VQT31" s="1688"/>
      <c r="VQU31" s="1688"/>
      <c r="VQV31" s="1688"/>
      <c r="VQW31" s="1688"/>
      <c r="VQX31" s="1688"/>
      <c r="VQY31" s="1688"/>
      <c r="VQZ31" s="1688"/>
      <c r="VRA31" s="1688"/>
      <c r="VRB31" s="1688"/>
      <c r="VRC31" s="1688"/>
      <c r="VRD31" s="1688"/>
      <c r="VRE31" s="1688"/>
      <c r="VRF31" s="1688"/>
      <c r="VRG31" s="1688"/>
      <c r="VRH31" s="1688"/>
      <c r="VRI31" s="1688"/>
      <c r="VRJ31" s="1688"/>
      <c r="VRK31" s="1688"/>
      <c r="VRL31" s="1688"/>
      <c r="VRM31" s="1688"/>
      <c r="VRN31" s="1688"/>
      <c r="VRO31" s="1688"/>
      <c r="VRP31" s="1688"/>
      <c r="VRQ31" s="1688"/>
      <c r="VRR31" s="1688"/>
      <c r="VRS31" s="1688"/>
      <c r="VRT31" s="1688"/>
      <c r="VRU31" s="1688"/>
      <c r="VRV31" s="1688"/>
      <c r="VRW31" s="1688"/>
      <c r="VRX31" s="1688"/>
      <c r="VRY31" s="1688"/>
      <c r="VRZ31" s="1688"/>
      <c r="VSA31" s="1688"/>
      <c r="VSB31" s="1688"/>
      <c r="VSC31" s="1688"/>
      <c r="VSD31" s="1688"/>
      <c r="VSE31" s="1688"/>
      <c r="VSF31" s="1688"/>
      <c r="VSG31" s="1688"/>
      <c r="VSH31" s="1688"/>
      <c r="VSI31" s="1688"/>
      <c r="VSJ31" s="1688"/>
      <c r="VSK31" s="1688"/>
      <c r="VSL31" s="1688"/>
      <c r="VSM31" s="1688"/>
      <c r="VSN31" s="1688"/>
      <c r="VSO31" s="1688"/>
      <c r="VSP31" s="1688"/>
      <c r="VSQ31" s="1688"/>
      <c r="VSR31" s="1688"/>
      <c r="VSS31" s="1688"/>
      <c r="VST31" s="1688"/>
      <c r="VSU31" s="1688"/>
      <c r="VSV31" s="1688"/>
      <c r="VSW31" s="1688"/>
      <c r="VSX31" s="1688"/>
      <c r="VSY31" s="1688"/>
      <c r="VSZ31" s="1688"/>
      <c r="VTA31" s="1688"/>
      <c r="VTB31" s="1688"/>
      <c r="VTC31" s="1688"/>
      <c r="VTD31" s="1688"/>
      <c r="VTE31" s="1688"/>
      <c r="VTF31" s="1688"/>
      <c r="VTG31" s="1688"/>
      <c r="VTH31" s="1688"/>
      <c r="VTI31" s="1688"/>
      <c r="VTJ31" s="1688"/>
      <c r="VTK31" s="1688"/>
      <c r="VTL31" s="1688"/>
      <c r="VTM31" s="1688"/>
      <c r="VTN31" s="1688"/>
      <c r="VTO31" s="1688"/>
      <c r="VTP31" s="1688"/>
      <c r="VTQ31" s="1688"/>
      <c r="VTR31" s="1688"/>
      <c r="VTS31" s="1688"/>
      <c r="VTT31" s="1688"/>
      <c r="VTU31" s="1688"/>
      <c r="VTV31" s="1688"/>
      <c r="VTW31" s="1688"/>
      <c r="VTX31" s="1688"/>
      <c r="VTY31" s="1688"/>
      <c r="VTZ31" s="1688"/>
      <c r="VUA31" s="1688"/>
      <c r="VUB31" s="1688"/>
      <c r="VUC31" s="1688"/>
      <c r="VUD31" s="1688"/>
      <c r="VUE31" s="1688"/>
      <c r="VUF31" s="1688"/>
      <c r="VUG31" s="1688"/>
      <c r="VUH31" s="1688"/>
      <c r="VUI31" s="1688"/>
      <c r="VUJ31" s="1688"/>
      <c r="VUK31" s="1688"/>
      <c r="VUL31" s="1688"/>
      <c r="VUM31" s="1688"/>
      <c r="VUN31" s="1688"/>
      <c r="VUO31" s="1688"/>
      <c r="VUP31" s="1688"/>
      <c r="VUQ31" s="1688"/>
      <c r="VUR31" s="1688"/>
      <c r="VUS31" s="1688"/>
      <c r="VUT31" s="1688"/>
      <c r="VUU31" s="1688"/>
      <c r="VUV31" s="1688"/>
      <c r="VUW31" s="1688"/>
      <c r="VUX31" s="1688"/>
      <c r="VUY31" s="1688"/>
      <c r="VUZ31" s="1688"/>
      <c r="VVA31" s="1688"/>
      <c r="VVB31" s="1688"/>
      <c r="VVC31" s="1688"/>
      <c r="VVD31" s="1688"/>
      <c r="VVE31" s="1688"/>
      <c r="VVF31" s="1688"/>
      <c r="VVG31" s="1688"/>
      <c r="VVH31" s="1688"/>
      <c r="VVI31" s="1688"/>
      <c r="VVJ31" s="1688"/>
      <c r="VVK31" s="1688"/>
      <c r="VVL31" s="1688"/>
      <c r="VVM31" s="1688"/>
      <c r="VVN31" s="1688"/>
      <c r="VVO31" s="1688"/>
      <c r="VVP31" s="1688"/>
      <c r="VVQ31" s="1688"/>
      <c r="VVR31" s="1688"/>
      <c r="VVS31" s="1688"/>
      <c r="VVT31" s="1688"/>
      <c r="VVU31" s="1688"/>
      <c r="VVV31" s="1688"/>
      <c r="VVW31" s="1688"/>
      <c r="VVX31" s="1688"/>
      <c r="VVY31" s="1688"/>
      <c r="VVZ31" s="1688"/>
      <c r="VWA31" s="1688"/>
      <c r="VWB31" s="1688"/>
      <c r="VWC31" s="1688"/>
      <c r="VWD31" s="1688"/>
      <c r="VWE31" s="1688"/>
      <c r="VWF31" s="1688"/>
      <c r="VWG31" s="1688"/>
      <c r="VWH31" s="1688"/>
      <c r="VWI31" s="1688"/>
      <c r="VWJ31" s="1688"/>
      <c r="VWK31" s="1688"/>
      <c r="VWL31" s="1688"/>
      <c r="VWM31" s="1688"/>
      <c r="VWN31" s="1688"/>
      <c r="VWO31" s="1688"/>
      <c r="VWP31" s="1688"/>
      <c r="VWQ31" s="1688"/>
      <c r="VWR31" s="1688"/>
      <c r="VWS31" s="1688"/>
      <c r="VWT31" s="1688"/>
      <c r="VWU31" s="1688"/>
      <c r="VWV31" s="1688"/>
      <c r="VWW31" s="1688"/>
      <c r="VWX31" s="1688"/>
      <c r="VWY31" s="1688"/>
      <c r="VWZ31" s="1688"/>
      <c r="VXA31" s="1688"/>
      <c r="VXB31" s="1688"/>
      <c r="VXC31" s="1688"/>
      <c r="VXD31" s="1688"/>
      <c r="VXE31" s="1688"/>
      <c r="VXF31" s="1688"/>
      <c r="VXG31" s="1688"/>
      <c r="VXH31" s="1688"/>
      <c r="VXI31" s="1688"/>
      <c r="VXJ31" s="1688"/>
      <c r="VXK31" s="1688"/>
      <c r="VXL31" s="1688"/>
      <c r="VXM31" s="1688"/>
      <c r="VXN31" s="1688"/>
      <c r="VXO31" s="1688"/>
      <c r="VXP31" s="1688"/>
      <c r="VXQ31" s="1688"/>
      <c r="VXR31" s="1688"/>
      <c r="VXS31" s="1688"/>
      <c r="VXT31" s="1688"/>
      <c r="VXU31" s="1688"/>
      <c r="VXV31" s="1688"/>
      <c r="VXW31" s="1688"/>
      <c r="VXX31" s="1688"/>
      <c r="VXY31" s="1688"/>
      <c r="VXZ31" s="1688"/>
      <c r="VYA31" s="1688"/>
      <c r="VYB31" s="1688"/>
      <c r="VYC31" s="1688"/>
      <c r="VYD31" s="1688"/>
      <c r="VYE31" s="1688"/>
      <c r="VYF31" s="1688"/>
      <c r="VYG31" s="1688"/>
      <c r="VYH31" s="1688"/>
      <c r="VYI31" s="1688"/>
      <c r="VYJ31" s="1688"/>
      <c r="VYK31" s="1688"/>
      <c r="VYL31" s="1688"/>
      <c r="VYM31" s="1688"/>
      <c r="VYN31" s="1688"/>
      <c r="VYO31" s="1688"/>
      <c r="VYP31" s="1688"/>
      <c r="VYQ31" s="1688"/>
      <c r="VYR31" s="1688"/>
      <c r="VYS31" s="1688"/>
      <c r="VYT31" s="1688"/>
      <c r="VYU31" s="1688"/>
      <c r="VYV31" s="1688"/>
      <c r="VYW31" s="1688"/>
      <c r="VYX31" s="1688"/>
      <c r="VYY31" s="1688"/>
      <c r="VYZ31" s="1688"/>
      <c r="VZA31" s="1688"/>
      <c r="VZB31" s="1688"/>
      <c r="VZC31" s="1688"/>
      <c r="VZD31" s="1688"/>
      <c r="VZE31" s="1688"/>
      <c r="VZF31" s="1688"/>
      <c r="VZG31" s="1688"/>
      <c r="VZH31" s="1688"/>
      <c r="VZI31" s="1688"/>
      <c r="VZJ31" s="1688"/>
      <c r="VZK31" s="1688"/>
      <c r="VZL31" s="1688"/>
      <c r="VZM31" s="1688"/>
      <c r="VZN31" s="1688"/>
      <c r="VZO31" s="1688"/>
      <c r="VZP31" s="1688"/>
      <c r="VZQ31" s="1688"/>
      <c r="VZR31" s="1688"/>
      <c r="VZS31" s="1688"/>
      <c r="VZT31" s="1688"/>
      <c r="VZU31" s="1688"/>
      <c r="VZV31" s="1688"/>
      <c r="VZW31" s="1688"/>
      <c r="VZX31" s="1688"/>
      <c r="VZY31" s="1688"/>
      <c r="VZZ31" s="1688"/>
      <c r="WAA31" s="1688"/>
      <c r="WAB31" s="1688"/>
      <c r="WAC31" s="1688"/>
      <c r="WAD31" s="1688"/>
      <c r="WAE31" s="1688"/>
      <c r="WAF31" s="1688"/>
      <c r="WAG31" s="1688"/>
      <c r="WAH31" s="1688"/>
      <c r="WAI31" s="1688"/>
      <c r="WAJ31" s="1688"/>
      <c r="WAK31" s="1688"/>
      <c r="WAL31" s="1688"/>
      <c r="WAM31" s="1688"/>
      <c r="WAN31" s="1688"/>
      <c r="WAO31" s="1688"/>
      <c r="WAP31" s="1688"/>
      <c r="WAQ31" s="1688"/>
      <c r="WAR31" s="1688"/>
      <c r="WAS31" s="1688"/>
      <c r="WAT31" s="1688"/>
      <c r="WAU31" s="1688"/>
      <c r="WAV31" s="1688"/>
      <c r="WAW31" s="1688"/>
      <c r="WAX31" s="1688"/>
      <c r="WAY31" s="1688"/>
      <c r="WAZ31" s="1688"/>
      <c r="WBA31" s="1688"/>
      <c r="WBB31" s="1688"/>
      <c r="WBC31" s="1688"/>
      <c r="WBD31" s="1688"/>
      <c r="WBE31" s="1688"/>
      <c r="WBF31" s="1688"/>
      <c r="WBG31" s="1688"/>
      <c r="WBH31" s="1688"/>
      <c r="WBI31" s="1688"/>
      <c r="WBJ31" s="1688"/>
      <c r="WBK31" s="1688"/>
      <c r="WBL31" s="1688"/>
      <c r="WBM31" s="1688"/>
      <c r="WBN31" s="1688"/>
      <c r="WBO31" s="1688"/>
      <c r="WBP31" s="1688"/>
      <c r="WBQ31" s="1688"/>
      <c r="WBR31" s="1688"/>
      <c r="WBS31" s="1688"/>
      <c r="WBT31" s="1688"/>
      <c r="WBU31" s="1688"/>
      <c r="WBV31" s="1688"/>
      <c r="WBW31" s="1688"/>
      <c r="WBX31" s="1688"/>
      <c r="WBY31" s="1688"/>
      <c r="WBZ31" s="1688"/>
      <c r="WCA31" s="1688"/>
      <c r="WCB31" s="1688"/>
      <c r="WCC31" s="1688"/>
      <c r="WCD31" s="1688"/>
      <c r="WCE31" s="1688"/>
      <c r="WCF31" s="1688"/>
      <c r="WCG31" s="1688"/>
      <c r="WCH31" s="1688"/>
      <c r="WCI31" s="1688"/>
      <c r="WCJ31" s="1688"/>
      <c r="WCK31" s="1688"/>
      <c r="WCL31" s="1688"/>
      <c r="WCM31" s="1688"/>
      <c r="WCN31" s="1688"/>
      <c r="WCO31" s="1688"/>
      <c r="WCP31" s="1688"/>
      <c r="WCQ31" s="1688"/>
      <c r="WCR31" s="1688"/>
      <c r="WCS31" s="1688"/>
      <c r="WCT31" s="1688"/>
      <c r="WCU31" s="1688"/>
      <c r="WCV31" s="1688"/>
      <c r="WCW31" s="1688"/>
      <c r="WCX31" s="1688"/>
      <c r="WCY31" s="1688"/>
      <c r="WCZ31" s="1688"/>
      <c r="WDA31" s="1688"/>
      <c r="WDB31" s="1688"/>
      <c r="WDC31" s="1688"/>
      <c r="WDD31" s="1688"/>
      <c r="WDE31" s="1688"/>
      <c r="WDF31" s="1688"/>
      <c r="WDG31" s="1688"/>
      <c r="WDH31" s="1688"/>
      <c r="WDI31" s="1688"/>
      <c r="WDJ31" s="1688"/>
      <c r="WDK31" s="1688"/>
      <c r="WDL31" s="1688"/>
      <c r="WDM31" s="1688"/>
      <c r="WDN31" s="1688"/>
      <c r="WDO31" s="1688"/>
      <c r="WDP31" s="1688"/>
      <c r="WDQ31" s="1688"/>
      <c r="WDR31" s="1688"/>
      <c r="WDS31" s="1688"/>
      <c r="WDT31" s="1688"/>
      <c r="WDU31" s="1688"/>
      <c r="WDV31" s="1688"/>
      <c r="WDW31" s="1688"/>
      <c r="WDX31" s="1688"/>
      <c r="WDY31" s="1688"/>
      <c r="WDZ31" s="1688"/>
      <c r="WEA31" s="1688"/>
      <c r="WEB31" s="1688"/>
      <c r="WEC31" s="1688"/>
      <c r="WED31" s="1688"/>
      <c r="WEE31" s="1688"/>
      <c r="WEF31" s="1688"/>
      <c r="WEG31" s="1688"/>
      <c r="WEH31" s="1688"/>
      <c r="WEI31" s="1688"/>
      <c r="WEJ31" s="1688"/>
      <c r="WEK31" s="1688"/>
      <c r="WEL31" s="1688"/>
      <c r="WEM31" s="1688"/>
      <c r="WEN31" s="1688"/>
      <c r="WEO31" s="1688"/>
      <c r="WEP31" s="1688"/>
      <c r="WEQ31" s="1688"/>
      <c r="WER31" s="1688"/>
      <c r="WES31" s="1688"/>
      <c r="WET31" s="1688"/>
      <c r="WEU31" s="1688"/>
      <c r="WEV31" s="1688"/>
      <c r="WEW31" s="1688"/>
      <c r="WEX31" s="1688"/>
      <c r="WEY31" s="1688"/>
      <c r="WEZ31" s="1688"/>
      <c r="WFA31" s="1688"/>
      <c r="WFB31" s="1688"/>
      <c r="WFC31" s="1688"/>
      <c r="WFD31" s="1688"/>
      <c r="WFE31" s="1688"/>
      <c r="WFF31" s="1688"/>
      <c r="WFG31" s="1688"/>
      <c r="WFH31" s="1688"/>
      <c r="WFI31" s="1688"/>
      <c r="WFJ31" s="1688"/>
      <c r="WFK31" s="1688"/>
      <c r="WFL31" s="1688"/>
      <c r="WFM31" s="1688"/>
      <c r="WFN31" s="1688"/>
      <c r="WFO31" s="1688"/>
      <c r="WFP31" s="1688"/>
      <c r="WFQ31" s="1688"/>
      <c r="WFR31" s="1688"/>
      <c r="WFS31" s="1688"/>
      <c r="WFT31" s="1688"/>
      <c r="WFU31" s="1688"/>
      <c r="WFV31" s="1688"/>
      <c r="WFW31" s="1688"/>
      <c r="WFX31" s="1688"/>
      <c r="WFY31" s="1688"/>
      <c r="WFZ31" s="1688"/>
      <c r="WGA31" s="1688"/>
      <c r="WGB31" s="1688"/>
      <c r="WGC31" s="1688"/>
      <c r="WGD31" s="1688"/>
      <c r="WGE31" s="1688"/>
      <c r="WGF31" s="1688"/>
      <c r="WGG31" s="1688"/>
      <c r="WGH31" s="1688"/>
      <c r="WGI31" s="1688"/>
      <c r="WGJ31" s="1688"/>
      <c r="WGK31" s="1688"/>
      <c r="WGL31" s="1688"/>
      <c r="WGM31" s="1688"/>
      <c r="WGN31" s="1688"/>
      <c r="WGO31" s="1688"/>
      <c r="WGP31" s="1688"/>
      <c r="WGQ31" s="1688"/>
      <c r="WGR31" s="1688"/>
      <c r="WGS31" s="1688"/>
      <c r="WGT31" s="1688"/>
      <c r="WGU31" s="1688"/>
      <c r="WGV31" s="1688"/>
      <c r="WGW31" s="1688"/>
      <c r="WGX31" s="1688"/>
      <c r="WGY31" s="1688"/>
      <c r="WGZ31" s="1688"/>
      <c r="WHA31" s="1688"/>
      <c r="WHB31" s="1688"/>
      <c r="WHC31" s="1688"/>
      <c r="WHD31" s="1688"/>
      <c r="WHE31" s="1688"/>
      <c r="WHF31" s="1688"/>
      <c r="WHG31" s="1688"/>
      <c r="WHH31" s="1688"/>
      <c r="WHI31" s="1688"/>
      <c r="WHJ31" s="1688"/>
      <c r="WHK31" s="1688"/>
      <c r="WHL31" s="1688"/>
      <c r="WHM31" s="1688"/>
      <c r="WHN31" s="1688"/>
      <c r="WHO31" s="1688"/>
      <c r="WHP31" s="1688"/>
      <c r="WHQ31" s="1688"/>
      <c r="WHR31" s="1688"/>
      <c r="WHS31" s="1688"/>
      <c r="WHT31" s="1688"/>
      <c r="WHU31" s="1688"/>
      <c r="WHV31" s="1688"/>
      <c r="WHW31" s="1688"/>
      <c r="WHX31" s="1688"/>
      <c r="WHY31" s="1688"/>
      <c r="WHZ31" s="1688"/>
      <c r="WIA31" s="1688"/>
      <c r="WIB31" s="1688"/>
      <c r="WIC31" s="1688"/>
      <c r="WID31" s="1688"/>
      <c r="WIE31" s="1688"/>
      <c r="WIF31" s="1688"/>
      <c r="WIG31" s="1688"/>
      <c r="WIH31" s="1688"/>
      <c r="WII31" s="1688"/>
      <c r="WIJ31" s="1688"/>
      <c r="WIK31" s="1688"/>
      <c r="WIL31" s="1688"/>
      <c r="WIM31" s="1688"/>
      <c r="WIN31" s="1688"/>
      <c r="WIO31" s="1688"/>
      <c r="WIP31" s="1688"/>
      <c r="WIQ31" s="1688"/>
      <c r="WIR31" s="1688"/>
      <c r="WIS31" s="1688"/>
      <c r="WIT31" s="1688"/>
      <c r="WIU31" s="1688"/>
      <c r="WIV31" s="1688"/>
      <c r="WIW31" s="1688"/>
      <c r="WIX31" s="1688"/>
      <c r="WIY31" s="1688"/>
      <c r="WIZ31" s="1688"/>
      <c r="WJA31" s="1688"/>
      <c r="WJB31" s="1688"/>
      <c r="WJC31" s="1688"/>
      <c r="WJD31" s="1688"/>
      <c r="WJE31" s="1688"/>
      <c r="WJF31" s="1688"/>
      <c r="WJG31" s="1688"/>
      <c r="WJH31" s="1688"/>
      <c r="WJI31" s="1688"/>
      <c r="WJJ31" s="1688"/>
      <c r="WJK31" s="1688"/>
      <c r="WJL31" s="1688"/>
      <c r="WJM31" s="1688"/>
      <c r="WJN31" s="1688"/>
      <c r="WJO31" s="1688"/>
      <c r="WJP31" s="1688"/>
      <c r="WJQ31" s="1688"/>
      <c r="WJR31" s="1688"/>
      <c r="WJS31" s="1688"/>
      <c r="WJT31" s="1688"/>
      <c r="WJU31" s="1688"/>
      <c r="WJV31" s="1688"/>
      <c r="WJW31" s="1688"/>
      <c r="WJX31" s="1688"/>
      <c r="WJY31" s="1688"/>
      <c r="WJZ31" s="1688"/>
      <c r="WKA31" s="1688"/>
      <c r="WKB31" s="1688"/>
      <c r="WKC31" s="1688"/>
      <c r="WKD31" s="1688"/>
      <c r="WKE31" s="1688"/>
      <c r="WKF31" s="1688"/>
      <c r="WKG31" s="1688"/>
      <c r="WKH31" s="1688"/>
      <c r="WKI31" s="1688"/>
      <c r="WKJ31" s="1688"/>
      <c r="WKK31" s="1688"/>
      <c r="WKL31" s="1688"/>
      <c r="WKM31" s="1688"/>
      <c r="WKN31" s="1688"/>
      <c r="WKO31" s="1688"/>
      <c r="WKP31" s="1688"/>
      <c r="WKQ31" s="1688"/>
      <c r="WKR31" s="1688"/>
      <c r="WKS31" s="1688"/>
      <c r="WKT31" s="1688"/>
      <c r="WKU31" s="1688"/>
      <c r="WKV31" s="1688"/>
      <c r="WKW31" s="1688"/>
      <c r="WKX31" s="1688"/>
      <c r="WKY31" s="1688"/>
      <c r="WKZ31" s="1688"/>
      <c r="WLA31" s="1688"/>
      <c r="WLB31" s="1688"/>
      <c r="WLC31" s="1688"/>
      <c r="WLD31" s="1688"/>
      <c r="WLE31" s="1688"/>
      <c r="WLF31" s="1688"/>
      <c r="WLG31" s="1688"/>
      <c r="WLH31" s="1688"/>
      <c r="WLI31" s="1688"/>
      <c r="WLJ31" s="1688"/>
      <c r="WLK31" s="1688"/>
      <c r="WLL31" s="1688"/>
      <c r="WLM31" s="1688"/>
      <c r="WLN31" s="1688"/>
      <c r="WLO31" s="1688"/>
      <c r="WLP31" s="1688"/>
      <c r="WLQ31" s="1688"/>
      <c r="WLR31" s="1688"/>
      <c r="WLS31" s="1688"/>
      <c r="WLT31" s="1688"/>
      <c r="WLU31" s="1688"/>
      <c r="WLV31" s="1688"/>
      <c r="WLW31" s="1688"/>
      <c r="WLX31" s="1688"/>
      <c r="WLY31" s="1688"/>
      <c r="WLZ31" s="1688"/>
      <c r="WMA31" s="1688"/>
      <c r="WMB31" s="1688"/>
      <c r="WMC31" s="1688"/>
      <c r="WMD31" s="1688"/>
      <c r="WME31" s="1688"/>
      <c r="WMF31" s="1688"/>
      <c r="WMG31" s="1688"/>
      <c r="WMH31" s="1688"/>
      <c r="WMI31" s="1688"/>
      <c r="WMJ31" s="1688"/>
      <c r="WMK31" s="1688"/>
      <c r="WML31" s="1688"/>
      <c r="WMM31" s="1688"/>
      <c r="WMN31" s="1688"/>
      <c r="WMO31" s="1688"/>
      <c r="WMP31" s="1688"/>
      <c r="WMQ31" s="1688"/>
      <c r="WMR31" s="1688"/>
      <c r="WMS31" s="1688"/>
      <c r="WMT31" s="1688"/>
      <c r="WMU31" s="1688"/>
      <c r="WMV31" s="1688"/>
      <c r="WMW31" s="1688"/>
      <c r="WMX31" s="1688"/>
      <c r="WMY31" s="1688"/>
      <c r="WMZ31" s="1688"/>
      <c r="WNA31" s="1688"/>
      <c r="WNB31" s="1688"/>
      <c r="WNC31" s="1688"/>
      <c r="WND31" s="1688"/>
      <c r="WNE31" s="1688"/>
      <c r="WNF31" s="1688"/>
      <c r="WNG31" s="1688"/>
      <c r="WNH31" s="1688"/>
      <c r="WNI31" s="1688"/>
      <c r="WNJ31" s="1688"/>
      <c r="WNK31" s="1688"/>
      <c r="WNL31" s="1688"/>
      <c r="WNM31" s="1688"/>
      <c r="WNN31" s="1688"/>
      <c r="WNO31" s="1688"/>
      <c r="WNP31" s="1688"/>
      <c r="WNQ31" s="1688"/>
      <c r="WNR31" s="1688"/>
      <c r="WNS31" s="1688"/>
      <c r="WNT31" s="1688"/>
      <c r="WNU31" s="1688"/>
      <c r="WNV31" s="1688"/>
      <c r="WNW31" s="1688"/>
      <c r="WNX31" s="1688"/>
      <c r="WNY31" s="1688"/>
      <c r="WNZ31" s="1688"/>
      <c r="WOA31" s="1688"/>
      <c r="WOB31" s="1688"/>
      <c r="WOC31" s="1688"/>
      <c r="WOD31" s="1688"/>
      <c r="WOE31" s="1688"/>
      <c r="WOF31" s="1688"/>
      <c r="WOG31" s="1688"/>
      <c r="WOH31" s="1688"/>
      <c r="WOI31" s="1688"/>
      <c r="WOJ31" s="1688"/>
      <c r="WOK31" s="1688"/>
      <c r="WOL31" s="1688"/>
      <c r="WOM31" s="1688"/>
      <c r="WON31" s="1688"/>
      <c r="WOO31" s="1688"/>
      <c r="WOP31" s="1688"/>
      <c r="WOQ31" s="1688"/>
      <c r="WOR31" s="1688"/>
      <c r="WOS31" s="1688"/>
      <c r="WOT31" s="1688"/>
      <c r="WOU31" s="1688"/>
      <c r="WOV31" s="1688"/>
      <c r="WOW31" s="1688"/>
      <c r="WOX31" s="1688"/>
      <c r="WOY31" s="1688"/>
      <c r="WOZ31" s="1688"/>
      <c r="WPA31" s="1688"/>
      <c r="WPB31" s="1688"/>
      <c r="WPC31" s="1688"/>
      <c r="WPD31" s="1688"/>
      <c r="WPE31" s="1688"/>
      <c r="WPF31" s="1688"/>
      <c r="WPG31" s="1688"/>
      <c r="WPH31" s="1688"/>
      <c r="WPI31" s="1688"/>
      <c r="WPJ31" s="1688"/>
      <c r="WPK31" s="1688"/>
      <c r="WPL31" s="1688"/>
      <c r="WPM31" s="1688"/>
      <c r="WPN31" s="1688"/>
      <c r="WPO31" s="1688"/>
      <c r="WPP31" s="1688"/>
      <c r="WPQ31" s="1688"/>
      <c r="WPR31" s="1688"/>
      <c r="WPS31" s="1688"/>
      <c r="WPT31" s="1688"/>
      <c r="WPU31" s="1688"/>
      <c r="WPV31" s="1688"/>
      <c r="WPW31" s="1688"/>
      <c r="WPX31" s="1688"/>
      <c r="WPY31" s="1688"/>
      <c r="WPZ31" s="1688"/>
      <c r="WQA31" s="1688"/>
      <c r="WQB31" s="1688"/>
      <c r="WQC31" s="1688"/>
      <c r="WQD31" s="1688"/>
      <c r="WQE31" s="1688"/>
      <c r="WQF31" s="1688"/>
      <c r="WQG31" s="1688"/>
      <c r="WQH31" s="1688"/>
      <c r="WQI31" s="1688"/>
      <c r="WQJ31" s="1688"/>
      <c r="WQK31" s="1688"/>
      <c r="WQL31" s="1688"/>
      <c r="WQM31" s="1688"/>
      <c r="WQN31" s="1688"/>
      <c r="WQO31" s="1688"/>
      <c r="WQP31" s="1688"/>
      <c r="WQQ31" s="1688"/>
      <c r="WQR31" s="1688"/>
      <c r="WQS31" s="1688"/>
      <c r="WQT31" s="1688"/>
      <c r="WQU31" s="1688"/>
      <c r="WQV31" s="1688"/>
      <c r="WQW31" s="1688"/>
      <c r="WQX31" s="1688"/>
      <c r="WQY31" s="1688"/>
      <c r="WQZ31" s="1688"/>
      <c r="WRA31" s="1688"/>
      <c r="WRB31" s="1688"/>
      <c r="WRC31" s="1688"/>
      <c r="WRD31" s="1688"/>
      <c r="WRE31" s="1688"/>
      <c r="WRF31" s="1688"/>
      <c r="WRG31" s="1688"/>
      <c r="WRH31" s="1688"/>
      <c r="WRI31" s="1688"/>
      <c r="WRJ31" s="1688"/>
      <c r="WRK31" s="1688"/>
      <c r="WRL31" s="1688"/>
      <c r="WRM31" s="1688"/>
      <c r="WRN31" s="1688"/>
      <c r="WRO31" s="1688"/>
      <c r="WRP31" s="1688"/>
      <c r="WRQ31" s="1688"/>
      <c r="WRR31" s="1688"/>
      <c r="WRS31" s="1688"/>
      <c r="WRT31" s="1688"/>
      <c r="WRU31" s="1688"/>
      <c r="WRV31" s="1688"/>
      <c r="WRW31" s="1688"/>
      <c r="WRX31" s="1688"/>
      <c r="WRY31" s="1688"/>
      <c r="WRZ31" s="1688"/>
      <c r="WSA31" s="1688"/>
      <c r="WSB31" s="1688"/>
      <c r="WSC31" s="1688"/>
      <c r="WSD31" s="1688"/>
      <c r="WSE31" s="1688"/>
      <c r="WSF31" s="1688"/>
      <c r="WSG31" s="1688"/>
      <c r="WSH31" s="1688"/>
      <c r="WSI31" s="1688"/>
      <c r="WSJ31" s="1688"/>
      <c r="WSK31" s="1688"/>
      <c r="WSL31" s="1688"/>
      <c r="WSM31" s="1688"/>
      <c r="WSN31" s="1688"/>
      <c r="WSO31" s="1688"/>
      <c r="WSP31" s="1688"/>
      <c r="WSQ31" s="1688"/>
      <c r="WSR31" s="1688"/>
      <c r="WSS31" s="1688"/>
      <c r="WST31" s="1688"/>
      <c r="WSU31" s="1688"/>
      <c r="WSV31" s="1688"/>
      <c r="WSW31" s="1688"/>
      <c r="WSX31" s="1688"/>
      <c r="WSY31" s="1688"/>
      <c r="WSZ31" s="1688"/>
      <c r="WTA31" s="1688"/>
      <c r="WTB31" s="1688"/>
      <c r="WTC31" s="1688"/>
      <c r="WTD31" s="1688"/>
      <c r="WTE31" s="1688"/>
      <c r="WTF31" s="1688"/>
      <c r="WTG31" s="1688"/>
      <c r="WTH31" s="1688"/>
      <c r="WTI31" s="1688"/>
      <c r="WTJ31" s="1688"/>
      <c r="WTK31" s="1688"/>
      <c r="WTL31" s="1688"/>
      <c r="WTM31" s="1688"/>
      <c r="WTN31" s="1688"/>
      <c r="WTO31" s="1688"/>
      <c r="WTP31" s="1688"/>
      <c r="WTQ31" s="1688"/>
      <c r="WTR31" s="1688"/>
      <c r="WTS31" s="1688"/>
      <c r="WTT31" s="1688"/>
      <c r="WTU31" s="1688"/>
      <c r="WTV31" s="1688"/>
      <c r="WTW31" s="1688"/>
      <c r="WTX31" s="1688"/>
      <c r="WTY31" s="1688"/>
      <c r="WTZ31" s="1688"/>
      <c r="WUA31" s="1688"/>
      <c r="WUB31" s="1688"/>
      <c r="WUC31" s="1688"/>
      <c r="WUD31" s="1688"/>
      <c r="WUE31" s="1688"/>
      <c r="WUF31" s="1688"/>
      <c r="WUG31" s="1688"/>
      <c r="WUH31" s="1688"/>
      <c r="WUI31" s="1688"/>
      <c r="WUJ31" s="1688"/>
      <c r="WUK31" s="1688"/>
      <c r="WUL31" s="1688"/>
      <c r="WUM31" s="1688"/>
      <c r="WUN31" s="1688"/>
      <c r="WUO31" s="1688"/>
      <c r="WUP31" s="1688"/>
      <c r="WUQ31" s="1688"/>
      <c r="WUR31" s="1688"/>
      <c r="WUS31" s="1688"/>
      <c r="WUT31" s="1688"/>
      <c r="WUU31" s="1688"/>
      <c r="WUV31" s="1688"/>
      <c r="WUW31" s="1688"/>
      <c r="WUX31" s="1688"/>
      <c r="WUY31" s="1688"/>
      <c r="WUZ31" s="1688"/>
      <c r="WVA31" s="1688"/>
      <c r="WVB31" s="1688"/>
      <c r="WVC31" s="1688"/>
      <c r="WVD31" s="1688"/>
      <c r="WVE31" s="1688"/>
      <c r="WVF31" s="1688"/>
      <c r="WVG31" s="1688"/>
      <c r="WVH31" s="1688"/>
      <c r="WVI31" s="1688"/>
      <c r="WVJ31" s="1688"/>
      <c r="WVK31" s="1688"/>
      <c r="WVL31" s="1688"/>
      <c r="WVM31" s="1688"/>
      <c r="WVN31" s="1688"/>
      <c r="WVO31" s="1688"/>
      <c r="WVP31" s="1688"/>
      <c r="WVQ31" s="1688"/>
      <c r="WVR31" s="1688"/>
      <c r="WVS31" s="1688"/>
      <c r="WVT31" s="1688"/>
      <c r="WVU31" s="1688"/>
      <c r="WVV31" s="1688"/>
      <c r="WVW31" s="1688"/>
      <c r="WVX31" s="1688"/>
      <c r="WVY31" s="1688"/>
      <c r="WVZ31" s="1688"/>
      <c r="WWA31" s="1688"/>
      <c r="WWB31" s="1688"/>
      <c r="WWC31" s="1688"/>
      <c r="WWD31" s="1688"/>
      <c r="WWE31" s="1688"/>
      <c r="WWF31" s="1688"/>
      <c r="WWG31" s="1688"/>
      <c r="WWH31" s="1688"/>
      <c r="WWI31" s="1688"/>
      <c r="WWJ31" s="1688"/>
      <c r="WWK31" s="1688"/>
      <c r="WWL31" s="1688"/>
      <c r="WWM31" s="1688"/>
      <c r="WWN31" s="1688"/>
      <c r="WWO31" s="1688"/>
      <c r="WWP31" s="1688"/>
      <c r="WWQ31" s="1688"/>
      <c r="WWR31" s="1688"/>
      <c r="WWS31" s="1688"/>
      <c r="WWT31" s="1688"/>
      <c r="WWU31" s="1688"/>
      <c r="WWV31" s="1688"/>
      <c r="WWW31" s="1688"/>
      <c r="WWX31" s="1688"/>
      <c r="WWY31" s="1688"/>
      <c r="WWZ31" s="1688"/>
      <c r="WXA31" s="1688"/>
      <c r="WXB31" s="1688"/>
      <c r="WXC31" s="1688"/>
      <c r="WXD31" s="1688"/>
      <c r="WXE31" s="1688"/>
      <c r="WXF31" s="1688"/>
      <c r="WXG31" s="1688"/>
      <c r="WXH31" s="1688"/>
      <c r="WXI31" s="1688"/>
      <c r="WXJ31" s="1688"/>
      <c r="WXK31" s="1688"/>
      <c r="WXL31" s="1688"/>
      <c r="WXM31" s="1688"/>
      <c r="WXN31" s="1688"/>
      <c r="WXO31" s="1688"/>
      <c r="WXP31" s="1688"/>
      <c r="WXQ31" s="1688"/>
      <c r="WXR31" s="1688"/>
      <c r="WXS31" s="1688"/>
      <c r="WXT31" s="1688"/>
      <c r="WXU31" s="1688"/>
      <c r="WXV31" s="1688"/>
      <c r="WXW31" s="1688"/>
      <c r="WXX31" s="1688"/>
      <c r="WXY31" s="1688"/>
      <c r="WXZ31" s="1688"/>
      <c r="WYA31" s="1688"/>
      <c r="WYB31" s="1688"/>
      <c r="WYC31" s="1688"/>
      <c r="WYD31" s="1688"/>
      <c r="WYE31" s="1688"/>
      <c r="WYF31" s="1688"/>
      <c r="WYG31" s="1688"/>
      <c r="WYH31" s="1688"/>
      <c r="WYI31" s="1688"/>
      <c r="WYJ31" s="1688"/>
      <c r="WYK31" s="1688"/>
      <c r="WYL31" s="1688"/>
      <c r="WYM31" s="1688"/>
      <c r="WYN31" s="1688"/>
      <c r="WYO31" s="1688"/>
      <c r="WYP31" s="1688"/>
      <c r="WYQ31" s="1688"/>
      <c r="WYR31" s="1688"/>
      <c r="WYS31" s="1688"/>
      <c r="WYT31" s="1688"/>
      <c r="WYU31" s="1688"/>
      <c r="WYV31" s="1688"/>
      <c r="WYW31" s="1688"/>
      <c r="WYX31" s="1688"/>
      <c r="WYY31" s="1688"/>
      <c r="WYZ31" s="1688"/>
      <c r="WZA31" s="1688"/>
      <c r="WZB31" s="1688"/>
      <c r="WZC31" s="1688"/>
      <c r="WZD31" s="1688"/>
      <c r="WZE31" s="1688"/>
      <c r="WZF31" s="1688"/>
      <c r="WZG31" s="1688"/>
      <c r="WZH31" s="1688"/>
      <c r="WZI31" s="1688"/>
      <c r="WZJ31" s="1688"/>
      <c r="WZK31" s="1688"/>
      <c r="WZL31" s="1688"/>
      <c r="WZM31" s="1688"/>
      <c r="WZN31" s="1688"/>
      <c r="WZO31" s="1688"/>
      <c r="WZP31" s="1688"/>
      <c r="WZQ31" s="1688"/>
      <c r="WZR31" s="1688"/>
      <c r="WZS31" s="1688"/>
      <c r="WZT31" s="1688"/>
      <c r="WZU31" s="1688"/>
      <c r="WZV31" s="1688"/>
      <c r="WZW31" s="1688"/>
      <c r="WZX31" s="1688"/>
      <c r="WZY31" s="1688"/>
      <c r="WZZ31" s="1688"/>
      <c r="XAA31" s="1688"/>
      <c r="XAB31" s="1688"/>
      <c r="XAC31" s="1688"/>
      <c r="XAD31" s="1688"/>
      <c r="XAE31" s="1688"/>
      <c r="XAF31" s="1688"/>
      <c r="XAG31" s="1688"/>
      <c r="XAH31" s="1688"/>
      <c r="XAI31" s="1688"/>
      <c r="XAJ31" s="1688"/>
      <c r="XAK31" s="1688"/>
      <c r="XAL31" s="1688"/>
      <c r="XAM31" s="1688"/>
      <c r="XAN31" s="1688"/>
      <c r="XAO31" s="1688"/>
      <c r="XAP31" s="1688"/>
      <c r="XAQ31" s="1688"/>
      <c r="XAR31" s="1688"/>
      <c r="XAS31" s="1688"/>
      <c r="XAT31" s="1688"/>
      <c r="XAU31" s="1688"/>
      <c r="XAV31" s="1688"/>
      <c r="XAW31" s="1688"/>
      <c r="XAX31" s="1688"/>
      <c r="XAY31" s="1688"/>
      <c r="XAZ31" s="1688"/>
      <c r="XBA31" s="1688"/>
      <c r="XBB31" s="1688"/>
      <c r="XBC31" s="1688"/>
      <c r="XBD31" s="1688"/>
      <c r="XBE31" s="1688"/>
      <c r="XBF31" s="1688"/>
      <c r="XBG31" s="1688"/>
      <c r="XBH31" s="1688"/>
      <c r="XBI31" s="1688"/>
      <c r="XBJ31" s="1688"/>
      <c r="XBK31" s="1688"/>
      <c r="XBL31" s="1688"/>
      <c r="XBM31" s="1688"/>
      <c r="XBN31" s="1688"/>
      <c r="XBO31" s="1688"/>
      <c r="XBP31" s="1688"/>
      <c r="XBQ31" s="1688"/>
      <c r="XBR31" s="1688"/>
      <c r="XBS31" s="1688"/>
      <c r="XBT31" s="1688"/>
      <c r="XBU31" s="1688"/>
      <c r="XBV31" s="1688"/>
      <c r="XBW31" s="1688"/>
      <c r="XBX31" s="1688"/>
      <c r="XBY31" s="1688"/>
      <c r="XBZ31" s="1688"/>
      <c r="XCA31" s="1688"/>
      <c r="XCB31" s="1688"/>
      <c r="XCC31" s="1688"/>
      <c r="XCD31" s="1688"/>
      <c r="XCE31" s="1688"/>
      <c r="XCF31" s="1688"/>
      <c r="XCG31" s="1688"/>
      <c r="XCH31" s="1688"/>
      <c r="XCI31" s="1688"/>
      <c r="XCJ31" s="1688"/>
      <c r="XCK31" s="1688"/>
      <c r="XCL31" s="1688"/>
      <c r="XCM31" s="1688"/>
      <c r="XCN31" s="1688"/>
      <c r="XCO31" s="1688"/>
      <c r="XCP31" s="1688"/>
      <c r="XCQ31" s="1688"/>
      <c r="XCR31" s="1688"/>
      <c r="XCS31" s="1688"/>
      <c r="XCT31" s="1688"/>
      <c r="XCU31" s="1688"/>
      <c r="XCV31" s="1688"/>
      <c r="XCW31" s="1688"/>
      <c r="XCX31" s="1688"/>
      <c r="XCY31" s="1688"/>
      <c r="XCZ31" s="1688"/>
      <c r="XDA31" s="1688"/>
      <c r="XDB31" s="1688"/>
      <c r="XDC31" s="1688"/>
      <c r="XDD31" s="1688"/>
      <c r="XDE31" s="1688"/>
      <c r="XDF31" s="1688"/>
      <c r="XDG31" s="1688"/>
      <c r="XDH31" s="1688"/>
      <c r="XDI31" s="1688"/>
      <c r="XDJ31" s="1688"/>
      <c r="XDK31" s="1688"/>
      <c r="XDL31" s="1688"/>
      <c r="XDM31" s="1688"/>
      <c r="XDN31" s="1688"/>
      <c r="XDO31" s="1688"/>
      <c r="XDP31" s="1688"/>
      <c r="XDQ31" s="1688"/>
      <c r="XDR31" s="1688"/>
      <c r="XDS31" s="1688"/>
      <c r="XDT31" s="1688"/>
      <c r="XDU31" s="1688"/>
      <c r="XDV31" s="1688"/>
      <c r="XDW31" s="1688"/>
      <c r="XDX31" s="1688"/>
      <c r="XDY31" s="1688"/>
      <c r="XDZ31" s="1688"/>
      <c r="XEA31" s="1688"/>
      <c r="XEB31" s="1688"/>
      <c r="XEC31" s="1688"/>
      <c r="XED31" s="1688"/>
      <c r="XEE31" s="1688"/>
      <c r="XEF31" s="1688"/>
      <c r="XEG31" s="1688"/>
      <c r="XEH31" s="1688"/>
      <c r="XEI31" s="1688"/>
      <c r="XEJ31" s="1688"/>
      <c r="XEK31" s="1688"/>
      <c r="XEL31" s="1688"/>
      <c r="XEM31" s="1688"/>
      <c r="XEN31" s="1688"/>
      <c r="XEO31" s="1688"/>
      <c r="XEP31" s="1688"/>
      <c r="XEQ31" s="1688"/>
      <c r="XER31" s="1688"/>
      <c r="XES31" s="1688"/>
      <c r="XET31" s="1688"/>
      <c r="XEU31" s="1688"/>
      <c r="XEV31" s="1688"/>
      <c r="XEW31" s="1688"/>
      <c r="XEX31" s="1688"/>
      <c r="XEY31" s="1688"/>
      <c r="XEZ31" s="1688"/>
      <c r="XFA31" s="1688"/>
      <c r="XFB31" s="1688"/>
      <c r="XFC31" s="1688"/>
      <c r="XFD31" s="1688"/>
    </row>
    <row r="32" spans="1:16384" s="224" customFormat="1" ht="45" customHeight="1">
      <c r="A32" s="1688" t="s">
        <v>2649</v>
      </c>
      <c r="B32" s="1688"/>
      <c r="C32" s="1688"/>
      <c r="D32" s="1688"/>
      <c r="E32" s="1688"/>
      <c r="F32" s="1688"/>
      <c r="G32" s="1688"/>
      <c r="H32" s="1688"/>
      <c r="I32" s="1688"/>
      <c r="J32" s="1688"/>
      <c r="K32" s="1688"/>
      <c r="L32" s="1688"/>
      <c r="M32" s="1688"/>
      <c r="N32" s="1688"/>
      <c r="O32" s="1688"/>
      <c r="P32" s="1688"/>
      <c r="Q32" s="1688"/>
      <c r="R32" s="1688"/>
      <c r="S32" s="1688"/>
      <c r="T32" s="1688"/>
      <c r="U32" s="1688"/>
      <c r="V32" s="1688"/>
      <c r="W32" s="1688"/>
      <c r="X32" s="1688"/>
      <c r="Y32" s="1688"/>
      <c r="Z32" s="1688"/>
      <c r="AA32" s="1688"/>
      <c r="AB32" s="1688"/>
      <c r="AC32" s="1688"/>
      <c r="AD32" s="1688"/>
      <c r="AE32" s="1688"/>
      <c r="AF32" s="1688"/>
      <c r="AG32" s="1688"/>
      <c r="AH32" s="1688"/>
      <c r="AI32" s="1688"/>
      <c r="AJ32" s="1688"/>
      <c r="AK32" s="1688"/>
      <c r="AL32" s="1688"/>
      <c r="AM32" s="1688"/>
      <c r="AN32" s="1688"/>
      <c r="AO32" s="1688"/>
      <c r="AP32" s="1688"/>
      <c r="AQ32" s="1688"/>
      <c r="AR32" s="1688"/>
      <c r="AS32" s="1688"/>
      <c r="AT32" s="1688"/>
      <c r="AU32" s="1688"/>
      <c r="AV32" s="1688"/>
      <c r="AW32" s="1688"/>
      <c r="AX32" s="1688"/>
      <c r="AY32" s="1688"/>
      <c r="AZ32" s="1688"/>
      <c r="BA32" s="1688"/>
      <c r="BB32" s="1688"/>
      <c r="BC32" s="1688"/>
      <c r="BD32" s="1688"/>
      <c r="BE32" s="1688"/>
      <c r="BF32" s="1688"/>
      <c r="BG32" s="1688"/>
      <c r="BH32" s="1688"/>
      <c r="BI32" s="1688"/>
      <c r="BJ32" s="1688"/>
      <c r="BK32" s="1688"/>
      <c r="BL32" s="1688"/>
      <c r="BM32" s="1688"/>
      <c r="BN32" s="1688"/>
      <c r="BO32" s="1688"/>
      <c r="BP32" s="1688"/>
      <c r="BQ32" s="1688"/>
      <c r="BR32" s="1688"/>
      <c r="BS32" s="1688"/>
      <c r="BT32" s="1688"/>
      <c r="BU32" s="1688"/>
      <c r="BV32" s="1688"/>
      <c r="BW32" s="1688"/>
      <c r="BX32" s="1688"/>
      <c r="BY32" s="1688"/>
      <c r="BZ32" s="1688"/>
      <c r="CA32" s="1688"/>
      <c r="CB32" s="1688"/>
      <c r="CC32" s="1688"/>
      <c r="CD32" s="1688"/>
      <c r="CE32" s="1688"/>
      <c r="CF32" s="1688"/>
      <c r="CG32" s="1688"/>
      <c r="CH32" s="1688"/>
      <c r="CI32" s="1688"/>
      <c r="CJ32" s="1688"/>
      <c r="CK32" s="1688"/>
      <c r="CL32" s="1688"/>
      <c r="CM32" s="1688"/>
      <c r="CN32" s="1688"/>
      <c r="CO32" s="1688"/>
      <c r="CP32" s="1688"/>
      <c r="CQ32" s="1688"/>
      <c r="CR32" s="1688"/>
      <c r="CS32" s="1688"/>
      <c r="CT32" s="1688"/>
      <c r="CU32" s="1688"/>
      <c r="CV32" s="1688"/>
      <c r="CW32" s="1688"/>
      <c r="CX32" s="1688"/>
      <c r="CY32" s="1688"/>
      <c r="CZ32" s="1688"/>
      <c r="DA32" s="1688"/>
      <c r="DB32" s="1688"/>
      <c r="DC32" s="1688"/>
      <c r="DD32" s="1688"/>
      <c r="DE32" s="1688"/>
      <c r="DF32" s="1688"/>
      <c r="DG32" s="1688"/>
      <c r="DH32" s="1688"/>
      <c r="DI32" s="1688"/>
      <c r="DJ32" s="1688"/>
      <c r="DK32" s="1688"/>
      <c r="DL32" s="1688"/>
      <c r="DM32" s="1688"/>
      <c r="DN32" s="1688"/>
      <c r="DO32" s="1688"/>
      <c r="DP32" s="1688"/>
      <c r="DQ32" s="1688"/>
      <c r="DR32" s="1688"/>
      <c r="DS32" s="1688"/>
      <c r="DT32" s="1688"/>
      <c r="DU32" s="1688"/>
      <c r="DV32" s="1688"/>
      <c r="DW32" s="1688"/>
      <c r="DX32" s="1688"/>
      <c r="DY32" s="1688"/>
      <c r="DZ32" s="1688"/>
      <c r="EA32" s="1688"/>
      <c r="EB32" s="1688"/>
      <c r="EC32" s="1688"/>
      <c r="ED32" s="1688"/>
      <c r="EE32" s="1688"/>
      <c r="EF32" s="1688"/>
      <c r="EG32" s="1688"/>
      <c r="EH32" s="1688"/>
      <c r="EI32" s="1688"/>
      <c r="EJ32" s="1688"/>
      <c r="EK32" s="1688"/>
      <c r="EL32" s="1688"/>
      <c r="EM32" s="1688"/>
      <c r="EN32" s="1688"/>
      <c r="EO32" s="1688"/>
      <c r="EP32" s="1688"/>
      <c r="EQ32" s="1688"/>
      <c r="ER32" s="1688"/>
      <c r="ES32" s="1688"/>
      <c r="ET32" s="1688"/>
      <c r="EU32" s="1688"/>
      <c r="EV32" s="1688"/>
      <c r="EW32" s="1688"/>
      <c r="EX32" s="1688"/>
      <c r="EY32" s="1688"/>
      <c r="EZ32" s="1688"/>
      <c r="FA32" s="1688"/>
      <c r="FB32" s="1688"/>
      <c r="FC32" s="1688"/>
      <c r="FD32" s="1688"/>
      <c r="FE32" s="1688"/>
      <c r="FF32" s="1688"/>
      <c r="FG32" s="1688"/>
      <c r="FH32" s="1688"/>
      <c r="FI32" s="1688"/>
      <c r="FJ32" s="1688"/>
      <c r="FK32" s="1688"/>
      <c r="FL32" s="1688"/>
      <c r="FM32" s="1688"/>
      <c r="FN32" s="1688"/>
      <c r="FO32" s="1688"/>
      <c r="FP32" s="1688"/>
      <c r="FQ32" s="1688"/>
      <c r="FR32" s="1688"/>
      <c r="FS32" s="1688"/>
      <c r="FT32" s="1688"/>
      <c r="FU32" s="1688"/>
      <c r="FV32" s="1688"/>
      <c r="FW32" s="1688"/>
      <c r="FX32" s="1688"/>
      <c r="FY32" s="1688"/>
      <c r="FZ32" s="1688"/>
      <c r="GA32" s="1688"/>
      <c r="GB32" s="1688"/>
      <c r="GC32" s="1688"/>
      <c r="GD32" s="1688"/>
      <c r="GE32" s="1688"/>
      <c r="GF32" s="1688"/>
      <c r="GG32" s="1688"/>
      <c r="GH32" s="1688"/>
      <c r="GI32" s="1688"/>
      <c r="GJ32" s="1688"/>
      <c r="GK32" s="1688"/>
      <c r="GL32" s="1688"/>
      <c r="GM32" s="1688"/>
      <c r="GN32" s="1688"/>
      <c r="GO32" s="1688"/>
      <c r="GP32" s="1688"/>
      <c r="GQ32" s="1688"/>
      <c r="GR32" s="1688"/>
      <c r="GS32" s="1688"/>
      <c r="GT32" s="1688"/>
      <c r="GU32" s="1688"/>
      <c r="GV32" s="1688"/>
      <c r="GW32" s="1688"/>
      <c r="GX32" s="1688"/>
      <c r="GY32" s="1688"/>
      <c r="GZ32" s="1688"/>
      <c r="HA32" s="1688"/>
      <c r="HB32" s="1688"/>
      <c r="HC32" s="1688"/>
      <c r="HD32" s="1688"/>
      <c r="HE32" s="1688"/>
      <c r="HF32" s="1688"/>
      <c r="HG32" s="1688"/>
      <c r="HH32" s="1688"/>
      <c r="HI32" s="1688"/>
      <c r="HJ32" s="1688"/>
      <c r="HK32" s="1688"/>
      <c r="HL32" s="1688"/>
      <c r="HM32" s="1688"/>
      <c r="HN32" s="1688"/>
      <c r="HO32" s="1688"/>
      <c r="HP32" s="1688"/>
      <c r="HQ32" s="1688"/>
      <c r="HR32" s="1688"/>
      <c r="HS32" s="1688"/>
      <c r="HT32" s="1688"/>
      <c r="HU32" s="1688"/>
      <c r="HV32" s="1688"/>
      <c r="HW32" s="1688"/>
      <c r="HX32" s="1688"/>
      <c r="HY32" s="1688"/>
      <c r="HZ32" s="1688"/>
      <c r="IA32" s="1688"/>
      <c r="IB32" s="1688"/>
      <c r="IC32" s="1688"/>
      <c r="ID32" s="1688"/>
      <c r="IE32" s="1688"/>
      <c r="IF32" s="1688"/>
      <c r="IG32" s="1688"/>
      <c r="IH32" s="1688"/>
      <c r="II32" s="1688"/>
      <c r="IJ32" s="1688"/>
      <c r="IK32" s="1688"/>
      <c r="IL32" s="1688"/>
      <c r="IM32" s="1688"/>
      <c r="IN32" s="1688"/>
      <c r="IO32" s="1688"/>
      <c r="IP32" s="1688"/>
      <c r="IQ32" s="1688"/>
      <c r="IR32" s="1688"/>
      <c r="IS32" s="1688"/>
      <c r="IT32" s="1688"/>
      <c r="IU32" s="1688"/>
      <c r="IV32" s="1688"/>
      <c r="IW32" s="1688"/>
      <c r="IX32" s="1688"/>
      <c r="IY32" s="1688"/>
      <c r="IZ32" s="1688"/>
      <c r="JA32" s="1688"/>
      <c r="JB32" s="1688"/>
      <c r="JC32" s="1688"/>
      <c r="JD32" s="1688"/>
      <c r="JE32" s="1688"/>
      <c r="JF32" s="1688"/>
      <c r="JG32" s="1688"/>
      <c r="JH32" s="1688"/>
      <c r="JI32" s="1688"/>
      <c r="JJ32" s="1688"/>
      <c r="JK32" s="1688"/>
      <c r="JL32" s="1688"/>
      <c r="JM32" s="1688"/>
      <c r="JN32" s="1688"/>
      <c r="JO32" s="1688"/>
      <c r="JP32" s="1688"/>
      <c r="JQ32" s="1688"/>
      <c r="JR32" s="1688"/>
      <c r="JS32" s="1688"/>
      <c r="JT32" s="1688"/>
      <c r="JU32" s="1688"/>
      <c r="JV32" s="1688"/>
      <c r="JW32" s="1688"/>
      <c r="JX32" s="1688"/>
      <c r="JY32" s="1688"/>
      <c r="JZ32" s="1688"/>
      <c r="KA32" s="1688"/>
      <c r="KB32" s="1688"/>
      <c r="KC32" s="1688"/>
      <c r="KD32" s="1688"/>
      <c r="KE32" s="1688"/>
      <c r="KF32" s="1688"/>
      <c r="KG32" s="1688"/>
      <c r="KH32" s="1688"/>
      <c r="KI32" s="1688"/>
      <c r="KJ32" s="1688"/>
      <c r="KK32" s="1688"/>
      <c r="KL32" s="1688"/>
      <c r="KM32" s="1688"/>
      <c r="KN32" s="1688"/>
      <c r="KO32" s="1688"/>
      <c r="KP32" s="1688"/>
      <c r="KQ32" s="1688"/>
      <c r="KR32" s="1688"/>
      <c r="KS32" s="1688"/>
      <c r="KT32" s="1688"/>
      <c r="KU32" s="1688"/>
      <c r="KV32" s="1688"/>
      <c r="KW32" s="1688"/>
      <c r="KX32" s="1688"/>
      <c r="KY32" s="1688"/>
      <c r="KZ32" s="1688"/>
      <c r="LA32" s="1688"/>
      <c r="LB32" s="1688"/>
      <c r="LC32" s="1688"/>
      <c r="LD32" s="1688"/>
      <c r="LE32" s="1688"/>
      <c r="LF32" s="1688"/>
      <c r="LG32" s="1688"/>
      <c r="LH32" s="1688"/>
      <c r="LI32" s="1688"/>
      <c r="LJ32" s="1688"/>
      <c r="LK32" s="1688"/>
      <c r="LL32" s="1688"/>
      <c r="LM32" s="1688"/>
      <c r="LN32" s="1688"/>
      <c r="LO32" s="1688"/>
      <c r="LP32" s="1688"/>
      <c r="LQ32" s="1688"/>
      <c r="LR32" s="1688"/>
      <c r="LS32" s="1688"/>
      <c r="LT32" s="1688"/>
      <c r="LU32" s="1688"/>
      <c r="LV32" s="1688"/>
      <c r="LW32" s="1688"/>
      <c r="LX32" s="1688"/>
      <c r="LY32" s="1688"/>
      <c r="LZ32" s="1688"/>
      <c r="MA32" s="1688"/>
      <c r="MB32" s="1688"/>
      <c r="MC32" s="1688"/>
      <c r="MD32" s="1688"/>
      <c r="ME32" s="1688"/>
      <c r="MF32" s="1688"/>
      <c r="MG32" s="1688"/>
      <c r="MH32" s="1688"/>
      <c r="MI32" s="1688"/>
      <c r="MJ32" s="1688"/>
      <c r="MK32" s="1688"/>
      <c r="ML32" s="1688"/>
      <c r="MM32" s="1688"/>
      <c r="MN32" s="1688"/>
      <c r="MO32" s="1688"/>
      <c r="MP32" s="1688"/>
      <c r="MQ32" s="1688"/>
      <c r="MR32" s="1688"/>
      <c r="MS32" s="1688"/>
      <c r="MT32" s="1688"/>
      <c r="MU32" s="1688"/>
      <c r="MV32" s="1688"/>
      <c r="MW32" s="1688"/>
      <c r="MX32" s="1688"/>
      <c r="MY32" s="1688"/>
      <c r="MZ32" s="1688"/>
      <c r="NA32" s="1688"/>
      <c r="NB32" s="1688"/>
      <c r="NC32" s="1688"/>
      <c r="ND32" s="1688"/>
      <c r="NE32" s="1688"/>
      <c r="NF32" s="1688"/>
      <c r="NG32" s="1688"/>
      <c r="NH32" s="1688"/>
      <c r="NI32" s="1688"/>
      <c r="NJ32" s="1688"/>
      <c r="NK32" s="1688"/>
      <c r="NL32" s="1688"/>
      <c r="NM32" s="1688"/>
      <c r="NN32" s="1688"/>
      <c r="NO32" s="1688"/>
      <c r="NP32" s="1688"/>
      <c r="NQ32" s="1688"/>
      <c r="NR32" s="1688"/>
      <c r="NS32" s="1688"/>
      <c r="NT32" s="1688"/>
      <c r="NU32" s="1688"/>
      <c r="NV32" s="1688"/>
      <c r="NW32" s="1688"/>
      <c r="NX32" s="1688"/>
      <c r="NY32" s="1688"/>
      <c r="NZ32" s="1688"/>
      <c r="OA32" s="1688"/>
      <c r="OB32" s="1688"/>
      <c r="OC32" s="1688"/>
      <c r="OD32" s="1688"/>
      <c r="OE32" s="1688"/>
      <c r="OF32" s="1688"/>
      <c r="OG32" s="1688"/>
      <c r="OH32" s="1688"/>
      <c r="OI32" s="1688"/>
      <c r="OJ32" s="1688"/>
      <c r="OK32" s="1688"/>
      <c r="OL32" s="1688"/>
      <c r="OM32" s="1688"/>
      <c r="ON32" s="1688"/>
      <c r="OO32" s="1688"/>
      <c r="OP32" s="1688"/>
      <c r="OQ32" s="1688"/>
      <c r="OR32" s="1688"/>
      <c r="OS32" s="1688"/>
      <c r="OT32" s="1688"/>
      <c r="OU32" s="1688"/>
      <c r="OV32" s="1688"/>
      <c r="OW32" s="1688"/>
      <c r="OX32" s="1688"/>
      <c r="OY32" s="1688"/>
      <c r="OZ32" s="1688"/>
      <c r="PA32" s="1688"/>
      <c r="PB32" s="1688"/>
      <c r="PC32" s="1688"/>
      <c r="PD32" s="1688"/>
      <c r="PE32" s="1688"/>
      <c r="PF32" s="1688"/>
      <c r="PG32" s="1688"/>
      <c r="PH32" s="1688"/>
      <c r="PI32" s="1688"/>
      <c r="PJ32" s="1688"/>
      <c r="PK32" s="1688"/>
      <c r="PL32" s="1688"/>
      <c r="PM32" s="1688"/>
      <c r="PN32" s="1688"/>
      <c r="PO32" s="1688"/>
      <c r="PP32" s="1688"/>
      <c r="PQ32" s="1688"/>
      <c r="PR32" s="1688"/>
      <c r="PS32" s="1688"/>
      <c r="PT32" s="1688"/>
      <c r="PU32" s="1688"/>
      <c r="PV32" s="1688"/>
      <c r="PW32" s="1688"/>
      <c r="PX32" s="1688"/>
      <c r="PY32" s="1688"/>
      <c r="PZ32" s="1688"/>
      <c r="QA32" s="1688"/>
      <c r="QB32" s="1688"/>
      <c r="QC32" s="1688"/>
      <c r="QD32" s="1688"/>
      <c r="QE32" s="1688"/>
      <c r="QF32" s="1688"/>
      <c r="QG32" s="1688"/>
      <c r="QH32" s="1688"/>
      <c r="QI32" s="1688"/>
      <c r="QJ32" s="1688"/>
      <c r="QK32" s="1688"/>
      <c r="QL32" s="1688"/>
      <c r="QM32" s="1688"/>
      <c r="QN32" s="1688"/>
      <c r="QO32" s="1688"/>
      <c r="QP32" s="1688"/>
      <c r="QQ32" s="1688"/>
      <c r="QR32" s="1688"/>
      <c r="QS32" s="1688"/>
      <c r="QT32" s="1688"/>
      <c r="QU32" s="1688"/>
      <c r="QV32" s="1688"/>
      <c r="QW32" s="1688"/>
      <c r="QX32" s="1688"/>
      <c r="QY32" s="1688"/>
      <c r="QZ32" s="1688"/>
      <c r="RA32" s="1688"/>
      <c r="RB32" s="1688"/>
      <c r="RC32" s="1688"/>
      <c r="RD32" s="1688"/>
      <c r="RE32" s="1688"/>
      <c r="RF32" s="1688"/>
      <c r="RG32" s="1688"/>
      <c r="RH32" s="1688"/>
      <c r="RI32" s="1688"/>
      <c r="RJ32" s="1688"/>
      <c r="RK32" s="1688"/>
      <c r="RL32" s="1688"/>
      <c r="RM32" s="1688"/>
      <c r="RN32" s="1688"/>
      <c r="RO32" s="1688"/>
      <c r="RP32" s="1688"/>
      <c r="RQ32" s="1688"/>
      <c r="RR32" s="1688"/>
      <c r="RS32" s="1688"/>
      <c r="RT32" s="1688"/>
      <c r="RU32" s="1688"/>
      <c r="RV32" s="1688"/>
      <c r="RW32" s="1688"/>
      <c r="RX32" s="1688"/>
      <c r="RY32" s="1688"/>
      <c r="RZ32" s="1688"/>
      <c r="SA32" s="1688"/>
      <c r="SB32" s="1688"/>
      <c r="SC32" s="1688"/>
      <c r="SD32" s="1688"/>
      <c r="SE32" s="1688"/>
      <c r="SF32" s="1688"/>
      <c r="SG32" s="1688"/>
      <c r="SH32" s="1688"/>
      <c r="SI32" s="1688"/>
      <c r="SJ32" s="1688"/>
      <c r="SK32" s="1688"/>
      <c r="SL32" s="1688"/>
      <c r="SM32" s="1688"/>
      <c r="SN32" s="1688"/>
      <c r="SO32" s="1688"/>
      <c r="SP32" s="1688"/>
      <c r="SQ32" s="1688"/>
      <c r="SR32" s="1688"/>
      <c r="SS32" s="1688"/>
      <c r="ST32" s="1688"/>
      <c r="SU32" s="1688"/>
      <c r="SV32" s="1688"/>
      <c r="SW32" s="1688"/>
      <c r="SX32" s="1688"/>
      <c r="SY32" s="1688"/>
      <c r="SZ32" s="1688"/>
      <c r="TA32" s="1688"/>
      <c r="TB32" s="1688"/>
      <c r="TC32" s="1688"/>
      <c r="TD32" s="1688"/>
      <c r="TE32" s="1688"/>
      <c r="TF32" s="1688"/>
      <c r="TG32" s="1688"/>
      <c r="TH32" s="1688"/>
      <c r="TI32" s="1688"/>
      <c r="TJ32" s="1688"/>
      <c r="TK32" s="1688"/>
      <c r="TL32" s="1688"/>
      <c r="TM32" s="1688"/>
      <c r="TN32" s="1688"/>
      <c r="TO32" s="1688"/>
      <c r="TP32" s="1688"/>
      <c r="TQ32" s="1688"/>
      <c r="TR32" s="1688"/>
      <c r="TS32" s="1688"/>
      <c r="TT32" s="1688"/>
      <c r="TU32" s="1688"/>
      <c r="TV32" s="1688"/>
      <c r="TW32" s="1688"/>
      <c r="TX32" s="1688"/>
      <c r="TY32" s="1688"/>
      <c r="TZ32" s="1688"/>
      <c r="UA32" s="1688"/>
      <c r="UB32" s="1688"/>
      <c r="UC32" s="1688"/>
      <c r="UD32" s="1688"/>
      <c r="UE32" s="1688"/>
      <c r="UF32" s="1688"/>
      <c r="UG32" s="1688"/>
      <c r="UH32" s="1688"/>
      <c r="UI32" s="1688"/>
      <c r="UJ32" s="1688"/>
      <c r="UK32" s="1688"/>
      <c r="UL32" s="1688"/>
      <c r="UM32" s="1688"/>
      <c r="UN32" s="1688"/>
      <c r="UO32" s="1688"/>
      <c r="UP32" s="1688"/>
      <c r="UQ32" s="1688"/>
      <c r="UR32" s="1688"/>
      <c r="US32" s="1688"/>
      <c r="UT32" s="1688"/>
      <c r="UU32" s="1688"/>
      <c r="UV32" s="1688"/>
      <c r="UW32" s="1688"/>
      <c r="UX32" s="1688"/>
      <c r="UY32" s="1688"/>
      <c r="UZ32" s="1688"/>
      <c r="VA32" s="1688"/>
      <c r="VB32" s="1688"/>
      <c r="VC32" s="1688"/>
      <c r="VD32" s="1688"/>
      <c r="VE32" s="1688"/>
      <c r="VF32" s="1688"/>
      <c r="VG32" s="1688"/>
      <c r="VH32" s="1688"/>
      <c r="VI32" s="1688"/>
      <c r="VJ32" s="1688"/>
      <c r="VK32" s="1688"/>
      <c r="VL32" s="1688"/>
      <c r="VM32" s="1688"/>
      <c r="VN32" s="1688"/>
      <c r="VO32" s="1688"/>
      <c r="VP32" s="1688"/>
      <c r="VQ32" s="1688"/>
      <c r="VR32" s="1688"/>
      <c r="VS32" s="1688"/>
      <c r="VT32" s="1688"/>
      <c r="VU32" s="1688"/>
      <c r="VV32" s="1688"/>
      <c r="VW32" s="1688"/>
      <c r="VX32" s="1688"/>
      <c r="VY32" s="1688"/>
      <c r="VZ32" s="1688"/>
      <c r="WA32" s="1688"/>
      <c r="WB32" s="1688"/>
      <c r="WC32" s="1688"/>
      <c r="WD32" s="1688"/>
      <c r="WE32" s="1688"/>
      <c r="WF32" s="1688"/>
      <c r="WG32" s="1688"/>
      <c r="WH32" s="1688"/>
      <c r="WI32" s="1688"/>
      <c r="WJ32" s="1688"/>
      <c r="WK32" s="1688"/>
      <c r="WL32" s="1688"/>
      <c r="WM32" s="1688"/>
      <c r="WN32" s="1688"/>
      <c r="WO32" s="1688"/>
      <c r="WP32" s="1688"/>
      <c r="WQ32" s="1688"/>
      <c r="WR32" s="1688"/>
      <c r="WS32" s="1688"/>
      <c r="WT32" s="1688"/>
      <c r="WU32" s="1688"/>
      <c r="WV32" s="1688"/>
      <c r="WW32" s="1688"/>
      <c r="WX32" s="1688"/>
      <c r="WY32" s="1688"/>
      <c r="WZ32" s="1688"/>
      <c r="XA32" s="1688"/>
      <c r="XB32" s="1688"/>
      <c r="XC32" s="1688"/>
      <c r="XD32" s="1688"/>
      <c r="XE32" s="1688"/>
      <c r="XF32" s="1688"/>
      <c r="XG32" s="1688"/>
      <c r="XH32" s="1688"/>
      <c r="XI32" s="1688"/>
      <c r="XJ32" s="1688"/>
      <c r="XK32" s="1688"/>
      <c r="XL32" s="1688"/>
      <c r="XM32" s="1688"/>
      <c r="XN32" s="1688"/>
      <c r="XO32" s="1688"/>
      <c r="XP32" s="1688"/>
      <c r="XQ32" s="1688"/>
      <c r="XR32" s="1688"/>
      <c r="XS32" s="1688"/>
      <c r="XT32" s="1688"/>
      <c r="XU32" s="1688"/>
      <c r="XV32" s="1688"/>
      <c r="XW32" s="1688"/>
      <c r="XX32" s="1688"/>
      <c r="XY32" s="1688"/>
      <c r="XZ32" s="1688"/>
      <c r="YA32" s="1688"/>
      <c r="YB32" s="1688"/>
      <c r="YC32" s="1688"/>
      <c r="YD32" s="1688"/>
      <c r="YE32" s="1688"/>
      <c r="YF32" s="1688"/>
      <c r="YG32" s="1688"/>
      <c r="YH32" s="1688"/>
      <c r="YI32" s="1688"/>
      <c r="YJ32" s="1688"/>
      <c r="YK32" s="1688"/>
      <c r="YL32" s="1688"/>
      <c r="YM32" s="1688"/>
      <c r="YN32" s="1688"/>
      <c r="YO32" s="1688"/>
      <c r="YP32" s="1688"/>
      <c r="YQ32" s="1688"/>
      <c r="YR32" s="1688"/>
      <c r="YS32" s="1688"/>
      <c r="YT32" s="1688"/>
      <c r="YU32" s="1688"/>
      <c r="YV32" s="1688"/>
      <c r="YW32" s="1688"/>
      <c r="YX32" s="1688"/>
      <c r="YY32" s="1688"/>
      <c r="YZ32" s="1688"/>
      <c r="ZA32" s="1688"/>
      <c r="ZB32" s="1688"/>
      <c r="ZC32" s="1688"/>
      <c r="ZD32" s="1688"/>
      <c r="ZE32" s="1688"/>
      <c r="ZF32" s="1688"/>
      <c r="ZG32" s="1688"/>
      <c r="ZH32" s="1688"/>
      <c r="ZI32" s="1688"/>
      <c r="ZJ32" s="1688"/>
      <c r="ZK32" s="1688"/>
      <c r="ZL32" s="1688"/>
      <c r="ZM32" s="1688"/>
      <c r="ZN32" s="1688"/>
      <c r="ZO32" s="1688"/>
      <c r="ZP32" s="1688"/>
      <c r="ZQ32" s="1688"/>
      <c r="ZR32" s="1688"/>
      <c r="ZS32" s="1688"/>
      <c r="ZT32" s="1688"/>
      <c r="ZU32" s="1688"/>
      <c r="ZV32" s="1688"/>
      <c r="ZW32" s="1688"/>
      <c r="ZX32" s="1688"/>
      <c r="ZY32" s="1688"/>
      <c r="ZZ32" s="1688"/>
      <c r="AAA32" s="1688"/>
      <c r="AAB32" s="1688"/>
      <c r="AAC32" s="1688"/>
      <c r="AAD32" s="1688"/>
      <c r="AAE32" s="1688"/>
      <c r="AAF32" s="1688"/>
      <c r="AAG32" s="1688"/>
      <c r="AAH32" s="1688"/>
      <c r="AAI32" s="1688"/>
      <c r="AAJ32" s="1688"/>
      <c r="AAK32" s="1688"/>
      <c r="AAL32" s="1688"/>
      <c r="AAM32" s="1688"/>
      <c r="AAN32" s="1688"/>
      <c r="AAO32" s="1688"/>
      <c r="AAP32" s="1688"/>
      <c r="AAQ32" s="1688"/>
      <c r="AAR32" s="1688"/>
      <c r="AAS32" s="1688"/>
      <c r="AAT32" s="1688"/>
      <c r="AAU32" s="1688"/>
      <c r="AAV32" s="1688"/>
      <c r="AAW32" s="1688"/>
      <c r="AAX32" s="1688"/>
      <c r="AAY32" s="1688"/>
      <c r="AAZ32" s="1688"/>
      <c r="ABA32" s="1688"/>
      <c r="ABB32" s="1688"/>
      <c r="ABC32" s="1688"/>
      <c r="ABD32" s="1688"/>
      <c r="ABE32" s="1688"/>
      <c r="ABF32" s="1688"/>
      <c r="ABG32" s="1688"/>
      <c r="ABH32" s="1688"/>
      <c r="ABI32" s="1688"/>
      <c r="ABJ32" s="1688"/>
      <c r="ABK32" s="1688"/>
      <c r="ABL32" s="1688"/>
      <c r="ABM32" s="1688"/>
      <c r="ABN32" s="1688"/>
      <c r="ABO32" s="1688"/>
      <c r="ABP32" s="1688"/>
      <c r="ABQ32" s="1688"/>
      <c r="ABR32" s="1688"/>
      <c r="ABS32" s="1688"/>
      <c r="ABT32" s="1688"/>
      <c r="ABU32" s="1688"/>
      <c r="ABV32" s="1688"/>
      <c r="ABW32" s="1688"/>
      <c r="ABX32" s="1688"/>
      <c r="ABY32" s="1688"/>
      <c r="ABZ32" s="1688"/>
      <c r="ACA32" s="1688"/>
      <c r="ACB32" s="1688"/>
      <c r="ACC32" s="1688"/>
      <c r="ACD32" s="1688"/>
      <c r="ACE32" s="1688"/>
      <c r="ACF32" s="1688"/>
      <c r="ACG32" s="1688"/>
      <c r="ACH32" s="1688"/>
      <c r="ACI32" s="1688"/>
      <c r="ACJ32" s="1688"/>
      <c r="ACK32" s="1688"/>
      <c r="ACL32" s="1688"/>
      <c r="ACM32" s="1688"/>
      <c r="ACN32" s="1688"/>
      <c r="ACO32" s="1688"/>
      <c r="ACP32" s="1688"/>
      <c r="ACQ32" s="1688"/>
      <c r="ACR32" s="1688"/>
      <c r="ACS32" s="1688"/>
      <c r="ACT32" s="1688"/>
      <c r="ACU32" s="1688"/>
      <c r="ACV32" s="1688"/>
      <c r="ACW32" s="1688"/>
      <c r="ACX32" s="1688"/>
      <c r="ACY32" s="1688"/>
      <c r="ACZ32" s="1688"/>
      <c r="ADA32" s="1688"/>
      <c r="ADB32" s="1688"/>
      <c r="ADC32" s="1688"/>
      <c r="ADD32" s="1688"/>
      <c r="ADE32" s="1688"/>
      <c r="ADF32" s="1688"/>
      <c r="ADG32" s="1688"/>
      <c r="ADH32" s="1688"/>
      <c r="ADI32" s="1688"/>
      <c r="ADJ32" s="1688"/>
      <c r="ADK32" s="1688"/>
      <c r="ADL32" s="1688"/>
      <c r="ADM32" s="1688"/>
      <c r="ADN32" s="1688"/>
      <c r="ADO32" s="1688"/>
      <c r="ADP32" s="1688"/>
      <c r="ADQ32" s="1688"/>
      <c r="ADR32" s="1688"/>
      <c r="ADS32" s="1688"/>
      <c r="ADT32" s="1688"/>
      <c r="ADU32" s="1688"/>
      <c r="ADV32" s="1688"/>
      <c r="ADW32" s="1688"/>
      <c r="ADX32" s="1688"/>
      <c r="ADY32" s="1688"/>
      <c r="ADZ32" s="1688"/>
      <c r="AEA32" s="1688"/>
      <c r="AEB32" s="1688"/>
      <c r="AEC32" s="1688"/>
      <c r="AED32" s="1688"/>
      <c r="AEE32" s="1688"/>
      <c r="AEF32" s="1688"/>
      <c r="AEG32" s="1688"/>
      <c r="AEH32" s="1688"/>
      <c r="AEI32" s="1688"/>
      <c r="AEJ32" s="1688"/>
      <c r="AEK32" s="1688"/>
      <c r="AEL32" s="1688"/>
      <c r="AEM32" s="1688"/>
      <c r="AEN32" s="1688"/>
      <c r="AEO32" s="1688"/>
      <c r="AEP32" s="1688"/>
      <c r="AEQ32" s="1688"/>
      <c r="AER32" s="1688"/>
      <c r="AES32" s="1688"/>
      <c r="AET32" s="1688"/>
      <c r="AEU32" s="1688"/>
      <c r="AEV32" s="1688"/>
      <c r="AEW32" s="1688"/>
      <c r="AEX32" s="1688"/>
      <c r="AEY32" s="1688"/>
      <c r="AEZ32" s="1688"/>
      <c r="AFA32" s="1688"/>
      <c r="AFB32" s="1688"/>
      <c r="AFC32" s="1688"/>
      <c r="AFD32" s="1688"/>
      <c r="AFE32" s="1688"/>
      <c r="AFF32" s="1688"/>
      <c r="AFG32" s="1688"/>
      <c r="AFH32" s="1688"/>
      <c r="AFI32" s="1688"/>
      <c r="AFJ32" s="1688"/>
      <c r="AFK32" s="1688"/>
      <c r="AFL32" s="1688"/>
      <c r="AFM32" s="1688"/>
      <c r="AFN32" s="1688"/>
      <c r="AFO32" s="1688"/>
      <c r="AFP32" s="1688"/>
      <c r="AFQ32" s="1688"/>
      <c r="AFR32" s="1688"/>
      <c r="AFS32" s="1688"/>
      <c r="AFT32" s="1688"/>
      <c r="AFU32" s="1688"/>
      <c r="AFV32" s="1688"/>
      <c r="AFW32" s="1688"/>
      <c r="AFX32" s="1688"/>
      <c r="AFY32" s="1688"/>
      <c r="AFZ32" s="1688"/>
      <c r="AGA32" s="1688"/>
      <c r="AGB32" s="1688"/>
      <c r="AGC32" s="1688"/>
      <c r="AGD32" s="1688"/>
      <c r="AGE32" s="1688"/>
      <c r="AGF32" s="1688"/>
      <c r="AGG32" s="1688"/>
      <c r="AGH32" s="1688"/>
      <c r="AGI32" s="1688"/>
      <c r="AGJ32" s="1688"/>
      <c r="AGK32" s="1688"/>
      <c r="AGL32" s="1688"/>
      <c r="AGM32" s="1688"/>
      <c r="AGN32" s="1688"/>
      <c r="AGO32" s="1688"/>
      <c r="AGP32" s="1688"/>
      <c r="AGQ32" s="1688"/>
      <c r="AGR32" s="1688"/>
      <c r="AGS32" s="1688"/>
      <c r="AGT32" s="1688"/>
      <c r="AGU32" s="1688"/>
      <c r="AGV32" s="1688"/>
      <c r="AGW32" s="1688"/>
      <c r="AGX32" s="1688"/>
      <c r="AGY32" s="1688"/>
      <c r="AGZ32" s="1688"/>
      <c r="AHA32" s="1688"/>
      <c r="AHB32" s="1688"/>
      <c r="AHC32" s="1688"/>
      <c r="AHD32" s="1688"/>
      <c r="AHE32" s="1688"/>
      <c r="AHF32" s="1688"/>
      <c r="AHG32" s="1688"/>
      <c r="AHH32" s="1688"/>
      <c r="AHI32" s="1688"/>
      <c r="AHJ32" s="1688"/>
      <c r="AHK32" s="1688"/>
      <c r="AHL32" s="1688"/>
      <c r="AHM32" s="1688"/>
      <c r="AHN32" s="1688"/>
      <c r="AHO32" s="1688"/>
      <c r="AHP32" s="1688"/>
      <c r="AHQ32" s="1688"/>
      <c r="AHR32" s="1688"/>
      <c r="AHS32" s="1688"/>
      <c r="AHT32" s="1688"/>
      <c r="AHU32" s="1688"/>
      <c r="AHV32" s="1688"/>
      <c r="AHW32" s="1688"/>
      <c r="AHX32" s="1688"/>
      <c r="AHY32" s="1688"/>
      <c r="AHZ32" s="1688"/>
      <c r="AIA32" s="1688"/>
      <c r="AIB32" s="1688"/>
      <c r="AIC32" s="1688"/>
      <c r="AID32" s="1688"/>
      <c r="AIE32" s="1688"/>
      <c r="AIF32" s="1688"/>
      <c r="AIG32" s="1688"/>
      <c r="AIH32" s="1688"/>
      <c r="AII32" s="1688"/>
      <c r="AIJ32" s="1688"/>
      <c r="AIK32" s="1688"/>
      <c r="AIL32" s="1688"/>
      <c r="AIM32" s="1688"/>
      <c r="AIN32" s="1688"/>
      <c r="AIO32" s="1688"/>
      <c r="AIP32" s="1688"/>
      <c r="AIQ32" s="1688"/>
      <c r="AIR32" s="1688"/>
      <c r="AIS32" s="1688"/>
      <c r="AIT32" s="1688"/>
      <c r="AIU32" s="1688"/>
      <c r="AIV32" s="1688"/>
      <c r="AIW32" s="1688"/>
      <c r="AIX32" s="1688"/>
      <c r="AIY32" s="1688"/>
      <c r="AIZ32" s="1688"/>
      <c r="AJA32" s="1688"/>
      <c r="AJB32" s="1688"/>
      <c r="AJC32" s="1688"/>
      <c r="AJD32" s="1688"/>
      <c r="AJE32" s="1688"/>
      <c r="AJF32" s="1688"/>
      <c r="AJG32" s="1688"/>
      <c r="AJH32" s="1688"/>
      <c r="AJI32" s="1688"/>
      <c r="AJJ32" s="1688"/>
      <c r="AJK32" s="1688"/>
      <c r="AJL32" s="1688"/>
      <c r="AJM32" s="1688"/>
      <c r="AJN32" s="1688"/>
      <c r="AJO32" s="1688"/>
      <c r="AJP32" s="1688"/>
      <c r="AJQ32" s="1688"/>
      <c r="AJR32" s="1688"/>
      <c r="AJS32" s="1688"/>
      <c r="AJT32" s="1688"/>
      <c r="AJU32" s="1688"/>
      <c r="AJV32" s="1688"/>
      <c r="AJW32" s="1688"/>
      <c r="AJX32" s="1688"/>
      <c r="AJY32" s="1688"/>
      <c r="AJZ32" s="1688"/>
      <c r="AKA32" s="1688"/>
      <c r="AKB32" s="1688"/>
      <c r="AKC32" s="1688"/>
      <c r="AKD32" s="1688"/>
      <c r="AKE32" s="1688"/>
      <c r="AKF32" s="1688"/>
      <c r="AKG32" s="1688"/>
      <c r="AKH32" s="1688"/>
      <c r="AKI32" s="1688"/>
      <c r="AKJ32" s="1688"/>
      <c r="AKK32" s="1688"/>
      <c r="AKL32" s="1688"/>
      <c r="AKM32" s="1688"/>
      <c r="AKN32" s="1688"/>
      <c r="AKO32" s="1688"/>
      <c r="AKP32" s="1688"/>
      <c r="AKQ32" s="1688"/>
      <c r="AKR32" s="1688"/>
      <c r="AKS32" s="1688"/>
      <c r="AKT32" s="1688"/>
      <c r="AKU32" s="1688"/>
      <c r="AKV32" s="1688"/>
      <c r="AKW32" s="1688"/>
      <c r="AKX32" s="1688"/>
      <c r="AKY32" s="1688"/>
      <c r="AKZ32" s="1688"/>
      <c r="ALA32" s="1688"/>
      <c r="ALB32" s="1688"/>
      <c r="ALC32" s="1688"/>
      <c r="ALD32" s="1688"/>
      <c r="ALE32" s="1688"/>
      <c r="ALF32" s="1688"/>
      <c r="ALG32" s="1688"/>
      <c r="ALH32" s="1688"/>
      <c r="ALI32" s="1688"/>
      <c r="ALJ32" s="1688"/>
      <c r="ALK32" s="1688"/>
      <c r="ALL32" s="1688"/>
      <c r="ALM32" s="1688"/>
      <c r="ALN32" s="1688"/>
      <c r="ALO32" s="1688"/>
      <c r="ALP32" s="1688"/>
      <c r="ALQ32" s="1688"/>
      <c r="ALR32" s="1688"/>
      <c r="ALS32" s="1688"/>
      <c r="ALT32" s="1688"/>
      <c r="ALU32" s="1688"/>
      <c r="ALV32" s="1688"/>
      <c r="ALW32" s="1688"/>
      <c r="ALX32" s="1688"/>
      <c r="ALY32" s="1688"/>
      <c r="ALZ32" s="1688"/>
      <c r="AMA32" s="1688"/>
      <c r="AMB32" s="1688"/>
      <c r="AMC32" s="1688"/>
      <c r="AMD32" s="1688"/>
      <c r="AME32" s="1688"/>
      <c r="AMF32" s="1688"/>
      <c r="AMG32" s="1688"/>
      <c r="AMH32" s="1688"/>
      <c r="AMI32" s="1688"/>
      <c r="AMJ32" s="1688"/>
      <c r="AMK32" s="1688"/>
      <c r="AML32" s="1688"/>
      <c r="AMM32" s="1688"/>
      <c r="AMN32" s="1688"/>
      <c r="AMO32" s="1688"/>
      <c r="AMP32" s="1688"/>
      <c r="AMQ32" s="1688"/>
      <c r="AMR32" s="1688"/>
      <c r="AMS32" s="1688"/>
      <c r="AMT32" s="1688"/>
      <c r="AMU32" s="1688"/>
      <c r="AMV32" s="1688"/>
      <c r="AMW32" s="1688"/>
      <c r="AMX32" s="1688"/>
      <c r="AMY32" s="1688"/>
      <c r="AMZ32" s="1688"/>
      <c r="ANA32" s="1688"/>
      <c r="ANB32" s="1688"/>
      <c r="ANC32" s="1688"/>
      <c r="AND32" s="1688"/>
      <c r="ANE32" s="1688"/>
      <c r="ANF32" s="1688"/>
      <c r="ANG32" s="1688"/>
      <c r="ANH32" s="1688"/>
      <c r="ANI32" s="1688"/>
      <c r="ANJ32" s="1688"/>
      <c r="ANK32" s="1688"/>
      <c r="ANL32" s="1688"/>
      <c r="ANM32" s="1688"/>
      <c r="ANN32" s="1688"/>
      <c r="ANO32" s="1688"/>
      <c r="ANP32" s="1688"/>
      <c r="ANQ32" s="1688"/>
      <c r="ANR32" s="1688"/>
      <c r="ANS32" s="1688"/>
      <c r="ANT32" s="1688"/>
      <c r="ANU32" s="1688"/>
      <c r="ANV32" s="1688"/>
      <c r="ANW32" s="1688"/>
      <c r="ANX32" s="1688"/>
      <c r="ANY32" s="1688"/>
      <c r="ANZ32" s="1688"/>
      <c r="AOA32" s="1688"/>
      <c r="AOB32" s="1688"/>
      <c r="AOC32" s="1688"/>
      <c r="AOD32" s="1688"/>
      <c r="AOE32" s="1688"/>
      <c r="AOF32" s="1688"/>
      <c r="AOG32" s="1688"/>
      <c r="AOH32" s="1688"/>
      <c r="AOI32" s="1688"/>
      <c r="AOJ32" s="1688"/>
      <c r="AOK32" s="1688"/>
      <c r="AOL32" s="1688"/>
      <c r="AOM32" s="1688"/>
      <c r="AON32" s="1688"/>
      <c r="AOO32" s="1688"/>
      <c r="AOP32" s="1688"/>
      <c r="AOQ32" s="1688"/>
      <c r="AOR32" s="1688"/>
      <c r="AOS32" s="1688"/>
      <c r="AOT32" s="1688"/>
      <c r="AOU32" s="1688"/>
      <c r="AOV32" s="1688"/>
      <c r="AOW32" s="1688"/>
      <c r="AOX32" s="1688"/>
      <c r="AOY32" s="1688"/>
      <c r="AOZ32" s="1688"/>
      <c r="APA32" s="1688"/>
      <c r="APB32" s="1688"/>
      <c r="APC32" s="1688"/>
      <c r="APD32" s="1688"/>
      <c r="APE32" s="1688"/>
      <c r="APF32" s="1688"/>
      <c r="APG32" s="1688"/>
      <c r="APH32" s="1688"/>
      <c r="API32" s="1688"/>
      <c r="APJ32" s="1688"/>
      <c r="APK32" s="1688"/>
      <c r="APL32" s="1688"/>
      <c r="APM32" s="1688"/>
      <c r="APN32" s="1688"/>
      <c r="APO32" s="1688"/>
      <c r="APP32" s="1688"/>
      <c r="APQ32" s="1688"/>
      <c r="APR32" s="1688"/>
      <c r="APS32" s="1688"/>
      <c r="APT32" s="1688"/>
      <c r="APU32" s="1688"/>
      <c r="APV32" s="1688"/>
      <c r="APW32" s="1688"/>
      <c r="APX32" s="1688"/>
      <c r="APY32" s="1688"/>
      <c r="APZ32" s="1688"/>
      <c r="AQA32" s="1688"/>
      <c r="AQB32" s="1688"/>
      <c r="AQC32" s="1688"/>
      <c r="AQD32" s="1688"/>
      <c r="AQE32" s="1688"/>
      <c r="AQF32" s="1688"/>
      <c r="AQG32" s="1688"/>
      <c r="AQH32" s="1688"/>
      <c r="AQI32" s="1688"/>
      <c r="AQJ32" s="1688"/>
      <c r="AQK32" s="1688"/>
      <c r="AQL32" s="1688"/>
      <c r="AQM32" s="1688"/>
      <c r="AQN32" s="1688"/>
      <c r="AQO32" s="1688"/>
      <c r="AQP32" s="1688"/>
      <c r="AQQ32" s="1688"/>
      <c r="AQR32" s="1688"/>
      <c r="AQS32" s="1688"/>
      <c r="AQT32" s="1688"/>
      <c r="AQU32" s="1688"/>
      <c r="AQV32" s="1688"/>
      <c r="AQW32" s="1688"/>
      <c r="AQX32" s="1688"/>
      <c r="AQY32" s="1688"/>
      <c r="AQZ32" s="1688"/>
      <c r="ARA32" s="1688"/>
      <c r="ARB32" s="1688"/>
      <c r="ARC32" s="1688"/>
      <c r="ARD32" s="1688"/>
      <c r="ARE32" s="1688"/>
      <c r="ARF32" s="1688"/>
      <c r="ARG32" s="1688"/>
      <c r="ARH32" s="1688"/>
      <c r="ARI32" s="1688"/>
      <c r="ARJ32" s="1688"/>
      <c r="ARK32" s="1688"/>
      <c r="ARL32" s="1688"/>
      <c r="ARM32" s="1688"/>
      <c r="ARN32" s="1688"/>
      <c r="ARO32" s="1688"/>
      <c r="ARP32" s="1688"/>
      <c r="ARQ32" s="1688"/>
      <c r="ARR32" s="1688"/>
      <c r="ARS32" s="1688"/>
      <c r="ART32" s="1688"/>
      <c r="ARU32" s="1688"/>
      <c r="ARV32" s="1688"/>
      <c r="ARW32" s="1688"/>
      <c r="ARX32" s="1688"/>
      <c r="ARY32" s="1688"/>
      <c r="ARZ32" s="1688"/>
      <c r="ASA32" s="1688"/>
      <c r="ASB32" s="1688"/>
      <c r="ASC32" s="1688"/>
      <c r="ASD32" s="1688"/>
      <c r="ASE32" s="1688"/>
      <c r="ASF32" s="1688"/>
      <c r="ASG32" s="1688"/>
      <c r="ASH32" s="1688"/>
      <c r="ASI32" s="1688"/>
      <c r="ASJ32" s="1688"/>
      <c r="ASK32" s="1688"/>
      <c r="ASL32" s="1688"/>
      <c r="ASM32" s="1688"/>
      <c r="ASN32" s="1688"/>
      <c r="ASO32" s="1688"/>
      <c r="ASP32" s="1688"/>
      <c r="ASQ32" s="1688"/>
      <c r="ASR32" s="1688"/>
      <c r="ASS32" s="1688"/>
      <c r="AST32" s="1688"/>
      <c r="ASU32" s="1688"/>
      <c r="ASV32" s="1688"/>
      <c r="ASW32" s="1688"/>
      <c r="ASX32" s="1688"/>
      <c r="ASY32" s="1688"/>
      <c r="ASZ32" s="1688"/>
      <c r="ATA32" s="1688"/>
      <c r="ATB32" s="1688"/>
      <c r="ATC32" s="1688"/>
      <c r="ATD32" s="1688"/>
      <c r="ATE32" s="1688"/>
      <c r="ATF32" s="1688"/>
      <c r="ATG32" s="1688"/>
      <c r="ATH32" s="1688"/>
      <c r="ATI32" s="1688"/>
      <c r="ATJ32" s="1688"/>
      <c r="ATK32" s="1688"/>
      <c r="ATL32" s="1688"/>
      <c r="ATM32" s="1688"/>
      <c r="ATN32" s="1688"/>
      <c r="ATO32" s="1688"/>
      <c r="ATP32" s="1688"/>
      <c r="ATQ32" s="1688"/>
      <c r="ATR32" s="1688"/>
      <c r="ATS32" s="1688"/>
      <c r="ATT32" s="1688"/>
      <c r="ATU32" s="1688"/>
      <c r="ATV32" s="1688"/>
      <c r="ATW32" s="1688"/>
      <c r="ATX32" s="1688"/>
      <c r="ATY32" s="1688"/>
      <c r="ATZ32" s="1688"/>
      <c r="AUA32" s="1688"/>
      <c r="AUB32" s="1688"/>
      <c r="AUC32" s="1688"/>
      <c r="AUD32" s="1688"/>
      <c r="AUE32" s="1688"/>
      <c r="AUF32" s="1688"/>
      <c r="AUG32" s="1688"/>
      <c r="AUH32" s="1688"/>
      <c r="AUI32" s="1688"/>
      <c r="AUJ32" s="1688"/>
      <c r="AUK32" s="1688"/>
      <c r="AUL32" s="1688"/>
      <c r="AUM32" s="1688"/>
      <c r="AUN32" s="1688"/>
      <c r="AUO32" s="1688"/>
      <c r="AUP32" s="1688"/>
      <c r="AUQ32" s="1688"/>
      <c r="AUR32" s="1688"/>
      <c r="AUS32" s="1688"/>
      <c r="AUT32" s="1688"/>
      <c r="AUU32" s="1688"/>
      <c r="AUV32" s="1688"/>
      <c r="AUW32" s="1688"/>
      <c r="AUX32" s="1688"/>
      <c r="AUY32" s="1688"/>
      <c r="AUZ32" s="1688"/>
      <c r="AVA32" s="1688"/>
      <c r="AVB32" s="1688"/>
      <c r="AVC32" s="1688"/>
      <c r="AVD32" s="1688"/>
      <c r="AVE32" s="1688"/>
      <c r="AVF32" s="1688"/>
      <c r="AVG32" s="1688"/>
      <c r="AVH32" s="1688"/>
      <c r="AVI32" s="1688"/>
      <c r="AVJ32" s="1688"/>
      <c r="AVK32" s="1688"/>
      <c r="AVL32" s="1688"/>
      <c r="AVM32" s="1688"/>
      <c r="AVN32" s="1688"/>
      <c r="AVO32" s="1688"/>
      <c r="AVP32" s="1688"/>
      <c r="AVQ32" s="1688"/>
      <c r="AVR32" s="1688"/>
      <c r="AVS32" s="1688"/>
      <c r="AVT32" s="1688"/>
      <c r="AVU32" s="1688"/>
      <c r="AVV32" s="1688"/>
      <c r="AVW32" s="1688"/>
      <c r="AVX32" s="1688"/>
      <c r="AVY32" s="1688"/>
      <c r="AVZ32" s="1688"/>
      <c r="AWA32" s="1688"/>
      <c r="AWB32" s="1688"/>
      <c r="AWC32" s="1688"/>
      <c r="AWD32" s="1688"/>
      <c r="AWE32" s="1688"/>
      <c r="AWF32" s="1688"/>
      <c r="AWG32" s="1688"/>
      <c r="AWH32" s="1688"/>
      <c r="AWI32" s="1688"/>
      <c r="AWJ32" s="1688"/>
      <c r="AWK32" s="1688"/>
      <c r="AWL32" s="1688"/>
      <c r="AWM32" s="1688"/>
      <c r="AWN32" s="1688"/>
      <c r="AWO32" s="1688"/>
      <c r="AWP32" s="1688"/>
      <c r="AWQ32" s="1688"/>
      <c r="AWR32" s="1688"/>
      <c r="AWS32" s="1688"/>
      <c r="AWT32" s="1688"/>
      <c r="AWU32" s="1688"/>
      <c r="AWV32" s="1688"/>
      <c r="AWW32" s="1688"/>
      <c r="AWX32" s="1688"/>
      <c r="AWY32" s="1688"/>
      <c r="AWZ32" s="1688"/>
      <c r="AXA32" s="1688"/>
      <c r="AXB32" s="1688"/>
      <c r="AXC32" s="1688"/>
      <c r="AXD32" s="1688"/>
      <c r="AXE32" s="1688"/>
      <c r="AXF32" s="1688"/>
      <c r="AXG32" s="1688"/>
      <c r="AXH32" s="1688"/>
      <c r="AXI32" s="1688"/>
      <c r="AXJ32" s="1688"/>
      <c r="AXK32" s="1688"/>
      <c r="AXL32" s="1688"/>
      <c r="AXM32" s="1688"/>
      <c r="AXN32" s="1688"/>
      <c r="AXO32" s="1688"/>
      <c r="AXP32" s="1688"/>
      <c r="AXQ32" s="1688"/>
      <c r="AXR32" s="1688"/>
      <c r="AXS32" s="1688"/>
      <c r="AXT32" s="1688"/>
      <c r="AXU32" s="1688"/>
      <c r="AXV32" s="1688"/>
      <c r="AXW32" s="1688"/>
      <c r="AXX32" s="1688"/>
      <c r="AXY32" s="1688"/>
      <c r="AXZ32" s="1688"/>
      <c r="AYA32" s="1688"/>
      <c r="AYB32" s="1688"/>
      <c r="AYC32" s="1688"/>
      <c r="AYD32" s="1688"/>
      <c r="AYE32" s="1688"/>
      <c r="AYF32" s="1688"/>
      <c r="AYG32" s="1688"/>
      <c r="AYH32" s="1688"/>
      <c r="AYI32" s="1688"/>
      <c r="AYJ32" s="1688"/>
      <c r="AYK32" s="1688"/>
      <c r="AYL32" s="1688"/>
      <c r="AYM32" s="1688"/>
      <c r="AYN32" s="1688"/>
      <c r="AYO32" s="1688"/>
      <c r="AYP32" s="1688"/>
      <c r="AYQ32" s="1688"/>
      <c r="AYR32" s="1688"/>
      <c r="AYS32" s="1688"/>
      <c r="AYT32" s="1688"/>
      <c r="AYU32" s="1688"/>
      <c r="AYV32" s="1688"/>
      <c r="AYW32" s="1688"/>
      <c r="AYX32" s="1688"/>
      <c r="AYY32" s="1688"/>
      <c r="AYZ32" s="1688"/>
      <c r="AZA32" s="1688"/>
      <c r="AZB32" s="1688"/>
      <c r="AZC32" s="1688"/>
      <c r="AZD32" s="1688"/>
      <c r="AZE32" s="1688"/>
      <c r="AZF32" s="1688"/>
      <c r="AZG32" s="1688"/>
      <c r="AZH32" s="1688"/>
      <c r="AZI32" s="1688"/>
      <c r="AZJ32" s="1688"/>
      <c r="AZK32" s="1688"/>
      <c r="AZL32" s="1688"/>
      <c r="AZM32" s="1688"/>
      <c r="AZN32" s="1688"/>
      <c r="AZO32" s="1688"/>
      <c r="AZP32" s="1688"/>
      <c r="AZQ32" s="1688"/>
      <c r="AZR32" s="1688"/>
      <c r="AZS32" s="1688"/>
      <c r="AZT32" s="1688"/>
      <c r="AZU32" s="1688"/>
      <c r="AZV32" s="1688"/>
      <c r="AZW32" s="1688"/>
      <c r="AZX32" s="1688"/>
      <c r="AZY32" s="1688"/>
      <c r="AZZ32" s="1688"/>
      <c r="BAA32" s="1688"/>
      <c r="BAB32" s="1688"/>
      <c r="BAC32" s="1688"/>
      <c r="BAD32" s="1688"/>
      <c r="BAE32" s="1688"/>
      <c r="BAF32" s="1688"/>
      <c r="BAG32" s="1688"/>
      <c r="BAH32" s="1688"/>
      <c r="BAI32" s="1688"/>
      <c r="BAJ32" s="1688"/>
      <c r="BAK32" s="1688"/>
      <c r="BAL32" s="1688"/>
      <c r="BAM32" s="1688"/>
      <c r="BAN32" s="1688"/>
      <c r="BAO32" s="1688"/>
      <c r="BAP32" s="1688"/>
      <c r="BAQ32" s="1688"/>
      <c r="BAR32" s="1688"/>
      <c r="BAS32" s="1688"/>
      <c r="BAT32" s="1688"/>
      <c r="BAU32" s="1688"/>
      <c r="BAV32" s="1688"/>
      <c r="BAW32" s="1688"/>
      <c r="BAX32" s="1688"/>
      <c r="BAY32" s="1688"/>
      <c r="BAZ32" s="1688"/>
      <c r="BBA32" s="1688"/>
      <c r="BBB32" s="1688"/>
      <c r="BBC32" s="1688"/>
      <c r="BBD32" s="1688"/>
      <c r="BBE32" s="1688"/>
      <c r="BBF32" s="1688"/>
      <c r="BBG32" s="1688"/>
      <c r="BBH32" s="1688"/>
      <c r="BBI32" s="1688"/>
      <c r="BBJ32" s="1688"/>
      <c r="BBK32" s="1688"/>
      <c r="BBL32" s="1688"/>
      <c r="BBM32" s="1688"/>
      <c r="BBN32" s="1688"/>
      <c r="BBO32" s="1688"/>
      <c r="BBP32" s="1688"/>
      <c r="BBQ32" s="1688"/>
      <c r="BBR32" s="1688"/>
      <c r="BBS32" s="1688"/>
      <c r="BBT32" s="1688"/>
      <c r="BBU32" s="1688"/>
      <c r="BBV32" s="1688"/>
      <c r="BBW32" s="1688"/>
      <c r="BBX32" s="1688"/>
      <c r="BBY32" s="1688"/>
      <c r="BBZ32" s="1688"/>
      <c r="BCA32" s="1688"/>
      <c r="BCB32" s="1688"/>
      <c r="BCC32" s="1688"/>
      <c r="BCD32" s="1688"/>
      <c r="BCE32" s="1688"/>
      <c r="BCF32" s="1688"/>
      <c r="BCG32" s="1688"/>
      <c r="BCH32" s="1688"/>
      <c r="BCI32" s="1688"/>
      <c r="BCJ32" s="1688"/>
      <c r="BCK32" s="1688"/>
      <c r="BCL32" s="1688"/>
      <c r="BCM32" s="1688"/>
      <c r="BCN32" s="1688"/>
      <c r="BCO32" s="1688"/>
      <c r="BCP32" s="1688"/>
      <c r="BCQ32" s="1688"/>
      <c r="BCR32" s="1688"/>
      <c r="BCS32" s="1688"/>
      <c r="BCT32" s="1688"/>
      <c r="BCU32" s="1688"/>
      <c r="BCV32" s="1688"/>
      <c r="BCW32" s="1688"/>
      <c r="BCX32" s="1688"/>
      <c r="BCY32" s="1688"/>
      <c r="BCZ32" s="1688"/>
      <c r="BDA32" s="1688"/>
      <c r="BDB32" s="1688"/>
      <c r="BDC32" s="1688"/>
      <c r="BDD32" s="1688"/>
      <c r="BDE32" s="1688"/>
      <c r="BDF32" s="1688"/>
      <c r="BDG32" s="1688"/>
      <c r="BDH32" s="1688"/>
      <c r="BDI32" s="1688"/>
      <c r="BDJ32" s="1688"/>
      <c r="BDK32" s="1688"/>
      <c r="BDL32" s="1688"/>
      <c r="BDM32" s="1688"/>
      <c r="BDN32" s="1688"/>
      <c r="BDO32" s="1688"/>
      <c r="BDP32" s="1688"/>
      <c r="BDQ32" s="1688"/>
      <c r="BDR32" s="1688"/>
      <c r="BDS32" s="1688"/>
      <c r="BDT32" s="1688"/>
      <c r="BDU32" s="1688"/>
      <c r="BDV32" s="1688"/>
      <c r="BDW32" s="1688"/>
      <c r="BDX32" s="1688"/>
      <c r="BDY32" s="1688"/>
      <c r="BDZ32" s="1688"/>
      <c r="BEA32" s="1688"/>
      <c r="BEB32" s="1688"/>
      <c r="BEC32" s="1688"/>
      <c r="BED32" s="1688"/>
      <c r="BEE32" s="1688"/>
      <c r="BEF32" s="1688"/>
      <c r="BEG32" s="1688"/>
      <c r="BEH32" s="1688"/>
      <c r="BEI32" s="1688"/>
      <c r="BEJ32" s="1688"/>
      <c r="BEK32" s="1688"/>
      <c r="BEL32" s="1688"/>
      <c r="BEM32" s="1688"/>
      <c r="BEN32" s="1688"/>
      <c r="BEO32" s="1688"/>
      <c r="BEP32" s="1688"/>
      <c r="BEQ32" s="1688"/>
      <c r="BER32" s="1688"/>
      <c r="BES32" s="1688"/>
      <c r="BET32" s="1688"/>
      <c r="BEU32" s="1688"/>
      <c r="BEV32" s="1688"/>
      <c r="BEW32" s="1688"/>
      <c r="BEX32" s="1688"/>
      <c r="BEY32" s="1688"/>
      <c r="BEZ32" s="1688"/>
      <c r="BFA32" s="1688"/>
      <c r="BFB32" s="1688"/>
      <c r="BFC32" s="1688"/>
      <c r="BFD32" s="1688"/>
      <c r="BFE32" s="1688"/>
      <c r="BFF32" s="1688"/>
      <c r="BFG32" s="1688"/>
      <c r="BFH32" s="1688"/>
      <c r="BFI32" s="1688"/>
      <c r="BFJ32" s="1688"/>
      <c r="BFK32" s="1688"/>
      <c r="BFL32" s="1688"/>
      <c r="BFM32" s="1688"/>
      <c r="BFN32" s="1688"/>
      <c r="BFO32" s="1688"/>
      <c r="BFP32" s="1688"/>
      <c r="BFQ32" s="1688"/>
      <c r="BFR32" s="1688"/>
      <c r="BFS32" s="1688"/>
      <c r="BFT32" s="1688"/>
      <c r="BFU32" s="1688"/>
      <c r="BFV32" s="1688"/>
      <c r="BFW32" s="1688"/>
      <c r="BFX32" s="1688"/>
      <c r="BFY32" s="1688"/>
      <c r="BFZ32" s="1688"/>
      <c r="BGA32" s="1688"/>
      <c r="BGB32" s="1688"/>
      <c r="BGC32" s="1688"/>
      <c r="BGD32" s="1688"/>
      <c r="BGE32" s="1688"/>
      <c r="BGF32" s="1688"/>
      <c r="BGG32" s="1688"/>
      <c r="BGH32" s="1688"/>
      <c r="BGI32" s="1688"/>
      <c r="BGJ32" s="1688"/>
      <c r="BGK32" s="1688"/>
      <c r="BGL32" s="1688"/>
      <c r="BGM32" s="1688"/>
      <c r="BGN32" s="1688"/>
      <c r="BGO32" s="1688"/>
      <c r="BGP32" s="1688"/>
      <c r="BGQ32" s="1688"/>
      <c r="BGR32" s="1688"/>
      <c r="BGS32" s="1688"/>
      <c r="BGT32" s="1688"/>
      <c r="BGU32" s="1688"/>
      <c r="BGV32" s="1688"/>
      <c r="BGW32" s="1688"/>
      <c r="BGX32" s="1688"/>
      <c r="BGY32" s="1688"/>
      <c r="BGZ32" s="1688"/>
      <c r="BHA32" s="1688"/>
      <c r="BHB32" s="1688"/>
      <c r="BHC32" s="1688"/>
      <c r="BHD32" s="1688"/>
      <c r="BHE32" s="1688"/>
      <c r="BHF32" s="1688"/>
      <c r="BHG32" s="1688"/>
      <c r="BHH32" s="1688"/>
      <c r="BHI32" s="1688"/>
      <c r="BHJ32" s="1688"/>
      <c r="BHK32" s="1688"/>
      <c r="BHL32" s="1688"/>
      <c r="BHM32" s="1688"/>
      <c r="BHN32" s="1688"/>
      <c r="BHO32" s="1688"/>
      <c r="BHP32" s="1688"/>
      <c r="BHQ32" s="1688"/>
      <c r="BHR32" s="1688"/>
      <c r="BHS32" s="1688"/>
      <c r="BHT32" s="1688"/>
      <c r="BHU32" s="1688"/>
      <c r="BHV32" s="1688"/>
      <c r="BHW32" s="1688"/>
      <c r="BHX32" s="1688"/>
      <c r="BHY32" s="1688"/>
      <c r="BHZ32" s="1688"/>
      <c r="BIA32" s="1688"/>
      <c r="BIB32" s="1688"/>
      <c r="BIC32" s="1688"/>
      <c r="BID32" s="1688"/>
      <c r="BIE32" s="1688"/>
      <c r="BIF32" s="1688"/>
      <c r="BIG32" s="1688"/>
      <c r="BIH32" s="1688"/>
      <c r="BII32" s="1688"/>
      <c r="BIJ32" s="1688"/>
      <c r="BIK32" s="1688"/>
      <c r="BIL32" s="1688"/>
      <c r="BIM32" s="1688"/>
      <c r="BIN32" s="1688"/>
      <c r="BIO32" s="1688"/>
      <c r="BIP32" s="1688"/>
      <c r="BIQ32" s="1688"/>
      <c r="BIR32" s="1688"/>
      <c r="BIS32" s="1688"/>
      <c r="BIT32" s="1688"/>
      <c r="BIU32" s="1688"/>
      <c r="BIV32" s="1688"/>
      <c r="BIW32" s="1688"/>
      <c r="BIX32" s="1688"/>
      <c r="BIY32" s="1688"/>
      <c r="BIZ32" s="1688"/>
      <c r="BJA32" s="1688"/>
      <c r="BJB32" s="1688"/>
      <c r="BJC32" s="1688"/>
      <c r="BJD32" s="1688"/>
      <c r="BJE32" s="1688"/>
      <c r="BJF32" s="1688"/>
      <c r="BJG32" s="1688"/>
      <c r="BJH32" s="1688"/>
      <c r="BJI32" s="1688"/>
      <c r="BJJ32" s="1688"/>
      <c r="BJK32" s="1688"/>
      <c r="BJL32" s="1688"/>
      <c r="BJM32" s="1688"/>
      <c r="BJN32" s="1688"/>
      <c r="BJO32" s="1688"/>
      <c r="BJP32" s="1688"/>
      <c r="BJQ32" s="1688"/>
      <c r="BJR32" s="1688"/>
      <c r="BJS32" s="1688"/>
      <c r="BJT32" s="1688"/>
      <c r="BJU32" s="1688"/>
      <c r="BJV32" s="1688"/>
      <c r="BJW32" s="1688"/>
      <c r="BJX32" s="1688"/>
      <c r="BJY32" s="1688"/>
      <c r="BJZ32" s="1688"/>
      <c r="BKA32" s="1688"/>
      <c r="BKB32" s="1688"/>
      <c r="BKC32" s="1688"/>
      <c r="BKD32" s="1688"/>
      <c r="BKE32" s="1688"/>
      <c r="BKF32" s="1688"/>
      <c r="BKG32" s="1688"/>
      <c r="BKH32" s="1688"/>
      <c r="BKI32" s="1688"/>
      <c r="BKJ32" s="1688"/>
      <c r="BKK32" s="1688"/>
      <c r="BKL32" s="1688"/>
      <c r="BKM32" s="1688"/>
      <c r="BKN32" s="1688"/>
      <c r="BKO32" s="1688"/>
      <c r="BKP32" s="1688"/>
      <c r="BKQ32" s="1688"/>
      <c r="BKR32" s="1688"/>
      <c r="BKS32" s="1688"/>
      <c r="BKT32" s="1688"/>
      <c r="BKU32" s="1688"/>
      <c r="BKV32" s="1688"/>
      <c r="BKW32" s="1688"/>
      <c r="BKX32" s="1688"/>
      <c r="BKY32" s="1688"/>
      <c r="BKZ32" s="1688"/>
      <c r="BLA32" s="1688"/>
      <c r="BLB32" s="1688"/>
      <c r="BLC32" s="1688"/>
      <c r="BLD32" s="1688"/>
      <c r="BLE32" s="1688"/>
      <c r="BLF32" s="1688"/>
      <c r="BLG32" s="1688"/>
      <c r="BLH32" s="1688"/>
      <c r="BLI32" s="1688"/>
      <c r="BLJ32" s="1688"/>
      <c r="BLK32" s="1688"/>
      <c r="BLL32" s="1688"/>
      <c r="BLM32" s="1688"/>
      <c r="BLN32" s="1688"/>
      <c r="BLO32" s="1688"/>
      <c r="BLP32" s="1688"/>
      <c r="BLQ32" s="1688"/>
      <c r="BLR32" s="1688"/>
      <c r="BLS32" s="1688"/>
      <c r="BLT32" s="1688"/>
      <c r="BLU32" s="1688"/>
      <c r="BLV32" s="1688"/>
      <c r="BLW32" s="1688"/>
      <c r="BLX32" s="1688"/>
      <c r="BLY32" s="1688"/>
      <c r="BLZ32" s="1688"/>
      <c r="BMA32" s="1688"/>
      <c r="BMB32" s="1688"/>
      <c r="BMC32" s="1688"/>
      <c r="BMD32" s="1688"/>
      <c r="BME32" s="1688"/>
      <c r="BMF32" s="1688"/>
      <c r="BMG32" s="1688"/>
      <c r="BMH32" s="1688"/>
      <c r="BMI32" s="1688"/>
      <c r="BMJ32" s="1688"/>
      <c r="BMK32" s="1688"/>
      <c r="BML32" s="1688"/>
      <c r="BMM32" s="1688"/>
      <c r="BMN32" s="1688"/>
      <c r="BMO32" s="1688"/>
      <c r="BMP32" s="1688"/>
      <c r="BMQ32" s="1688"/>
      <c r="BMR32" s="1688"/>
      <c r="BMS32" s="1688"/>
      <c r="BMT32" s="1688"/>
      <c r="BMU32" s="1688"/>
      <c r="BMV32" s="1688"/>
      <c r="BMW32" s="1688"/>
      <c r="BMX32" s="1688"/>
      <c r="BMY32" s="1688"/>
      <c r="BMZ32" s="1688"/>
      <c r="BNA32" s="1688"/>
      <c r="BNB32" s="1688"/>
      <c r="BNC32" s="1688"/>
      <c r="BND32" s="1688"/>
      <c r="BNE32" s="1688"/>
      <c r="BNF32" s="1688"/>
      <c r="BNG32" s="1688"/>
      <c r="BNH32" s="1688"/>
      <c r="BNI32" s="1688"/>
      <c r="BNJ32" s="1688"/>
      <c r="BNK32" s="1688"/>
      <c r="BNL32" s="1688"/>
      <c r="BNM32" s="1688"/>
      <c r="BNN32" s="1688"/>
      <c r="BNO32" s="1688"/>
      <c r="BNP32" s="1688"/>
      <c r="BNQ32" s="1688"/>
      <c r="BNR32" s="1688"/>
      <c r="BNS32" s="1688"/>
      <c r="BNT32" s="1688"/>
      <c r="BNU32" s="1688"/>
      <c r="BNV32" s="1688"/>
      <c r="BNW32" s="1688"/>
      <c r="BNX32" s="1688"/>
      <c r="BNY32" s="1688"/>
      <c r="BNZ32" s="1688"/>
      <c r="BOA32" s="1688"/>
      <c r="BOB32" s="1688"/>
      <c r="BOC32" s="1688"/>
      <c r="BOD32" s="1688"/>
      <c r="BOE32" s="1688"/>
      <c r="BOF32" s="1688"/>
      <c r="BOG32" s="1688"/>
      <c r="BOH32" s="1688"/>
      <c r="BOI32" s="1688"/>
      <c r="BOJ32" s="1688"/>
      <c r="BOK32" s="1688"/>
      <c r="BOL32" s="1688"/>
      <c r="BOM32" s="1688"/>
      <c r="BON32" s="1688"/>
      <c r="BOO32" s="1688"/>
      <c r="BOP32" s="1688"/>
      <c r="BOQ32" s="1688"/>
      <c r="BOR32" s="1688"/>
      <c r="BOS32" s="1688"/>
      <c r="BOT32" s="1688"/>
      <c r="BOU32" s="1688"/>
      <c r="BOV32" s="1688"/>
      <c r="BOW32" s="1688"/>
      <c r="BOX32" s="1688"/>
      <c r="BOY32" s="1688"/>
      <c r="BOZ32" s="1688"/>
      <c r="BPA32" s="1688"/>
      <c r="BPB32" s="1688"/>
      <c r="BPC32" s="1688"/>
      <c r="BPD32" s="1688"/>
      <c r="BPE32" s="1688"/>
      <c r="BPF32" s="1688"/>
      <c r="BPG32" s="1688"/>
      <c r="BPH32" s="1688"/>
      <c r="BPI32" s="1688"/>
      <c r="BPJ32" s="1688"/>
      <c r="BPK32" s="1688"/>
      <c r="BPL32" s="1688"/>
      <c r="BPM32" s="1688"/>
      <c r="BPN32" s="1688"/>
      <c r="BPO32" s="1688"/>
      <c r="BPP32" s="1688"/>
      <c r="BPQ32" s="1688"/>
      <c r="BPR32" s="1688"/>
      <c r="BPS32" s="1688"/>
      <c r="BPT32" s="1688"/>
      <c r="BPU32" s="1688"/>
      <c r="BPV32" s="1688"/>
      <c r="BPW32" s="1688"/>
      <c r="BPX32" s="1688"/>
      <c r="BPY32" s="1688"/>
      <c r="BPZ32" s="1688"/>
      <c r="BQA32" s="1688"/>
      <c r="BQB32" s="1688"/>
      <c r="BQC32" s="1688"/>
      <c r="BQD32" s="1688"/>
      <c r="BQE32" s="1688"/>
      <c r="BQF32" s="1688"/>
      <c r="BQG32" s="1688"/>
      <c r="BQH32" s="1688"/>
      <c r="BQI32" s="1688"/>
      <c r="BQJ32" s="1688"/>
      <c r="BQK32" s="1688"/>
      <c r="BQL32" s="1688"/>
      <c r="BQM32" s="1688"/>
      <c r="BQN32" s="1688"/>
      <c r="BQO32" s="1688"/>
      <c r="BQP32" s="1688"/>
      <c r="BQQ32" s="1688"/>
      <c r="BQR32" s="1688"/>
      <c r="BQS32" s="1688"/>
      <c r="BQT32" s="1688"/>
      <c r="BQU32" s="1688"/>
      <c r="BQV32" s="1688"/>
      <c r="BQW32" s="1688"/>
      <c r="BQX32" s="1688"/>
      <c r="BQY32" s="1688"/>
      <c r="BQZ32" s="1688"/>
      <c r="BRA32" s="1688"/>
      <c r="BRB32" s="1688"/>
      <c r="BRC32" s="1688"/>
      <c r="BRD32" s="1688"/>
      <c r="BRE32" s="1688"/>
      <c r="BRF32" s="1688"/>
      <c r="BRG32" s="1688"/>
      <c r="BRH32" s="1688"/>
      <c r="BRI32" s="1688"/>
      <c r="BRJ32" s="1688"/>
      <c r="BRK32" s="1688"/>
      <c r="BRL32" s="1688"/>
      <c r="BRM32" s="1688"/>
      <c r="BRN32" s="1688"/>
      <c r="BRO32" s="1688"/>
      <c r="BRP32" s="1688"/>
      <c r="BRQ32" s="1688"/>
      <c r="BRR32" s="1688"/>
      <c r="BRS32" s="1688"/>
      <c r="BRT32" s="1688"/>
      <c r="BRU32" s="1688"/>
      <c r="BRV32" s="1688"/>
      <c r="BRW32" s="1688"/>
      <c r="BRX32" s="1688"/>
      <c r="BRY32" s="1688"/>
      <c r="BRZ32" s="1688"/>
      <c r="BSA32" s="1688"/>
      <c r="BSB32" s="1688"/>
      <c r="BSC32" s="1688"/>
      <c r="BSD32" s="1688"/>
      <c r="BSE32" s="1688"/>
      <c r="BSF32" s="1688"/>
      <c r="BSG32" s="1688"/>
      <c r="BSH32" s="1688"/>
      <c r="BSI32" s="1688"/>
      <c r="BSJ32" s="1688"/>
      <c r="BSK32" s="1688"/>
      <c r="BSL32" s="1688"/>
      <c r="BSM32" s="1688"/>
      <c r="BSN32" s="1688"/>
      <c r="BSO32" s="1688"/>
      <c r="BSP32" s="1688"/>
      <c r="BSQ32" s="1688"/>
      <c r="BSR32" s="1688"/>
      <c r="BSS32" s="1688"/>
      <c r="BST32" s="1688"/>
      <c r="BSU32" s="1688"/>
      <c r="BSV32" s="1688"/>
      <c r="BSW32" s="1688"/>
      <c r="BSX32" s="1688"/>
      <c r="BSY32" s="1688"/>
      <c r="BSZ32" s="1688"/>
      <c r="BTA32" s="1688"/>
      <c r="BTB32" s="1688"/>
      <c r="BTC32" s="1688"/>
      <c r="BTD32" s="1688"/>
      <c r="BTE32" s="1688"/>
      <c r="BTF32" s="1688"/>
      <c r="BTG32" s="1688"/>
      <c r="BTH32" s="1688"/>
      <c r="BTI32" s="1688"/>
      <c r="BTJ32" s="1688"/>
      <c r="BTK32" s="1688"/>
      <c r="BTL32" s="1688"/>
      <c r="BTM32" s="1688"/>
      <c r="BTN32" s="1688"/>
      <c r="BTO32" s="1688"/>
      <c r="BTP32" s="1688"/>
      <c r="BTQ32" s="1688"/>
      <c r="BTR32" s="1688"/>
      <c r="BTS32" s="1688"/>
      <c r="BTT32" s="1688"/>
      <c r="BTU32" s="1688"/>
      <c r="BTV32" s="1688"/>
      <c r="BTW32" s="1688"/>
      <c r="BTX32" s="1688"/>
      <c r="BTY32" s="1688"/>
      <c r="BTZ32" s="1688"/>
      <c r="BUA32" s="1688"/>
      <c r="BUB32" s="1688"/>
      <c r="BUC32" s="1688"/>
      <c r="BUD32" s="1688"/>
      <c r="BUE32" s="1688"/>
      <c r="BUF32" s="1688"/>
      <c r="BUG32" s="1688"/>
      <c r="BUH32" s="1688"/>
      <c r="BUI32" s="1688"/>
      <c r="BUJ32" s="1688"/>
      <c r="BUK32" s="1688"/>
      <c r="BUL32" s="1688"/>
      <c r="BUM32" s="1688"/>
      <c r="BUN32" s="1688"/>
      <c r="BUO32" s="1688"/>
      <c r="BUP32" s="1688"/>
      <c r="BUQ32" s="1688"/>
      <c r="BUR32" s="1688"/>
      <c r="BUS32" s="1688"/>
      <c r="BUT32" s="1688"/>
      <c r="BUU32" s="1688"/>
      <c r="BUV32" s="1688"/>
      <c r="BUW32" s="1688"/>
      <c r="BUX32" s="1688"/>
      <c r="BUY32" s="1688"/>
      <c r="BUZ32" s="1688"/>
      <c r="BVA32" s="1688"/>
      <c r="BVB32" s="1688"/>
      <c r="BVC32" s="1688"/>
      <c r="BVD32" s="1688"/>
      <c r="BVE32" s="1688"/>
      <c r="BVF32" s="1688"/>
      <c r="BVG32" s="1688"/>
      <c r="BVH32" s="1688"/>
      <c r="BVI32" s="1688"/>
      <c r="BVJ32" s="1688"/>
      <c r="BVK32" s="1688"/>
      <c r="BVL32" s="1688"/>
      <c r="BVM32" s="1688"/>
      <c r="BVN32" s="1688"/>
      <c r="BVO32" s="1688"/>
      <c r="BVP32" s="1688"/>
      <c r="BVQ32" s="1688"/>
      <c r="BVR32" s="1688"/>
      <c r="BVS32" s="1688"/>
      <c r="BVT32" s="1688"/>
      <c r="BVU32" s="1688"/>
      <c r="BVV32" s="1688"/>
      <c r="BVW32" s="1688"/>
      <c r="BVX32" s="1688"/>
      <c r="BVY32" s="1688"/>
      <c r="BVZ32" s="1688"/>
      <c r="BWA32" s="1688"/>
      <c r="BWB32" s="1688"/>
      <c r="BWC32" s="1688"/>
      <c r="BWD32" s="1688"/>
      <c r="BWE32" s="1688"/>
      <c r="BWF32" s="1688"/>
      <c r="BWG32" s="1688"/>
      <c r="BWH32" s="1688"/>
      <c r="BWI32" s="1688"/>
      <c r="BWJ32" s="1688"/>
      <c r="BWK32" s="1688"/>
      <c r="BWL32" s="1688"/>
      <c r="BWM32" s="1688"/>
      <c r="BWN32" s="1688"/>
      <c r="BWO32" s="1688"/>
      <c r="BWP32" s="1688"/>
      <c r="BWQ32" s="1688"/>
      <c r="BWR32" s="1688"/>
      <c r="BWS32" s="1688"/>
      <c r="BWT32" s="1688"/>
      <c r="BWU32" s="1688"/>
      <c r="BWV32" s="1688"/>
      <c r="BWW32" s="1688"/>
      <c r="BWX32" s="1688"/>
      <c r="BWY32" s="1688"/>
      <c r="BWZ32" s="1688"/>
      <c r="BXA32" s="1688"/>
      <c r="BXB32" s="1688"/>
      <c r="BXC32" s="1688"/>
      <c r="BXD32" s="1688"/>
      <c r="BXE32" s="1688"/>
      <c r="BXF32" s="1688"/>
      <c r="BXG32" s="1688"/>
      <c r="BXH32" s="1688"/>
      <c r="BXI32" s="1688"/>
      <c r="BXJ32" s="1688"/>
      <c r="BXK32" s="1688"/>
      <c r="BXL32" s="1688"/>
      <c r="BXM32" s="1688"/>
      <c r="BXN32" s="1688"/>
      <c r="BXO32" s="1688"/>
      <c r="BXP32" s="1688"/>
      <c r="BXQ32" s="1688"/>
      <c r="BXR32" s="1688"/>
      <c r="BXS32" s="1688"/>
      <c r="BXT32" s="1688"/>
      <c r="BXU32" s="1688"/>
      <c r="BXV32" s="1688"/>
      <c r="BXW32" s="1688"/>
      <c r="BXX32" s="1688"/>
      <c r="BXY32" s="1688"/>
      <c r="BXZ32" s="1688"/>
      <c r="BYA32" s="1688"/>
      <c r="BYB32" s="1688"/>
      <c r="BYC32" s="1688"/>
      <c r="BYD32" s="1688"/>
      <c r="BYE32" s="1688"/>
      <c r="BYF32" s="1688"/>
      <c r="BYG32" s="1688"/>
      <c r="BYH32" s="1688"/>
      <c r="BYI32" s="1688"/>
      <c r="BYJ32" s="1688"/>
      <c r="BYK32" s="1688"/>
      <c r="BYL32" s="1688"/>
      <c r="BYM32" s="1688"/>
      <c r="BYN32" s="1688"/>
      <c r="BYO32" s="1688"/>
      <c r="BYP32" s="1688"/>
      <c r="BYQ32" s="1688"/>
      <c r="BYR32" s="1688"/>
      <c r="BYS32" s="1688"/>
      <c r="BYT32" s="1688"/>
      <c r="BYU32" s="1688"/>
      <c r="BYV32" s="1688"/>
      <c r="BYW32" s="1688"/>
      <c r="BYX32" s="1688"/>
      <c r="BYY32" s="1688"/>
      <c r="BYZ32" s="1688"/>
      <c r="BZA32" s="1688"/>
      <c r="BZB32" s="1688"/>
      <c r="BZC32" s="1688"/>
      <c r="BZD32" s="1688"/>
      <c r="BZE32" s="1688"/>
      <c r="BZF32" s="1688"/>
      <c r="BZG32" s="1688"/>
      <c r="BZH32" s="1688"/>
      <c r="BZI32" s="1688"/>
      <c r="BZJ32" s="1688"/>
      <c r="BZK32" s="1688"/>
      <c r="BZL32" s="1688"/>
      <c r="BZM32" s="1688"/>
      <c r="BZN32" s="1688"/>
      <c r="BZO32" s="1688"/>
      <c r="BZP32" s="1688"/>
      <c r="BZQ32" s="1688"/>
      <c r="BZR32" s="1688"/>
      <c r="BZS32" s="1688"/>
      <c r="BZT32" s="1688"/>
      <c r="BZU32" s="1688"/>
      <c r="BZV32" s="1688"/>
      <c r="BZW32" s="1688"/>
      <c r="BZX32" s="1688"/>
      <c r="BZY32" s="1688"/>
      <c r="BZZ32" s="1688"/>
      <c r="CAA32" s="1688"/>
      <c r="CAB32" s="1688"/>
      <c r="CAC32" s="1688"/>
      <c r="CAD32" s="1688"/>
      <c r="CAE32" s="1688"/>
      <c r="CAF32" s="1688"/>
      <c r="CAG32" s="1688"/>
      <c r="CAH32" s="1688"/>
      <c r="CAI32" s="1688"/>
      <c r="CAJ32" s="1688"/>
      <c r="CAK32" s="1688"/>
      <c r="CAL32" s="1688"/>
      <c r="CAM32" s="1688"/>
      <c r="CAN32" s="1688"/>
      <c r="CAO32" s="1688"/>
      <c r="CAP32" s="1688"/>
      <c r="CAQ32" s="1688"/>
      <c r="CAR32" s="1688"/>
      <c r="CAS32" s="1688"/>
      <c r="CAT32" s="1688"/>
      <c r="CAU32" s="1688"/>
      <c r="CAV32" s="1688"/>
      <c r="CAW32" s="1688"/>
      <c r="CAX32" s="1688"/>
      <c r="CAY32" s="1688"/>
      <c r="CAZ32" s="1688"/>
      <c r="CBA32" s="1688"/>
      <c r="CBB32" s="1688"/>
      <c r="CBC32" s="1688"/>
      <c r="CBD32" s="1688"/>
      <c r="CBE32" s="1688"/>
      <c r="CBF32" s="1688"/>
      <c r="CBG32" s="1688"/>
      <c r="CBH32" s="1688"/>
      <c r="CBI32" s="1688"/>
      <c r="CBJ32" s="1688"/>
      <c r="CBK32" s="1688"/>
      <c r="CBL32" s="1688"/>
      <c r="CBM32" s="1688"/>
      <c r="CBN32" s="1688"/>
      <c r="CBO32" s="1688"/>
      <c r="CBP32" s="1688"/>
      <c r="CBQ32" s="1688"/>
      <c r="CBR32" s="1688"/>
      <c r="CBS32" s="1688"/>
      <c r="CBT32" s="1688"/>
      <c r="CBU32" s="1688"/>
      <c r="CBV32" s="1688"/>
      <c r="CBW32" s="1688"/>
      <c r="CBX32" s="1688"/>
      <c r="CBY32" s="1688"/>
      <c r="CBZ32" s="1688"/>
      <c r="CCA32" s="1688"/>
      <c r="CCB32" s="1688"/>
      <c r="CCC32" s="1688"/>
      <c r="CCD32" s="1688"/>
      <c r="CCE32" s="1688"/>
      <c r="CCF32" s="1688"/>
      <c r="CCG32" s="1688"/>
      <c r="CCH32" s="1688"/>
      <c r="CCI32" s="1688"/>
      <c r="CCJ32" s="1688"/>
      <c r="CCK32" s="1688"/>
      <c r="CCL32" s="1688"/>
      <c r="CCM32" s="1688"/>
      <c r="CCN32" s="1688"/>
      <c r="CCO32" s="1688"/>
      <c r="CCP32" s="1688"/>
      <c r="CCQ32" s="1688"/>
      <c r="CCR32" s="1688"/>
      <c r="CCS32" s="1688"/>
      <c r="CCT32" s="1688"/>
      <c r="CCU32" s="1688"/>
      <c r="CCV32" s="1688"/>
      <c r="CCW32" s="1688"/>
      <c r="CCX32" s="1688"/>
      <c r="CCY32" s="1688"/>
      <c r="CCZ32" s="1688"/>
      <c r="CDA32" s="1688"/>
      <c r="CDB32" s="1688"/>
      <c r="CDC32" s="1688"/>
      <c r="CDD32" s="1688"/>
      <c r="CDE32" s="1688"/>
      <c r="CDF32" s="1688"/>
      <c r="CDG32" s="1688"/>
      <c r="CDH32" s="1688"/>
      <c r="CDI32" s="1688"/>
      <c r="CDJ32" s="1688"/>
      <c r="CDK32" s="1688"/>
      <c r="CDL32" s="1688"/>
      <c r="CDM32" s="1688"/>
      <c r="CDN32" s="1688"/>
      <c r="CDO32" s="1688"/>
      <c r="CDP32" s="1688"/>
      <c r="CDQ32" s="1688"/>
      <c r="CDR32" s="1688"/>
      <c r="CDS32" s="1688"/>
      <c r="CDT32" s="1688"/>
      <c r="CDU32" s="1688"/>
      <c r="CDV32" s="1688"/>
      <c r="CDW32" s="1688"/>
      <c r="CDX32" s="1688"/>
      <c r="CDY32" s="1688"/>
      <c r="CDZ32" s="1688"/>
      <c r="CEA32" s="1688"/>
      <c r="CEB32" s="1688"/>
      <c r="CEC32" s="1688"/>
      <c r="CED32" s="1688"/>
      <c r="CEE32" s="1688"/>
      <c r="CEF32" s="1688"/>
      <c r="CEG32" s="1688"/>
      <c r="CEH32" s="1688"/>
      <c r="CEI32" s="1688"/>
      <c r="CEJ32" s="1688"/>
      <c r="CEK32" s="1688"/>
      <c r="CEL32" s="1688"/>
      <c r="CEM32" s="1688"/>
      <c r="CEN32" s="1688"/>
      <c r="CEO32" s="1688"/>
      <c r="CEP32" s="1688"/>
      <c r="CEQ32" s="1688"/>
      <c r="CER32" s="1688"/>
      <c r="CES32" s="1688"/>
      <c r="CET32" s="1688"/>
      <c r="CEU32" s="1688"/>
      <c r="CEV32" s="1688"/>
      <c r="CEW32" s="1688"/>
      <c r="CEX32" s="1688"/>
      <c r="CEY32" s="1688"/>
      <c r="CEZ32" s="1688"/>
      <c r="CFA32" s="1688"/>
      <c r="CFB32" s="1688"/>
      <c r="CFC32" s="1688"/>
      <c r="CFD32" s="1688"/>
      <c r="CFE32" s="1688"/>
      <c r="CFF32" s="1688"/>
      <c r="CFG32" s="1688"/>
      <c r="CFH32" s="1688"/>
      <c r="CFI32" s="1688"/>
      <c r="CFJ32" s="1688"/>
      <c r="CFK32" s="1688"/>
      <c r="CFL32" s="1688"/>
      <c r="CFM32" s="1688"/>
      <c r="CFN32" s="1688"/>
      <c r="CFO32" s="1688"/>
      <c r="CFP32" s="1688"/>
      <c r="CFQ32" s="1688"/>
      <c r="CFR32" s="1688"/>
      <c r="CFS32" s="1688"/>
      <c r="CFT32" s="1688"/>
      <c r="CFU32" s="1688"/>
      <c r="CFV32" s="1688"/>
      <c r="CFW32" s="1688"/>
      <c r="CFX32" s="1688"/>
      <c r="CFY32" s="1688"/>
      <c r="CFZ32" s="1688"/>
      <c r="CGA32" s="1688"/>
      <c r="CGB32" s="1688"/>
      <c r="CGC32" s="1688"/>
      <c r="CGD32" s="1688"/>
      <c r="CGE32" s="1688"/>
      <c r="CGF32" s="1688"/>
      <c r="CGG32" s="1688"/>
      <c r="CGH32" s="1688"/>
      <c r="CGI32" s="1688"/>
      <c r="CGJ32" s="1688"/>
      <c r="CGK32" s="1688"/>
      <c r="CGL32" s="1688"/>
      <c r="CGM32" s="1688"/>
      <c r="CGN32" s="1688"/>
      <c r="CGO32" s="1688"/>
      <c r="CGP32" s="1688"/>
      <c r="CGQ32" s="1688"/>
      <c r="CGR32" s="1688"/>
      <c r="CGS32" s="1688"/>
      <c r="CGT32" s="1688"/>
      <c r="CGU32" s="1688"/>
      <c r="CGV32" s="1688"/>
      <c r="CGW32" s="1688"/>
      <c r="CGX32" s="1688"/>
      <c r="CGY32" s="1688"/>
      <c r="CGZ32" s="1688"/>
      <c r="CHA32" s="1688"/>
      <c r="CHB32" s="1688"/>
      <c r="CHC32" s="1688"/>
      <c r="CHD32" s="1688"/>
      <c r="CHE32" s="1688"/>
      <c r="CHF32" s="1688"/>
      <c r="CHG32" s="1688"/>
      <c r="CHH32" s="1688"/>
      <c r="CHI32" s="1688"/>
      <c r="CHJ32" s="1688"/>
      <c r="CHK32" s="1688"/>
      <c r="CHL32" s="1688"/>
      <c r="CHM32" s="1688"/>
      <c r="CHN32" s="1688"/>
      <c r="CHO32" s="1688"/>
      <c r="CHP32" s="1688"/>
      <c r="CHQ32" s="1688"/>
      <c r="CHR32" s="1688"/>
      <c r="CHS32" s="1688"/>
      <c r="CHT32" s="1688"/>
      <c r="CHU32" s="1688"/>
      <c r="CHV32" s="1688"/>
      <c r="CHW32" s="1688"/>
      <c r="CHX32" s="1688"/>
      <c r="CHY32" s="1688"/>
      <c r="CHZ32" s="1688"/>
      <c r="CIA32" s="1688"/>
      <c r="CIB32" s="1688"/>
      <c r="CIC32" s="1688"/>
      <c r="CID32" s="1688"/>
      <c r="CIE32" s="1688"/>
      <c r="CIF32" s="1688"/>
      <c r="CIG32" s="1688"/>
      <c r="CIH32" s="1688"/>
      <c r="CII32" s="1688"/>
      <c r="CIJ32" s="1688"/>
      <c r="CIK32" s="1688"/>
      <c r="CIL32" s="1688"/>
      <c r="CIM32" s="1688"/>
      <c r="CIN32" s="1688"/>
      <c r="CIO32" s="1688"/>
      <c r="CIP32" s="1688"/>
      <c r="CIQ32" s="1688"/>
      <c r="CIR32" s="1688"/>
      <c r="CIS32" s="1688"/>
      <c r="CIT32" s="1688"/>
      <c r="CIU32" s="1688"/>
      <c r="CIV32" s="1688"/>
      <c r="CIW32" s="1688"/>
      <c r="CIX32" s="1688"/>
      <c r="CIY32" s="1688"/>
      <c r="CIZ32" s="1688"/>
      <c r="CJA32" s="1688"/>
      <c r="CJB32" s="1688"/>
      <c r="CJC32" s="1688"/>
      <c r="CJD32" s="1688"/>
      <c r="CJE32" s="1688"/>
      <c r="CJF32" s="1688"/>
      <c r="CJG32" s="1688"/>
      <c r="CJH32" s="1688"/>
      <c r="CJI32" s="1688"/>
      <c r="CJJ32" s="1688"/>
      <c r="CJK32" s="1688"/>
      <c r="CJL32" s="1688"/>
      <c r="CJM32" s="1688"/>
      <c r="CJN32" s="1688"/>
      <c r="CJO32" s="1688"/>
      <c r="CJP32" s="1688"/>
      <c r="CJQ32" s="1688"/>
      <c r="CJR32" s="1688"/>
      <c r="CJS32" s="1688"/>
      <c r="CJT32" s="1688"/>
      <c r="CJU32" s="1688"/>
      <c r="CJV32" s="1688"/>
      <c r="CJW32" s="1688"/>
      <c r="CJX32" s="1688"/>
      <c r="CJY32" s="1688"/>
      <c r="CJZ32" s="1688"/>
      <c r="CKA32" s="1688"/>
      <c r="CKB32" s="1688"/>
      <c r="CKC32" s="1688"/>
      <c r="CKD32" s="1688"/>
      <c r="CKE32" s="1688"/>
      <c r="CKF32" s="1688"/>
      <c r="CKG32" s="1688"/>
      <c r="CKH32" s="1688"/>
      <c r="CKI32" s="1688"/>
      <c r="CKJ32" s="1688"/>
      <c r="CKK32" s="1688"/>
      <c r="CKL32" s="1688"/>
      <c r="CKM32" s="1688"/>
      <c r="CKN32" s="1688"/>
      <c r="CKO32" s="1688"/>
      <c r="CKP32" s="1688"/>
      <c r="CKQ32" s="1688"/>
      <c r="CKR32" s="1688"/>
      <c r="CKS32" s="1688"/>
      <c r="CKT32" s="1688"/>
      <c r="CKU32" s="1688"/>
      <c r="CKV32" s="1688"/>
      <c r="CKW32" s="1688"/>
      <c r="CKX32" s="1688"/>
      <c r="CKY32" s="1688"/>
      <c r="CKZ32" s="1688"/>
      <c r="CLA32" s="1688"/>
      <c r="CLB32" s="1688"/>
      <c r="CLC32" s="1688"/>
      <c r="CLD32" s="1688"/>
      <c r="CLE32" s="1688"/>
      <c r="CLF32" s="1688"/>
      <c r="CLG32" s="1688"/>
      <c r="CLH32" s="1688"/>
      <c r="CLI32" s="1688"/>
      <c r="CLJ32" s="1688"/>
      <c r="CLK32" s="1688"/>
      <c r="CLL32" s="1688"/>
      <c r="CLM32" s="1688"/>
      <c r="CLN32" s="1688"/>
      <c r="CLO32" s="1688"/>
      <c r="CLP32" s="1688"/>
      <c r="CLQ32" s="1688"/>
      <c r="CLR32" s="1688"/>
      <c r="CLS32" s="1688"/>
      <c r="CLT32" s="1688"/>
      <c r="CLU32" s="1688"/>
      <c r="CLV32" s="1688"/>
      <c r="CLW32" s="1688"/>
      <c r="CLX32" s="1688"/>
      <c r="CLY32" s="1688"/>
      <c r="CLZ32" s="1688"/>
      <c r="CMA32" s="1688"/>
      <c r="CMB32" s="1688"/>
      <c r="CMC32" s="1688"/>
      <c r="CMD32" s="1688"/>
      <c r="CME32" s="1688"/>
      <c r="CMF32" s="1688"/>
      <c r="CMG32" s="1688"/>
      <c r="CMH32" s="1688"/>
      <c r="CMI32" s="1688"/>
      <c r="CMJ32" s="1688"/>
      <c r="CMK32" s="1688"/>
      <c r="CML32" s="1688"/>
      <c r="CMM32" s="1688"/>
      <c r="CMN32" s="1688"/>
      <c r="CMO32" s="1688"/>
      <c r="CMP32" s="1688"/>
      <c r="CMQ32" s="1688"/>
      <c r="CMR32" s="1688"/>
      <c r="CMS32" s="1688"/>
      <c r="CMT32" s="1688"/>
      <c r="CMU32" s="1688"/>
      <c r="CMV32" s="1688"/>
      <c r="CMW32" s="1688"/>
      <c r="CMX32" s="1688"/>
      <c r="CMY32" s="1688"/>
      <c r="CMZ32" s="1688"/>
      <c r="CNA32" s="1688"/>
      <c r="CNB32" s="1688"/>
      <c r="CNC32" s="1688"/>
      <c r="CND32" s="1688"/>
      <c r="CNE32" s="1688"/>
      <c r="CNF32" s="1688"/>
      <c r="CNG32" s="1688"/>
      <c r="CNH32" s="1688"/>
      <c r="CNI32" s="1688"/>
      <c r="CNJ32" s="1688"/>
      <c r="CNK32" s="1688"/>
      <c r="CNL32" s="1688"/>
      <c r="CNM32" s="1688"/>
      <c r="CNN32" s="1688"/>
      <c r="CNO32" s="1688"/>
      <c r="CNP32" s="1688"/>
      <c r="CNQ32" s="1688"/>
      <c r="CNR32" s="1688"/>
      <c r="CNS32" s="1688"/>
      <c r="CNT32" s="1688"/>
      <c r="CNU32" s="1688"/>
      <c r="CNV32" s="1688"/>
      <c r="CNW32" s="1688"/>
      <c r="CNX32" s="1688"/>
      <c r="CNY32" s="1688"/>
      <c r="CNZ32" s="1688"/>
      <c r="COA32" s="1688"/>
      <c r="COB32" s="1688"/>
      <c r="COC32" s="1688"/>
      <c r="COD32" s="1688"/>
      <c r="COE32" s="1688"/>
      <c r="COF32" s="1688"/>
      <c r="COG32" s="1688"/>
      <c r="COH32" s="1688"/>
      <c r="COI32" s="1688"/>
      <c r="COJ32" s="1688"/>
      <c r="COK32" s="1688"/>
      <c r="COL32" s="1688"/>
      <c r="COM32" s="1688"/>
      <c r="CON32" s="1688"/>
      <c r="COO32" s="1688"/>
      <c r="COP32" s="1688"/>
      <c r="COQ32" s="1688"/>
      <c r="COR32" s="1688"/>
      <c r="COS32" s="1688"/>
      <c r="COT32" s="1688"/>
      <c r="COU32" s="1688"/>
      <c r="COV32" s="1688"/>
      <c r="COW32" s="1688"/>
      <c r="COX32" s="1688"/>
      <c r="COY32" s="1688"/>
      <c r="COZ32" s="1688"/>
      <c r="CPA32" s="1688"/>
      <c r="CPB32" s="1688"/>
      <c r="CPC32" s="1688"/>
      <c r="CPD32" s="1688"/>
      <c r="CPE32" s="1688"/>
      <c r="CPF32" s="1688"/>
      <c r="CPG32" s="1688"/>
      <c r="CPH32" s="1688"/>
      <c r="CPI32" s="1688"/>
      <c r="CPJ32" s="1688"/>
      <c r="CPK32" s="1688"/>
      <c r="CPL32" s="1688"/>
      <c r="CPM32" s="1688"/>
      <c r="CPN32" s="1688"/>
      <c r="CPO32" s="1688"/>
      <c r="CPP32" s="1688"/>
      <c r="CPQ32" s="1688"/>
      <c r="CPR32" s="1688"/>
      <c r="CPS32" s="1688"/>
      <c r="CPT32" s="1688"/>
      <c r="CPU32" s="1688"/>
      <c r="CPV32" s="1688"/>
      <c r="CPW32" s="1688"/>
      <c r="CPX32" s="1688"/>
      <c r="CPY32" s="1688"/>
      <c r="CPZ32" s="1688"/>
      <c r="CQA32" s="1688"/>
      <c r="CQB32" s="1688"/>
      <c r="CQC32" s="1688"/>
      <c r="CQD32" s="1688"/>
      <c r="CQE32" s="1688"/>
      <c r="CQF32" s="1688"/>
      <c r="CQG32" s="1688"/>
      <c r="CQH32" s="1688"/>
      <c r="CQI32" s="1688"/>
      <c r="CQJ32" s="1688"/>
      <c r="CQK32" s="1688"/>
      <c r="CQL32" s="1688"/>
      <c r="CQM32" s="1688"/>
      <c r="CQN32" s="1688"/>
      <c r="CQO32" s="1688"/>
      <c r="CQP32" s="1688"/>
      <c r="CQQ32" s="1688"/>
      <c r="CQR32" s="1688"/>
      <c r="CQS32" s="1688"/>
      <c r="CQT32" s="1688"/>
      <c r="CQU32" s="1688"/>
      <c r="CQV32" s="1688"/>
      <c r="CQW32" s="1688"/>
      <c r="CQX32" s="1688"/>
      <c r="CQY32" s="1688"/>
      <c r="CQZ32" s="1688"/>
      <c r="CRA32" s="1688"/>
      <c r="CRB32" s="1688"/>
      <c r="CRC32" s="1688"/>
      <c r="CRD32" s="1688"/>
      <c r="CRE32" s="1688"/>
      <c r="CRF32" s="1688"/>
      <c r="CRG32" s="1688"/>
      <c r="CRH32" s="1688"/>
      <c r="CRI32" s="1688"/>
      <c r="CRJ32" s="1688"/>
      <c r="CRK32" s="1688"/>
      <c r="CRL32" s="1688"/>
      <c r="CRM32" s="1688"/>
      <c r="CRN32" s="1688"/>
      <c r="CRO32" s="1688"/>
      <c r="CRP32" s="1688"/>
      <c r="CRQ32" s="1688"/>
      <c r="CRR32" s="1688"/>
      <c r="CRS32" s="1688"/>
      <c r="CRT32" s="1688"/>
      <c r="CRU32" s="1688"/>
      <c r="CRV32" s="1688"/>
      <c r="CRW32" s="1688"/>
      <c r="CRX32" s="1688"/>
      <c r="CRY32" s="1688"/>
      <c r="CRZ32" s="1688"/>
      <c r="CSA32" s="1688"/>
      <c r="CSB32" s="1688"/>
      <c r="CSC32" s="1688"/>
      <c r="CSD32" s="1688"/>
      <c r="CSE32" s="1688"/>
      <c r="CSF32" s="1688"/>
      <c r="CSG32" s="1688"/>
      <c r="CSH32" s="1688"/>
      <c r="CSI32" s="1688"/>
      <c r="CSJ32" s="1688"/>
      <c r="CSK32" s="1688"/>
      <c r="CSL32" s="1688"/>
      <c r="CSM32" s="1688"/>
      <c r="CSN32" s="1688"/>
      <c r="CSO32" s="1688"/>
      <c r="CSP32" s="1688"/>
      <c r="CSQ32" s="1688"/>
      <c r="CSR32" s="1688"/>
      <c r="CSS32" s="1688"/>
      <c r="CST32" s="1688"/>
      <c r="CSU32" s="1688"/>
      <c r="CSV32" s="1688"/>
      <c r="CSW32" s="1688"/>
      <c r="CSX32" s="1688"/>
      <c r="CSY32" s="1688"/>
      <c r="CSZ32" s="1688"/>
      <c r="CTA32" s="1688"/>
      <c r="CTB32" s="1688"/>
      <c r="CTC32" s="1688"/>
      <c r="CTD32" s="1688"/>
      <c r="CTE32" s="1688"/>
      <c r="CTF32" s="1688"/>
      <c r="CTG32" s="1688"/>
      <c r="CTH32" s="1688"/>
      <c r="CTI32" s="1688"/>
      <c r="CTJ32" s="1688"/>
      <c r="CTK32" s="1688"/>
      <c r="CTL32" s="1688"/>
      <c r="CTM32" s="1688"/>
      <c r="CTN32" s="1688"/>
      <c r="CTO32" s="1688"/>
      <c r="CTP32" s="1688"/>
      <c r="CTQ32" s="1688"/>
      <c r="CTR32" s="1688"/>
      <c r="CTS32" s="1688"/>
      <c r="CTT32" s="1688"/>
      <c r="CTU32" s="1688"/>
      <c r="CTV32" s="1688"/>
      <c r="CTW32" s="1688"/>
      <c r="CTX32" s="1688"/>
      <c r="CTY32" s="1688"/>
      <c r="CTZ32" s="1688"/>
      <c r="CUA32" s="1688"/>
      <c r="CUB32" s="1688"/>
      <c r="CUC32" s="1688"/>
      <c r="CUD32" s="1688"/>
      <c r="CUE32" s="1688"/>
      <c r="CUF32" s="1688"/>
      <c r="CUG32" s="1688"/>
      <c r="CUH32" s="1688"/>
      <c r="CUI32" s="1688"/>
      <c r="CUJ32" s="1688"/>
      <c r="CUK32" s="1688"/>
      <c r="CUL32" s="1688"/>
      <c r="CUM32" s="1688"/>
      <c r="CUN32" s="1688"/>
      <c r="CUO32" s="1688"/>
      <c r="CUP32" s="1688"/>
      <c r="CUQ32" s="1688"/>
      <c r="CUR32" s="1688"/>
      <c r="CUS32" s="1688"/>
      <c r="CUT32" s="1688"/>
      <c r="CUU32" s="1688"/>
      <c r="CUV32" s="1688"/>
      <c r="CUW32" s="1688"/>
      <c r="CUX32" s="1688"/>
      <c r="CUY32" s="1688"/>
      <c r="CUZ32" s="1688"/>
      <c r="CVA32" s="1688"/>
      <c r="CVB32" s="1688"/>
      <c r="CVC32" s="1688"/>
      <c r="CVD32" s="1688"/>
      <c r="CVE32" s="1688"/>
      <c r="CVF32" s="1688"/>
      <c r="CVG32" s="1688"/>
      <c r="CVH32" s="1688"/>
      <c r="CVI32" s="1688"/>
      <c r="CVJ32" s="1688"/>
      <c r="CVK32" s="1688"/>
      <c r="CVL32" s="1688"/>
      <c r="CVM32" s="1688"/>
      <c r="CVN32" s="1688"/>
      <c r="CVO32" s="1688"/>
      <c r="CVP32" s="1688"/>
      <c r="CVQ32" s="1688"/>
      <c r="CVR32" s="1688"/>
      <c r="CVS32" s="1688"/>
      <c r="CVT32" s="1688"/>
      <c r="CVU32" s="1688"/>
      <c r="CVV32" s="1688"/>
      <c r="CVW32" s="1688"/>
      <c r="CVX32" s="1688"/>
      <c r="CVY32" s="1688"/>
      <c r="CVZ32" s="1688"/>
      <c r="CWA32" s="1688"/>
      <c r="CWB32" s="1688"/>
      <c r="CWC32" s="1688"/>
      <c r="CWD32" s="1688"/>
      <c r="CWE32" s="1688"/>
      <c r="CWF32" s="1688"/>
      <c r="CWG32" s="1688"/>
      <c r="CWH32" s="1688"/>
      <c r="CWI32" s="1688"/>
      <c r="CWJ32" s="1688"/>
      <c r="CWK32" s="1688"/>
      <c r="CWL32" s="1688"/>
      <c r="CWM32" s="1688"/>
      <c r="CWN32" s="1688"/>
      <c r="CWO32" s="1688"/>
      <c r="CWP32" s="1688"/>
      <c r="CWQ32" s="1688"/>
      <c r="CWR32" s="1688"/>
      <c r="CWS32" s="1688"/>
      <c r="CWT32" s="1688"/>
      <c r="CWU32" s="1688"/>
      <c r="CWV32" s="1688"/>
      <c r="CWW32" s="1688"/>
      <c r="CWX32" s="1688"/>
      <c r="CWY32" s="1688"/>
      <c r="CWZ32" s="1688"/>
      <c r="CXA32" s="1688"/>
      <c r="CXB32" s="1688"/>
      <c r="CXC32" s="1688"/>
      <c r="CXD32" s="1688"/>
      <c r="CXE32" s="1688"/>
      <c r="CXF32" s="1688"/>
      <c r="CXG32" s="1688"/>
      <c r="CXH32" s="1688"/>
      <c r="CXI32" s="1688"/>
      <c r="CXJ32" s="1688"/>
      <c r="CXK32" s="1688"/>
      <c r="CXL32" s="1688"/>
      <c r="CXM32" s="1688"/>
      <c r="CXN32" s="1688"/>
      <c r="CXO32" s="1688"/>
      <c r="CXP32" s="1688"/>
      <c r="CXQ32" s="1688"/>
      <c r="CXR32" s="1688"/>
      <c r="CXS32" s="1688"/>
      <c r="CXT32" s="1688"/>
      <c r="CXU32" s="1688"/>
      <c r="CXV32" s="1688"/>
      <c r="CXW32" s="1688"/>
      <c r="CXX32" s="1688"/>
      <c r="CXY32" s="1688"/>
      <c r="CXZ32" s="1688"/>
      <c r="CYA32" s="1688"/>
      <c r="CYB32" s="1688"/>
      <c r="CYC32" s="1688"/>
      <c r="CYD32" s="1688"/>
      <c r="CYE32" s="1688"/>
      <c r="CYF32" s="1688"/>
      <c r="CYG32" s="1688"/>
      <c r="CYH32" s="1688"/>
      <c r="CYI32" s="1688"/>
      <c r="CYJ32" s="1688"/>
      <c r="CYK32" s="1688"/>
      <c r="CYL32" s="1688"/>
      <c r="CYM32" s="1688"/>
      <c r="CYN32" s="1688"/>
      <c r="CYO32" s="1688"/>
      <c r="CYP32" s="1688"/>
      <c r="CYQ32" s="1688"/>
      <c r="CYR32" s="1688"/>
      <c r="CYS32" s="1688"/>
      <c r="CYT32" s="1688"/>
      <c r="CYU32" s="1688"/>
      <c r="CYV32" s="1688"/>
      <c r="CYW32" s="1688"/>
      <c r="CYX32" s="1688"/>
      <c r="CYY32" s="1688"/>
      <c r="CYZ32" s="1688"/>
      <c r="CZA32" s="1688"/>
      <c r="CZB32" s="1688"/>
      <c r="CZC32" s="1688"/>
      <c r="CZD32" s="1688"/>
      <c r="CZE32" s="1688"/>
      <c r="CZF32" s="1688"/>
      <c r="CZG32" s="1688"/>
      <c r="CZH32" s="1688"/>
      <c r="CZI32" s="1688"/>
      <c r="CZJ32" s="1688"/>
      <c r="CZK32" s="1688"/>
      <c r="CZL32" s="1688"/>
      <c r="CZM32" s="1688"/>
      <c r="CZN32" s="1688"/>
      <c r="CZO32" s="1688"/>
      <c r="CZP32" s="1688"/>
      <c r="CZQ32" s="1688"/>
      <c r="CZR32" s="1688"/>
      <c r="CZS32" s="1688"/>
      <c r="CZT32" s="1688"/>
      <c r="CZU32" s="1688"/>
      <c r="CZV32" s="1688"/>
      <c r="CZW32" s="1688"/>
      <c r="CZX32" s="1688"/>
      <c r="CZY32" s="1688"/>
      <c r="CZZ32" s="1688"/>
      <c r="DAA32" s="1688"/>
      <c r="DAB32" s="1688"/>
      <c r="DAC32" s="1688"/>
      <c r="DAD32" s="1688"/>
      <c r="DAE32" s="1688"/>
      <c r="DAF32" s="1688"/>
      <c r="DAG32" s="1688"/>
      <c r="DAH32" s="1688"/>
      <c r="DAI32" s="1688"/>
      <c r="DAJ32" s="1688"/>
      <c r="DAK32" s="1688"/>
      <c r="DAL32" s="1688"/>
      <c r="DAM32" s="1688"/>
      <c r="DAN32" s="1688"/>
      <c r="DAO32" s="1688"/>
      <c r="DAP32" s="1688"/>
      <c r="DAQ32" s="1688"/>
      <c r="DAR32" s="1688"/>
      <c r="DAS32" s="1688"/>
      <c r="DAT32" s="1688"/>
      <c r="DAU32" s="1688"/>
      <c r="DAV32" s="1688"/>
      <c r="DAW32" s="1688"/>
      <c r="DAX32" s="1688"/>
      <c r="DAY32" s="1688"/>
      <c r="DAZ32" s="1688"/>
      <c r="DBA32" s="1688"/>
      <c r="DBB32" s="1688"/>
      <c r="DBC32" s="1688"/>
      <c r="DBD32" s="1688"/>
      <c r="DBE32" s="1688"/>
      <c r="DBF32" s="1688"/>
      <c r="DBG32" s="1688"/>
      <c r="DBH32" s="1688"/>
      <c r="DBI32" s="1688"/>
      <c r="DBJ32" s="1688"/>
      <c r="DBK32" s="1688"/>
      <c r="DBL32" s="1688"/>
      <c r="DBM32" s="1688"/>
      <c r="DBN32" s="1688"/>
      <c r="DBO32" s="1688"/>
      <c r="DBP32" s="1688"/>
      <c r="DBQ32" s="1688"/>
      <c r="DBR32" s="1688"/>
      <c r="DBS32" s="1688"/>
      <c r="DBT32" s="1688"/>
      <c r="DBU32" s="1688"/>
      <c r="DBV32" s="1688"/>
      <c r="DBW32" s="1688"/>
      <c r="DBX32" s="1688"/>
      <c r="DBY32" s="1688"/>
      <c r="DBZ32" s="1688"/>
      <c r="DCA32" s="1688"/>
      <c r="DCB32" s="1688"/>
      <c r="DCC32" s="1688"/>
      <c r="DCD32" s="1688"/>
      <c r="DCE32" s="1688"/>
      <c r="DCF32" s="1688"/>
      <c r="DCG32" s="1688"/>
      <c r="DCH32" s="1688"/>
      <c r="DCI32" s="1688"/>
      <c r="DCJ32" s="1688"/>
      <c r="DCK32" s="1688"/>
      <c r="DCL32" s="1688"/>
      <c r="DCM32" s="1688"/>
      <c r="DCN32" s="1688"/>
      <c r="DCO32" s="1688"/>
      <c r="DCP32" s="1688"/>
      <c r="DCQ32" s="1688"/>
      <c r="DCR32" s="1688"/>
      <c r="DCS32" s="1688"/>
      <c r="DCT32" s="1688"/>
      <c r="DCU32" s="1688"/>
      <c r="DCV32" s="1688"/>
      <c r="DCW32" s="1688"/>
      <c r="DCX32" s="1688"/>
      <c r="DCY32" s="1688"/>
      <c r="DCZ32" s="1688"/>
      <c r="DDA32" s="1688"/>
      <c r="DDB32" s="1688"/>
      <c r="DDC32" s="1688"/>
      <c r="DDD32" s="1688"/>
      <c r="DDE32" s="1688"/>
      <c r="DDF32" s="1688"/>
      <c r="DDG32" s="1688"/>
      <c r="DDH32" s="1688"/>
      <c r="DDI32" s="1688"/>
      <c r="DDJ32" s="1688"/>
      <c r="DDK32" s="1688"/>
      <c r="DDL32" s="1688"/>
      <c r="DDM32" s="1688"/>
      <c r="DDN32" s="1688"/>
      <c r="DDO32" s="1688"/>
      <c r="DDP32" s="1688"/>
      <c r="DDQ32" s="1688"/>
      <c r="DDR32" s="1688"/>
      <c r="DDS32" s="1688"/>
      <c r="DDT32" s="1688"/>
      <c r="DDU32" s="1688"/>
      <c r="DDV32" s="1688"/>
      <c r="DDW32" s="1688"/>
      <c r="DDX32" s="1688"/>
      <c r="DDY32" s="1688"/>
      <c r="DDZ32" s="1688"/>
      <c r="DEA32" s="1688"/>
      <c r="DEB32" s="1688"/>
      <c r="DEC32" s="1688"/>
      <c r="DED32" s="1688"/>
      <c r="DEE32" s="1688"/>
      <c r="DEF32" s="1688"/>
      <c r="DEG32" s="1688"/>
      <c r="DEH32" s="1688"/>
      <c r="DEI32" s="1688"/>
      <c r="DEJ32" s="1688"/>
      <c r="DEK32" s="1688"/>
      <c r="DEL32" s="1688"/>
      <c r="DEM32" s="1688"/>
      <c r="DEN32" s="1688"/>
      <c r="DEO32" s="1688"/>
      <c r="DEP32" s="1688"/>
      <c r="DEQ32" s="1688"/>
      <c r="DER32" s="1688"/>
      <c r="DES32" s="1688"/>
      <c r="DET32" s="1688"/>
      <c r="DEU32" s="1688"/>
      <c r="DEV32" s="1688"/>
      <c r="DEW32" s="1688"/>
      <c r="DEX32" s="1688"/>
      <c r="DEY32" s="1688"/>
      <c r="DEZ32" s="1688"/>
      <c r="DFA32" s="1688"/>
      <c r="DFB32" s="1688"/>
      <c r="DFC32" s="1688"/>
      <c r="DFD32" s="1688"/>
      <c r="DFE32" s="1688"/>
      <c r="DFF32" s="1688"/>
      <c r="DFG32" s="1688"/>
      <c r="DFH32" s="1688"/>
      <c r="DFI32" s="1688"/>
      <c r="DFJ32" s="1688"/>
      <c r="DFK32" s="1688"/>
      <c r="DFL32" s="1688"/>
      <c r="DFM32" s="1688"/>
      <c r="DFN32" s="1688"/>
      <c r="DFO32" s="1688"/>
      <c r="DFP32" s="1688"/>
      <c r="DFQ32" s="1688"/>
      <c r="DFR32" s="1688"/>
      <c r="DFS32" s="1688"/>
      <c r="DFT32" s="1688"/>
      <c r="DFU32" s="1688"/>
      <c r="DFV32" s="1688"/>
      <c r="DFW32" s="1688"/>
      <c r="DFX32" s="1688"/>
      <c r="DFY32" s="1688"/>
      <c r="DFZ32" s="1688"/>
      <c r="DGA32" s="1688"/>
      <c r="DGB32" s="1688"/>
      <c r="DGC32" s="1688"/>
      <c r="DGD32" s="1688"/>
      <c r="DGE32" s="1688"/>
      <c r="DGF32" s="1688"/>
      <c r="DGG32" s="1688"/>
      <c r="DGH32" s="1688"/>
      <c r="DGI32" s="1688"/>
      <c r="DGJ32" s="1688"/>
      <c r="DGK32" s="1688"/>
      <c r="DGL32" s="1688"/>
      <c r="DGM32" s="1688"/>
      <c r="DGN32" s="1688"/>
      <c r="DGO32" s="1688"/>
      <c r="DGP32" s="1688"/>
      <c r="DGQ32" s="1688"/>
      <c r="DGR32" s="1688"/>
      <c r="DGS32" s="1688"/>
      <c r="DGT32" s="1688"/>
      <c r="DGU32" s="1688"/>
      <c r="DGV32" s="1688"/>
      <c r="DGW32" s="1688"/>
      <c r="DGX32" s="1688"/>
      <c r="DGY32" s="1688"/>
      <c r="DGZ32" s="1688"/>
      <c r="DHA32" s="1688"/>
      <c r="DHB32" s="1688"/>
      <c r="DHC32" s="1688"/>
      <c r="DHD32" s="1688"/>
      <c r="DHE32" s="1688"/>
      <c r="DHF32" s="1688"/>
      <c r="DHG32" s="1688"/>
      <c r="DHH32" s="1688"/>
      <c r="DHI32" s="1688"/>
      <c r="DHJ32" s="1688"/>
      <c r="DHK32" s="1688"/>
      <c r="DHL32" s="1688"/>
      <c r="DHM32" s="1688"/>
      <c r="DHN32" s="1688"/>
      <c r="DHO32" s="1688"/>
      <c r="DHP32" s="1688"/>
      <c r="DHQ32" s="1688"/>
      <c r="DHR32" s="1688"/>
      <c r="DHS32" s="1688"/>
      <c r="DHT32" s="1688"/>
      <c r="DHU32" s="1688"/>
      <c r="DHV32" s="1688"/>
      <c r="DHW32" s="1688"/>
      <c r="DHX32" s="1688"/>
      <c r="DHY32" s="1688"/>
      <c r="DHZ32" s="1688"/>
      <c r="DIA32" s="1688"/>
      <c r="DIB32" s="1688"/>
      <c r="DIC32" s="1688"/>
      <c r="DID32" s="1688"/>
      <c r="DIE32" s="1688"/>
      <c r="DIF32" s="1688"/>
      <c r="DIG32" s="1688"/>
      <c r="DIH32" s="1688"/>
      <c r="DII32" s="1688"/>
      <c r="DIJ32" s="1688"/>
      <c r="DIK32" s="1688"/>
      <c r="DIL32" s="1688"/>
      <c r="DIM32" s="1688"/>
      <c r="DIN32" s="1688"/>
      <c r="DIO32" s="1688"/>
      <c r="DIP32" s="1688"/>
      <c r="DIQ32" s="1688"/>
      <c r="DIR32" s="1688"/>
      <c r="DIS32" s="1688"/>
      <c r="DIT32" s="1688"/>
      <c r="DIU32" s="1688"/>
      <c r="DIV32" s="1688"/>
      <c r="DIW32" s="1688"/>
      <c r="DIX32" s="1688"/>
      <c r="DIY32" s="1688"/>
      <c r="DIZ32" s="1688"/>
      <c r="DJA32" s="1688"/>
      <c r="DJB32" s="1688"/>
      <c r="DJC32" s="1688"/>
      <c r="DJD32" s="1688"/>
      <c r="DJE32" s="1688"/>
      <c r="DJF32" s="1688"/>
      <c r="DJG32" s="1688"/>
      <c r="DJH32" s="1688"/>
      <c r="DJI32" s="1688"/>
      <c r="DJJ32" s="1688"/>
      <c r="DJK32" s="1688"/>
      <c r="DJL32" s="1688"/>
      <c r="DJM32" s="1688"/>
      <c r="DJN32" s="1688"/>
      <c r="DJO32" s="1688"/>
      <c r="DJP32" s="1688"/>
      <c r="DJQ32" s="1688"/>
      <c r="DJR32" s="1688"/>
      <c r="DJS32" s="1688"/>
      <c r="DJT32" s="1688"/>
      <c r="DJU32" s="1688"/>
      <c r="DJV32" s="1688"/>
      <c r="DJW32" s="1688"/>
      <c r="DJX32" s="1688"/>
      <c r="DJY32" s="1688"/>
      <c r="DJZ32" s="1688"/>
      <c r="DKA32" s="1688"/>
      <c r="DKB32" s="1688"/>
      <c r="DKC32" s="1688"/>
      <c r="DKD32" s="1688"/>
      <c r="DKE32" s="1688"/>
      <c r="DKF32" s="1688"/>
      <c r="DKG32" s="1688"/>
      <c r="DKH32" s="1688"/>
      <c r="DKI32" s="1688"/>
      <c r="DKJ32" s="1688"/>
      <c r="DKK32" s="1688"/>
      <c r="DKL32" s="1688"/>
      <c r="DKM32" s="1688"/>
      <c r="DKN32" s="1688"/>
      <c r="DKO32" s="1688"/>
      <c r="DKP32" s="1688"/>
      <c r="DKQ32" s="1688"/>
      <c r="DKR32" s="1688"/>
      <c r="DKS32" s="1688"/>
      <c r="DKT32" s="1688"/>
      <c r="DKU32" s="1688"/>
      <c r="DKV32" s="1688"/>
      <c r="DKW32" s="1688"/>
      <c r="DKX32" s="1688"/>
      <c r="DKY32" s="1688"/>
      <c r="DKZ32" s="1688"/>
      <c r="DLA32" s="1688"/>
      <c r="DLB32" s="1688"/>
      <c r="DLC32" s="1688"/>
      <c r="DLD32" s="1688"/>
      <c r="DLE32" s="1688"/>
      <c r="DLF32" s="1688"/>
      <c r="DLG32" s="1688"/>
      <c r="DLH32" s="1688"/>
      <c r="DLI32" s="1688"/>
      <c r="DLJ32" s="1688"/>
      <c r="DLK32" s="1688"/>
      <c r="DLL32" s="1688"/>
      <c r="DLM32" s="1688"/>
      <c r="DLN32" s="1688"/>
      <c r="DLO32" s="1688"/>
      <c r="DLP32" s="1688"/>
      <c r="DLQ32" s="1688"/>
      <c r="DLR32" s="1688"/>
      <c r="DLS32" s="1688"/>
      <c r="DLT32" s="1688"/>
      <c r="DLU32" s="1688"/>
      <c r="DLV32" s="1688"/>
      <c r="DLW32" s="1688"/>
      <c r="DLX32" s="1688"/>
      <c r="DLY32" s="1688"/>
      <c r="DLZ32" s="1688"/>
      <c r="DMA32" s="1688"/>
      <c r="DMB32" s="1688"/>
      <c r="DMC32" s="1688"/>
      <c r="DMD32" s="1688"/>
      <c r="DME32" s="1688"/>
      <c r="DMF32" s="1688"/>
      <c r="DMG32" s="1688"/>
      <c r="DMH32" s="1688"/>
      <c r="DMI32" s="1688"/>
      <c r="DMJ32" s="1688"/>
      <c r="DMK32" s="1688"/>
      <c r="DML32" s="1688"/>
      <c r="DMM32" s="1688"/>
      <c r="DMN32" s="1688"/>
      <c r="DMO32" s="1688"/>
      <c r="DMP32" s="1688"/>
      <c r="DMQ32" s="1688"/>
      <c r="DMR32" s="1688"/>
      <c r="DMS32" s="1688"/>
      <c r="DMT32" s="1688"/>
      <c r="DMU32" s="1688"/>
      <c r="DMV32" s="1688"/>
      <c r="DMW32" s="1688"/>
      <c r="DMX32" s="1688"/>
      <c r="DMY32" s="1688"/>
      <c r="DMZ32" s="1688"/>
      <c r="DNA32" s="1688"/>
      <c r="DNB32" s="1688"/>
      <c r="DNC32" s="1688"/>
      <c r="DND32" s="1688"/>
      <c r="DNE32" s="1688"/>
      <c r="DNF32" s="1688"/>
      <c r="DNG32" s="1688"/>
      <c r="DNH32" s="1688"/>
      <c r="DNI32" s="1688"/>
      <c r="DNJ32" s="1688"/>
      <c r="DNK32" s="1688"/>
      <c r="DNL32" s="1688"/>
      <c r="DNM32" s="1688"/>
      <c r="DNN32" s="1688"/>
      <c r="DNO32" s="1688"/>
      <c r="DNP32" s="1688"/>
      <c r="DNQ32" s="1688"/>
      <c r="DNR32" s="1688"/>
      <c r="DNS32" s="1688"/>
      <c r="DNT32" s="1688"/>
      <c r="DNU32" s="1688"/>
      <c r="DNV32" s="1688"/>
      <c r="DNW32" s="1688"/>
      <c r="DNX32" s="1688"/>
      <c r="DNY32" s="1688"/>
      <c r="DNZ32" s="1688"/>
      <c r="DOA32" s="1688"/>
      <c r="DOB32" s="1688"/>
      <c r="DOC32" s="1688"/>
      <c r="DOD32" s="1688"/>
      <c r="DOE32" s="1688"/>
      <c r="DOF32" s="1688"/>
      <c r="DOG32" s="1688"/>
      <c r="DOH32" s="1688"/>
      <c r="DOI32" s="1688"/>
      <c r="DOJ32" s="1688"/>
      <c r="DOK32" s="1688"/>
      <c r="DOL32" s="1688"/>
      <c r="DOM32" s="1688"/>
      <c r="DON32" s="1688"/>
      <c r="DOO32" s="1688"/>
      <c r="DOP32" s="1688"/>
      <c r="DOQ32" s="1688"/>
      <c r="DOR32" s="1688"/>
      <c r="DOS32" s="1688"/>
      <c r="DOT32" s="1688"/>
      <c r="DOU32" s="1688"/>
      <c r="DOV32" s="1688"/>
      <c r="DOW32" s="1688"/>
      <c r="DOX32" s="1688"/>
      <c r="DOY32" s="1688"/>
      <c r="DOZ32" s="1688"/>
      <c r="DPA32" s="1688"/>
      <c r="DPB32" s="1688"/>
      <c r="DPC32" s="1688"/>
      <c r="DPD32" s="1688"/>
      <c r="DPE32" s="1688"/>
      <c r="DPF32" s="1688"/>
      <c r="DPG32" s="1688"/>
      <c r="DPH32" s="1688"/>
      <c r="DPI32" s="1688"/>
      <c r="DPJ32" s="1688"/>
      <c r="DPK32" s="1688"/>
      <c r="DPL32" s="1688"/>
      <c r="DPM32" s="1688"/>
      <c r="DPN32" s="1688"/>
      <c r="DPO32" s="1688"/>
      <c r="DPP32" s="1688"/>
      <c r="DPQ32" s="1688"/>
      <c r="DPR32" s="1688"/>
      <c r="DPS32" s="1688"/>
      <c r="DPT32" s="1688"/>
      <c r="DPU32" s="1688"/>
      <c r="DPV32" s="1688"/>
      <c r="DPW32" s="1688"/>
      <c r="DPX32" s="1688"/>
      <c r="DPY32" s="1688"/>
      <c r="DPZ32" s="1688"/>
      <c r="DQA32" s="1688"/>
      <c r="DQB32" s="1688"/>
      <c r="DQC32" s="1688"/>
      <c r="DQD32" s="1688"/>
      <c r="DQE32" s="1688"/>
      <c r="DQF32" s="1688"/>
      <c r="DQG32" s="1688"/>
      <c r="DQH32" s="1688"/>
      <c r="DQI32" s="1688"/>
      <c r="DQJ32" s="1688"/>
      <c r="DQK32" s="1688"/>
      <c r="DQL32" s="1688"/>
      <c r="DQM32" s="1688"/>
      <c r="DQN32" s="1688"/>
      <c r="DQO32" s="1688"/>
      <c r="DQP32" s="1688"/>
      <c r="DQQ32" s="1688"/>
      <c r="DQR32" s="1688"/>
      <c r="DQS32" s="1688"/>
      <c r="DQT32" s="1688"/>
      <c r="DQU32" s="1688"/>
      <c r="DQV32" s="1688"/>
      <c r="DQW32" s="1688"/>
      <c r="DQX32" s="1688"/>
      <c r="DQY32" s="1688"/>
      <c r="DQZ32" s="1688"/>
      <c r="DRA32" s="1688"/>
      <c r="DRB32" s="1688"/>
      <c r="DRC32" s="1688"/>
      <c r="DRD32" s="1688"/>
      <c r="DRE32" s="1688"/>
      <c r="DRF32" s="1688"/>
      <c r="DRG32" s="1688"/>
      <c r="DRH32" s="1688"/>
      <c r="DRI32" s="1688"/>
      <c r="DRJ32" s="1688"/>
      <c r="DRK32" s="1688"/>
      <c r="DRL32" s="1688"/>
      <c r="DRM32" s="1688"/>
      <c r="DRN32" s="1688"/>
      <c r="DRO32" s="1688"/>
      <c r="DRP32" s="1688"/>
      <c r="DRQ32" s="1688"/>
      <c r="DRR32" s="1688"/>
      <c r="DRS32" s="1688"/>
      <c r="DRT32" s="1688"/>
      <c r="DRU32" s="1688"/>
      <c r="DRV32" s="1688"/>
      <c r="DRW32" s="1688"/>
      <c r="DRX32" s="1688"/>
      <c r="DRY32" s="1688"/>
      <c r="DRZ32" s="1688"/>
      <c r="DSA32" s="1688"/>
      <c r="DSB32" s="1688"/>
      <c r="DSC32" s="1688"/>
      <c r="DSD32" s="1688"/>
      <c r="DSE32" s="1688"/>
      <c r="DSF32" s="1688"/>
      <c r="DSG32" s="1688"/>
      <c r="DSH32" s="1688"/>
      <c r="DSI32" s="1688"/>
      <c r="DSJ32" s="1688"/>
      <c r="DSK32" s="1688"/>
      <c r="DSL32" s="1688"/>
      <c r="DSM32" s="1688"/>
      <c r="DSN32" s="1688"/>
      <c r="DSO32" s="1688"/>
      <c r="DSP32" s="1688"/>
      <c r="DSQ32" s="1688"/>
      <c r="DSR32" s="1688"/>
      <c r="DSS32" s="1688"/>
      <c r="DST32" s="1688"/>
      <c r="DSU32" s="1688"/>
      <c r="DSV32" s="1688"/>
      <c r="DSW32" s="1688"/>
      <c r="DSX32" s="1688"/>
      <c r="DSY32" s="1688"/>
      <c r="DSZ32" s="1688"/>
      <c r="DTA32" s="1688"/>
      <c r="DTB32" s="1688"/>
      <c r="DTC32" s="1688"/>
      <c r="DTD32" s="1688"/>
      <c r="DTE32" s="1688"/>
      <c r="DTF32" s="1688"/>
      <c r="DTG32" s="1688"/>
      <c r="DTH32" s="1688"/>
      <c r="DTI32" s="1688"/>
      <c r="DTJ32" s="1688"/>
      <c r="DTK32" s="1688"/>
      <c r="DTL32" s="1688"/>
      <c r="DTM32" s="1688"/>
      <c r="DTN32" s="1688"/>
      <c r="DTO32" s="1688"/>
      <c r="DTP32" s="1688"/>
      <c r="DTQ32" s="1688"/>
      <c r="DTR32" s="1688"/>
      <c r="DTS32" s="1688"/>
      <c r="DTT32" s="1688"/>
      <c r="DTU32" s="1688"/>
      <c r="DTV32" s="1688"/>
      <c r="DTW32" s="1688"/>
      <c r="DTX32" s="1688"/>
      <c r="DTY32" s="1688"/>
      <c r="DTZ32" s="1688"/>
      <c r="DUA32" s="1688"/>
      <c r="DUB32" s="1688"/>
      <c r="DUC32" s="1688"/>
      <c r="DUD32" s="1688"/>
      <c r="DUE32" s="1688"/>
      <c r="DUF32" s="1688"/>
      <c r="DUG32" s="1688"/>
      <c r="DUH32" s="1688"/>
      <c r="DUI32" s="1688"/>
      <c r="DUJ32" s="1688"/>
      <c r="DUK32" s="1688"/>
      <c r="DUL32" s="1688"/>
      <c r="DUM32" s="1688"/>
      <c r="DUN32" s="1688"/>
      <c r="DUO32" s="1688"/>
      <c r="DUP32" s="1688"/>
      <c r="DUQ32" s="1688"/>
      <c r="DUR32" s="1688"/>
      <c r="DUS32" s="1688"/>
      <c r="DUT32" s="1688"/>
      <c r="DUU32" s="1688"/>
      <c r="DUV32" s="1688"/>
      <c r="DUW32" s="1688"/>
      <c r="DUX32" s="1688"/>
      <c r="DUY32" s="1688"/>
      <c r="DUZ32" s="1688"/>
      <c r="DVA32" s="1688"/>
      <c r="DVB32" s="1688"/>
      <c r="DVC32" s="1688"/>
      <c r="DVD32" s="1688"/>
      <c r="DVE32" s="1688"/>
      <c r="DVF32" s="1688"/>
      <c r="DVG32" s="1688"/>
      <c r="DVH32" s="1688"/>
      <c r="DVI32" s="1688"/>
      <c r="DVJ32" s="1688"/>
      <c r="DVK32" s="1688"/>
      <c r="DVL32" s="1688"/>
      <c r="DVM32" s="1688"/>
      <c r="DVN32" s="1688"/>
      <c r="DVO32" s="1688"/>
      <c r="DVP32" s="1688"/>
      <c r="DVQ32" s="1688"/>
      <c r="DVR32" s="1688"/>
      <c r="DVS32" s="1688"/>
      <c r="DVT32" s="1688"/>
      <c r="DVU32" s="1688"/>
      <c r="DVV32" s="1688"/>
      <c r="DVW32" s="1688"/>
      <c r="DVX32" s="1688"/>
      <c r="DVY32" s="1688"/>
      <c r="DVZ32" s="1688"/>
      <c r="DWA32" s="1688"/>
      <c r="DWB32" s="1688"/>
      <c r="DWC32" s="1688"/>
      <c r="DWD32" s="1688"/>
      <c r="DWE32" s="1688"/>
      <c r="DWF32" s="1688"/>
      <c r="DWG32" s="1688"/>
      <c r="DWH32" s="1688"/>
      <c r="DWI32" s="1688"/>
      <c r="DWJ32" s="1688"/>
      <c r="DWK32" s="1688"/>
      <c r="DWL32" s="1688"/>
      <c r="DWM32" s="1688"/>
      <c r="DWN32" s="1688"/>
      <c r="DWO32" s="1688"/>
      <c r="DWP32" s="1688"/>
      <c r="DWQ32" s="1688"/>
      <c r="DWR32" s="1688"/>
      <c r="DWS32" s="1688"/>
      <c r="DWT32" s="1688"/>
      <c r="DWU32" s="1688"/>
      <c r="DWV32" s="1688"/>
      <c r="DWW32" s="1688"/>
      <c r="DWX32" s="1688"/>
      <c r="DWY32" s="1688"/>
      <c r="DWZ32" s="1688"/>
      <c r="DXA32" s="1688"/>
      <c r="DXB32" s="1688"/>
      <c r="DXC32" s="1688"/>
      <c r="DXD32" s="1688"/>
      <c r="DXE32" s="1688"/>
      <c r="DXF32" s="1688"/>
      <c r="DXG32" s="1688"/>
      <c r="DXH32" s="1688"/>
      <c r="DXI32" s="1688"/>
      <c r="DXJ32" s="1688"/>
      <c r="DXK32" s="1688"/>
      <c r="DXL32" s="1688"/>
      <c r="DXM32" s="1688"/>
      <c r="DXN32" s="1688"/>
      <c r="DXO32" s="1688"/>
      <c r="DXP32" s="1688"/>
      <c r="DXQ32" s="1688"/>
      <c r="DXR32" s="1688"/>
      <c r="DXS32" s="1688"/>
      <c r="DXT32" s="1688"/>
      <c r="DXU32" s="1688"/>
      <c r="DXV32" s="1688"/>
      <c r="DXW32" s="1688"/>
      <c r="DXX32" s="1688"/>
      <c r="DXY32" s="1688"/>
      <c r="DXZ32" s="1688"/>
      <c r="DYA32" s="1688"/>
      <c r="DYB32" s="1688"/>
      <c r="DYC32" s="1688"/>
      <c r="DYD32" s="1688"/>
      <c r="DYE32" s="1688"/>
      <c r="DYF32" s="1688"/>
      <c r="DYG32" s="1688"/>
      <c r="DYH32" s="1688"/>
      <c r="DYI32" s="1688"/>
      <c r="DYJ32" s="1688"/>
      <c r="DYK32" s="1688"/>
      <c r="DYL32" s="1688"/>
      <c r="DYM32" s="1688"/>
      <c r="DYN32" s="1688"/>
      <c r="DYO32" s="1688"/>
      <c r="DYP32" s="1688"/>
      <c r="DYQ32" s="1688"/>
      <c r="DYR32" s="1688"/>
      <c r="DYS32" s="1688"/>
      <c r="DYT32" s="1688"/>
      <c r="DYU32" s="1688"/>
      <c r="DYV32" s="1688"/>
      <c r="DYW32" s="1688"/>
      <c r="DYX32" s="1688"/>
      <c r="DYY32" s="1688"/>
      <c r="DYZ32" s="1688"/>
      <c r="DZA32" s="1688"/>
      <c r="DZB32" s="1688"/>
      <c r="DZC32" s="1688"/>
      <c r="DZD32" s="1688"/>
      <c r="DZE32" s="1688"/>
      <c r="DZF32" s="1688"/>
      <c r="DZG32" s="1688"/>
      <c r="DZH32" s="1688"/>
      <c r="DZI32" s="1688"/>
      <c r="DZJ32" s="1688"/>
      <c r="DZK32" s="1688"/>
      <c r="DZL32" s="1688"/>
      <c r="DZM32" s="1688"/>
      <c r="DZN32" s="1688"/>
      <c r="DZO32" s="1688"/>
      <c r="DZP32" s="1688"/>
      <c r="DZQ32" s="1688"/>
      <c r="DZR32" s="1688"/>
      <c r="DZS32" s="1688"/>
      <c r="DZT32" s="1688"/>
      <c r="DZU32" s="1688"/>
      <c r="DZV32" s="1688"/>
      <c r="DZW32" s="1688"/>
      <c r="DZX32" s="1688"/>
      <c r="DZY32" s="1688"/>
      <c r="DZZ32" s="1688"/>
      <c r="EAA32" s="1688"/>
      <c r="EAB32" s="1688"/>
      <c r="EAC32" s="1688"/>
      <c r="EAD32" s="1688"/>
      <c r="EAE32" s="1688"/>
      <c r="EAF32" s="1688"/>
      <c r="EAG32" s="1688"/>
      <c r="EAH32" s="1688"/>
      <c r="EAI32" s="1688"/>
      <c r="EAJ32" s="1688"/>
      <c r="EAK32" s="1688"/>
      <c r="EAL32" s="1688"/>
      <c r="EAM32" s="1688"/>
      <c r="EAN32" s="1688"/>
      <c r="EAO32" s="1688"/>
      <c r="EAP32" s="1688"/>
      <c r="EAQ32" s="1688"/>
      <c r="EAR32" s="1688"/>
      <c r="EAS32" s="1688"/>
      <c r="EAT32" s="1688"/>
      <c r="EAU32" s="1688"/>
      <c r="EAV32" s="1688"/>
      <c r="EAW32" s="1688"/>
      <c r="EAX32" s="1688"/>
      <c r="EAY32" s="1688"/>
      <c r="EAZ32" s="1688"/>
      <c r="EBA32" s="1688"/>
      <c r="EBB32" s="1688"/>
      <c r="EBC32" s="1688"/>
      <c r="EBD32" s="1688"/>
      <c r="EBE32" s="1688"/>
      <c r="EBF32" s="1688"/>
      <c r="EBG32" s="1688"/>
      <c r="EBH32" s="1688"/>
      <c r="EBI32" s="1688"/>
      <c r="EBJ32" s="1688"/>
      <c r="EBK32" s="1688"/>
      <c r="EBL32" s="1688"/>
      <c r="EBM32" s="1688"/>
      <c r="EBN32" s="1688"/>
      <c r="EBO32" s="1688"/>
      <c r="EBP32" s="1688"/>
      <c r="EBQ32" s="1688"/>
      <c r="EBR32" s="1688"/>
      <c r="EBS32" s="1688"/>
      <c r="EBT32" s="1688"/>
      <c r="EBU32" s="1688"/>
      <c r="EBV32" s="1688"/>
      <c r="EBW32" s="1688"/>
      <c r="EBX32" s="1688"/>
      <c r="EBY32" s="1688"/>
      <c r="EBZ32" s="1688"/>
      <c r="ECA32" s="1688"/>
      <c r="ECB32" s="1688"/>
      <c r="ECC32" s="1688"/>
      <c r="ECD32" s="1688"/>
      <c r="ECE32" s="1688"/>
      <c r="ECF32" s="1688"/>
      <c r="ECG32" s="1688"/>
      <c r="ECH32" s="1688"/>
      <c r="ECI32" s="1688"/>
      <c r="ECJ32" s="1688"/>
      <c r="ECK32" s="1688"/>
      <c r="ECL32" s="1688"/>
      <c r="ECM32" s="1688"/>
      <c r="ECN32" s="1688"/>
      <c r="ECO32" s="1688"/>
      <c r="ECP32" s="1688"/>
      <c r="ECQ32" s="1688"/>
      <c r="ECR32" s="1688"/>
      <c r="ECS32" s="1688"/>
      <c r="ECT32" s="1688"/>
      <c r="ECU32" s="1688"/>
      <c r="ECV32" s="1688"/>
      <c r="ECW32" s="1688"/>
      <c r="ECX32" s="1688"/>
      <c r="ECY32" s="1688"/>
      <c r="ECZ32" s="1688"/>
      <c r="EDA32" s="1688"/>
      <c r="EDB32" s="1688"/>
      <c r="EDC32" s="1688"/>
      <c r="EDD32" s="1688"/>
      <c r="EDE32" s="1688"/>
      <c r="EDF32" s="1688"/>
      <c r="EDG32" s="1688"/>
      <c r="EDH32" s="1688"/>
      <c r="EDI32" s="1688"/>
      <c r="EDJ32" s="1688"/>
      <c r="EDK32" s="1688"/>
      <c r="EDL32" s="1688"/>
      <c r="EDM32" s="1688"/>
      <c r="EDN32" s="1688"/>
      <c r="EDO32" s="1688"/>
      <c r="EDP32" s="1688"/>
      <c r="EDQ32" s="1688"/>
      <c r="EDR32" s="1688"/>
      <c r="EDS32" s="1688"/>
      <c r="EDT32" s="1688"/>
      <c r="EDU32" s="1688"/>
      <c r="EDV32" s="1688"/>
      <c r="EDW32" s="1688"/>
      <c r="EDX32" s="1688"/>
      <c r="EDY32" s="1688"/>
      <c r="EDZ32" s="1688"/>
      <c r="EEA32" s="1688"/>
      <c r="EEB32" s="1688"/>
      <c r="EEC32" s="1688"/>
      <c r="EED32" s="1688"/>
      <c r="EEE32" s="1688"/>
      <c r="EEF32" s="1688"/>
      <c r="EEG32" s="1688"/>
      <c r="EEH32" s="1688"/>
      <c r="EEI32" s="1688"/>
      <c r="EEJ32" s="1688"/>
      <c r="EEK32" s="1688"/>
      <c r="EEL32" s="1688"/>
      <c r="EEM32" s="1688"/>
      <c r="EEN32" s="1688"/>
      <c r="EEO32" s="1688"/>
      <c r="EEP32" s="1688"/>
      <c r="EEQ32" s="1688"/>
      <c r="EER32" s="1688"/>
      <c r="EES32" s="1688"/>
      <c r="EET32" s="1688"/>
      <c r="EEU32" s="1688"/>
      <c r="EEV32" s="1688"/>
      <c r="EEW32" s="1688"/>
      <c r="EEX32" s="1688"/>
      <c r="EEY32" s="1688"/>
      <c r="EEZ32" s="1688"/>
      <c r="EFA32" s="1688"/>
      <c r="EFB32" s="1688"/>
      <c r="EFC32" s="1688"/>
      <c r="EFD32" s="1688"/>
      <c r="EFE32" s="1688"/>
      <c r="EFF32" s="1688"/>
      <c r="EFG32" s="1688"/>
      <c r="EFH32" s="1688"/>
      <c r="EFI32" s="1688"/>
      <c r="EFJ32" s="1688"/>
      <c r="EFK32" s="1688"/>
      <c r="EFL32" s="1688"/>
      <c r="EFM32" s="1688"/>
      <c r="EFN32" s="1688"/>
      <c r="EFO32" s="1688"/>
      <c r="EFP32" s="1688"/>
      <c r="EFQ32" s="1688"/>
      <c r="EFR32" s="1688"/>
      <c r="EFS32" s="1688"/>
      <c r="EFT32" s="1688"/>
      <c r="EFU32" s="1688"/>
      <c r="EFV32" s="1688"/>
      <c r="EFW32" s="1688"/>
      <c r="EFX32" s="1688"/>
      <c r="EFY32" s="1688"/>
      <c r="EFZ32" s="1688"/>
      <c r="EGA32" s="1688"/>
      <c r="EGB32" s="1688"/>
      <c r="EGC32" s="1688"/>
      <c r="EGD32" s="1688"/>
      <c r="EGE32" s="1688"/>
      <c r="EGF32" s="1688"/>
      <c r="EGG32" s="1688"/>
      <c r="EGH32" s="1688"/>
      <c r="EGI32" s="1688"/>
      <c r="EGJ32" s="1688"/>
      <c r="EGK32" s="1688"/>
      <c r="EGL32" s="1688"/>
      <c r="EGM32" s="1688"/>
      <c r="EGN32" s="1688"/>
      <c r="EGO32" s="1688"/>
      <c r="EGP32" s="1688"/>
      <c r="EGQ32" s="1688"/>
      <c r="EGR32" s="1688"/>
      <c r="EGS32" s="1688"/>
      <c r="EGT32" s="1688"/>
      <c r="EGU32" s="1688"/>
      <c r="EGV32" s="1688"/>
      <c r="EGW32" s="1688"/>
      <c r="EGX32" s="1688"/>
      <c r="EGY32" s="1688"/>
      <c r="EGZ32" s="1688"/>
      <c r="EHA32" s="1688"/>
      <c r="EHB32" s="1688"/>
      <c r="EHC32" s="1688"/>
      <c r="EHD32" s="1688"/>
      <c r="EHE32" s="1688"/>
      <c r="EHF32" s="1688"/>
      <c r="EHG32" s="1688"/>
      <c r="EHH32" s="1688"/>
      <c r="EHI32" s="1688"/>
      <c r="EHJ32" s="1688"/>
      <c r="EHK32" s="1688"/>
      <c r="EHL32" s="1688"/>
      <c r="EHM32" s="1688"/>
      <c r="EHN32" s="1688"/>
      <c r="EHO32" s="1688"/>
      <c r="EHP32" s="1688"/>
      <c r="EHQ32" s="1688"/>
      <c r="EHR32" s="1688"/>
      <c r="EHS32" s="1688"/>
      <c r="EHT32" s="1688"/>
      <c r="EHU32" s="1688"/>
      <c r="EHV32" s="1688"/>
      <c r="EHW32" s="1688"/>
      <c r="EHX32" s="1688"/>
      <c r="EHY32" s="1688"/>
      <c r="EHZ32" s="1688"/>
      <c r="EIA32" s="1688"/>
      <c r="EIB32" s="1688"/>
      <c r="EIC32" s="1688"/>
      <c r="EID32" s="1688"/>
      <c r="EIE32" s="1688"/>
      <c r="EIF32" s="1688"/>
      <c r="EIG32" s="1688"/>
      <c r="EIH32" s="1688"/>
      <c r="EII32" s="1688"/>
      <c r="EIJ32" s="1688"/>
      <c r="EIK32" s="1688"/>
      <c r="EIL32" s="1688"/>
      <c r="EIM32" s="1688"/>
      <c r="EIN32" s="1688"/>
      <c r="EIO32" s="1688"/>
      <c r="EIP32" s="1688"/>
      <c r="EIQ32" s="1688"/>
      <c r="EIR32" s="1688"/>
      <c r="EIS32" s="1688"/>
      <c r="EIT32" s="1688"/>
      <c r="EIU32" s="1688"/>
      <c r="EIV32" s="1688"/>
      <c r="EIW32" s="1688"/>
      <c r="EIX32" s="1688"/>
      <c r="EIY32" s="1688"/>
      <c r="EIZ32" s="1688"/>
      <c r="EJA32" s="1688"/>
      <c r="EJB32" s="1688"/>
      <c r="EJC32" s="1688"/>
      <c r="EJD32" s="1688"/>
      <c r="EJE32" s="1688"/>
      <c r="EJF32" s="1688"/>
      <c r="EJG32" s="1688"/>
      <c r="EJH32" s="1688"/>
      <c r="EJI32" s="1688"/>
      <c r="EJJ32" s="1688"/>
      <c r="EJK32" s="1688"/>
      <c r="EJL32" s="1688"/>
      <c r="EJM32" s="1688"/>
      <c r="EJN32" s="1688"/>
      <c r="EJO32" s="1688"/>
      <c r="EJP32" s="1688"/>
      <c r="EJQ32" s="1688"/>
      <c r="EJR32" s="1688"/>
      <c r="EJS32" s="1688"/>
      <c r="EJT32" s="1688"/>
      <c r="EJU32" s="1688"/>
      <c r="EJV32" s="1688"/>
      <c r="EJW32" s="1688"/>
      <c r="EJX32" s="1688"/>
      <c r="EJY32" s="1688"/>
      <c r="EJZ32" s="1688"/>
      <c r="EKA32" s="1688"/>
      <c r="EKB32" s="1688"/>
      <c r="EKC32" s="1688"/>
      <c r="EKD32" s="1688"/>
      <c r="EKE32" s="1688"/>
      <c r="EKF32" s="1688"/>
      <c r="EKG32" s="1688"/>
      <c r="EKH32" s="1688"/>
      <c r="EKI32" s="1688"/>
      <c r="EKJ32" s="1688"/>
      <c r="EKK32" s="1688"/>
      <c r="EKL32" s="1688"/>
      <c r="EKM32" s="1688"/>
      <c r="EKN32" s="1688"/>
      <c r="EKO32" s="1688"/>
      <c r="EKP32" s="1688"/>
      <c r="EKQ32" s="1688"/>
      <c r="EKR32" s="1688"/>
      <c r="EKS32" s="1688"/>
      <c r="EKT32" s="1688"/>
      <c r="EKU32" s="1688"/>
      <c r="EKV32" s="1688"/>
      <c r="EKW32" s="1688"/>
      <c r="EKX32" s="1688"/>
      <c r="EKY32" s="1688"/>
      <c r="EKZ32" s="1688"/>
      <c r="ELA32" s="1688"/>
      <c r="ELB32" s="1688"/>
      <c r="ELC32" s="1688"/>
      <c r="ELD32" s="1688"/>
      <c r="ELE32" s="1688"/>
      <c r="ELF32" s="1688"/>
      <c r="ELG32" s="1688"/>
      <c r="ELH32" s="1688"/>
      <c r="ELI32" s="1688"/>
      <c r="ELJ32" s="1688"/>
      <c r="ELK32" s="1688"/>
      <c r="ELL32" s="1688"/>
      <c r="ELM32" s="1688"/>
      <c r="ELN32" s="1688"/>
      <c r="ELO32" s="1688"/>
      <c r="ELP32" s="1688"/>
      <c r="ELQ32" s="1688"/>
      <c r="ELR32" s="1688"/>
      <c r="ELS32" s="1688"/>
      <c r="ELT32" s="1688"/>
      <c r="ELU32" s="1688"/>
      <c r="ELV32" s="1688"/>
      <c r="ELW32" s="1688"/>
      <c r="ELX32" s="1688"/>
      <c r="ELY32" s="1688"/>
      <c r="ELZ32" s="1688"/>
      <c r="EMA32" s="1688"/>
      <c r="EMB32" s="1688"/>
      <c r="EMC32" s="1688"/>
      <c r="EMD32" s="1688"/>
      <c r="EME32" s="1688"/>
      <c r="EMF32" s="1688"/>
      <c r="EMG32" s="1688"/>
      <c r="EMH32" s="1688"/>
      <c r="EMI32" s="1688"/>
      <c r="EMJ32" s="1688"/>
      <c r="EMK32" s="1688"/>
      <c r="EML32" s="1688"/>
      <c r="EMM32" s="1688"/>
      <c r="EMN32" s="1688"/>
      <c r="EMO32" s="1688"/>
      <c r="EMP32" s="1688"/>
      <c r="EMQ32" s="1688"/>
      <c r="EMR32" s="1688"/>
      <c r="EMS32" s="1688"/>
      <c r="EMT32" s="1688"/>
      <c r="EMU32" s="1688"/>
      <c r="EMV32" s="1688"/>
      <c r="EMW32" s="1688"/>
      <c r="EMX32" s="1688"/>
      <c r="EMY32" s="1688"/>
      <c r="EMZ32" s="1688"/>
      <c r="ENA32" s="1688"/>
      <c r="ENB32" s="1688"/>
      <c r="ENC32" s="1688"/>
      <c r="END32" s="1688"/>
      <c r="ENE32" s="1688"/>
      <c r="ENF32" s="1688"/>
      <c r="ENG32" s="1688"/>
      <c r="ENH32" s="1688"/>
      <c r="ENI32" s="1688"/>
      <c r="ENJ32" s="1688"/>
      <c r="ENK32" s="1688"/>
      <c r="ENL32" s="1688"/>
      <c r="ENM32" s="1688"/>
      <c r="ENN32" s="1688"/>
      <c r="ENO32" s="1688"/>
      <c r="ENP32" s="1688"/>
      <c r="ENQ32" s="1688"/>
      <c r="ENR32" s="1688"/>
      <c r="ENS32" s="1688"/>
      <c r="ENT32" s="1688"/>
      <c r="ENU32" s="1688"/>
      <c r="ENV32" s="1688"/>
      <c r="ENW32" s="1688"/>
      <c r="ENX32" s="1688"/>
      <c r="ENY32" s="1688"/>
      <c r="ENZ32" s="1688"/>
      <c r="EOA32" s="1688"/>
      <c r="EOB32" s="1688"/>
      <c r="EOC32" s="1688"/>
      <c r="EOD32" s="1688"/>
      <c r="EOE32" s="1688"/>
      <c r="EOF32" s="1688"/>
      <c r="EOG32" s="1688"/>
      <c r="EOH32" s="1688"/>
      <c r="EOI32" s="1688"/>
      <c r="EOJ32" s="1688"/>
      <c r="EOK32" s="1688"/>
      <c r="EOL32" s="1688"/>
      <c r="EOM32" s="1688"/>
      <c r="EON32" s="1688"/>
      <c r="EOO32" s="1688"/>
      <c r="EOP32" s="1688"/>
      <c r="EOQ32" s="1688"/>
      <c r="EOR32" s="1688"/>
      <c r="EOS32" s="1688"/>
      <c r="EOT32" s="1688"/>
      <c r="EOU32" s="1688"/>
      <c r="EOV32" s="1688"/>
      <c r="EOW32" s="1688"/>
      <c r="EOX32" s="1688"/>
      <c r="EOY32" s="1688"/>
      <c r="EOZ32" s="1688"/>
      <c r="EPA32" s="1688"/>
      <c r="EPB32" s="1688"/>
      <c r="EPC32" s="1688"/>
      <c r="EPD32" s="1688"/>
      <c r="EPE32" s="1688"/>
      <c r="EPF32" s="1688"/>
      <c r="EPG32" s="1688"/>
      <c r="EPH32" s="1688"/>
      <c r="EPI32" s="1688"/>
      <c r="EPJ32" s="1688"/>
      <c r="EPK32" s="1688"/>
      <c r="EPL32" s="1688"/>
      <c r="EPM32" s="1688"/>
      <c r="EPN32" s="1688"/>
      <c r="EPO32" s="1688"/>
      <c r="EPP32" s="1688"/>
      <c r="EPQ32" s="1688"/>
      <c r="EPR32" s="1688"/>
      <c r="EPS32" s="1688"/>
      <c r="EPT32" s="1688"/>
      <c r="EPU32" s="1688"/>
      <c r="EPV32" s="1688"/>
      <c r="EPW32" s="1688"/>
      <c r="EPX32" s="1688"/>
      <c r="EPY32" s="1688"/>
      <c r="EPZ32" s="1688"/>
      <c r="EQA32" s="1688"/>
      <c r="EQB32" s="1688"/>
      <c r="EQC32" s="1688"/>
      <c r="EQD32" s="1688"/>
      <c r="EQE32" s="1688"/>
      <c r="EQF32" s="1688"/>
      <c r="EQG32" s="1688"/>
      <c r="EQH32" s="1688"/>
      <c r="EQI32" s="1688"/>
      <c r="EQJ32" s="1688"/>
      <c r="EQK32" s="1688"/>
      <c r="EQL32" s="1688"/>
      <c r="EQM32" s="1688"/>
      <c r="EQN32" s="1688"/>
      <c r="EQO32" s="1688"/>
      <c r="EQP32" s="1688"/>
      <c r="EQQ32" s="1688"/>
      <c r="EQR32" s="1688"/>
      <c r="EQS32" s="1688"/>
      <c r="EQT32" s="1688"/>
      <c r="EQU32" s="1688"/>
      <c r="EQV32" s="1688"/>
      <c r="EQW32" s="1688"/>
      <c r="EQX32" s="1688"/>
      <c r="EQY32" s="1688"/>
      <c r="EQZ32" s="1688"/>
      <c r="ERA32" s="1688"/>
      <c r="ERB32" s="1688"/>
      <c r="ERC32" s="1688"/>
      <c r="ERD32" s="1688"/>
      <c r="ERE32" s="1688"/>
      <c r="ERF32" s="1688"/>
      <c r="ERG32" s="1688"/>
      <c r="ERH32" s="1688"/>
      <c r="ERI32" s="1688"/>
      <c r="ERJ32" s="1688"/>
      <c r="ERK32" s="1688"/>
      <c r="ERL32" s="1688"/>
      <c r="ERM32" s="1688"/>
      <c r="ERN32" s="1688"/>
      <c r="ERO32" s="1688"/>
      <c r="ERP32" s="1688"/>
      <c r="ERQ32" s="1688"/>
      <c r="ERR32" s="1688"/>
      <c r="ERS32" s="1688"/>
      <c r="ERT32" s="1688"/>
      <c r="ERU32" s="1688"/>
      <c r="ERV32" s="1688"/>
      <c r="ERW32" s="1688"/>
      <c r="ERX32" s="1688"/>
      <c r="ERY32" s="1688"/>
      <c r="ERZ32" s="1688"/>
      <c r="ESA32" s="1688"/>
      <c r="ESB32" s="1688"/>
      <c r="ESC32" s="1688"/>
      <c r="ESD32" s="1688"/>
      <c r="ESE32" s="1688"/>
      <c r="ESF32" s="1688"/>
      <c r="ESG32" s="1688"/>
      <c r="ESH32" s="1688"/>
      <c r="ESI32" s="1688"/>
      <c r="ESJ32" s="1688"/>
      <c r="ESK32" s="1688"/>
      <c r="ESL32" s="1688"/>
      <c r="ESM32" s="1688"/>
      <c r="ESN32" s="1688"/>
      <c r="ESO32" s="1688"/>
      <c r="ESP32" s="1688"/>
      <c r="ESQ32" s="1688"/>
      <c r="ESR32" s="1688"/>
      <c r="ESS32" s="1688"/>
      <c r="EST32" s="1688"/>
      <c r="ESU32" s="1688"/>
      <c r="ESV32" s="1688"/>
      <c r="ESW32" s="1688"/>
      <c r="ESX32" s="1688"/>
      <c r="ESY32" s="1688"/>
      <c r="ESZ32" s="1688"/>
      <c r="ETA32" s="1688"/>
      <c r="ETB32" s="1688"/>
      <c r="ETC32" s="1688"/>
      <c r="ETD32" s="1688"/>
      <c r="ETE32" s="1688"/>
      <c r="ETF32" s="1688"/>
      <c r="ETG32" s="1688"/>
      <c r="ETH32" s="1688"/>
      <c r="ETI32" s="1688"/>
      <c r="ETJ32" s="1688"/>
      <c r="ETK32" s="1688"/>
      <c r="ETL32" s="1688"/>
      <c r="ETM32" s="1688"/>
      <c r="ETN32" s="1688"/>
      <c r="ETO32" s="1688"/>
      <c r="ETP32" s="1688"/>
      <c r="ETQ32" s="1688"/>
      <c r="ETR32" s="1688"/>
      <c r="ETS32" s="1688"/>
      <c r="ETT32" s="1688"/>
      <c r="ETU32" s="1688"/>
      <c r="ETV32" s="1688"/>
      <c r="ETW32" s="1688"/>
      <c r="ETX32" s="1688"/>
      <c r="ETY32" s="1688"/>
      <c r="ETZ32" s="1688"/>
      <c r="EUA32" s="1688"/>
      <c r="EUB32" s="1688"/>
      <c r="EUC32" s="1688"/>
      <c r="EUD32" s="1688"/>
      <c r="EUE32" s="1688"/>
      <c r="EUF32" s="1688"/>
      <c r="EUG32" s="1688"/>
      <c r="EUH32" s="1688"/>
      <c r="EUI32" s="1688"/>
      <c r="EUJ32" s="1688"/>
      <c r="EUK32" s="1688"/>
      <c r="EUL32" s="1688"/>
      <c r="EUM32" s="1688"/>
      <c r="EUN32" s="1688"/>
      <c r="EUO32" s="1688"/>
      <c r="EUP32" s="1688"/>
      <c r="EUQ32" s="1688"/>
      <c r="EUR32" s="1688"/>
      <c r="EUS32" s="1688"/>
      <c r="EUT32" s="1688"/>
      <c r="EUU32" s="1688"/>
      <c r="EUV32" s="1688"/>
      <c r="EUW32" s="1688"/>
      <c r="EUX32" s="1688"/>
      <c r="EUY32" s="1688"/>
      <c r="EUZ32" s="1688"/>
      <c r="EVA32" s="1688"/>
      <c r="EVB32" s="1688"/>
      <c r="EVC32" s="1688"/>
      <c r="EVD32" s="1688"/>
      <c r="EVE32" s="1688"/>
      <c r="EVF32" s="1688"/>
      <c r="EVG32" s="1688"/>
      <c r="EVH32" s="1688"/>
      <c r="EVI32" s="1688"/>
      <c r="EVJ32" s="1688"/>
      <c r="EVK32" s="1688"/>
      <c r="EVL32" s="1688"/>
      <c r="EVM32" s="1688"/>
      <c r="EVN32" s="1688"/>
      <c r="EVO32" s="1688"/>
      <c r="EVP32" s="1688"/>
      <c r="EVQ32" s="1688"/>
      <c r="EVR32" s="1688"/>
      <c r="EVS32" s="1688"/>
      <c r="EVT32" s="1688"/>
      <c r="EVU32" s="1688"/>
      <c r="EVV32" s="1688"/>
      <c r="EVW32" s="1688"/>
      <c r="EVX32" s="1688"/>
      <c r="EVY32" s="1688"/>
      <c r="EVZ32" s="1688"/>
      <c r="EWA32" s="1688"/>
      <c r="EWB32" s="1688"/>
      <c r="EWC32" s="1688"/>
      <c r="EWD32" s="1688"/>
      <c r="EWE32" s="1688"/>
      <c r="EWF32" s="1688"/>
      <c r="EWG32" s="1688"/>
      <c r="EWH32" s="1688"/>
      <c r="EWI32" s="1688"/>
      <c r="EWJ32" s="1688"/>
      <c r="EWK32" s="1688"/>
      <c r="EWL32" s="1688"/>
      <c r="EWM32" s="1688"/>
      <c r="EWN32" s="1688"/>
      <c r="EWO32" s="1688"/>
      <c r="EWP32" s="1688"/>
      <c r="EWQ32" s="1688"/>
      <c r="EWR32" s="1688"/>
      <c r="EWS32" s="1688"/>
      <c r="EWT32" s="1688"/>
      <c r="EWU32" s="1688"/>
      <c r="EWV32" s="1688"/>
      <c r="EWW32" s="1688"/>
      <c r="EWX32" s="1688"/>
      <c r="EWY32" s="1688"/>
      <c r="EWZ32" s="1688"/>
      <c r="EXA32" s="1688"/>
      <c r="EXB32" s="1688"/>
      <c r="EXC32" s="1688"/>
      <c r="EXD32" s="1688"/>
      <c r="EXE32" s="1688"/>
      <c r="EXF32" s="1688"/>
      <c r="EXG32" s="1688"/>
      <c r="EXH32" s="1688"/>
      <c r="EXI32" s="1688"/>
      <c r="EXJ32" s="1688"/>
      <c r="EXK32" s="1688"/>
      <c r="EXL32" s="1688"/>
      <c r="EXM32" s="1688"/>
      <c r="EXN32" s="1688"/>
      <c r="EXO32" s="1688"/>
      <c r="EXP32" s="1688"/>
      <c r="EXQ32" s="1688"/>
      <c r="EXR32" s="1688"/>
      <c r="EXS32" s="1688"/>
      <c r="EXT32" s="1688"/>
      <c r="EXU32" s="1688"/>
      <c r="EXV32" s="1688"/>
      <c r="EXW32" s="1688"/>
      <c r="EXX32" s="1688"/>
      <c r="EXY32" s="1688"/>
      <c r="EXZ32" s="1688"/>
      <c r="EYA32" s="1688"/>
      <c r="EYB32" s="1688"/>
      <c r="EYC32" s="1688"/>
      <c r="EYD32" s="1688"/>
      <c r="EYE32" s="1688"/>
      <c r="EYF32" s="1688"/>
      <c r="EYG32" s="1688"/>
      <c r="EYH32" s="1688"/>
      <c r="EYI32" s="1688"/>
      <c r="EYJ32" s="1688"/>
      <c r="EYK32" s="1688"/>
      <c r="EYL32" s="1688"/>
      <c r="EYM32" s="1688"/>
      <c r="EYN32" s="1688"/>
      <c r="EYO32" s="1688"/>
      <c r="EYP32" s="1688"/>
      <c r="EYQ32" s="1688"/>
      <c r="EYR32" s="1688"/>
      <c r="EYS32" s="1688"/>
      <c r="EYT32" s="1688"/>
      <c r="EYU32" s="1688"/>
      <c r="EYV32" s="1688"/>
      <c r="EYW32" s="1688"/>
      <c r="EYX32" s="1688"/>
      <c r="EYY32" s="1688"/>
      <c r="EYZ32" s="1688"/>
      <c r="EZA32" s="1688"/>
      <c r="EZB32" s="1688"/>
      <c r="EZC32" s="1688"/>
      <c r="EZD32" s="1688"/>
      <c r="EZE32" s="1688"/>
      <c r="EZF32" s="1688"/>
      <c r="EZG32" s="1688"/>
      <c r="EZH32" s="1688"/>
      <c r="EZI32" s="1688"/>
      <c r="EZJ32" s="1688"/>
      <c r="EZK32" s="1688"/>
      <c r="EZL32" s="1688"/>
      <c r="EZM32" s="1688"/>
      <c r="EZN32" s="1688"/>
      <c r="EZO32" s="1688"/>
      <c r="EZP32" s="1688"/>
      <c r="EZQ32" s="1688"/>
      <c r="EZR32" s="1688"/>
      <c r="EZS32" s="1688"/>
      <c r="EZT32" s="1688"/>
      <c r="EZU32" s="1688"/>
      <c r="EZV32" s="1688"/>
      <c r="EZW32" s="1688"/>
      <c r="EZX32" s="1688"/>
      <c r="EZY32" s="1688"/>
      <c r="EZZ32" s="1688"/>
      <c r="FAA32" s="1688"/>
      <c r="FAB32" s="1688"/>
      <c r="FAC32" s="1688"/>
      <c r="FAD32" s="1688"/>
      <c r="FAE32" s="1688"/>
      <c r="FAF32" s="1688"/>
      <c r="FAG32" s="1688"/>
      <c r="FAH32" s="1688"/>
      <c r="FAI32" s="1688"/>
      <c r="FAJ32" s="1688"/>
      <c r="FAK32" s="1688"/>
      <c r="FAL32" s="1688"/>
      <c r="FAM32" s="1688"/>
      <c r="FAN32" s="1688"/>
      <c r="FAO32" s="1688"/>
      <c r="FAP32" s="1688"/>
      <c r="FAQ32" s="1688"/>
      <c r="FAR32" s="1688"/>
      <c r="FAS32" s="1688"/>
      <c r="FAT32" s="1688"/>
      <c r="FAU32" s="1688"/>
      <c r="FAV32" s="1688"/>
      <c r="FAW32" s="1688"/>
      <c r="FAX32" s="1688"/>
      <c r="FAY32" s="1688"/>
      <c r="FAZ32" s="1688"/>
      <c r="FBA32" s="1688"/>
      <c r="FBB32" s="1688"/>
      <c r="FBC32" s="1688"/>
      <c r="FBD32" s="1688"/>
      <c r="FBE32" s="1688"/>
      <c r="FBF32" s="1688"/>
      <c r="FBG32" s="1688"/>
      <c r="FBH32" s="1688"/>
      <c r="FBI32" s="1688"/>
      <c r="FBJ32" s="1688"/>
      <c r="FBK32" s="1688"/>
      <c r="FBL32" s="1688"/>
      <c r="FBM32" s="1688"/>
      <c r="FBN32" s="1688"/>
      <c r="FBO32" s="1688"/>
      <c r="FBP32" s="1688"/>
      <c r="FBQ32" s="1688"/>
      <c r="FBR32" s="1688"/>
      <c r="FBS32" s="1688"/>
      <c r="FBT32" s="1688"/>
      <c r="FBU32" s="1688"/>
      <c r="FBV32" s="1688"/>
      <c r="FBW32" s="1688"/>
      <c r="FBX32" s="1688"/>
      <c r="FBY32" s="1688"/>
      <c r="FBZ32" s="1688"/>
      <c r="FCA32" s="1688"/>
      <c r="FCB32" s="1688"/>
      <c r="FCC32" s="1688"/>
      <c r="FCD32" s="1688"/>
      <c r="FCE32" s="1688"/>
      <c r="FCF32" s="1688"/>
      <c r="FCG32" s="1688"/>
      <c r="FCH32" s="1688"/>
      <c r="FCI32" s="1688"/>
      <c r="FCJ32" s="1688"/>
      <c r="FCK32" s="1688"/>
      <c r="FCL32" s="1688"/>
      <c r="FCM32" s="1688"/>
      <c r="FCN32" s="1688"/>
      <c r="FCO32" s="1688"/>
      <c r="FCP32" s="1688"/>
      <c r="FCQ32" s="1688"/>
      <c r="FCR32" s="1688"/>
      <c r="FCS32" s="1688"/>
      <c r="FCT32" s="1688"/>
      <c r="FCU32" s="1688"/>
      <c r="FCV32" s="1688"/>
      <c r="FCW32" s="1688"/>
      <c r="FCX32" s="1688"/>
      <c r="FCY32" s="1688"/>
      <c r="FCZ32" s="1688"/>
      <c r="FDA32" s="1688"/>
      <c r="FDB32" s="1688"/>
      <c r="FDC32" s="1688"/>
      <c r="FDD32" s="1688"/>
      <c r="FDE32" s="1688"/>
      <c r="FDF32" s="1688"/>
      <c r="FDG32" s="1688"/>
      <c r="FDH32" s="1688"/>
      <c r="FDI32" s="1688"/>
      <c r="FDJ32" s="1688"/>
      <c r="FDK32" s="1688"/>
      <c r="FDL32" s="1688"/>
      <c r="FDM32" s="1688"/>
      <c r="FDN32" s="1688"/>
      <c r="FDO32" s="1688"/>
      <c r="FDP32" s="1688"/>
      <c r="FDQ32" s="1688"/>
      <c r="FDR32" s="1688"/>
      <c r="FDS32" s="1688"/>
      <c r="FDT32" s="1688"/>
      <c r="FDU32" s="1688"/>
      <c r="FDV32" s="1688"/>
      <c r="FDW32" s="1688"/>
      <c r="FDX32" s="1688"/>
      <c r="FDY32" s="1688"/>
      <c r="FDZ32" s="1688"/>
      <c r="FEA32" s="1688"/>
      <c r="FEB32" s="1688"/>
      <c r="FEC32" s="1688"/>
      <c r="FED32" s="1688"/>
      <c r="FEE32" s="1688"/>
      <c r="FEF32" s="1688"/>
      <c r="FEG32" s="1688"/>
      <c r="FEH32" s="1688"/>
      <c r="FEI32" s="1688"/>
      <c r="FEJ32" s="1688"/>
      <c r="FEK32" s="1688"/>
      <c r="FEL32" s="1688"/>
      <c r="FEM32" s="1688"/>
      <c r="FEN32" s="1688"/>
      <c r="FEO32" s="1688"/>
      <c r="FEP32" s="1688"/>
      <c r="FEQ32" s="1688"/>
      <c r="FER32" s="1688"/>
      <c r="FES32" s="1688"/>
      <c r="FET32" s="1688"/>
      <c r="FEU32" s="1688"/>
      <c r="FEV32" s="1688"/>
      <c r="FEW32" s="1688"/>
      <c r="FEX32" s="1688"/>
      <c r="FEY32" s="1688"/>
      <c r="FEZ32" s="1688"/>
      <c r="FFA32" s="1688"/>
      <c r="FFB32" s="1688"/>
      <c r="FFC32" s="1688"/>
      <c r="FFD32" s="1688"/>
      <c r="FFE32" s="1688"/>
      <c r="FFF32" s="1688"/>
      <c r="FFG32" s="1688"/>
      <c r="FFH32" s="1688"/>
      <c r="FFI32" s="1688"/>
      <c r="FFJ32" s="1688"/>
      <c r="FFK32" s="1688"/>
      <c r="FFL32" s="1688"/>
      <c r="FFM32" s="1688"/>
      <c r="FFN32" s="1688"/>
      <c r="FFO32" s="1688"/>
      <c r="FFP32" s="1688"/>
      <c r="FFQ32" s="1688"/>
      <c r="FFR32" s="1688"/>
      <c r="FFS32" s="1688"/>
      <c r="FFT32" s="1688"/>
      <c r="FFU32" s="1688"/>
      <c r="FFV32" s="1688"/>
      <c r="FFW32" s="1688"/>
      <c r="FFX32" s="1688"/>
      <c r="FFY32" s="1688"/>
      <c r="FFZ32" s="1688"/>
      <c r="FGA32" s="1688"/>
      <c r="FGB32" s="1688"/>
      <c r="FGC32" s="1688"/>
      <c r="FGD32" s="1688"/>
      <c r="FGE32" s="1688"/>
      <c r="FGF32" s="1688"/>
      <c r="FGG32" s="1688"/>
      <c r="FGH32" s="1688"/>
      <c r="FGI32" s="1688"/>
      <c r="FGJ32" s="1688"/>
      <c r="FGK32" s="1688"/>
      <c r="FGL32" s="1688"/>
      <c r="FGM32" s="1688"/>
      <c r="FGN32" s="1688"/>
      <c r="FGO32" s="1688"/>
      <c r="FGP32" s="1688"/>
      <c r="FGQ32" s="1688"/>
      <c r="FGR32" s="1688"/>
      <c r="FGS32" s="1688"/>
      <c r="FGT32" s="1688"/>
      <c r="FGU32" s="1688"/>
      <c r="FGV32" s="1688"/>
      <c r="FGW32" s="1688"/>
      <c r="FGX32" s="1688"/>
      <c r="FGY32" s="1688"/>
      <c r="FGZ32" s="1688"/>
      <c r="FHA32" s="1688"/>
      <c r="FHB32" s="1688"/>
      <c r="FHC32" s="1688"/>
      <c r="FHD32" s="1688"/>
      <c r="FHE32" s="1688"/>
      <c r="FHF32" s="1688"/>
      <c r="FHG32" s="1688"/>
      <c r="FHH32" s="1688"/>
      <c r="FHI32" s="1688"/>
      <c r="FHJ32" s="1688"/>
      <c r="FHK32" s="1688"/>
      <c r="FHL32" s="1688"/>
      <c r="FHM32" s="1688"/>
      <c r="FHN32" s="1688"/>
      <c r="FHO32" s="1688"/>
      <c r="FHP32" s="1688"/>
      <c r="FHQ32" s="1688"/>
      <c r="FHR32" s="1688"/>
      <c r="FHS32" s="1688"/>
      <c r="FHT32" s="1688"/>
      <c r="FHU32" s="1688"/>
      <c r="FHV32" s="1688"/>
      <c r="FHW32" s="1688"/>
      <c r="FHX32" s="1688"/>
      <c r="FHY32" s="1688"/>
      <c r="FHZ32" s="1688"/>
      <c r="FIA32" s="1688"/>
      <c r="FIB32" s="1688"/>
      <c r="FIC32" s="1688"/>
      <c r="FID32" s="1688"/>
      <c r="FIE32" s="1688"/>
      <c r="FIF32" s="1688"/>
      <c r="FIG32" s="1688"/>
      <c r="FIH32" s="1688"/>
      <c r="FII32" s="1688"/>
      <c r="FIJ32" s="1688"/>
      <c r="FIK32" s="1688"/>
      <c r="FIL32" s="1688"/>
      <c r="FIM32" s="1688"/>
      <c r="FIN32" s="1688"/>
      <c r="FIO32" s="1688"/>
      <c r="FIP32" s="1688"/>
      <c r="FIQ32" s="1688"/>
      <c r="FIR32" s="1688"/>
      <c r="FIS32" s="1688"/>
      <c r="FIT32" s="1688"/>
      <c r="FIU32" s="1688"/>
      <c r="FIV32" s="1688"/>
      <c r="FIW32" s="1688"/>
      <c r="FIX32" s="1688"/>
      <c r="FIY32" s="1688"/>
      <c r="FIZ32" s="1688"/>
      <c r="FJA32" s="1688"/>
      <c r="FJB32" s="1688"/>
      <c r="FJC32" s="1688"/>
      <c r="FJD32" s="1688"/>
      <c r="FJE32" s="1688"/>
      <c r="FJF32" s="1688"/>
      <c r="FJG32" s="1688"/>
      <c r="FJH32" s="1688"/>
      <c r="FJI32" s="1688"/>
      <c r="FJJ32" s="1688"/>
      <c r="FJK32" s="1688"/>
      <c r="FJL32" s="1688"/>
      <c r="FJM32" s="1688"/>
      <c r="FJN32" s="1688"/>
      <c r="FJO32" s="1688"/>
      <c r="FJP32" s="1688"/>
      <c r="FJQ32" s="1688"/>
      <c r="FJR32" s="1688"/>
      <c r="FJS32" s="1688"/>
      <c r="FJT32" s="1688"/>
      <c r="FJU32" s="1688"/>
      <c r="FJV32" s="1688"/>
      <c r="FJW32" s="1688"/>
      <c r="FJX32" s="1688"/>
      <c r="FJY32" s="1688"/>
      <c r="FJZ32" s="1688"/>
      <c r="FKA32" s="1688"/>
      <c r="FKB32" s="1688"/>
      <c r="FKC32" s="1688"/>
      <c r="FKD32" s="1688"/>
      <c r="FKE32" s="1688"/>
      <c r="FKF32" s="1688"/>
      <c r="FKG32" s="1688"/>
      <c r="FKH32" s="1688"/>
      <c r="FKI32" s="1688"/>
      <c r="FKJ32" s="1688"/>
      <c r="FKK32" s="1688"/>
      <c r="FKL32" s="1688"/>
      <c r="FKM32" s="1688"/>
      <c r="FKN32" s="1688"/>
      <c r="FKO32" s="1688"/>
      <c r="FKP32" s="1688"/>
      <c r="FKQ32" s="1688"/>
      <c r="FKR32" s="1688"/>
      <c r="FKS32" s="1688"/>
      <c r="FKT32" s="1688"/>
      <c r="FKU32" s="1688"/>
      <c r="FKV32" s="1688"/>
      <c r="FKW32" s="1688"/>
      <c r="FKX32" s="1688"/>
      <c r="FKY32" s="1688"/>
      <c r="FKZ32" s="1688"/>
      <c r="FLA32" s="1688"/>
      <c r="FLB32" s="1688"/>
      <c r="FLC32" s="1688"/>
      <c r="FLD32" s="1688"/>
      <c r="FLE32" s="1688"/>
      <c r="FLF32" s="1688"/>
      <c r="FLG32" s="1688"/>
      <c r="FLH32" s="1688"/>
      <c r="FLI32" s="1688"/>
      <c r="FLJ32" s="1688"/>
      <c r="FLK32" s="1688"/>
      <c r="FLL32" s="1688"/>
      <c r="FLM32" s="1688"/>
      <c r="FLN32" s="1688"/>
      <c r="FLO32" s="1688"/>
      <c r="FLP32" s="1688"/>
      <c r="FLQ32" s="1688"/>
      <c r="FLR32" s="1688"/>
      <c r="FLS32" s="1688"/>
      <c r="FLT32" s="1688"/>
      <c r="FLU32" s="1688"/>
      <c r="FLV32" s="1688"/>
      <c r="FLW32" s="1688"/>
      <c r="FLX32" s="1688"/>
      <c r="FLY32" s="1688"/>
      <c r="FLZ32" s="1688"/>
      <c r="FMA32" s="1688"/>
      <c r="FMB32" s="1688"/>
      <c r="FMC32" s="1688"/>
      <c r="FMD32" s="1688"/>
      <c r="FME32" s="1688"/>
      <c r="FMF32" s="1688"/>
      <c r="FMG32" s="1688"/>
      <c r="FMH32" s="1688"/>
      <c r="FMI32" s="1688"/>
      <c r="FMJ32" s="1688"/>
      <c r="FMK32" s="1688"/>
      <c r="FML32" s="1688"/>
      <c r="FMM32" s="1688"/>
      <c r="FMN32" s="1688"/>
      <c r="FMO32" s="1688"/>
      <c r="FMP32" s="1688"/>
      <c r="FMQ32" s="1688"/>
      <c r="FMR32" s="1688"/>
      <c r="FMS32" s="1688"/>
      <c r="FMT32" s="1688"/>
      <c r="FMU32" s="1688"/>
      <c r="FMV32" s="1688"/>
      <c r="FMW32" s="1688"/>
      <c r="FMX32" s="1688"/>
      <c r="FMY32" s="1688"/>
      <c r="FMZ32" s="1688"/>
      <c r="FNA32" s="1688"/>
      <c r="FNB32" s="1688"/>
      <c r="FNC32" s="1688"/>
      <c r="FND32" s="1688"/>
      <c r="FNE32" s="1688"/>
      <c r="FNF32" s="1688"/>
      <c r="FNG32" s="1688"/>
      <c r="FNH32" s="1688"/>
      <c r="FNI32" s="1688"/>
      <c r="FNJ32" s="1688"/>
      <c r="FNK32" s="1688"/>
      <c r="FNL32" s="1688"/>
      <c r="FNM32" s="1688"/>
      <c r="FNN32" s="1688"/>
      <c r="FNO32" s="1688"/>
      <c r="FNP32" s="1688"/>
      <c r="FNQ32" s="1688"/>
      <c r="FNR32" s="1688"/>
      <c r="FNS32" s="1688"/>
      <c r="FNT32" s="1688"/>
      <c r="FNU32" s="1688"/>
      <c r="FNV32" s="1688"/>
      <c r="FNW32" s="1688"/>
      <c r="FNX32" s="1688"/>
      <c r="FNY32" s="1688"/>
      <c r="FNZ32" s="1688"/>
      <c r="FOA32" s="1688"/>
      <c r="FOB32" s="1688"/>
      <c r="FOC32" s="1688"/>
      <c r="FOD32" s="1688"/>
      <c r="FOE32" s="1688"/>
      <c r="FOF32" s="1688"/>
      <c r="FOG32" s="1688"/>
      <c r="FOH32" s="1688"/>
      <c r="FOI32" s="1688"/>
      <c r="FOJ32" s="1688"/>
      <c r="FOK32" s="1688"/>
      <c r="FOL32" s="1688"/>
      <c r="FOM32" s="1688"/>
      <c r="FON32" s="1688"/>
      <c r="FOO32" s="1688"/>
      <c r="FOP32" s="1688"/>
      <c r="FOQ32" s="1688"/>
      <c r="FOR32" s="1688"/>
      <c r="FOS32" s="1688"/>
      <c r="FOT32" s="1688"/>
      <c r="FOU32" s="1688"/>
      <c r="FOV32" s="1688"/>
      <c r="FOW32" s="1688"/>
      <c r="FOX32" s="1688"/>
      <c r="FOY32" s="1688"/>
      <c r="FOZ32" s="1688"/>
      <c r="FPA32" s="1688"/>
      <c r="FPB32" s="1688"/>
      <c r="FPC32" s="1688"/>
      <c r="FPD32" s="1688"/>
      <c r="FPE32" s="1688"/>
      <c r="FPF32" s="1688"/>
      <c r="FPG32" s="1688"/>
      <c r="FPH32" s="1688"/>
      <c r="FPI32" s="1688"/>
      <c r="FPJ32" s="1688"/>
      <c r="FPK32" s="1688"/>
      <c r="FPL32" s="1688"/>
      <c r="FPM32" s="1688"/>
      <c r="FPN32" s="1688"/>
      <c r="FPO32" s="1688"/>
      <c r="FPP32" s="1688"/>
      <c r="FPQ32" s="1688"/>
      <c r="FPR32" s="1688"/>
      <c r="FPS32" s="1688"/>
      <c r="FPT32" s="1688"/>
      <c r="FPU32" s="1688"/>
      <c r="FPV32" s="1688"/>
      <c r="FPW32" s="1688"/>
      <c r="FPX32" s="1688"/>
      <c r="FPY32" s="1688"/>
      <c r="FPZ32" s="1688"/>
      <c r="FQA32" s="1688"/>
      <c r="FQB32" s="1688"/>
      <c r="FQC32" s="1688"/>
      <c r="FQD32" s="1688"/>
      <c r="FQE32" s="1688"/>
      <c r="FQF32" s="1688"/>
      <c r="FQG32" s="1688"/>
      <c r="FQH32" s="1688"/>
      <c r="FQI32" s="1688"/>
      <c r="FQJ32" s="1688"/>
      <c r="FQK32" s="1688"/>
      <c r="FQL32" s="1688"/>
      <c r="FQM32" s="1688"/>
      <c r="FQN32" s="1688"/>
      <c r="FQO32" s="1688"/>
      <c r="FQP32" s="1688"/>
      <c r="FQQ32" s="1688"/>
      <c r="FQR32" s="1688"/>
      <c r="FQS32" s="1688"/>
      <c r="FQT32" s="1688"/>
      <c r="FQU32" s="1688"/>
      <c r="FQV32" s="1688"/>
      <c r="FQW32" s="1688"/>
      <c r="FQX32" s="1688"/>
      <c r="FQY32" s="1688"/>
      <c r="FQZ32" s="1688"/>
      <c r="FRA32" s="1688"/>
      <c r="FRB32" s="1688"/>
      <c r="FRC32" s="1688"/>
      <c r="FRD32" s="1688"/>
      <c r="FRE32" s="1688"/>
      <c r="FRF32" s="1688"/>
      <c r="FRG32" s="1688"/>
      <c r="FRH32" s="1688"/>
      <c r="FRI32" s="1688"/>
      <c r="FRJ32" s="1688"/>
      <c r="FRK32" s="1688"/>
      <c r="FRL32" s="1688"/>
      <c r="FRM32" s="1688"/>
      <c r="FRN32" s="1688"/>
      <c r="FRO32" s="1688"/>
      <c r="FRP32" s="1688"/>
      <c r="FRQ32" s="1688"/>
      <c r="FRR32" s="1688"/>
      <c r="FRS32" s="1688"/>
      <c r="FRT32" s="1688"/>
      <c r="FRU32" s="1688"/>
      <c r="FRV32" s="1688"/>
      <c r="FRW32" s="1688"/>
      <c r="FRX32" s="1688"/>
      <c r="FRY32" s="1688"/>
      <c r="FRZ32" s="1688"/>
      <c r="FSA32" s="1688"/>
      <c r="FSB32" s="1688"/>
      <c r="FSC32" s="1688"/>
      <c r="FSD32" s="1688"/>
      <c r="FSE32" s="1688"/>
      <c r="FSF32" s="1688"/>
      <c r="FSG32" s="1688"/>
      <c r="FSH32" s="1688"/>
      <c r="FSI32" s="1688"/>
      <c r="FSJ32" s="1688"/>
      <c r="FSK32" s="1688"/>
      <c r="FSL32" s="1688"/>
      <c r="FSM32" s="1688"/>
      <c r="FSN32" s="1688"/>
      <c r="FSO32" s="1688"/>
      <c r="FSP32" s="1688"/>
      <c r="FSQ32" s="1688"/>
      <c r="FSR32" s="1688"/>
      <c r="FSS32" s="1688"/>
      <c r="FST32" s="1688"/>
      <c r="FSU32" s="1688"/>
      <c r="FSV32" s="1688"/>
      <c r="FSW32" s="1688"/>
      <c r="FSX32" s="1688"/>
      <c r="FSY32" s="1688"/>
      <c r="FSZ32" s="1688"/>
      <c r="FTA32" s="1688"/>
      <c r="FTB32" s="1688"/>
      <c r="FTC32" s="1688"/>
      <c r="FTD32" s="1688"/>
      <c r="FTE32" s="1688"/>
      <c r="FTF32" s="1688"/>
      <c r="FTG32" s="1688"/>
      <c r="FTH32" s="1688"/>
      <c r="FTI32" s="1688"/>
      <c r="FTJ32" s="1688"/>
      <c r="FTK32" s="1688"/>
      <c r="FTL32" s="1688"/>
      <c r="FTM32" s="1688"/>
      <c r="FTN32" s="1688"/>
      <c r="FTO32" s="1688"/>
      <c r="FTP32" s="1688"/>
      <c r="FTQ32" s="1688"/>
      <c r="FTR32" s="1688"/>
      <c r="FTS32" s="1688"/>
      <c r="FTT32" s="1688"/>
      <c r="FTU32" s="1688"/>
      <c r="FTV32" s="1688"/>
      <c r="FTW32" s="1688"/>
      <c r="FTX32" s="1688"/>
      <c r="FTY32" s="1688"/>
      <c r="FTZ32" s="1688"/>
      <c r="FUA32" s="1688"/>
      <c r="FUB32" s="1688"/>
      <c r="FUC32" s="1688"/>
      <c r="FUD32" s="1688"/>
      <c r="FUE32" s="1688"/>
      <c r="FUF32" s="1688"/>
      <c r="FUG32" s="1688"/>
      <c r="FUH32" s="1688"/>
      <c r="FUI32" s="1688"/>
      <c r="FUJ32" s="1688"/>
      <c r="FUK32" s="1688"/>
      <c r="FUL32" s="1688"/>
      <c r="FUM32" s="1688"/>
      <c r="FUN32" s="1688"/>
      <c r="FUO32" s="1688"/>
      <c r="FUP32" s="1688"/>
      <c r="FUQ32" s="1688"/>
      <c r="FUR32" s="1688"/>
      <c r="FUS32" s="1688"/>
      <c r="FUT32" s="1688"/>
      <c r="FUU32" s="1688"/>
      <c r="FUV32" s="1688"/>
      <c r="FUW32" s="1688"/>
      <c r="FUX32" s="1688"/>
      <c r="FUY32" s="1688"/>
      <c r="FUZ32" s="1688"/>
      <c r="FVA32" s="1688"/>
      <c r="FVB32" s="1688"/>
      <c r="FVC32" s="1688"/>
      <c r="FVD32" s="1688"/>
      <c r="FVE32" s="1688"/>
      <c r="FVF32" s="1688"/>
      <c r="FVG32" s="1688"/>
      <c r="FVH32" s="1688"/>
      <c r="FVI32" s="1688"/>
      <c r="FVJ32" s="1688"/>
      <c r="FVK32" s="1688"/>
      <c r="FVL32" s="1688"/>
      <c r="FVM32" s="1688"/>
      <c r="FVN32" s="1688"/>
      <c r="FVO32" s="1688"/>
      <c r="FVP32" s="1688"/>
      <c r="FVQ32" s="1688"/>
      <c r="FVR32" s="1688"/>
      <c r="FVS32" s="1688"/>
      <c r="FVT32" s="1688"/>
      <c r="FVU32" s="1688"/>
      <c r="FVV32" s="1688"/>
      <c r="FVW32" s="1688"/>
      <c r="FVX32" s="1688"/>
      <c r="FVY32" s="1688"/>
      <c r="FVZ32" s="1688"/>
      <c r="FWA32" s="1688"/>
      <c r="FWB32" s="1688"/>
      <c r="FWC32" s="1688"/>
      <c r="FWD32" s="1688"/>
      <c r="FWE32" s="1688"/>
      <c r="FWF32" s="1688"/>
      <c r="FWG32" s="1688"/>
      <c r="FWH32" s="1688"/>
      <c r="FWI32" s="1688"/>
      <c r="FWJ32" s="1688"/>
      <c r="FWK32" s="1688"/>
      <c r="FWL32" s="1688"/>
      <c r="FWM32" s="1688"/>
      <c r="FWN32" s="1688"/>
      <c r="FWO32" s="1688"/>
      <c r="FWP32" s="1688"/>
      <c r="FWQ32" s="1688"/>
      <c r="FWR32" s="1688"/>
      <c r="FWS32" s="1688"/>
      <c r="FWT32" s="1688"/>
      <c r="FWU32" s="1688"/>
      <c r="FWV32" s="1688"/>
      <c r="FWW32" s="1688"/>
      <c r="FWX32" s="1688"/>
      <c r="FWY32" s="1688"/>
      <c r="FWZ32" s="1688"/>
      <c r="FXA32" s="1688"/>
      <c r="FXB32" s="1688"/>
      <c r="FXC32" s="1688"/>
      <c r="FXD32" s="1688"/>
      <c r="FXE32" s="1688"/>
      <c r="FXF32" s="1688"/>
      <c r="FXG32" s="1688"/>
      <c r="FXH32" s="1688"/>
      <c r="FXI32" s="1688"/>
      <c r="FXJ32" s="1688"/>
      <c r="FXK32" s="1688"/>
      <c r="FXL32" s="1688"/>
      <c r="FXM32" s="1688"/>
      <c r="FXN32" s="1688"/>
      <c r="FXO32" s="1688"/>
      <c r="FXP32" s="1688"/>
      <c r="FXQ32" s="1688"/>
      <c r="FXR32" s="1688"/>
      <c r="FXS32" s="1688"/>
      <c r="FXT32" s="1688"/>
      <c r="FXU32" s="1688"/>
      <c r="FXV32" s="1688"/>
      <c r="FXW32" s="1688"/>
      <c r="FXX32" s="1688"/>
      <c r="FXY32" s="1688"/>
      <c r="FXZ32" s="1688"/>
      <c r="FYA32" s="1688"/>
      <c r="FYB32" s="1688"/>
      <c r="FYC32" s="1688"/>
      <c r="FYD32" s="1688"/>
      <c r="FYE32" s="1688"/>
      <c r="FYF32" s="1688"/>
      <c r="FYG32" s="1688"/>
      <c r="FYH32" s="1688"/>
      <c r="FYI32" s="1688"/>
      <c r="FYJ32" s="1688"/>
      <c r="FYK32" s="1688"/>
      <c r="FYL32" s="1688"/>
      <c r="FYM32" s="1688"/>
      <c r="FYN32" s="1688"/>
      <c r="FYO32" s="1688"/>
      <c r="FYP32" s="1688"/>
      <c r="FYQ32" s="1688"/>
      <c r="FYR32" s="1688"/>
      <c r="FYS32" s="1688"/>
      <c r="FYT32" s="1688"/>
      <c r="FYU32" s="1688"/>
      <c r="FYV32" s="1688"/>
      <c r="FYW32" s="1688"/>
      <c r="FYX32" s="1688"/>
      <c r="FYY32" s="1688"/>
      <c r="FYZ32" s="1688"/>
      <c r="FZA32" s="1688"/>
      <c r="FZB32" s="1688"/>
      <c r="FZC32" s="1688"/>
      <c r="FZD32" s="1688"/>
      <c r="FZE32" s="1688"/>
      <c r="FZF32" s="1688"/>
      <c r="FZG32" s="1688"/>
      <c r="FZH32" s="1688"/>
      <c r="FZI32" s="1688"/>
      <c r="FZJ32" s="1688"/>
      <c r="FZK32" s="1688"/>
      <c r="FZL32" s="1688"/>
      <c r="FZM32" s="1688"/>
      <c r="FZN32" s="1688"/>
      <c r="FZO32" s="1688"/>
      <c r="FZP32" s="1688"/>
      <c r="FZQ32" s="1688"/>
      <c r="FZR32" s="1688"/>
      <c r="FZS32" s="1688"/>
      <c r="FZT32" s="1688"/>
      <c r="FZU32" s="1688"/>
      <c r="FZV32" s="1688"/>
      <c r="FZW32" s="1688"/>
      <c r="FZX32" s="1688"/>
      <c r="FZY32" s="1688"/>
      <c r="FZZ32" s="1688"/>
      <c r="GAA32" s="1688"/>
      <c r="GAB32" s="1688"/>
      <c r="GAC32" s="1688"/>
      <c r="GAD32" s="1688"/>
      <c r="GAE32" s="1688"/>
      <c r="GAF32" s="1688"/>
      <c r="GAG32" s="1688"/>
      <c r="GAH32" s="1688"/>
      <c r="GAI32" s="1688"/>
      <c r="GAJ32" s="1688"/>
      <c r="GAK32" s="1688"/>
      <c r="GAL32" s="1688"/>
      <c r="GAM32" s="1688"/>
      <c r="GAN32" s="1688"/>
      <c r="GAO32" s="1688"/>
      <c r="GAP32" s="1688"/>
      <c r="GAQ32" s="1688"/>
      <c r="GAR32" s="1688"/>
      <c r="GAS32" s="1688"/>
      <c r="GAT32" s="1688"/>
      <c r="GAU32" s="1688"/>
      <c r="GAV32" s="1688"/>
      <c r="GAW32" s="1688"/>
      <c r="GAX32" s="1688"/>
      <c r="GAY32" s="1688"/>
      <c r="GAZ32" s="1688"/>
      <c r="GBA32" s="1688"/>
      <c r="GBB32" s="1688"/>
      <c r="GBC32" s="1688"/>
      <c r="GBD32" s="1688"/>
      <c r="GBE32" s="1688"/>
      <c r="GBF32" s="1688"/>
      <c r="GBG32" s="1688"/>
      <c r="GBH32" s="1688"/>
      <c r="GBI32" s="1688"/>
      <c r="GBJ32" s="1688"/>
      <c r="GBK32" s="1688"/>
      <c r="GBL32" s="1688"/>
      <c r="GBM32" s="1688"/>
      <c r="GBN32" s="1688"/>
      <c r="GBO32" s="1688"/>
      <c r="GBP32" s="1688"/>
      <c r="GBQ32" s="1688"/>
      <c r="GBR32" s="1688"/>
      <c r="GBS32" s="1688"/>
      <c r="GBT32" s="1688"/>
      <c r="GBU32" s="1688"/>
      <c r="GBV32" s="1688"/>
      <c r="GBW32" s="1688"/>
      <c r="GBX32" s="1688"/>
      <c r="GBY32" s="1688"/>
      <c r="GBZ32" s="1688"/>
      <c r="GCA32" s="1688"/>
      <c r="GCB32" s="1688"/>
      <c r="GCC32" s="1688"/>
      <c r="GCD32" s="1688"/>
      <c r="GCE32" s="1688"/>
      <c r="GCF32" s="1688"/>
      <c r="GCG32" s="1688"/>
      <c r="GCH32" s="1688"/>
      <c r="GCI32" s="1688"/>
      <c r="GCJ32" s="1688"/>
      <c r="GCK32" s="1688"/>
      <c r="GCL32" s="1688"/>
      <c r="GCM32" s="1688"/>
      <c r="GCN32" s="1688"/>
      <c r="GCO32" s="1688"/>
      <c r="GCP32" s="1688"/>
      <c r="GCQ32" s="1688"/>
      <c r="GCR32" s="1688"/>
      <c r="GCS32" s="1688"/>
      <c r="GCT32" s="1688"/>
      <c r="GCU32" s="1688"/>
      <c r="GCV32" s="1688"/>
      <c r="GCW32" s="1688"/>
      <c r="GCX32" s="1688"/>
      <c r="GCY32" s="1688"/>
      <c r="GCZ32" s="1688"/>
      <c r="GDA32" s="1688"/>
      <c r="GDB32" s="1688"/>
      <c r="GDC32" s="1688"/>
      <c r="GDD32" s="1688"/>
      <c r="GDE32" s="1688"/>
      <c r="GDF32" s="1688"/>
      <c r="GDG32" s="1688"/>
      <c r="GDH32" s="1688"/>
      <c r="GDI32" s="1688"/>
      <c r="GDJ32" s="1688"/>
      <c r="GDK32" s="1688"/>
      <c r="GDL32" s="1688"/>
      <c r="GDM32" s="1688"/>
      <c r="GDN32" s="1688"/>
      <c r="GDO32" s="1688"/>
      <c r="GDP32" s="1688"/>
      <c r="GDQ32" s="1688"/>
      <c r="GDR32" s="1688"/>
      <c r="GDS32" s="1688"/>
      <c r="GDT32" s="1688"/>
      <c r="GDU32" s="1688"/>
      <c r="GDV32" s="1688"/>
      <c r="GDW32" s="1688"/>
      <c r="GDX32" s="1688"/>
      <c r="GDY32" s="1688"/>
      <c r="GDZ32" s="1688"/>
      <c r="GEA32" s="1688"/>
      <c r="GEB32" s="1688"/>
      <c r="GEC32" s="1688"/>
      <c r="GED32" s="1688"/>
      <c r="GEE32" s="1688"/>
      <c r="GEF32" s="1688"/>
      <c r="GEG32" s="1688"/>
      <c r="GEH32" s="1688"/>
      <c r="GEI32" s="1688"/>
      <c r="GEJ32" s="1688"/>
      <c r="GEK32" s="1688"/>
      <c r="GEL32" s="1688"/>
      <c r="GEM32" s="1688"/>
      <c r="GEN32" s="1688"/>
      <c r="GEO32" s="1688"/>
      <c r="GEP32" s="1688"/>
      <c r="GEQ32" s="1688"/>
      <c r="GER32" s="1688"/>
      <c r="GES32" s="1688"/>
      <c r="GET32" s="1688"/>
      <c r="GEU32" s="1688"/>
      <c r="GEV32" s="1688"/>
      <c r="GEW32" s="1688"/>
      <c r="GEX32" s="1688"/>
      <c r="GEY32" s="1688"/>
      <c r="GEZ32" s="1688"/>
      <c r="GFA32" s="1688"/>
      <c r="GFB32" s="1688"/>
      <c r="GFC32" s="1688"/>
      <c r="GFD32" s="1688"/>
      <c r="GFE32" s="1688"/>
      <c r="GFF32" s="1688"/>
      <c r="GFG32" s="1688"/>
      <c r="GFH32" s="1688"/>
      <c r="GFI32" s="1688"/>
      <c r="GFJ32" s="1688"/>
      <c r="GFK32" s="1688"/>
      <c r="GFL32" s="1688"/>
      <c r="GFM32" s="1688"/>
      <c r="GFN32" s="1688"/>
      <c r="GFO32" s="1688"/>
      <c r="GFP32" s="1688"/>
      <c r="GFQ32" s="1688"/>
      <c r="GFR32" s="1688"/>
      <c r="GFS32" s="1688"/>
      <c r="GFT32" s="1688"/>
      <c r="GFU32" s="1688"/>
      <c r="GFV32" s="1688"/>
      <c r="GFW32" s="1688"/>
      <c r="GFX32" s="1688"/>
      <c r="GFY32" s="1688"/>
      <c r="GFZ32" s="1688"/>
      <c r="GGA32" s="1688"/>
      <c r="GGB32" s="1688"/>
      <c r="GGC32" s="1688"/>
      <c r="GGD32" s="1688"/>
      <c r="GGE32" s="1688"/>
      <c r="GGF32" s="1688"/>
      <c r="GGG32" s="1688"/>
      <c r="GGH32" s="1688"/>
      <c r="GGI32" s="1688"/>
      <c r="GGJ32" s="1688"/>
      <c r="GGK32" s="1688"/>
      <c r="GGL32" s="1688"/>
      <c r="GGM32" s="1688"/>
      <c r="GGN32" s="1688"/>
      <c r="GGO32" s="1688"/>
      <c r="GGP32" s="1688"/>
      <c r="GGQ32" s="1688"/>
      <c r="GGR32" s="1688"/>
      <c r="GGS32" s="1688"/>
      <c r="GGT32" s="1688"/>
      <c r="GGU32" s="1688"/>
      <c r="GGV32" s="1688"/>
      <c r="GGW32" s="1688"/>
      <c r="GGX32" s="1688"/>
      <c r="GGY32" s="1688"/>
      <c r="GGZ32" s="1688"/>
      <c r="GHA32" s="1688"/>
      <c r="GHB32" s="1688"/>
      <c r="GHC32" s="1688"/>
      <c r="GHD32" s="1688"/>
      <c r="GHE32" s="1688"/>
      <c r="GHF32" s="1688"/>
      <c r="GHG32" s="1688"/>
      <c r="GHH32" s="1688"/>
      <c r="GHI32" s="1688"/>
      <c r="GHJ32" s="1688"/>
      <c r="GHK32" s="1688"/>
      <c r="GHL32" s="1688"/>
      <c r="GHM32" s="1688"/>
      <c r="GHN32" s="1688"/>
      <c r="GHO32" s="1688"/>
      <c r="GHP32" s="1688"/>
      <c r="GHQ32" s="1688"/>
      <c r="GHR32" s="1688"/>
      <c r="GHS32" s="1688"/>
      <c r="GHT32" s="1688"/>
      <c r="GHU32" s="1688"/>
      <c r="GHV32" s="1688"/>
      <c r="GHW32" s="1688"/>
      <c r="GHX32" s="1688"/>
      <c r="GHY32" s="1688"/>
      <c r="GHZ32" s="1688"/>
      <c r="GIA32" s="1688"/>
      <c r="GIB32" s="1688"/>
      <c r="GIC32" s="1688"/>
      <c r="GID32" s="1688"/>
      <c r="GIE32" s="1688"/>
      <c r="GIF32" s="1688"/>
      <c r="GIG32" s="1688"/>
      <c r="GIH32" s="1688"/>
      <c r="GII32" s="1688"/>
      <c r="GIJ32" s="1688"/>
      <c r="GIK32" s="1688"/>
      <c r="GIL32" s="1688"/>
      <c r="GIM32" s="1688"/>
      <c r="GIN32" s="1688"/>
      <c r="GIO32" s="1688"/>
      <c r="GIP32" s="1688"/>
      <c r="GIQ32" s="1688"/>
      <c r="GIR32" s="1688"/>
      <c r="GIS32" s="1688"/>
      <c r="GIT32" s="1688"/>
      <c r="GIU32" s="1688"/>
      <c r="GIV32" s="1688"/>
      <c r="GIW32" s="1688"/>
      <c r="GIX32" s="1688"/>
      <c r="GIY32" s="1688"/>
      <c r="GIZ32" s="1688"/>
      <c r="GJA32" s="1688"/>
      <c r="GJB32" s="1688"/>
      <c r="GJC32" s="1688"/>
      <c r="GJD32" s="1688"/>
      <c r="GJE32" s="1688"/>
      <c r="GJF32" s="1688"/>
      <c r="GJG32" s="1688"/>
      <c r="GJH32" s="1688"/>
      <c r="GJI32" s="1688"/>
      <c r="GJJ32" s="1688"/>
      <c r="GJK32" s="1688"/>
      <c r="GJL32" s="1688"/>
      <c r="GJM32" s="1688"/>
      <c r="GJN32" s="1688"/>
      <c r="GJO32" s="1688"/>
      <c r="GJP32" s="1688"/>
      <c r="GJQ32" s="1688"/>
      <c r="GJR32" s="1688"/>
      <c r="GJS32" s="1688"/>
      <c r="GJT32" s="1688"/>
      <c r="GJU32" s="1688"/>
      <c r="GJV32" s="1688"/>
      <c r="GJW32" s="1688"/>
      <c r="GJX32" s="1688"/>
      <c r="GJY32" s="1688"/>
      <c r="GJZ32" s="1688"/>
      <c r="GKA32" s="1688"/>
      <c r="GKB32" s="1688"/>
      <c r="GKC32" s="1688"/>
      <c r="GKD32" s="1688"/>
      <c r="GKE32" s="1688"/>
      <c r="GKF32" s="1688"/>
      <c r="GKG32" s="1688"/>
      <c r="GKH32" s="1688"/>
      <c r="GKI32" s="1688"/>
      <c r="GKJ32" s="1688"/>
      <c r="GKK32" s="1688"/>
      <c r="GKL32" s="1688"/>
      <c r="GKM32" s="1688"/>
      <c r="GKN32" s="1688"/>
      <c r="GKO32" s="1688"/>
      <c r="GKP32" s="1688"/>
      <c r="GKQ32" s="1688"/>
      <c r="GKR32" s="1688"/>
      <c r="GKS32" s="1688"/>
      <c r="GKT32" s="1688"/>
      <c r="GKU32" s="1688"/>
      <c r="GKV32" s="1688"/>
      <c r="GKW32" s="1688"/>
      <c r="GKX32" s="1688"/>
      <c r="GKY32" s="1688"/>
      <c r="GKZ32" s="1688"/>
      <c r="GLA32" s="1688"/>
      <c r="GLB32" s="1688"/>
      <c r="GLC32" s="1688"/>
      <c r="GLD32" s="1688"/>
      <c r="GLE32" s="1688"/>
      <c r="GLF32" s="1688"/>
      <c r="GLG32" s="1688"/>
      <c r="GLH32" s="1688"/>
      <c r="GLI32" s="1688"/>
      <c r="GLJ32" s="1688"/>
      <c r="GLK32" s="1688"/>
      <c r="GLL32" s="1688"/>
      <c r="GLM32" s="1688"/>
      <c r="GLN32" s="1688"/>
      <c r="GLO32" s="1688"/>
      <c r="GLP32" s="1688"/>
      <c r="GLQ32" s="1688"/>
      <c r="GLR32" s="1688"/>
      <c r="GLS32" s="1688"/>
      <c r="GLT32" s="1688"/>
      <c r="GLU32" s="1688"/>
      <c r="GLV32" s="1688"/>
      <c r="GLW32" s="1688"/>
      <c r="GLX32" s="1688"/>
      <c r="GLY32" s="1688"/>
      <c r="GLZ32" s="1688"/>
      <c r="GMA32" s="1688"/>
      <c r="GMB32" s="1688"/>
      <c r="GMC32" s="1688"/>
      <c r="GMD32" s="1688"/>
      <c r="GME32" s="1688"/>
      <c r="GMF32" s="1688"/>
      <c r="GMG32" s="1688"/>
      <c r="GMH32" s="1688"/>
      <c r="GMI32" s="1688"/>
      <c r="GMJ32" s="1688"/>
      <c r="GMK32" s="1688"/>
      <c r="GML32" s="1688"/>
      <c r="GMM32" s="1688"/>
      <c r="GMN32" s="1688"/>
      <c r="GMO32" s="1688"/>
      <c r="GMP32" s="1688"/>
      <c r="GMQ32" s="1688"/>
      <c r="GMR32" s="1688"/>
      <c r="GMS32" s="1688"/>
      <c r="GMT32" s="1688"/>
      <c r="GMU32" s="1688"/>
      <c r="GMV32" s="1688"/>
      <c r="GMW32" s="1688"/>
      <c r="GMX32" s="1688"/>
      <c r="GMY32" s="1688"/>
      <c r="GMZ32" s="1688"/>
      <c r="GNA32" s="1688"/>
      <c r="GNB32" s="1688"/>
      <c r="GNC32" s="1688"/>
      <c r="GND32" s="1688"/>
      <c r="GNE32" s="1688"/>
      <c r="GNF32" s="1688"/>
      <c r="GNG32" s="1688"/>
      <c r="GNH32" s="1688"/>
      <c r="GNI32" s="1688"/>
      <c r="GNJ32" s="1688"/>
      <c r="GNK32" s="1688"/>
      <c r="GNL32" s="1688"/>
      <c r="GNM32" s="1688"/>
      <c r="GNN32" s="1688"/>
      <c r="GNO32" s="1688"/>
      <c r="GNP32" s="1688"/>
      <c r="GNQ32" s="1688"/>
      <c r="GNR32" s="1688"/>
      <c r="GNS32" s="1688"/>
      <c r="GNT32" s="1688"/>
      <c r="GNU32" s="1688"/>
      <c r="GNV32" s="1688"/>
      <c r="GNW32" s="1688"/>
      <c r="GNX32" s="1688"/>
      <c r="GNY32" s="1688"/>
      <c r="GNZ32" s="1688"/>
      <c r="GOA32" s="1688"/>
      <c r="GOB32" s="1688"/>
      <c r="GOC32" s="1688"/>
      <c r="GOD32" s="1688"/>
      <c r="GOE32" s="1688"/>
      <c r="GOF32" s="1688"/>
      <c r="GOG32" s="1688"/>
      <c r="GOH32" s="1688"/>
      <c r="GOI32" s="1688"/>
      <c r="GOJ32" s="1688"/>
      <c r="GOK32" s="1688"/>
      <c r="GOL32" s="1688"/>
      <c r="GOM32" s="1688"/>
      <c r="GON32" s="1688"/>
      <c r="GOO32" s="1688"/>
      <c r="GOP32" s="1688"/>
      <c r="GOQ32" s="1688"/>
      <c r="GOR32" s="1688"/>
      <c r="GOS32" s="1688"/>
      <c r="GOT32" s="1688"/>
      <c r="GOU32" s="1688"/>
      <c r="GOV32" s="1688"/>
      <c r="GOW32" s="1688"/>
      <c r="GOX32" s="1688"/>
      <c r="GOY32" s="1688"/>
      <c r="GOZ32" s="1688"/>
      <c r="GPA32" s="1688"/>
      <c r="GPB32" s="1688"/>
      <c r="GPC32" s="1688"/>
      <c r="GPD32" s="1688"/>
      <c r="GPE32" s="1688"/>
      <c r="GPF32" s="1688"/>
      <c r="GPG32" s="1688"/>
      <c r="GPH32" s="1688"/>
      <c r="GPI32" s="1688"/>
      <c r="GPJ32" s="1688"/>
      <c r="GPK32" s="1688"/>
      <c r="GPL32" s="1688"/>
      <c r="GPM32" s="1688"/>
      <c r="GPN32" s="1688"/>
      <c r="GPO32" s="1688"/>
      <c r="GPP32" s="1688"/>
      <c r="GPQ32" s="1688"/>
      <c r="GPR32" s="1688"/>
      <c r="GPS32" s="1688"/>
      <c r="GPT32" s="1688"/>
      <c r="GPU32" s="1688"/>
      <c r="GPV32" s="1688"/>
      <c r="GPW32" s="1688"/>
      <c r="GPX32" s="1688"/>
      <c r="GPY32" s="1688"/>
      <c r="GPZ32" s="1688"/>
      <c r="GQA32" s="1688"/>
      <c r="GQB32" s="1688"/>
      <c r="GQC32" s="1688"/>
      <c r="GQD32" s="1688"/>
      <c r="GQE32" s="1688"/>
      <c r="GQF32" s="1688"/>
      <c r="GQG32" s="1688"/>
      <c r="GQH32" s="1688"/>
      <c r="GQI32" s="1688"/>
      <c r="GQJ32" s="1688"/>
      <c r="GQK32" s="1688"/>
      <c r="GQL32" s="1688"/>
      <c r="GQM32" s="1688"/>
      <c r="GQN32" s="1688"/>
      <c r="GQO32" s="1688"/>
      <c r="GQP32" s="1688"/>
      <c r="GQQ32" s="1688"/>
      <c r="GQR32" s="1688"/>
      <c r="GQS32" s="1688"/>
      <c r="GQT32" s="1688"/>
      <c r="GQU32" s="1688"/>
      <c r="GQV32" s="1688"/>
      <c r="GQW32" s="1688"/>
      <c r="GQX32" s="1688"/>
      <c r="GQY32" s="1688"/>
      <c r="GQZ32" s="1688"/>
      <c r="GRA32" s="1688"/>
      <c r="GRB32" s="1688"/>
      <c r="GRC32" s="1688"/>
      <c r="GRD32" s="1688"/>
      <c r="GRE32" s="1688"/>
      <c r="GRF32" s="1688"/>
      <c r="GRG32" s="1688"/>
      <c r="GRH32" s="1688"/>
      <c r="GRI32" s="1688"/>
      <c r="GRJ32" s="1688"/>
      <c r="GRK32" s="1688"/>
      <c r="GRL32" s="1688"/>
      <c r="GRM32" s="1688"/>
      <c r="GRN32" s="1688"/>
      <c r="GRO32" s="1688"/>
      <c r="GRP32" s="1688"/>
      <c r="GRQ32" s="1688"/>
      <c r="GRR32" s="1688"/>
      <c r="GRS32" s="1688"/>
      <c r="GRT32" s="1688"/>
      <c r="GRU32" s="1688"/>
      <c r="GRV32" s="1688"/>
      <c r="GRW32" s="1688"/>
      <c r="GRX32" s="1688"/>
      <c r="GRY32" s="1688"/>
      <c r="GRZ32" s="1688"/>
      <c r="GSA32" s="1688"/>
      <c r="GSB32" s="1688"/>
      <c r="GSC32" s="1688"/>
      <c r="GSD32" s="1688"/>
      <c r="GSE32" s="1688"/>
      <c r="GSF32" s="1688"/>
      <c r="GSG32" s="1688"/>
      <c r="GSH32" s="1688"/>
      <c r="GSI32" s="1688"/>
      <c r="GSJ32" s="1688"/>
      <c r="GSK32" s="1688"/>
      <c r="GSL32" s="1688"/>
      <c r="GSM32" s="1688"/>
      <c r="GSN32" s="1688"/>
      <c r="GSO32" s="1688"/>
      <c r="GSP32" s="1688"/>
      <c r="GSQ32" s="1688"/>
      <c r="GSR32" s="1688"/>
      <c r="GSS32" s="1688"/>
      <c r="GST32" s="1688"/>
      <c r="GSU32" s="1688"/>
      <c r="GSV32" s="1688"/>
      <c r="GSW32" s="1688"/>
      <c r="GSX32" s="1688"/>
      <c r="GSY32" s="1688"/>
      <c r="GSZ32" s="1688"/>
      <c r="GTA32" s="1688"/>
      <c r="GTB32" s="1688"/>
      <c r="GTC32" s="1688"/>
      <c r="GTD32" s="1688"/>
      <c r="GTE32" s="1688"/>
      <c r="GTF32" s="1688"/>
      <c r="GTG32" s="1688"/>
      <c r="GTH32" s="1688"/>
      <c r="GTI32" s="1688"/>
      <c r="GTJ32" s="1688"/>
      <c r="GTK32" s="1688"/>
      <c r="GTL32" s="1688"/>
      <c r="GTM32" s="1688"/>
      <c r="GTN32" s="1688"/>
      <c r="GTO32" s="1688"/>
      <c r="GTP32" s="1688"/>
      <c r="GTQ32" s="1688"/>
      <c r="GTR32" s="1688"/>
      <c r="GTS32" s="1688"/>
      <c r="GTT32" s="1688"/>
      <c r="GTU32" s="1688"/>
      <c r="GTV32" s="1688"/>
      <c r="GTW32" s="1688"/>
      <c r="GTX32" s="1688"/>
      <c r="GTY32" s="1688"/>
      <c r="GTZ32" s="1688"/>
      <c r="GUA32" s="1688"/>
      <c r="GUB32" s="1688"/>
      <c r="GUC32" s="1688"/>
      <c r="GUD32" s="1688"/>
      <c r="GUE32" s="1688"/>
      <c r="GUF32" s="1688"/>
      <c r="GUG32" s="1688"/>
      <c r="GUH32" s="1688"/>
      <c r="GUI32" s="1688"/>
      <c r="GUJ32" s="1688"/>
      <c r="GUK32" s="1688"/>
      <c r="GUL32" s="1688"/>
      <c r="GUM32" s="1688"/>
      <c r="GUN32" s="1688"/>
      <c r="GUO32" s="1688"/>
      <c r="GUP32" s="1688"/>
      <c r="GUQ32" s="1688"/>
      <c r="GUR32" s="1688"/>
      <c r="GUS32" s="1688"/>
      <c r="GUT32" s="1688"/>
      <c r="GUU32" s="1688"/>
      <c r="GUV32" s="1688"/>
      <c r="GUW32" s="1688"/>
      <c r="GUX32" s="1688"/>
      <c r="GUY32" s="1688"/>
      <c r="GUZ32" s="1688"/>
      <c r="GVA32" s="1688"/>
      <c r="GVB32" s="1688"/>
      <c r="GVC32" s="1688"/>
      <c r="GVD32" s="1688"/>
      <c r="GVE32" s="1688"/>
      <c r="GVF32" s="1688"/>
      <c r="GVG32" s="1688"/>
      <c r="GVH32" s="1688"/>
      <c r="GVI32" s="1688"/>
      <c r="GVJ32" s="1688"/>
      <c r="GVK32" s="1688"/>
      <c r="GVL32" s="1688"/>
      <c r="GVM32" s="1688"/>
      <c r="GVN32" s="1688"/>
      <c r="GVO32" s="1688"/>
      <c r="GVP32" s="1688"/>
      <c r="GVQ32" s="1688"/>
      <c r="GVR32" s="1688"/>
      <c r="GVS32" s="1688"/>
      <c r="GVT32" s="1688"/>
      <c r="GVU32" s="1688"/>
      <c r="GVV32" s="1688"/>
      <c r="GVW32" s="1688"/>
      <c r="GVX32" s="1688"/>
      <c r="GVY32" s="1688"/>
      <c r="GVZ32" s="1688"/>
      <c r="GWA32" s="1688"/>
      <c r="GWB32" s="1688"/>
      <c r="GWC32" s="1688"/>
      <c r="GWD32" s="1688"/>
      <c r="GWE32" s="1688"/>
      <c r="GWF32" s="1688"/>
      <c r="GWG32" s="1688"/>
      <c r="GWH32" s="1688"/>
      <c r="GWI32" s="1688"/>
      <c r="GWJ32" s="1688"/>
      <c r="GWK32" s="1688"/>
      <c r="GWL32" s="1688"/>
      <c r="GWM32" s="1688"/>
      <c r="GWN32" s="1688"/>
      <c r="GWO32" s="1688"/>
      <c r="GWP32" s="1688"/>
      <c r="GWQ32" s="1688"/>
      <c r="GWR32" s="1688"/>
      <c r="GWS32" s="1688"/>
      <c r="GWT32" s="1688"/>
      <c r="GWU32" s="1688"/>
      <c r="GWV32" s="1688"/>
      <c r="GWW32" s="1688"/>
      <c r="GWX32" s="1688"/>
      <c r="GWY32" s="1688"/>
      <c r="GWZ32" s="1688"/>
      <c r="GXA32" s="1688"/>
      <c r="GXB32" s="1688"/>
      <c r="GXC32" s="1688"/>
      <c r="GXD32" s="1688"/>
      <c r="GXE32" s="1688"/>
      <c r="GXF32" s="1688"/>
      <c r="GXG32" s="1688"/>
      <c r="GXH32" s="1688"/>
      <c r="GXI32" s="1688"/>
      <c r="GXJ32" s="1688"/>
      <c r="GXK32" s="1688"/>
      <c r="GXL32" s="1688"/>
      <c r="GXM32" s="1688"/>
      <c r="GXN32" s="1688"/>
      <c r="GXO32" s="1688"/>
      <c r="GXP32" s="1688"/>
      <c r="GXQ32" s="1688"/>
      <c r="GXR32" s="1688"/>
      <c r="GXS32" s="1688"/>
      <c r="GXT32" s="1688"/>
      <c r="GXU32" s="1688"/>
      <c r="GXV32" s="1688"/>
      <c r="GXW32" s="1688"/>
      <c r="GXX32" s="1688"/>
      <c r="GXY32" s="1688"/>
      <c r="GXZ32" s="1688"/>
      <c r="GYA32" s="1688"/>
      <c r="GYB32" s="1688"/>
      <c r="GYC32" s="1688"/>
      <c r="GYD32" s="1688"/>
      <c r="GYE32" s="1688"/>
      <c r="GYF32" s="1688"/>
      <c r="GYG32" s="1688"/>
      <c r="GYH32" s="1688"/>
      <c r="GYI32" s="1688"/>
      <c r="GYJ32" s="1688"/>
      <c r="GYK32" s="1688"/>
      <c r="GYL32" s="1688"/>
      <c r="GYM32" s="1688"/>
      <c r="GYN32" s="1688"/>
      <c r="GYO32" s="1688"/>
      <c r="GYP32" s="1688"/>
      <c r="GYQ32" s="1688"/>
      <c r="GYR32" s="1688"/>
      <c r="GYS32" s="1688"/>
      <c r="GYT32" s="1688"/>
      <c r="GYU32" s="1688"/>
      <c r="GYV32" s="1688"/>
      <c r="GYW32" s="1688"/>
      <c r="GYX32" s="1688"/>
      <c r="GYY32" s="1688"/>
      <c r="GYZ32" s="1688"/>
      <c r="GZA32" s="1688"/>
      <c r="GZB32" s="1688"/>
      <c r="GZC32" s="1688"/>
      <c r="GZD32" s="1688"/>
      <c r="GZE32" s="1688"/>
      <c r="GZF32" s="1688"/>
      <c r="GZG32" s="1688"/>
      <c r="GZH32" s="1688"/>
      <c r="GZI32" s="1688"/>
      <c r="GZJ32" s="1688"/>
      <c r="GZK32" s="1688"/>
      <c r="GZL32" s="1688"/>
      <c r="GZM32" s="1688"/>
      <c r="GZN32" s="1688"/>
      <c r="GZO32" s="1688"/>
      <c r="GZP32" s="1688"/>
      <c r="GZQ32" s="1688"/>
      <c r="GZR32" s="1688"/>
      <c r="GZS32" s="1688"/>
      <c r="GZT32" s="1688"/>
      <c r="GZU32" s="1688"/>
      <c r="GZV32" s="1688"/>
      <c r="GZW32" s="1688"/>
      <c r="GZX32" s="1688"/>
      <c r="GZY32" s="1688"/>
      <c r="GZZ32" s="1688"/>
      <c r="HAA32" s="1688"/>
      <c r="HAB32" s="1688"/>
      <c r="HAC32" s="1688"/>
      <c r="HAD32" s="1688"/>
      <c r="HAE32" s="1688"/>
      <c r="HAF32" s="1688"/>
      <c r="HAG32" s="1688"/>
      <c r="HAH32" s="1688"/>
      <c r="HAI32" s="1688"/>
      <c r="HAJ32" s="1688"/>
      <c r="HAK32" s="1688"/>
      <c r="HAL32" s="1688"/>
      <c r="HAM32" s="1688"/>
      <c r="HAN32" s="1688"/>
      <c r="HAO32" s="1688"/>
      <c r="HAP32" s="1688"/>
      <c r="HAQ32" s="1688"/>
      <c r="HAR32" s="1688"/>
      <c r="HAS32" s="1688"/>
      <c r="HAT32" s="1688"/>
      <c r="HAU32" s="1688"/>
      <c r="HAV32" s="1688"/>
      <c r="HAW32" s="1688"/>
      <c r="HAX32" s="1688"/>
      <c r="HAY32" s="1688"/>
      <c r="HAZ32" s="1688"/>
      <c r="HBA32" s="1688"/>
      <c r="HBB32" s="1688"/>
      <c r="HBC32" s="1688"/>
      <c r="HBD32" s="1688"/>
      <c r="HBE32" s="1688"/>
      <c r="HBF32" s="1688"/>
      <c r="HBG32" s="1688"/>
      <c r="HBH32" s="1688"/>
      <c r="HBI32" s="1688"/>
      <c r="HBJ32" s="1688"/>
      <c r="HBK32" s="1688"/>
      <c r="HBL32" s="1688"/>
      <c r="HBM32" s="1688"/>
      <c r="HBN32" s="1688"/>
      <c r="HBO32" s="1688"/>
      <c r="HBP32" s="1688"/>
      <c r="HBQ32" s="1688"/>
      <c r="HBR32" s="1688"/>
      <c r="HBS32" s="1688"/>
      <c r="HBT32" s="1688"/>
      <c r="HBU32" s="1688"/>
      <c r="HBV32" s="1688"/>
      <c r="HBW32" s="1688"/>
      <c r="HBX32" s="1688"/>
      <c r="HBY32" s="1688"/>
      <c r="HBZ32" s="1688"/>
      <c r="HCA32" s="1688"/>
      <c r="HCB32" s="1688"/>
      <c r="HCC32" s="1688"/>
      <c r="HCD32" s="1688"/>
      <c r="HCE32" s="1688"/>
      <c r="HCF32" s="1688"/>
      <c r="HCG32" s="1688"/>
      <c r="HCH32" s="1688"/>
      <c r="HCI32" s="1688"/>
      <c r="HCJ32" s="1688"/>
      <c r="HCK32" s="1688"/>
      <c r="HCL32" s="1688"/>
      <c r="HCM32" s="1688"/>
      <c r="HCN32" s="1688"/>
      <c r="HCO32" s="1688"/>
      <c r="HCP32" s="1688"/>
      <c r="HCQ32" s="1688"/>
      <c r="HCR32" s="1688"/>
      <c r="HCS32" s="1688"/>
      <c r="HCT32" s="1688"/>
      <c r="HCU32" s="1688"/>
      <c r="HCV32" s="1688"/>
      <c r="HCW32" s="1688"/>
      <c r="HCX32" s="1688"/>
      <c r="HCY32" s="1688"/>
      <c r="HCZ32" s="1688"/>
      <c r="HDA32" s="1688"/>
      <c r="HDB32" s="1688"/>
      <c r="HDC32" s="1688"/>
      <c r="HDD32" s="1688"/>
      <c r="HDE32" s="1688"/>
      <c r="HDF32" s="1688"/>
      <c r="HDG32" s="1688"/>
      <c r="HDH32" s="1688"/>
      <c r="HDI32" s="1688"/>
      <c r="HDJ32" s="1688"/>
      <c r="HDK32" s="1688"/>
      <c r="HDL32" s="1688"/>
      <c r="HDM32" s="1688"/>
      <c r="HDN32" s="1688"/>
      <c r="HDO32" s="1688"/>
      <c r="HDP32" s="1688"/>
      <c r="HDQ32" s="1688"/>
      <c r="HDR32" s="1688"/>
      <c r="HDS32" s="1688"/>
      <c r="HDT32" s="1688"/>
      <c r="HDU32" s="1688"/>
      <c r="HDV32" s="1688"/>
      <c r="HDW32" s="1688"/>
      <c r="HDX32" s="1688"/>
      <c r="HDY32" s="1688"/>
      <c r="HDZ32" s="1688"/>
      <c r="HEA32" s="1688"/>
      <c r="HEB32" s="1688"/>
      <c r="HEC32" s="1688"/>
      <c r="HED32" s="1688"/>
      <c r="HEE32" s="1688"/>
      <c r="HEF32" s="1688"/>
      <c r="HEG32" s="1688"/>
      <c r="HEH32" s="1688"/>
      <c r="HEI32" s="1688"/>
      <c r="HEJ32" s="1688"/>
      <c r="HEK32" s="1688"/>
      <c r="HEL32" s="1688"/>
      <c r="HEM32" s="1688"/>
      <c r="HEN32" s="1688"/>
      <c r="HEO32" s="1688"/>
      <c r="HEP32" s="1688"/>
      <c r="HEQ32" s="1688"/>
      <c r="HER32" s="1688"/>
      <c r="HES32" s="1688"/>
      <c r="HET32" s="1688"/>
      <c r="HEU32" s="1688"/>
      <c r="HEV32" s="1688"/>
      <c r="HEW32" s="1688"/>
      <c r="HEX32" s="1688"/>
      <c r="HEY32" s="1688"/>
      <c r="HEZ32" s="1688"/>
      <c r="HFA32" s="1688"/>
      <c r="HFB32" s="1688"/>
      <c r="HFC32" s="1688"/>
      <c r="HFD32" s="1688"/>
      <c r="HFE32" s="1688"/>
      <c r="HFF32" s="1688"/>
      <c r="HFG32" s="1688"/>
      <c r="HFH32" s="1688"/>
      <c r="HFI32" s="1688"/>
      <c r="HFJ32" s="1688"/>
      <c r="HFK32" s="1688"/>
      <c r="HFL32" s="1688"/>
      <c r="HFM32" s="1688"/>
      <c r="HFN32" s="1688"/>
      <c r="HFO32" s="1688"/>
      <c r="HFP32" s="1688"/>
      <c r="HFQ32" s="1688"/>
      <c r="HFR32" s="1688"/>
      <c r="HFS32" s="1688"/>
      <c r="HFT32" s="1688"/>
      <c r="HFU32" s="1688"/>
      <c r="HFV32" s="1688"/>
      <c r="HFW32" s="1688"/>
      <c r="HFX32" s="1688"/>
      <c r="HFY32" s="1688"/>
      <c r="HFZ32" s="1688"/>
      <c r="HGA32" s="1688"/>
      <c r="HGB32" s="1688"/>
      <c r="HGC32" s="1688"/>
      <c r="HGD32" s="1688"/>
      <c r="HGE32" s="1688"/>
      <c r="HGF32" s="1688"/>
      <c r="HGG32" s="1688"/>
      <c r="HGH32" s="1688"/>
      <c r="HGI32" s="1688"/>
      <c r="HGJ32" s="1688"/>
      <c r="HGK32" s="1688"/>
      <c r="HGL32" s="1688"/>
      <c r="HGM32" s="1688"/>
      <c r="HGN32" s="1688"/>
      <c r="HGO32" s="1688"/>
      <c r="HGP32" s="1688"/>
      <c r="HGQ32" s="1688"/>
      <c r="HGR32" s="1688"/>
      <c r="HGS32" s="1688"/>
      <c r="HGT32" s="1688"/>
      <c r="HGU32" s="1688"/>
      <c r="HGV32" s="1688"/>
      <c r="HGW32" s="1688"/>
      <c r="HGX32" s="1688"/>
      <c r="HGY32" s="1688"/>
      <c r="HGZ32" s="1688"/>
      <c r="HHA32" s="1688"/>
      <c r="HHB32" s="1688"/>
      <c r="HHC32" s="1688"/>
      <c r="HHD32" s="1688"/>
      <c r="HHE32" s="1688"/>
      <c r="HHF32" s="1688"/>
      <c r="HHG32" s="1688"/>
      <c r="HHH32" s="1688"/>
      <c r="HHI32" s="1688"/>
      <c r="HHJ32" s="1688"/>
      <c r="HHK32" s="1688"/>
      <c r="HHL32" s="1688"/>
      <c r="HHM32" s="1688"/>
      <c r="HHN32" s="1688"/>
      <c r="HHO32" s="1688"/>
      <c r="HHP32" s="1688"/>
      <c r="HHQ32" s="1688"/>
      <c r="HHR32" s="1688"/>
      <c r="HHS32" s="1688"/>
      <c r="HHT32" s="1688"/>
      <c r="HHU32" s="1688"/>
      <c r="HHV32" s="1688"/>
      <c r="HHW32" s="1688"/>
      <c r="HHX32" s="1688"/>
      <c r="HHY32" s="1688"/>
      <c r="HHZ32" s="1688"/>
      <c r="HIA32" s="1688"/>
      <c r="HIB32" s="1688"/>
      <c r="HIC32" s="1688"/>
      <c r="HID32" s="1688"/>
      <c r="HIE32" s="1688"/>
      <c r="HIF32" s="1688"/>
      <c r="HIG32" s="1688"/>
      <c r="HIH32" s="1688"/>
      <c r="HII32" s="1688"/>
      <c r="HIJ32" s="1688"/>
      <c r="HIK32" s="1688"/>
      <c r="HIL32" s="1688"/>
      <c r="HIM32" s="1688"/>
      <c r="HIN32" s="1688"/>
      <c r="HIO32" s="1688"/>
      <c r="HIP32" s="1688"/>
      <c r="HIQ32" s="1688"/>
      <c r="HIR32" s="1688"/>
      <c r="HIS32" s="1688"/>
      <c r="HIT32" s="1688"/>
      <c r="HIU32" s="1688"/>
      <c r="HIV32" s="1688"/>
      <c r="HIW32" s="1688"/>
      <c r="HIX32" s="1688"/>
      <c r="HIY32" s="1688"/>
      <c r="HIZ32" s="1688"/>
      <c r="HJA32" s="1688"/>
      <c r="HJB32" s="1688"/>
      <c r="HJC32" s="1688"/>
      <c r="HJD32" s="1688"/>
      <c r="HJE32" s="1688"/>
      <c r="HJF32" s="1688"/>
      <c r="HJG32" s="1688"/>
      <c r="HJH32" s="1688"/>
      <c r="HJI32" s="1688"/>
      <c r="HJJ32" s="1688"/>
      <c r="HJK32" s="1688"/>
      <c r="HJL32" s="1688"/>
      <c r="HJM32" s="1688"/>
      <c r="HJN32" s="1688"/>
      <c r="HJO32" s="1688"/>
      <c r="HJP32" s="1688"/>
      <c r="HJQ32" s="1688"/>
      <c r="HJR32" s="1688"/>
      <c r="HJS32" s="1688"/>
      <c r="HJT32" s="1688"/>
      <c r="HJU32" s="1688"/>
      <c r="HJV32" s="1688"/>
      <c r="HJW32" s="1688"/>
      <c r="HJX32" s="1688"/>
      <c r="HJY32" s="1688"/>
      <c r="HJZ32" s="1688"/>
      <c r="HKA32" s="1688"/>
      <c r="HKB32" s="1688"/>
      <c r="HKC32" s="1688"/>
      <c r="HKD32" s="1688"/>
      <c r="HKE32" s="1688"/>
      <c r="HKF32" s="1688"/>
      <c r="HKG32" s="1688"/>
      <c r="HKH32" s="1688"/>
      <c r="HKI32" s="1688"/>
      <c r="HKJ32" s="1688"/>
      <c r="HKK32" s="1688"/>
      <c r="HKL32" s="1688"/>
      <c r="HKM32" s="1688"/>
      <c r="HKN32" s="1688"/>
      <c r="HKO32" s="1688"/>
      <c r="HKP32" s="1688"/>
      <c r="HKQ32" s="1688"/>
      <c r="HKR32" s="1688"/>
      <c r="HKS32" s="1688"/>
      <c r="HKT32" s="1688"/>
      <c r="HKU32" s="1688"/>
      <c r="HKV32" s="1688"/>
      <c r="HKW32" s="1688"/>
      <c r="HKX32" s="1688"/>
      <c r="HKY32" s="1688"/>
      <c r="HKZ32" s="1688"/>
      <c r="HLA32" s="1688"/>
      <c r="HLB32" s="1688"/>
      <c r="HLC32" s="1688"/>
      <c r="HLD32" s="1688"/>
      <c r="HLE32" s="1688"/>
      <c r="HLF32" s="1688"/>
      <c r="HLG32" s="1688"/>
      <c r="HLH32" s="1688"/>
      <c r="HLI32" s="1688"/>
      <c r="HLJ32" s="1688"/>
      <c r="HLK32" s="1688"/>
      <c r="HLL32" s="1688"/>
      <c r="HLM32" s="1688"/>
      <c r="HLN32" s="1688"/>
      <c r="HLO32" s="1688"/>
      <c r="HLP32" s="1688"/>
      <c r="HLQ32" s="1688"/>
      <c r="HLR32" s="1688"/>
      <c r="HLS32" s="1688"/>
      <c r="HLT32" s="1688"/>
      <c r="HLU32" s="1688"/>
      <c r="HLV32" s="1688"/>
      <c r="HLW32" s="1688"/>
      <c r="HLX32" s="1688"/>
      <c r="HLY32" s="1688"/>
      <c r="HLZ32" s="1688"/>
      <c r="HMA32" s="1688"/>
      <c r="HMB32" s="1688"/>
      <c r="HMC32" s="1688"/>
      <c r="HMD32" s="1688"/>
      <c r="HME32" s="1688"/>
      <c r="HMF32" s="1688"/>
      <c r="HMG32" s="1688"/>
      <c r="HMH32" s="1688"/>
      <c r="HMI32" s="1688"/>
      <c r="HMJ32" s="1688"/>
      <c r="HMK32" s="1688"/>
      <c r="HML32" s="1688"/>
      <c r="HMM32" s="1688"/>
      <c r="HMN32" s="1688"/>
      <c r="HMO32" s="1688"/>
      <c r="HMP32" s="1688"/>
      <c r="HMQ32" s="1688"/>
      <c r="HMR32" s="1688"/>
      <c r="HMS32" s="1688"/>
      <c r="HMT32" s="1688"/>
      <c r="HMU32" s="1688"/>
      <c r="HMV32" s="1688"/>
      <c r="HMW32" s="1688"/>
      <c r="HMX32" s="1688"/>
      <c r="HMY32" s="1688"/>
      <c r="HMZ32" s="1688"/>
      <c r="HNA32" s="1688"/>
      <c r="HNB32" s="1688"/>
      <c r="HNC32" s="1688"/>
      <c r="HND32" s="1688"/>
      <c r="HNE32" s="1688"/>
      <c r="HNF32" s="1688"/>
      <c r="HNG32" s="1688"/>
      <c r="HNH32" s="1688"/>
      <c r="HNI32" s="1688"/>
      <c r="HNJ32" s="1688"/>
      <c r="HNK32" s="1688"/>
      <c r="HNL32" s="1688"/>
      <c r="HNM32" s="1688"/>
      <c r="HNN32" s="1688"/>
      <c r="HNO32" s="1688"/>
      <c r="HNP32" s="1688"/>
      <c r="HNQ32" s="1688"/>
      <c r="HNR32" s="1688"/>
      <c r="HNS32" s="1688"/>
      <c r="HNT32" s="1688"/>
      <c r="HNU32" s="1688"/>
      <c r="HNV32" s="1688"/>
      <c r="HNW32" s="1688"/>
      <c r="HNX32" s="1688"/>
      <c r="HNY32" s="1688"/>
      <c r="HNZ32" s="1688"/>
      <c r="HOA32" s="1688"/>
      <c r="HOB32" s="1688"/>
      <c r="HOC32" s="1688"/>
      <c r="HOD32" s="1688"/>
      <c r="HOE32" s="1688"/>
      <c r="HOF32" s="1688"/>
      <c r="HOG32" s="1688"/>
      <c r="HOH32" s="1688"/>
      <c r="HOI32" s="1688"/>
      <c r="HOJ32" s="1688"/>
      <c r="HOK32" s="1688"/>
      <c r="HOL32" s="1688"/>
      <c r="HOM32" s="1688"/>
      <c r="HON32" s="1688"/>
      <c r="HOO32" s="1688"/>
      <c r="HOP32" s="1688"/>
      <c r="HOQ32" s="1688"/>
      <c r="HOR32" s="1688"/>
      <c r="HOS32" s="1688"/>
      <c r="HOT32" s="1688"/>
      <c r="HOU32" s="1688"/>
      <c r="HOV32" s="1688"/>
      <c r="HOW32" s="1688"/>
      <c r="HOX32" s="1688"/>
      <c r="HOY32" s="1688"/>
      <c r="HOZ32" s="1688"/>
      <c r="HPA32" s="1688"/>
      <c r="HPB32" s="1688"/>
      <c r="HPC32" s="1688"/>
      <c r="HPD32" s="1688"/>
      <c r="HPE32" s="1688"/>
      <c r="HPF32" s="1688"/>
      <c r="HPG32" s="1688"/>
      <c r="HPH32" s="1688"/>
      <c r="HPI32" s="1688"/>
      <c r="HPJ32" s="1688"/>
      <c r="HPK32" s="1688"/>
      <c r="HPL32" s="1688"/>
      <c r="HPM32" s="1688"/>
      <c r="HPN32" s="1688"/>
      <c r="HPO32" s="1688"/>
      <c r="HPP32" s="1688"/>
      <c r="HPQ32" s="1688"/>
      <c r="HPR32" s="1688"/>
      <c r="HPS32" s="1688"/>
      <c r="HPT32" s="1688"/>
      <c r="HPU32" s="1688"/>
      <c r="HPV32" s="1688"/>
      <c r="HPW32" s="1688"/>
      <c r="HPX32" s="1688"/>
      <c r="HPY32" s="1688"/>
      <c r="HPZ32" s="1688"/>
      <c r="HQA32" s="1688"/>
      <c r="HQB32" s="1688"/>
      <c r="HQC32" s="1688"/>
      <c r="HQD32" s="1688"/>
      <c r="HQE32" s="1688"/>
      <c r="HQF32" s="1688"/>
      <c r="HQG32" s="1688"/>
      <c r="HQH32" s="1688"/>
      <c r="HQI32" s="1688"/>
      <c r="HQJ32" s="1688"/>
      <c r="HQK32" s="1688"/>
      <c r="HQL32" s="1688"/>
      <c r="HQM32" s="1688"/>
      <c r="HQN32" s="1688"/>
      <c r="HQO32" s="1688"/>
      <c r="HQP32" s="1688"/>
      <c r="HQQ32" s="1688"/>
      <c r="HQR32" s="1688"/>
      <c r="HQS32" s="1688"/>
      <c r="HQT32" s="1688"/>
      <c r="HQU32" s="1688"/>
      <c r="HQV32" s="1688"/>
      <c r="HQW32" s="1688"/>
      <c r="HQX32" s="1688"/>
      <c r="HQY32" s="1688"/>
      <c r="HQZ32" s="1688"/>
      <c r="HRA32" s="1688"/>
      <c r="HRB32" s="1688"/>
      <c r="HRC32" s="1688"/>
      <c r="HRD32" s="1688"/>
      <c r="HRE32" s="1688"/>
      <c r="HRF32" s="1688"/>
      <c r="HRG32" s="1688"/>
      <c r="HRH32" s="1688"/>
      <c r="HRI32" s="1688"/>
      <c r="HRJ32" s="1688"/>
      <c r="HRK32" s="1688"/>
      <c r="HRL32" s="1688"/>
      <c r="HRM32" s="1688"/>
      <c r="HRN32" s="1688"/>
      <c r="HRO32" s="1688"/>
      <c r="HRP32" s="1688"/>
      <c r="HRQ32" s="1688"/>
      <c r="HRR32" s="1688"/>
      <c r="HRS32" s="1688"/>
      <c r="HRT32" s="1688"/>
      <c r="HRU32" s="1688"/>
      <c r="HRV32" s="1688"/>
      <c r="HRW32" s="1688"/>
      <c r="HRX32" s="1688"/>
      <c r="HRY32" s="1688"/>
      <c r="HRZ32" s="1688"/>
      <c r="HSA32" s="1688"/>
      <c r="HSB32" s="1688"/>
      <c r="HSC32" s="1688"/>
      <c r="HSD32" s="1688"/>
      <c r="HSE32" s="1688"/>
      <c r="HSF32" s="1688"/>
      <c r="HSG32" s="1688"/>
      <c r="HSH32" s="1688"/>
      <c r="HSI32" s="1688"/>
      <c r="HSJ32" s="1688"/>
      <c r="HSK32" s="1688"/>
      <c r="HSL32" s="1688"/>
      <c r="HSM32" s="1688"/>
      <c r="HSN32" s="1688"/>
      <c r="HSO32" s="1688"/>
      <c r="HSP32" s="1688"/>
      <c r="HSQ32" s="1688"/>
      <c r="HSR32" s="1688"/>
      <c r="HSS32" s="1688"/>
      <c r="HST32" s="1688"/>
      <c r="HSU32" s="1688"/>
      <c r="HSV32" s="1688"/>
      <c r="HSW32" s="1688"/>
      <c r="HSX32" s="1688"/>
      <c r="HSY32" s="1688"/>
      <c r="HSZ32" s="1688"/>
      <c r="HTA32" s="1688"/>
      <c r="HTB32" s="1688"/>
      <c r="HTC32" s="1688"/>
      <c r="HTD32" s="1688"/>
      <c r="HTE32" s="1688"/>
      <c r="HTF32" s="1688"/>
      <c r="HTG32" s="1688"/>
      <c r="HTH32" s="1688"/>
      <c r="HTI32" s="1688"/>
      <c r="HTJ32" s="1688"/>
      <c r="HTK32" s="1688"/>
      <c r="HTL32" s="1688"/>
      <c r="HTM32" s="1688"/>
      <c r="HTN32" s="1688"/>
      <c r="HTO32" s="1688"/>
      <c r="HTP32" s="1688"/>
      <c r="HTQ32" s="1688"/>
      <c r="HTR32" s="1688"/>
      <c r="HTS32" s="1688"/>
      <c r="HTT32" s="1688"/>
      <c r="HTU32" s="1688"/>
      <c r="HTV32" s="1688"/>
      <c r="HTW32" s="1688"/>
      <c r="HTX32" s="1688"/>
      <c r="HTY32" s="1688"/>
      <c r="HTZ32" s="1688"/>
      <c r="HUA32" s="1688"/>
      <c r="HUB32" s="1688"/>
      <c r="HUC32" s="1688"/>
      <c r="HUD32" s="1688"/>
      <c r="HUE32" s="1688"/>
      <c r="HUF32" s="1688"/>
      <c r="HUG32" s="1688"/>
      <c r="HUH32" s="1688"/>
      <c r="HUI32" s="1688"/>
      <c r="HUJ32" s="1688"/>
      <c r="HUK32" s="1688"/>
      <c r="HUL32" s="1688"/>
      <c r="HUM32" s="1688"/>
      <c r="HUN32" s="1688"/>
      <c r="HUO32" s="1688"/>
      <c r="HUP32" s="1688"/>
      <c r="HUQ32" s="1688"/>
      <c r="HUR32" s="1688"/>
      <c r="HUS32" s="1688"/>
      <c r="HUT32" s="1688"/>
      <c r="HUU32" s="1688"/>
      <c r="HUV32" s="1688"/>
      <c r="HUW32" s="1688"/>
      <c r="HUX32" s="1688"/>
      <c r="HUY32" s="1688"/>
      <c r="HUZ32" s="1688"/>
      <c r="HVA32" s="1688"/>
      <c r="HVB32" s="1688"/>
      <c r="HVC32" s="1688"/>
      <c r="HVD32" s="1688"/>
      <c r="HVE32" s="1688"/>
      <c r="HVF32" s="1688"/>
      <c r="HVG32" s="1688"/>
      <c r="HVH32" s="1688"/>
      <c r="HVI32" s="1688"/>
      <c r="HVJ32" s="1688"/>
      <c r="HVK32" s="1688"/>
      <c r="HVL32" s="1688"/>
      <c r="HVM32" s="1688"/>
      <c r="HVN32" s="1688"/>
      <c r="HVO32" s="1688"/>
      <c r="HVP32" s="1688"/>
      <c r="HVQ32" s="1688"/>
      <c r="HVR32" s="1688"/>
      <c r="HVS32" s="1688"/>
      <c r="HVT32" s="1688"/>
      <c r="HVU32" s="1688"/>
      <c r="HVV32" s="1688"/>
      <c r="HVW32" s="1688"/>
      <c r="HVX32" s="1688"/>
      <c r="HVY32" s="1688"/>
      <c r="HVZ32" s="1688"/>
      <c r="HWA32" s="1688"/>
      <c r="HWB32" s="1688"/>
      <c r="HWC32" s="1688"/>
      <c r="HWD32" s="1688"/>
      <c r="HWE32" s="1688"/>
      <c r="HWF32" s="1688"/>
      <c r="HWG32" s="1688"/>
      <c r="HWH32" s="1688"/>
      <c r="HWI32" s="1688"/>
      <c r="HWJ32" s="1688"/>
      <c r="HWK32" s="1688"/>
      <c r="HWL32" s="1688"/>
      <c r="HWM32" s="1688"/>
      <c r="HWN32" s="1688"/>
      <c r="HWO32" s="1688"/>
      <c r="HWP32" s="1688"/>
      <c r="HWQ32" s="1688"/>
      <c r="HWR32" s="1688"/>
      <c r="HWS32" s="1688"/>
      <c r="HWT32" s="1688"/>
      <c r="HWU32" s="1688"/>
      <c r="HWV32" s="1688"/>
      <c r="HWW32" s="1688"/>
      <c r="HWX32" s="1688"/>
      <c r="HWY32" s="1688"/>
      <c r="HWZ32" s="1688"/>
      <c r="HXA32" s="1688"/>
      <c r="HXB32" s="1688"/>
      <c r="HXC32" s="1688"/>
      <c r="HXD32" s="1688"/>
      <c r="HXE32" s="1688"/>
      <c r="HXF32" s="1688"/>
      <c r="HXG32" s="1688"/>
      <c r="HXH32" s="1688"/>
      <c r="HXI32" s="1688"/>
      <c r="HXJ32" s="1688"/>
      <c r="HXK32" s="1688"/>
      <c r="HXL32" s="1688"/>
      <c r="HXM32" s="1688"/>
      <c r="HXN32" s="1688"/>
      <c r="HXO32" s="1688"/>
      <c r="HXP32" s="1688"/>
      <c r="HXQ32" s="1688"/>
      <c r="HXR32" s="1688"/>
      <c r="HXS32" s="1688"/>
      <c r="HXT32" s="1688"/>
      <c r="HXU32" s="1688"/>
      <c r="HXV32" s="1688"/>
      <c r="HXW32" s="1688"/>
      <c r="HXX32" s="1688"/>
      <c r="HXY32" s="1688"/>
      <c r="HXZ32" s="1688"/>
      <c r="HYA32" s="1688"/>
      <c r="HYB32" s="1688"/>
      <c r="HYC32" s="1688"/>
      <c r="HYD32" s="1688"/>
      <c r="HYE32" s="1688"/>
      <c r="HYF32" s="1688"/>
      <c r="HYG32" s="1688"/>
      <c r="HYH32" s="1688"/>
      <c r="HYI32" s="1688"/>
      <c r="HYJ32" s="1688"/>
      <c r="HYK32" s="1688"/>
      <c r="HYL32" s="1688"/>
      <c r="HYM32" s="1688"/>
      <c r="HYN32" s="1688"/>
      <c r="HYO32" s="1688"/>
      <c r="HYP32" s="1688"/>
      <c r="HYQ32" s="1688"/>
      <c r="HYR32" s="1688"/>
      <c r="HYS32" s="1688"/>
      <c r="HYT32" s="1688"/>
      <c r="HYU32" s="1688"/>
      <c r="HYV32" s="1688"/>
      <c r="HYW32" s="1688"/>
      <c r="HYX32" s="1688"/>
      <c r="HYY32" s="1688"/>
      <c r="HYZ32" s="1688"/>
      <c r="HZA32" s="1688"/>
      <c r="HZB32" s="1688"/>
      <c r="HZC32" s="1688"/>
      <c r="HZD32" s="1688"/>
      <c r="HZE32" s="1688"/>
      <c r="HZF32" s="1688"/>
      <c r="HZG32" s="1688"/>
      <c r="HZH32" s="1688"/>
      <c r="HZI32" s="1688"/>
      <c r="HZJ32" s="1688"/>
      <c r="HZK32" s="1688"/>
      <c r="HZL32" s="1688"/>
      <c r="HZM32" s="1688"/>
      <c r="HZN32" s="1688"/>
      <c r="HZO32" s="1688"/>
      <c r="HZP32" s="1688"/>
      <c r="HZQ32" s="1688"/>
      <c r="HZR32" s="1688"/>
      <c r="HZS32" s="1688"/>
      <c r="HZT32" s="1688"/>
      <c r="HZU32" s="1688"/>
      <c r="HZV32" s="1688"/>
      <c r="HZW32" s="1688"/>
      <c r="HZX32" s="1688"/>
      <c r="HZY32" s="1688"/>
      <c r="HZZ32" s="1688"/>
      <c r="IAA32" s="1688"/>
      <c r="IAB32" s="1688"/>
      <c r="IAC32" s="1688"/>
      <c r="IAD32" s="1688"/>
      <c r="IAE32" s="1688"/>
      <c r="IAF32" s="1688"/>
      <c r="IAG32" s="1688"/>
      <c r="IAH32" s="1688"/>
      <c r="IAI32" s="1688"/>
      <c r="IAJ32" s="1688"/>
      <c r="IAK32" s="1688"/>
      <c r="IAL32" s="1688"/>
      <c r="IAM32" s="1688"/>
      <c r="IAN32" s="1688"/>
      <c r="IAO32" s="1688"/>
      <c r="IAP32" s="1688"/>
      <c r="IAQ32" s="1688"/>
      <c r="IAR32" s="1688"/>
      <c r="IAS32" s="1688"/>
      <c r="IAT32" s="1688"/>
      <c r="IAU32" s="1688"/>
      <c r="IAV32" s="1688"/>
      <c r="IAW32" s="1688"/>
      <c r="IAX32" s="1688"/>
      <c r="IAY32" s="1688"/>
      <c r="IAZ32" s="1688"/>
      <c r="IBA32" s="1688"/>
      <c r="IBB32" s="1688"/>
      <c r="IBC32" s="1688"/>
      <c r="IBD32" s="1688"/>
      <c r="IBE32" s="1688"/>
      <c r="IBF32" s="1688"/>
      <c r="IBG32" s="1688"/>
      <c r="IBH32" s="1688"/>
      <c r="IBI32" s="1688"/>
      <c r="IBJ32" s="1688"/>
      <c r="IBK32" s="1688"/>
      <c r="IBL32" s="1688"/>
      <c r="IBM32" s="1688"/>
      <c r="IBN32" s="1688"/>
      <c r="IBO32" s="1688"/>
      <c r="IBP32" s="1688"/>
      <c r="IBQ32" s="1688"/>
      <c r="IBR32" s="1688"/>
      <c r="IBS32" s="1688"/>
      <c r="IBT32" s="1688"/>
      <c r="IBU32" s="1688"/>
      <c r="IBV32" s="1688"/>
      <c r="IBW32" s="1688"/>
      <c r="IBX32" s="1688"/>
      <c r="IBY32" s="1688"/>
      <c r="IBZ32" s="1688"/>
      <c r="ICA32" s="1688"/>
      <c r="ICB32" s="1688"/>
      <c r="ICC32" s="1688"/>
      <c r="ICD32" s="1688"/>
      <c r="ICE32" s="1688"/>
      <c r="ICF32" s="1688"/>
      <c r="ICG32" s="1688"/>
      <c r="ICH32" s="1688"/>
      <c r="ICI32" s="1688"/>
      <c r="ICJ32" s="1688"/>
      <c r="ICK32" s="1688"/>
      <c r="ICL32" s="1688"/>
      <c r="ICM32" s="1688"/>
      <c r="ICN32" s="1688"/>
      <c r="ICO32" s="1688"/>
      <c r="ICP32" s="1688"/>
      <c r="ICQ32" s="1688"/>
      <c r="ICR32" s="1688"/>
      <c r="ICS32" s="1688"/>
      <c r="ICT32" s="1688"/>
      <c r="ICU32" s="1688"/>
      <c r="ICV32" s="1688"/>
      <c r="ICW32" s="1688"/>
      <c r="ICX32" s="1688"/>
      <c r="ICY32" s="1688"/>
      <c r="ICZ32" s="1688"/>
      <c r="IDA32" s="1688"/>
      <c r="IDB32" s="1688"/>
      <c r="IDC32" s="1688"/>
      <c r="IDD32" s="1688"/>
      <c r="IDE32" s="1688"/>
      <c r="IDF32" s="1688"/>
      <c r="IDG32" s="1688"/>
      <c r="IDH32" s="1688"/>
      <c r="IDI32" s="1688"/>
      <c r="IDJ32" s="1688"/>
      <c r="IDK32" s="1688"/>
      <c r="IDL32" s="1688"/>
      <c r="IDM32" s="1688"/>
      <c r="IDN32" s="1688"/>
      <c r="IDO32" s="1688"/>
      <c r="IDP32" s="1688"/>
      <c r="IDQ32" s="1688"/>
      <c r="IDR32" s="1688"/>
      <c r="IDS32" s="1688"/>
      <c r="IDT32" s="1688"/>
      <c r="IDU32" s="1688"/>
      <c r="IDV32" s="1688"/>
      <c r="IDW32" s="1688"/>
      <c r="IDX32" s="1688"/>
      <c r="IDY32" s="1688"/>
      <c r="IDZ32" s="1688"/>
      <c r="IEA32" s="1688"/>
      <c r="IEB32" s="1688"/>
      <c r="IEC32" s="1688"/>
      <c r="IED32" s="1688"/>
      <c r="IEE32" s="1688"/>
      <c r="IEF32" s="1688"/>
      <c r="IEG32" s="1688"/>
      <c r="IEH32" s="1688"/>
      <c r="IEI32" s="1688"/>
      <c r="IEJ32" s="1688"/>
      <c r="IEK32" s="1688"/>
      <c r="IEL32" s="1688"/>
      <c r="IEM32" s="1688"/>
      <c r="IEN32" s="1688"/>
      <c r="IEO32" s="1688"/>
      <c r="IEP32" s="1688"/>
      <c r="IEQ32" s="1688"/>
      <c r="IER32" s="1688"/>
      <c r="IES32" s="1688"/>
      <c r="IET32" s="1688"/>
      <c r="IEU32" s="1688"/>
      <c r="IEV32" s="1688"/>
      <c r="IEW32" s="1688"/>
      <c r="IEX32" s="1688"/>
      <c r="IEY32" s="1688"/>
      <c r="IEZ32" s="1688"/>
      <c r="IFA32" s="1688"/>
      <c r="IFB32" s="1688"/>
      <c r="IFC32" s="1688"/>
      <c r="IFD32" s="1688"/>
      <c r="IFE32" s="1688"/>
      <c r="IFF32" s="1688"/>
      <c r="IFG32" s="1688"/>
      <c r="IFH32" s="1688"/>
      <c r="IFI32" s="1688"/>
      <c r="IFJ32" s="1688"/>
      <c r="IFK32" s="1688"/>
      <c r="IFL32" s="1688"/>
      <c r="IFM32" s="1688"/>
      <c r="IFN32" s="1688"/>
      <c r="IFO32" s="1688"/>
      <c r="IFP32" s="1688"/>
      <c r="IFQ32" s="1688"/>
      <c r="IFR32" s="1688"/>
      <c r="IFS32" s="1688"/>
      <c r="IFT32" s="1688"/>
      <c r="IFU32" s="1688"/>
      <c r="IFV32" s="1688"/>
      <c r="IFW32" s="1688"/>
      <c r="IFX32" s="1688"/>
      <c r="IFY32" s="1688"/>
      <c r="IFZ32" s="1688"/>
      <c r="IGA32" s="1688"/>
      <c r="IGB32" s="1688"/>
      <c r="IGC32" s="1688"/>
      <c r="IGD32" s="1688"/>
      <c r="IGE32" s="1688"/>
      <c r="IGF32" s="1688"/>
      <c r="IGG32" s="1688"/>
      <c r="IGH32" s="1688"/>
      <c r="IGI32" s="1688"/>
      <c r="IGJ32" s="1688"/>
      <c r="IGK32" s="1688"/>
      <c r="IGL32" s="1688"/>
      <c r="IGM32" s="1688"/>
      <c r="IGN32" s="1688"/>
      <c r="IGO32" s="1688"/>
      <c r="IGP32" s="1688"/>
      <c r="IGQ32" s="1688"/>
      <c r="IGR32" s="1688"/>
      <c r="IGS32" s="1688"/>
      <c r="IGT32" s="1688"/>
      <c r="IGU32" s="1688"/>
      <c r="IGV32" s="1688"/>
      <c r="IGW32" s="1688"/>
      <c r="IGX32" s="1688"/>
      <c r="IGY32" s="1688"/>
      <c r="IGZ32" s="1688"/>
      <c r="IHA32" s="1688"/>
      <c r="IHB32" s="1688"/>
      <c r="IHC32" s="1688"/>
      <c r="IHD32" s="1688"/>
      <c r="IHE32" s="1688"/>
      <c r="IHF32" s="1688"/>
      <c r="IHG32" s="1688"/>
      <c r="IHH32" s="1688"/>
      <c r="IHI32" s="1688"/>
      <c r="IHJ32" s="1688"/>
      <c r="IHK32" s="1688"/>
      <c r="IHL32" s="1688"/>
      <c r="IHM32" s="1688"/>
      <c r="IHN32" s="1688"/>
      <c r="IHO32" s="1688"/>
      <c r="IHP32" s="1688"/>
      <c r="IHQ32" s="1688"/>
      <c r="IHR32" s="1688"/>
      <c r="IHS32" s="1688"/>
      <c r="IHT32" s="1688"/>
      <c r="IHU32" s="1688"/>
      <c r="IHV32" s="1688"/>
      <c r="IHW32" s="1688"/>
      <c r="IHX32" s="1688"/>
      <c r="IHY32" s="1688"/>
      <c r="IHZ32" s="1688"/>
      <c r="IIA32" s="1688"/>
      <c r="IIB32" s="1688"/>
      <c r="IIC32" s="1688"/>
      <c r="IID32" s="1688"/>
      <c r="IIE32" s="1688"/>
      <c r="IIF32" s="1688"/>
      <c r="IIG32" s="1688"/>
      <c r="IIH32" s="1688"/>
      <c r="III32" s="1688"/>
      <c r="IIJ32" s="1688"/>
      <c r="IIK32" s="1688"/>
      <c r="IIL32" s="1688"/>
      <c r="IIM32" s="1688"/>
      <c r="IIN32" s="1688"/>
      <c r="IIO32" s="1688"/>
      <c r="IIP32" s="1688"/>
      <c r="IIQ32" s="1688"/>
      <c r="IIR32" s="1688"/>
      <c r="IIS32" s="1688"/>
      <c r="IIT32" s="1688"/>
      <c r="IIU32" s="1688"/>
      <c r="IIV32" s="1688"/>
      <c r="IIW32" s="1688"/>
      <c r="IIX32" s="1688"/>
      <c r="IIY32" s="1688"/>
      <c r="IIZ32" s="1688"/>
      <c r="IJA32" s="1688"/>
      <c r="IJB32" s="1688"/>
      <c r="IJC32" s="1688"/>
      <c r="IJD32" s="1688"/>
      <c r="IJE32" s="1688"/>
      <c r="IJF32" s="1688"/>
      <c r="IJG32" s="1688"/>
      <c r="IJH32" s="1688"/>
      <c r="IJI32" s="1688"/>
      <c r="IJJ32" s="1688"/>
      <c r="IJK32" s="1688"/>
      <c r="IJL32" s="1688"/>
      <c r="IJM32" s="1688"/>
      <c r="IJN32" s="1688"/>
      <c r="IJO32" s="1688"/>
      <c r="IJP32" s="1688"/>
      <c r="IJQ32" s="1688"/>
      <c r="IJR32" s="1688"/>
      <c r="IJS32" s="1688"/>
      <c r="IJT32" s="1688"/>
      <c r="IJU32" s="1688"/>
      <c r="IJV32" s="1688"/>
      <c r="IJW32" s="1688"/>
      <c r="IJX32" s="1688"/>
      <c r="IJY32" s="1688"/>
      <c r="IJZ32" s="1688"/>
      <c r="IKA32" s="1688"/>
      <c r="IKB32" s="1688"/>
      <c r="IKC32" s="1688"/>
      <c r="IKD32" s="1688"/>
      <c r="IKE32" s="1688"/>
      <c r="IKF32" s="1688"/>
      <c r="IKG32" s="1688"/>
      <c r="IKH32" s="1688"/>
      <c r="IKI32" s="1688"/>
      <c r="IKJ32" s="1688"/>
      <c r="IKK32" s="1688"/>
      <c r="IKL32" s="1688"/>
      <c r="IKM32" s="1688"/>
      <c r="IKN32" s="1688"/>
      <c r="IKO32" s="1688"/>
      <c r="IKP32" s="1688"/>
      <c r="IKQ32" s="1688"/>
      <c r="IKR32" s="1688"/>
      <c r="IKS32" s="1688"/>
      <c r="IKT32" s="1688"/>
      <c r="IKU32" s="1688"/>
      <c r="IKV32" s="1688"/>
      <c r="IKW32" s="1688"/>
      <c r="IKX32" s="1688"/>
      <c r="IKY32" s="1688"/>
      <c r="IKZ32" s="1688"/>
      <c r="ILA32" s="1688"/>
      <c r="ILB32" s="1688"/>
      <c r="ILC32" s="1688"/>
      <c r="ILD32" s="1688"/>
      <c r="ILE32" s="1688"/>
      <c r="ILF32" s="1688"/>
      <c r="ILG32" s="1688"/>
      <c r="ILH32" s="1688"/>
      <c r="ILI32" s="1688"/>
      <c r="ILJ32" s="1688"/>
      <c r="ILK32" s="1688"/>
      <c r="ILL32" s="1688"/>
      <c r="ILM32" s="1688"/>
      <c r="ILN32" s="1688"/>
      <c r="ILO32" s="1688"/>
      <c r="ILP32" s="1688"/>
      <c r="ILQ32" s="1688"/>
      <c r="ILR32" s="1688"/>
      <c r="ILS32" s="1688"/>
      <c r="ILT32" s="1688"/>
      <c r="ILU32" s="1688"/>
      <c r="ILV32" s="1688"/>
      <c r="ILW32" s="1688"/>
      <c r="ILX32" s="1688"/>
      <c r="ILY32" s="1688"/>
      <c r="ILZ32" s="1688"/>
      <c r="IMA32" s="1688"/>
      <c r="IMB32" s="1688"/>
      <c r="IMC32" s="1688"/>
      <c r="IMD32" s="1688"/>
      <c r="IME32" s="1688"/>
      <c r="IMF32" s="1688"/>
      <c r="IMG32" s="1688"/>
      <c r="IMH32" s="1688"/>
      <c r="IMI32" s="1688"/>
      <c r="IMJ32" s="1688"/>
      <c r="IMK32" s="1688"/>
      <c r="IML32" s="1688"/>
      <c r="IMM32" s="1688"/>
      <c r="IMN32" s="1688"/>
      <c r="IMO32" s="1688"/>
      <c r="IMP32" s="1688"/>
      <c r="IMQ32" s="1688"/>
      <c r="IMR32" s="1688"/>
      <c r="IMS32" s="1688"/>
      <c r="IMT32" s="1688"/>
      <c r="IMU32" s="1688"/>
      <c r="IMV32" s="1688"/>
      <c r="IMW32" s="1688"/>
      <c r="IMX32" s="1688"/>
      <c r="IMY32" s="1688"/>
      <c r="IMZ32" s="1688"/>
      <c r="INA32" s="1688"/>
      <c r="INB32" s="1688"/>
      <c r="INC32" s="1688"/>
      <c r="IND32" s="1688"/>
      <c r="INE32" s="1688"/>
      <c r="INF32" s="1688"/>
      <c r="ING32" s="1688"/>
      <c r="INH32" s="1688"/>
      <c r="INI32" s="1688"/>
      <c r="INJ32" s="1688"/>
      <c r="INK32" s="1688"/>
      <c r="INL32" s="1688"/>
      <c r="INM32" s="1688"/>
      <c r="INN32" s="1688"/>
      <c r="INO32" s="1688"/>
      <c r="INP32" s="1688"/>
      <c r="INQ32" s="1688"/>
      <c r="INR32" s="1688"/>
      <c r="INS32" s="1688"/>
      <c r="INT32" s="1688"/>
      <c r="INU32" s="1688"/>
      <c r="INV32" s="1688"/>
      <c r="INW32" s="1688"/>
      <c r="INX32" s="1688"/>
      <c r="INY32" s="1688"/>
      <c r="INZ32" s="1688"/>
      <c r="IOA32" s="1688"/>
      <c r="IOB32" s="1688"/>
      <c r="IOC32" s="1688"/>
      <c r="IOD32" s="1688"/>
      <c r="IOE32" s="1688"/>
      <c r="IOF32" s="1688"/>
      <c r="IOG32" s="1688"/>
      <c r="IOH32" s="1688"/>
      <c r="IOI32" s="1688"/>
      <c r="IOJ32" s="1688"/>
      <c r="IOK32" s="1688"/>
      <c r="IOL32" s="1688"/>
      <c r="IOM32" s="1688"/>
      <c r="ION32" s="1688"/>
      <c r="IOO32" s="1688"/>
      <c r="IOP32" s="1688"/>
      <c r="IOQ32" s="1688"/>
      <c r="IOR32" s="1688"/>
      <c r="IOS32" s="1688"/>
      <c r="IOT32" s="1688"/>
      <c r="IOU32" s="1688"/>
      <c r="IOV32" s="1688"/>
      <c r="IOW32" s="1688"/>
      <c r="IOX32" s="1688"/>
      <c r="IOY32" s="1688"/>
      <c r="IOZ32" s="1688"/>
      <c r="IPA32" s="1688"/>
      <c r="IPB32" s="1688"/>
      <c r="IPC32" s="1688"/>
      <c r="IPD32" s="1688"/>
      <c r="IPE32" s="1688"/>
      <c r="IPF32" s="1688"/>
      <c r="IPG32" s="1688"/>
      <c r="IPH32" s="1688"/>
      <c r="IPI32" s="1688"/>
      <c r="IPJ32" s="1688"/>
      <c r="IPK32" s="1688"/>
      <c r="IPL32" s="1688"/>
      <c r="IPM32" s="1688"/>
      <c r="IPN32" s="1688"/>
      <c r="IPO32" s="1688"/>
      <c r="IPP32" s="1688"/>
      <c r="IPQ32" s="1688"/>
      <c r="IPR32" s="1688"/>
      <c r="IPS32" s="1688"/>
      <c r="IPT32" s="1688"/>
      <c r="IPU32" s="1688"/>
      <c r="IPV32" s="1688"/>
      <c r="IPW32" s="1688"/>
      <c r="IPX32" s="1688"/>
      <c r="IPY32" s="1688"/>
      <c r="IPZ32" s="1688"/>
      <c r="IQA32" s="1688"/>
      <c r="IQB32" s="1688"/>
      <c r="IQC32" s="1688"/>
      <c r="IQD32" s="1688"/>
      <c r="IQE32" s="1688"/>
      <c r="IQF32" s="1688"/>
      <c r="IQG32" s="1688"/>
      <c r="IQH32" s="1688"/>
      <c r="IQI32" s="1688"/>
      <c r="IQJ32" s="1688"/>
      <c r="IQK32" s="1688"/>
      <c r="IQL32" s="1688"/>
      <c r="IQM32" s="1688"/>
      <c r="IQN32" s="1688"/>
      <c r="IQO32" s="1688"/>
      <c r="IQP32" s="1688"/>
      <c r="IQQ32" s="1688"/>
      <c r="IQR32" s="1688"/>
      <c r="IQS32" s="1688"/>
      <c r="IQT32" s="1688"/>
      <c r="IQU32" s="1688"/>
      <c r="IQV32" s="1688"/>
      <c r="IQW32" s="1688"/>
      <c r="IQX32" s="1688"/>
      <c r="IQY32" s="1688"/>
      <c r="IQZ32" s="1688"/>
      <c r="IRA32" s="1688"/>
      <c r="IRB32" s="1688"/>
      <c r="IRC32" s="1688"/>
      <c r="IRD32" s="1688"/>
      <c r="IRE32" s="1688"/>
      <c r="IRF32" s="1688"/>
      <c r="IRG32" s="1688"/>
      <c r="IRH32" s="1688"/>
      <c r="IRI32" s="1688"/>
      <c r="IRJ32" s="1688"/>
      <c r="IRK32" s="1688"/>
      <c r="IRL32" s="1688"/>
      <c r="IRM32" s="1688"/>
      <c r="IRN32" s="1688"/>
      <c r="IRO32" s="1688"/>
      <c r="IRP32" s="1688"/>
      <c r="IRQ32" s="1688"/>
      <c r="IRR32" s="1688"/>
      <c r="IRS32" s="1688"/>
      <c r="IRT32" s="1688"/>
      <c r="IRU32" s="1688"/>
      <c r="IRV32" s="1688"/>
      <c r="IRW32" s="1688"/>
      <c r="IRX32" s="1688"/>
      <c r="IRY32" s="1688"/>
      <c r="IRZ32" s="1688"/>
      <c r="ISA32" s="1688"/>
      <c r="ISB32" s="1688"/>
      <c r="ISC32" s="1688"/>
      <c r="ISD32" s="1688"/>
      <c r="ISE32" s="1688"/>
      <c r="ISF32" s="1688"/>
      <c r="ISG32" s="1688"/>
      <c r="ISH32" s="1688"/>
      <c r="ISI32" s="1688"/>
      <c r="ISJ32" s="1688"/>
      <c r="ISK32" s="1688"/>
      <c r="ISL32" s="1688"/>
      <c r="ISM32" s="1688"/>
      <c r="ISN32" s="1688"/>
      <c r="ISO32" s="1688"/>
      <c r="ISP32" s="1688"/>
      <c r="ISQ32" s="1688"/>
      <c r="ISR32" s="1688"/>
      <c r="ISS32" s="1688"/>
      <c r="IST32" s="1688"/>
      <c r="ISU32" s="1688"/>
      <c r="ISV32" s="1688"/>
      <c r="ISW32" s="1688"/>
      <c r="ISX32" s="1688"/>
      <c r="ISY32" s="1688"/>
      <c r="ISZ32" s="1688"/>
      <c r="ITA32" s="1688"/>
      <c r="ITB32" s="1688"/>
      <c r="ITC32" s="1688"/>
      <c r="ITD32" s="1688"/>
      <c r="ITE32" s="1688"/>
      <c r="ITF32" s="1688"/>
      <c r="ITG32" s="1688"/>
      <c r="ITH32" s="1688"/>
      <c r="ITI32" s="1688"/>
      <c r="ITJ32" s="1688"/>
      <c r="ITK32" s="1688"/>
      <c r="ITL32" s="1688"/>
      <c r="ITM32" s="1688"/>
      <c r="ITN32" s="1688"/>
      <c r="ITO32" s="1688"/>
      <c r="ITP32" s="1688"/>
      <c r="ITQ32" s="1688"/>
      <c r="ITR32" s="1688"/>
      <c r="ITS32" s="1688"/>
      <c r="ITT32" s="1688"/>
      <c r="ITU32" s="1688"/>
      <c r="ITV32" s="1688"/>
      <c r="ITW32" s="1688"/>
      <c r="ITX32" s="1688"/>
      <c r="ITY32" s="1688"/>
      <c r="ITZ32" s="1688"/>
      <c r="IUA32" s="1688"/>
      <c r="IUB32" s="1688"/>
      <c r="IUC32" s="1688"/>
      <c r="IUD32" s="1688"/>
      <c r="IUE32" s="1688"/>
      <c r="IUF32" s="1688"/>
      <c r="IUG32" s="1688"/>
      <c r="IUH32" s="1688"/>
      <c r="IUI32" s="1688"/>
      <c r="IUJ32" s="1688"/>
      <c r="IUK32" s="1688"/>
      <c r="IUL32" s="1688"/>
      <c r="IUM32" s="1688"/>
      <c r="IUN32" s="1688"/>
      <c r="IUO32" s="1688"/>
      <c r="IUP32" s="1688"/>
      <c r="IUQ32" s="1688"/>
      <c r="IUR32" s="1688"/>
      <c r="IUS32" s="1688"/>
      <c r="IUT32" s="1688"/>
      <c r="IUU32" s="1688"/>
      <c r="IUV32" s="1688"/>
      <c r="IUW32" s="1688"/>
      <c r="IUX32" s="1688"/>
      <c r="IUY32" s="1688"/>
      <c r="IUZ32" s="1688"/>
      <c r="IVA32" s="1688"/>
      <c r="IVB32" s="1688"/>
      <c r="IVC32" s="1688"/>
      <c r="IVD32" s="1688"/>
      <c r="IVE32" s="1688"/>
      <c r="IVF32" s="1688"/>
      <c r="IVG32" s="1688"/>
      <c r="IVH32" s="1688"/>
      <c r="IVI32" s="1688"/>
      <c r="IVJ32" s="1688"/>
      <c r="IVK32" s="1688"/>
      <c r="IVL32" s="1688"/>
      <c r="IVM32" s="1688"/>
      <c r="IVN32" s="1688"/>
      <c r="IVO32" s="1688"/>
      <c r="IVP32" s="1688"/>
      <c r="IVQ32" s="1688"/>
      <c r="IVR32" s="1688"/>
      <c r="IVS32" s="1688"/>
      <c r="IVT32" s="1688"/>
      <c r="IVU32" s="1688"/>
      <c r="IVV32" s="1688"/>
      <c r="IVW32" s="1688"/>
      <c r="IVX32" s="1688"/>
      <c r="IVY32" s="1688"/>
      <c r="IVZ32" s="1688"/>
      <c r="IWA32" s="1688"/>
      <c r="IWB32" s="1688"/>
      <c r="IWC32" s="1688"/>
      <c r="IWD32" s="1688"/>
      <c r="IWE32" s="1688"/>
      <c r="IWF32" s="1688"/>
      <c r="IWG32" s="1688"/>
      <c r="IWH32" s="1688"/>
      <c r="IWI32" s="1688"/>
      <c r="IWJ32" s="1688"/>
      <c r="IWK32" s="1688"/>
      <c r="IWL32" s="1688"/>
      <c r="IWM32" s="1688"/>
      <c r="IWN32" s="1688"/>
      <c r="IWO32" s="1688"/>
      <c r="IWP32" s="1688"/>
      <c r="IWQ32" s="1688"/>
      <c r="IWR32" s="1688"/>
      <c r="IWS32" s="1688"/>
      <c r="IWT32" s="1688"/>
      <c r="IWU32" s="1688"/>
      <c r="IWV32" s="1688"/>
      <c r="IWW32" s="1688"/>
      <c r="IWX32" s="1688"/>
      <c r="IWY32" s="1688"/>
      <c r="IWZ32" s="1688"/>
      <c r="IXA32" s="1688"/>
      <c r="IXB32" s="1688"/>
      <c r="IXC32" s="1688"/>
      <c r="IXD32" s="1688"/>
      <c r="IXE32" s="1688"/>
      <c r="IXF32" s="1688"/>
      <c r="IXG32" s="1688"/>
      <c r="IXH32" s="1688"/>
      <c r="IXI32" s="1688"/>
      <c r="IXJ32" s="1688"/>
      <c r="IXK32" s="1688"/>
      <c r="IXL32" s="1688"/>
      <c r="IXM32" s="1688"/>
      <c r="IXN32" s="1688"/>
      <c r="IXO32" s="1688"/>
      <c r="IXP32" s="1688"/>
      <c r="IXQ32" s="1688"/>
      <c r="IXR32" s="1688"/>
      <c r="IXS32" s="1688"/>
      <c r="IXT32" s="1688"/>
      <c r="IXU32" s="1688"/>
      <c r="IXV32" s="1688"/>
      <c r="IXW32" s="1688"/>
      <c r="IXX32" s="1688"/>
      <c r="IXY32" s="1688"/>
      <c r="IXZ32" s="1688"/>
      <c r="IYA32" s="1688"/>
      <c r="IYB32" s="1688"/>
      <c r="IYC32" s="1688"/>
      <c r="IYD32" s="1688"/>
      <c r="IYE32" s="1688"/>
      <c r="IYF32" s="1688"/>
      <c r="IYG32" s="1688"/>
      <c r="IYH32" s="1688"/>
      <c r="IYI32" s="1688"/>
      <c r="IYJ32" s="1688"/>
      <c r="IYK32" s="1688"/>
      <c r="IYL32" s="1688"/>
      <c r="IYM32" s="1688"/>
      <c r="IYN32" s="1688"/>
      <c r="IYO32" s="1688"/>
      <c r="IYP32" s="1688"/>
      <c r="IYQ32" s="1688"/>
      <c r="IYR32" s="1688"/>
      <c r="IYS32" s="1688"/>
      <c r="IYT32" s="1688"/>
      <c r="IYU32" s="1688"/>
      <c r="IYV32" s="1688"/>
      <c r="IYW32" s="1688"/>
      <c r="IYX32" s="1688"/>
      <c r="IYY32" s="1688"/>
      <c r="IYZ32" s="1688"/>
      <c r="IZA32" s="1688"/>
      <c r="IZB32" s="1688"/>
      <c r="IZC32" s="1688"/>
      <c r="IZD32" s="1688"/>
      <c r="IZE32" s="1688"/>
      <c r="IZF32" s="1688"/>
      <c r="IZG32" s="1688"/>
      <c r="IZH32" s="1688"/>
      <c r="IZI32" s="1688"/>
      <c r="IZJ32" s="1688"/>
      <c r="IZK32" s="1688"/>
      <c r="IZL32" s="1688"/>
      <c r="IZM32" s="1688"/>
      <c r="IZN32" s="1688"/>
      <c r="IZO32" s="1688"/>
      <c r="IZP32" s="1688"/>
      <c r="IZQ32" s="1688"/>
      <c r="IZR32" s="1688"/>
      <c r="IZS32" s="1688"/>
      <c r="IZT32" s="1688"/>
      <c r="IZU32" s="1688"/>
      <c r="IZV32" s="1688"/>
      <c r="IZW32" s="1688"/>
      <c r="IZX32" s="1688"/>
      <c r="IZY32" s="1688"/>
      <c r="IZZ32" s="1688"/>
      <c r="JAA32" s="1688"/>
      <c r="JAB32" s="1688"/>
      <c r="JAC32" s="1688"/>
      <c r="JAD32" s="1688"/>
      <c r="JAE32" s="1688"/>
      <c r="JAF32" s="1688"/>
      <c r="JAG32" s="1688"/>
      <c r="JAH32" s="1688"/>
      <c r="JAI32" s="1688"/>
      <c r="JAJ32" s="1688"/>
      <c r="JAK32" s="1688"/>
      <c r="JAL32" s="1688"/>
      <c r="JAM32" s="1688"/>
      <c r="JAN32" s="1688"/>
      <c r="JAO32" s="1688"/>
      <c r="JAP32" s="1688"/>
      <c r="JAQ32" s="1688"/>
      <c r="JAR32" s="1688"/>
      <c r="JAS32" s="1688"/>
      <c r="JAT32" s="1688"/>
      <c r="JAU32" s="1688"/>
      <c r="JAV32" s="1688"/>
      <c r="JAW32" s="1688"/>
      <c r="JAX32" s="1688"/>
      <c r="JAY32" s="1688"/>
      <c r="JAZ32" s="1688"/>
      <c r="JBA32" s="1688"/>
      <c r="JBB32" s="1688"/>
      <c r="JBC32" s="1688"/>
      <c r="JBD32" s="1688"/>
      <c r="JBE32" s="1688"/>
      <c r="JBF32" s="1688"/>
      <c r="JBG32" s="1688"/>
      <c r="JBH32" s="1688"/>
      <c r="JBI32" s="1688"/>
      <c r="JBJ32" s="1688"/>
      <c r="JBK32" s="1688"/>
      <c r="JBL32" s="1688"/>
      <c r="JBM32" s="1688"/>
      <c r="JBN32" s="1688"/>
      <c r="JBO32" s="1688"/>
      <c r="JBP32" s="1688"/>
      <c r="JBQ32" s="1688"/>
      <c r="JBR32" s="1688"/>
      <c r="JBS32" s="1688"/>
      <c r="JBT32" s="1688"/>
      <c r="JBU32" s="1688"/>
      <c r="JBV32" s="1688"/>
      <c r="JBW32" s="1688"/>
      <c r="JBX32" s="1688"/>
      <c r="JBY32" s="1688"/>
      <c r="JBZ32" s="1688"/>
      <c r="JCA32" s="1688"/>
      <c r="JCB32" s="1688"/>
      <c r="JCC32" s="1688"/>
      <c r="JCD32" s="1688"/>
      <c r="JCE32" s="1688"/>
      <c r="JCF32" s="1688"/>
      <c r="JCG32" s="1688"/>
      <c r="JCH32" s="1688"/>
      <c r="JCI32" s="1688"/>
      <c r="JCJ32" s="1688"/>
      <c r="JCK32" s="1688"/>
      <c r="JCL32" s="1688"/>
      <c r="JCM32" s="1688"/>
      <c r="JCN32" s="1688"/>
      <c r="JCO32" s="1688"/>
      <c r="JCP32" s="1688"/>
      <c r="JCQ32" s="1688"/>
      <c r="JCR32" s="1688"/>
      <c r="JCS32" s="1688"/>
      <c r="JCT32" s="1688"/>
      <c r="JCU32" s="1688"/>
      <c r="JCV32" s="1688"/>
      <c r="JCW32" s="1688"/>
      <c r="JCX32" s="1688"/>
      <c r="JCY32" s="1688"/>
      <c r="JCZ32" s="1688"/>
      <c r="JDA32" s="1688"/>
      <c r="JDB32" s="1688"/>
      <c r="JDC32" s="1688"/>
      <c r="JDD32" s="1688"/>
      <c r="JDE32" s="1688"/>
      <c r="JDF32" s="1688"/>
      <c r="JDG32" s="1688"/>
      <c r="JDH32" s="1688"/>
      <c r="JDI32" s="1688"/>
      <c r="JDJ32" s="1688"/>
      <c r="JDK32" s="1688"/>
      <c r="JDL32" s="1688"/>
      <c r="JDM32" s="1688"/>
      <c r="JDN32" s="1688"/>
      <c r="JDO32" s="1688"/>
      <c r="JDP32" s="1688"/>
      <c r="JDQ32" s="1688"/>
      <c r="JDR32" s="1688"/>
      <c r="JDS32" s="1688"/>
      <c r="JDT32" s="1688"/>
      <c r="JDU32" s="1688"/>
      <c r="JDV32" s="1688"/>
      <c r="JDW32" s="1688"/>
      <c r="JDX32" s="1688"/>
      <c r="JDY32" s="1688"/>
      <c r="JDZ32" s="1688"/>
      <c r="JEA32" s="1688"/>
      <c r="JEB32" s="1688"/>
      <c r="JEC32" s="1688"/>
      <c r="JED32" s="1688"/>
      <c r="JEE32" s="1688"/>
      <c r="JEF32" s="1688"/>
      <c r="JEG32" s="1688"/>
      <c r="JEH32" s="1688"/>
      <c r="JEI32" s="1688"/>
      <c r="JEJ32" s="1688"/>
      <c r="JEK32" s="1688"/>
      <c r="JEL32" s="1688"/>
      <c r="JEM32" s="1688"/>
      <c r="JEN32" s="1688"/>
      <c r="JEO32" s="1688"/>
      <c r="JEP32" s="1688"/>
      <c r="JEQ32" s="1688"/>
      <c r="JER32" s="1688"/>
      <c r="JES32" s="1688"/>
      <c r="JET32" s="1688"/>
      <c r="JEU32" s="1688"/>
      <c r="JEV32" s="1688"/>
      <c r="JEW32" s="1688"/>
      <c r="JEX32" s="1688"/>
      <c r="JEY32" s="1688"/>
      <c r="JEZ32" s="1688"/>
      <c r="JFA32" s="1688"/>
      <c r="JFB32" s="1688"/>
      <c r="JFC32" s="1688"/>
      <c r="JFD32" s="1688"/>
      <c r="JFE32" s="1688"/>
      <c r="JFF32" s="1688"/>
      <c r="JFG32" s="1688"/>
      <c r="JFH32" s="1688"/>
      <c r="JFI32" s="1688"/>
      <c r="JFJ32" s="1688"/>
      <c r="JFK32" s="1688"/>
      <c r="JFL32" s="1688"/>
      <c r="JFM32" s="1688"/>
      <c r="JFN32" s="1688"/>
      <c r="JFO32" s="1688"/>
      <c r="JFP32" s="1688"/>
      <c r="JFQ32" s="1688"/>
      <c r="JFR32" s="1688"/>
      <c r="JFS32" s="1688"/>
      <c r="JFT32" s="1688"/>
      <c r="JFU32" s="1688"/>
      <c r="JFV32" s="1688"/>
      <c r="JFW32" s="1688"/>
      <c r="JFX32" s="1688"/>
      <c r="JFY32" s="1688"/>
      <c r="JFZ32" s="1688"/>
      <c r="JGA32" s="1688"/>
      <c r="JGB32" s="1688"/>
      <c r="JGC32" s="1688"/>
      <c r="JGD32" s="1688"/>
      <c r="JGE32" s="1688"/>
      <c r="JGF32" s="1688"/>
      <c r="JGG32" s="1688"/>
      <c r="JGH32" s="1688"/>
      <c r="JGI32" s="1688"/>
      <c r="JGJ32" s="1688"/>
      <c r="JGK32" s="1688"/>
      <c r="JGL32" s="1688"/>
      <c r="JGM32" s="1688"/>
      <c r="JGN32" s="1688"/>
      <c r="JGO32" s="1688"/>
      <c r="JGP32" s="1688"/>
      <c r="JGQ32" s="1688"/>
      <c r="JGR32" s="1688"/>
      <c r="JGS32" s="1688"/>
      <c r="JGT32" s="1688"/>
      <c r="JGU32" s="1688"/>
      <c r="JGV32" s="1688"/>
      <c r="JGW32" s="1688"/>
      <c r="JGX32" s="1688"/>
      <c r="JGY32" s="1688"/>
      <c r="JGZ32" s="1688"/>
      <c r="JHA32" s="1688"/>
      <c r="JHB32" s="1688"/>
      <c r="JHC32" s="1688"/>
      <c r="JHD32" s="1688"/>
      <c r="JHE32" s="1688"/>
      <c r="JHF32" s="1688"/>
      <c r="JHG32" s="1688"/>
      <c r="JHH32" s="1688"/>
      <c r="JHI32" s="1688"/>
      <c r="JHJ32" s="1688"/>
      <c r="JHK32" s="1688"/>
      <c r="JHL32" s="1688"/>
      <c r="JHM32" s="1688"/>
      <c r="JHN32" s="1688"/>
      <c r="JHO32" s="1688"/>
      <c r="JHP32" s="1688"/>
      <c r="JHQ32" s="1688"/>
      <c r="JHR32" s="1688"/>
      <c r="JHS32" s="1688"/>
      <c r="JHT32" s="1688"/>
      <c r="JHU32" s="1688"/>
      <c r="JHV32" s="1688"/>
      <c r="JHW32" s="1688"/>
      <c r="JHX32" s="1688"/>
      <c r="JHY32" s="1688"/>
      <c r="JHZ32" s="1688"/>
      <c r="JIA32" s="1688"/>
      <c r="JIB32" s="1688"/>
      <c r="JIC32" s="1688"/>
      <c r="JID32" s="1688"/>
      <c r="JIE32" s="1688"/>
      <c r="JIF32" s="1688"/>
      <c r="JIG32" s="1688"/>
      <c r="JIH32" s="1688"/>
      <c r="JII32" s="1688"/>
      <c r="JIJ32" s="1688"/>
      <c r="JIK32" s="1688"/>
      <c r="JIL32" s="1688"/>
      <c r="JIM32" s="1688"/>
      <c r="JIN32" s="1688"/>
      <c r="JIO32" s="1688"/>
      <c r="JIP32" s="1688"/>
      <c r="JIQ32" s="1688"/>
      <c r="JIR32" s="1688"/>
      <c r="JIS32" s="1688"/>
      <c r="JIT32" s="1688"/>
      <c r="JIU32" s="1688"/>
      <c r="JIV32" s="1688"/>
      <c r="JIW32" s="1688"/>
      <c r="JIX32" s="1688"/>
      <c r="JIY32" s="1688"/>
      <c r="JIZ32" s="1688"/>
      <c r="JJA32" s="1688"/>
      <c r="JJB32" s="1688"/>
      <c r="JJC32" s="1688"/>
      <c r="JJD32" s="1688"/>
      <c r="JJE32" s="1688"/>
      <c r="JJF32" s="1688"/>
      <c r="JJG32" s="1688"/>
      <c r="JJH32" s="1688"/>
      <c r="JJI32" s="1688"/>
      <c r="JJJ32" s="1688"/>
      <c r="JJK32" s="1688"/>
      <c r="JJL32" s="1688"/>
      <c r="JJM32" s="1688"/>
      <c r="JJN32" s="1688"/>
      <c r="JJO32" s="1688"/>
      <c r="JJP32" s="1688"/>
      <c r="JJQ32" s="1688"/>
      <c r="JJR32" s="1688"/>
      <c r="JJS32" s="1688"/>
      <c r="JJT32" s="1688"/>
      <c r="JJU32" s="1688"/>
      <c r="JJV32" s="1688"/>
      <c r="JJW32" s="1688"/>
      <c r="JJX32" s="1688"/>
      <c r="JJY32" s="1688"/>
      <c r="JJZ32" s="1688"/>
      <c r="JKA32" s="1688"/>
      <c r="JKB32" s="1688"/>
      <c r="JKC32" s="1688"/>
      <c r="JKD32" s="1688"/>
      <c r="JKE32" s="1688"/>
      <c r="JKF32" s="1688"/>
      <c r="JKG32" s="1688"/>
      <c r="JKH32" s="1688"/>
      <c r="JKI32" s="1688"/>
      <c r="JKJ32" s="1688"/>
      <c r="JKK32" s="1688"/>
      <c r="JKL32" s="1688"/>
      <c r="JKM32" s="1688"/>
      <c r="JKN32" s="1688"/>
      <c r="JKO32" s="1688"/>
      <c r="JKP32" s="1688"/>
      <c r="JKQ32" s="1688"/>
      <c r="JKR32" s="1688"/>
      <c r="JKS32" s="1688"/>
      <c r="JKT32" s="1688"/>
      <c r="JKU32" s="1688"/>
      <c r="JKV32" s="1688"/>
      <c r="JKW32" s="1688"/>
      <c r="JKX32" s="1688"/>
      <c r="JKY32" s="1688"/>
      <c r="JKZ32" s="1688"/>
      <c r="JLA32" s="1688"/>
      <c r="JLB32" s="1688"/>
      <c r="JLC32" s="1688"/>
      <c r="JLD32" s="1688"/>
      <c r="JLE32" s="1688"/>
      <c r="JLF32" s="1688"/>
      <c r="JLG32" s="1688"/>
      <c r="JLH32" s="1688"/>
      <c r="JLI32" s="1688"/>
      <c r="JLJ32" s="1688"/>
      <c r="JLK32" s="1688"/>
      <c r="JLL32" s="1688"/>
      <c r="JLM32" s="1688"/>
      <c r="JLN32" s="1688"/>
      <c r="JLO32" s="1688"/>
      <c r="JLP32" s="1688"/>
      <c r="JLQ32" s="1688"/>
      <c r="JLR32" s="1688"/>
      <c r="JLS32" s="1688"/>
      <c r="JLT32" s="1688"/>
      <c r="JLU32" s="1688"/>
      <c r="JLV32" s="1688"/>
      <c r="JLW32" s="1688"/>
      <c r="JLX32" s="1688"/>
      <c r="JLY32" s="1688"/>
      <c r="JLZ32" s="1688"/>
      <c r="JMA32" s="1688"/>
      <c r="JMB32" s="1688"/>
      <c r="JMC32" s="1688"/>
      <c r="JMD32" s="1688"/>
      <c r="JME32" s="1688"/>
      <c r="JMF32" s="1688"/>
      <c r="JMG32" s="1688"/>
      <c r="JMH32" s="1688"/>
      <c r="JMI32" s="1688"/>
      <c r="JMJ32" s="1688"/>
      <c r="JMK32" s="1688"/>
      <c r="JML32" s="1688"/>
      <c r="JMM32" s="1688"/>
      <c r="JMN32" s="1688"/>
      <c r="JMO32" s="1688"/>
      <c r="JMP32" s="1688"/>
      <c r="JMQ32" s="1688"/>
      <c r="JMR32" s="1688"/>
      <c r="JMS32" s="1688"/>
      <c r="JMT32" s="1688"/>
      <c r="JMU32" s="1688"/>
      <c r="JMV32" s="1688"/>
      <c r="JMW32" s="1688"/>
      <c r="JMX32" s="1688"/>
      <c r="JMY32" s="1688"/>
      <c r="JMZ32" s="1688"/>
      <c r="JNA32" s="1688"/>
      <c r="JNB32" s="1688"/>
      <c r="JNC32" s="1688"/>
      <c r="JND32" s="1688"/>
      <c r="JNE32" s="1688"/>
      <c r="JNF32" s="1688"/>
      <c r="JNG32" s="1688"/>
      <c r="JNH32" s="1688"/>
      <c r="JNI32" s="1688"/>
      <c r="JNJ32" s="1688"/>
      <c r="JNK32" s="1688"/>
      <c r="JNL32" s="1688"/>
      <c r="JNM32" s="1688"/>
      <c r="JNN32" s="1688"/>
      <c r="JNO32" s="1688"/>
      <c r="JNP32" s="1688"/>
      <c r="JNQ32" s="1688"/>
      <c r="JNR32" s="1688"/>
      <c r="JNS32" s="1688"/>
      <c r="JNT32" s="1688"/>
      <c r="JNU32" s="1688"/>
      <c r="JNV32" s="1688"/>
      <c r="JNW32" s="1688"/>
      <c r="JNX32" s="1688"/>
      <c r="JNY32" s="1688"/>
      <c r="JNZ32" s="1688"/>
      <c r="JOA32" s="1688"/>
      <c r="JOB32" s="1688"/>
      <c r="JOC32" s="1688"/>
      <c r="JOD32" s="1688"/>
      <c r="JOE32" s="1688"/>
      <c r="JOF32" s="1688"/>
      <c r="JOG32" s="1688"/>
      <c r="JOH32" s="1688"/>
      <c r="JOI32" s="1688"/>
      <c r="JOJ32" s="1688"/>
      <c r="JOK32" s="1688"/>
      <c r="JOL32" s="1688"/>
      <c r="JOM32" s="1688"/>
      <c r="JON32" s="1688"/>
      <c r="JOO32" s="1688"/>
      <c r="JOP32" s="1688"/>
      <c r="JOQ32" s="1688"/>
      <c r="JOR32" s="1688"/>
      <c r="JOS32" s="1688"/>
      <c r="JOT32" s="1688"/>
      <c r="JOU32" s="1688"/>
      <c r="JOV32" s="1688"/>
      <c r="JOW32" s="1688"/>
      <c r="JOX32" s="1688"/>
      <c r="JOY32" s="1688"/>
      <c r="JOZ32" s="1688"/>
      <c r="JPA32" s="1688"/>
      <c r="JPB32" s="1688"/>
      <c r="JPC32" s="1688"/>
      <c r="JPD32" s="1688"/>
      <c r="JPE32" s="1688"/>
      <c r="JPF32" s="1688"/>
      <c r="JPG32" s="1688"/>
      <c r="JPH32" s="1688"/>
      <c r="JPI32" s="1688"/>
      <c r="JPJ32" s="1688"/>
      <c r="JPK32" s="1688"/>
      <c r="JPL32" s="1688"/>
      <c r="JPM32" s="1688"/>
      <c r="JPN32" s="1688"/>
      <c r="JPO32" s="1688"/>
      <c r="JPP32" s="1688"/>
      <c r="JPQ32" s="1688"/>
      <c r="JPR32" s="1688"/>
      <c r="JPS32" s="1688"/>
      <c r="JPT32" s="1688"/>
      <c r="JPU32" s="1688"/>
      <c r="JPV32" s="1688"/>
      <c r="JPW32" s="1688"/>
      <c r="JPX32" s="1688"/>
      <c r="JPY32" s="1688"/>
      <c r="JPZ32" s="1688"/>
      <c r="JQA32" s="1688"/>
      <c r="JQB32" s="1688"/>
      <c r="JQC32" s="1688"/>
      <c r="JQD32" s="1688"/>
      <c r="JQE32" s="1688"/>
      <c r="JQF32" s="1688"/>
      <c r="JQG32" s="1688"/>
      <c r="JQH32" s="1688"/>
      <c r="JQI32" s="1688"/>
      <c r="JQJ32" s="1688"/>
      <c r="JQK32" s="1688"/>
      <c r="JQL32" s="1688"/>
      <c r="JQM32" s="1688"/>
      <c r="JQN32" s="1688"/>
      <c r="JQO32" s="1688"/>
      <c r="JQP32" s="1688"/>
      <c r="JQQ32" s="1688"/>
      <c r="JQR32" s="1688"/>
      <c r="JQS32" s="1688"/>
      <c r="JQT32" s="1688"/>
      <c r="JQU32" s="1688"/>
      <c r="JQV32" s="1688"/>
      <c r="JQW32" s="1688"/>
      <c r="JQX32" s="1688"/>
      <c r="JQY32" s="1688"/>
      <c r="JQZ32" s="1688"/>
      <c r="JRA32" s="1688"/>
      <c r="JRB32" s="1688"/>
      <c r="JRC32" s="1688"/>
      <c r="JRD32" s="1688"/>
      <c r="JRE32" s="1688"/>
      <c r="JRF32" s="1688"/>
      <c r="JRG32" s="1688"/>
      <c r="JRH32" s="1688"/>
      <c r="JRI32" s="1688"/>
      <c r="JRJ32" s="1688"/>
      <c r="JRK32" s="1688"/>
      <c r="JRL32" s="1688"/>
      <c r="JRM32" s="1688"/>
      <c r="JRN32" s="1688"/>
      <c r="JRO32" s="1688"/>
      <c r="JRP32" s="1688"/>
      <c r="JRQ32" s="1688"/>
      <c r="JRR32" s="1688"/>
      <c r="JRS32" s="1688"/>
      <c r="JRT32" s="1688"/>
      <c r="JRU32" s="1688"/>
      <c r="JRV32" s="1688"/>
      <c r="JRW32" s="1688"/>
      <c r="JRX32" s="1688"/>
      <c r="JRY32" s="1688"/>
      <c r="JRZ32" s="1688"/>
      <c r="JSA32" s="1688"/>
      <c r="JSB32" s="1688"/>
      <c r="JSC32" s="1688"/>
      <c r="JSD32" s="1688"/>
      <c r="JSE32" s="1688"/>
      <c r="JSF32" s="1688"/>
      <c r="JSG32" s="1688"/>
      <c r="JSH32" s="1688"/>
      <c r="JSI32" s="1688"/>
      <c r="JSJ32" s="1688"/>
      <c r="JSK32" s="1688"/>
      <c r="JSL32" s="1688"/>
      <c r="JSM32" s="1688"/>
      <c r="JSN32" s="1688"/>
      <c r="JSO32" s="1688"/>
      <c r="JSP32" s="1688"/>
      <c r="JSQ32" s="1688"/>
      <c r="JSR32" s="1688"/>
      <c r="JSS32" s="1688"/>
      <c r="JST32" s="1688"/>
      <c r="JSU32" s="1688"/>
      <c r="JSV32" s="1688"/>
      <c r="JSW32" s="1688"/>
      <c r="JSX32" s="1688"/>
      <c r="JSY32" s="1688"/>
      <c r="JSZ32" s="1688"/>
      <c r="JTA32" s="1688"/>
      <c r="JTB32" s="1688"/>
      <c r="JTC32" s="1688"/>
      <c r="JTD32" s="1688"/>
      <c r="JTE32" s="1688"/>
      <c r="JTF32" s="1688"/>
      <c r="JTG32" s="1688"/>
      <c r="JTH32" s="1688"/>
      <c r="JTI32" s="1688"/>
      <c r="JTJ32" s="1688"/>
      <c r="JTK32" s="1688"/>
      <c r="JTL32" s="1688"/>
      <c r="JTM32" s="1688"/>
      <c r="JTN32" s="1688"/>
      <c r="JTO32" s="1688"/>
      <c r="JTP32" s="1688"/>
      <c r="JTQ32" s="1688"/>
      <c r="JTR32" s="1688"/>
      <c r="JTS32" s="1688"/>
      <c r="JTT32" s="1688"/>
      <c r="JTU32" s="1688"/>
      <c r="JTV32" s="1688"/>
      <c r="JTW32" s="1688"/>
      <c r="JTX32" s="1688"/>
      <c r="JTY32" s="1688"/>
      <c r="JTZ32" s="1688"/>
      <c r="JUA32" s="1688"/>
      <c r="JUB32" s="1688"/>
      <c r="JUC32" s="1688"/>
      <c r="JUD32" s="1688"/>
      <c r="JUE32" s="1688"/>
      <c r="JUF32" s="1688"/>
      <c r="JUG32" s="1688"/>
      <c r="JUH32" s="1688"/>
      <c r="JUI32" s="1688"/>
      <c r="JUJ32" s="1688"/>
      <c r="JUK32" s="1688"/>
      <c r="JUL32" s="1688"/>
      <c r="JUM32" s="1688"/>
      <c r="JUN32" s="1688"/>
      <c r="JUO32" s="1688"/>
      <c r="JUP32" s="1688"/>
      <c r="JUQ32" s="1688"/>
      <c r="JUR32" s="1688"/>
      <c r="JUS32" s="1688"/>
      <c r="JUT32" s="1688"/>
      <c r="JUU32" s="1688"/>
      <c r="JUV32" s="1688"/>
      <c r="JUW32" s="1688"/>
      <c r="JUX32" s="1688"/>
      <c r="JUY32" s="1688"/>
      <c r="JUZ32" s="1688"/>
      <c r="JVA32" s="1688"/>
      <c r="JVB32" s="1688"/>
      <c r="JVC32" s="1688"/>
      <c r="JVD32" s="1688"/>
      <c r="JVE32" s="1688"/>
      <c r="JVF32" s="1688"/>
      <c r="JVG32" s="1688"/>
      <c r="JVH32" s="1688"/>
      <c r="JVI32" s="1688"/>
      <c r="JVJ32" s="1688"/>
      <c r="JVK32" s="1688"/>
      <c r="JVL32" s="1688"/>
      <c r="JVM32" s="1688"/>
      <c r="JVN32" s="1688"/>
      <c r="JVO32" s="1688"/>
      <c r="JVP32" s="1688"/>
      <c r="JVQ32" s="1688"/>
      <c r="JVR32" s="1688"/>
      <c r="JVS32" s="1688"/>
      <c r="JVT32" s="1688"/>
      <c r="JVU32" s="1688"/>
      <c r="JVV32" s="1688"/>
      <c r="JVW32" s="1688"/>
      <c r="JVX32" s="1688"/>
      <c r="JVY32" s="1688"/>
      <c r="JVZ32" s="1688"/>
      <c r="JWA32" s="1688"/>
      <c r="JWB32" s="1688"/>
      <c r="JWC32" s="1688"/>
      <c r="JWD32" s="1688"/>
      <c r="JWE32" s="1688"/>
      <c r="JWF32" s="1688"/>
      <c r="JWG32" s="1688"/>
      <c r="JWH32" s="1688"/>
      <c r="JWI32" s="1688"/>
      <c r="JWJ32" s="1688"/>
      <c r="JWK32" s="1688"/>
      <c r="JWL32" s="1688"/>
      <c r="JWM32" s="1688"/>
      <c r="JWN32" s="1688"/>
      <c r="JWO32" s="1688"/>
      <c r="JWP32" s="1688"/>
      <c r="JWQ32" s="1688"/>
      <c r="JWR32" s="1688"/>
      <c r="JWS32" s="1688"/>
      <c r="JWT32" s="1688"/>
      <c r="JWU32" s="1688"/>
      <c r="JWV32" s="1688"/>
      <c r="JWW32" s="1688"/>
      <c r="JWX32" s="1688"/>
      <c r="JWY32" s="1688"/>
      <c r="JWZ32" s="1688"/>
      <c r="JXA32" s="1688"/>
      <c r="JXB32" s="1688"/>
      <c r="JXC32" s="1688"/>
      <c r="JXD32" s="1688"/>
      <c r="JXE32" s="1688"/>
      <c r="JXF32" s="1688"/>
      <c r="JXG32" s="1688"/>
      <c r="JXH32" s="1688"/>
      <c r="JXI32" s="1688"/>
      <c r="JXJ32" s="1688"/>
      <c r="JXK32" s="1688"/>
      <c r="JXL32" s="1688"/>
      <c r="JXM32" s="1688"/>
      <c r="JXN32" s="1688"/>
      <c r="JXO32" s="1688"/>
      <c r="JXP32" s="1688"/>
      <c r="JXQ32" s="1688"/>
      <c r="JXR32" s="1688"/>
      <c r="JXS32" s="1688"/>
      <c r="JXT32" s="1688"/>
      <c r="JXU32" s="1688"/>
      <c r="JXV32" s="1688"/>
      <c r="JXW32" s="1688"/>
      <c r="JXX32" s="1688"/>
      <c r="JXY32" s="1688"/>
      <c r="JXZ32" s="1688"/>
      <c r="JYA32" s="1688"/>
      <c r="JYB32" s="1688"/>
      <c r="JYC32" s="1688"/>
      <c r="JYD32" s="1688"/>
      <c r="JYE32" s="1688"/>
      <c r="JYF32" s="1688"/>
      <c r="JYG32" s="1688"/>
      <c r="JYH32" s="1688"/>
      <c r="JYI32" s="1688"/>
      <c r="JYJ32" s="1688"/>
      <c r="JYK32" s="1688"/>
      <c r="JYL32" s="1688"/>
      <c r="JYM32" s="1688"/>
      <c r="JYN32" s="1688"/>
      <c r="JYO32" s="1688"/>
      <c r="JYP32" s="1688"/>
      <c r="JYQ32" s="1688"/>
      <c r="JYR32" s="1688"/>
      <c r="JYS32" s="1688"/>
      <c r="JYT32" s="1688"/>
      <c r="JYU32" s="1688"/>
      <c r="JYV32" s="1688"/>
      <c r="JYW32" s="1688"/>
      <c r="JYX32" s="1688"/>
      <c r="JYY32" s="1688"/>
      <c r="JYZ32" s="1688"/>
      <c r="JZA32" s="1688"/>
      <c r="JZB32" s="1688"/>
      <c r="JZC32" s="1688"/>
      <c r="JZD32" s="1688"/>
      <c r="JZE32" s="1688"/>
      <c r="JZF32" s="1688"/>
      <c r="JZG32" s="1688"/>
      <c r="JZH32" s="1688"/>
      <c r="JZI32" s="1688"/>
      <c r="JZJ32" s="1688"/>
      <c r="JZK32" s="1688"/>
      <c r="JZL32" s="1688"/>
      <c r="JZM32" s="1688"/>
      <c r="JZN32" s="1688"/>
      <c r="JZO32" s="1688"/>
      <c r="JZP32" s="1688"/>
      <c r="JZQ32" s="1688"/>
      <c r="JZR32" s="1688"/>
      <c r="JZS32" s="1688"/>
      <c r="JZT32" s="1688"/>
      <c r="JZU32" s="1688"/>
      <c r="JZV32" s="1688"/>
      <c r="JZW32" s="1688"/>
      <c r="JZX32" s="1688"/>
      <c r="JZY32" s="1688"/>
      <c r="JZZ32" s="1688"/>
      <c r="KAA32" s="1688"/>
      <c r="KAB32" s="1688"/>
      <c r="KAC32" s="1688"/>
      <c r="KAD32" s="1688"/>
      <c r="KAE32" s="1688"/>
      <c r="KAF32" s="1688"/>
      <c r="KAG32" s="1688"/>
      <c r="KAH32" s="1688"/>
      <c r="KAI32" s="1688"/>
      <c r="KAJ32" s="1688"/>
      <c r="KAK32" s="1688"/>
      <c r="KAL32" s="1688"/>
      <c r="KAM32" s="1688"/>
      <c r="KAN32" s="1688"/>
      <c r="KAO32" s="1688"/>
      <c r="KAP32" s="1688"/>
      <c r="KAQ32" s="1688"/>
      <c r="KAR32" s="1688"/>
      <c r="KAS32" s="1688"/>
      <c r="KAT32" s="1688"/>
      <c r="KAU32" s="1688"/>
      <c r="KAV32" s="1688"/>
      <c r="KAW32" s="1688"/>
      <c r="KAX32" s="1688"/>
      <c r="KAY32" s="1688"/>
      <c r="KAZ32" s="1688"/>
      <c r="KBA32" s="1688"/>
      <c r="KBB32" s="1688"/>
      <c r="KBC32" s="1688"/>
      <c r="KBD32" s="1688"/>
      <c r="KBE32" s="1688"/>
      <c r="KBF32" s="1688"/>
      <c r="KBG32" s="1688"/>
      <c r="KBH32" s="1688"/>
      <c r="KBI32" s="1688"/>
      <c r="KBJ32" s="1688"/>
      <c r="KBK32" s="1688"/>
      <c r="KBL32" s="1688"/>
      <c r="KBM32" s="1688"/>
      <c r="KBN32" s="1688"/>
      <c r="KBO32" s="1688"/>
      <c r="KBP32" s="1688"/>
      <c r="KBQ32" s="1688"/>
      <c r="KBR32" s="1688"/>
      <c r="KBS32" s="1688"/>
      <c r="KBT32" s="1688"/>
      <c r="KBU32" s="1688"/>
      <c r="KBV32" s="1688"/>
      <c r="KBW32" s="1688"/>
      <c r="KBX32" s="1688"/>
      <c r="KBY32" s="1688"/>
      <c r="KBZ32" s="1688"/>
      <c r="KCA32" s="1688"/>
      <c r="KCB32" s="1688"/>
      <c r="KCC32" s="1688"/>
      <c r="KCD32" s="1688"/>
      <c r="KCE32" s="1688"/>
      <c r="KCF32" s="1688"/>
      <c r="KCG32" s="1688"/>
      <c r="KCH32" s="1688"/>
      <c r="KCI32" s="1688"/>
      <c r="KCJ32" s="1688"/>
      <c r="KCK32" s="1688"/>
      <c r="KCL32" s="1688"/>
      <c r="KCM32" s="1688"/>
      <c r="KCN32" s="1688"/>
      <c r="KCO32" s="1688"/>
      <c r="KCP32" s="1688"/>
      <c r="KCQ32" s="1688"/>
      <c r="KCR32" s="1688"/>
      <c r="KCS32" s="1688"/>
      <c r="KCT32" s="1688"/>
      <c r="KCU32" s="1688"/>
      <c r="KCV32" s="1688"/>
      <c r="KCW32" s="1688"/>
      <c r="KCX32" s="1688"/>
      <c r="KCY32" s="1688"/>
      <c r="KCZ32" s="1688"/>
      <c r="KDA32" s="1688"/>
      <c r="KDB32" s="1688"/>
      <c r="KDC32" s="1688"/>
      <c r="KDD32" s="1688"/>
      <c r="KDE32" s="1688"/>
      <c r="KDF32" s="1688"/>
      <c r="KDG32" s="1688"/>
      <c r="KDH32" s="1688"/>
      <c r="KDI32" s="1688"/>
      <c r="KDJ32" s="1688"/>
      <c r="KDK32" s="1688"/>
      <c r="KDL32" s="1688"/>
      <c r="KDM32" s="1688"/>
      <c r="KDN32" s="1688"/>
      <c r="KDO32" s="1688"/>
      <c r="KDP32" s="1688"/>
      <c r="KDQ32" s="1688"/>
      <c r="KDR32" s="1688"/>
      <c r="KDS32" s="1688"/>
      <c r="KDT32" s="1688"/>
      <c r="KDU32" s="1688"/>
      <c r="KDV32" s="1688"/>
      <c r="KDW32" s="1688"/>
      <c r="KDX32" s="1688"/>
      <c r="KDY32" s="1688"/>
      <c r="KDZ32" s="1688"/>
      <c r="KEA32" s="1688"/>
      <c r="KEB32" s="1688"/>
      <c r="KEC32" s="1688"/>
      <c r="KED32" s="1688"/>
      <c r="KEE32" s="1688"/>
      <c r="KEF32" s="1688"/>
      <c r="KEG32" s="1688"/>
      <c r="KEH32" s="1688"/>
      <c r="KEI32" s="1688"/>
      <c r="KEJ32" s="1688"/>
      <c r="KEK32" s="1688"/>
      <c r="KEL32" s="1688"/>
      <c r="KEM32" s="1688"/>
      <c r="KEN32" s="1688"/>
      <c r="KEO32" s="1688"/>
      <c r="KEP32" s="1688"/>
      <c r="KEQ32" s="1688"/>
      <c r="KER32" s="1688"/>
      <c r="KES32" s="1688"/>
      <c r="KET32" s="1688"/>
      <c r="KEU32" s="1688"/>
      <c r="KEV32" s="1688"/>
      <c r="KEW32" s="1688"/>
      <c r="KEX32" s="1688"/>
      <c r="KEY32" s="1688"/>
      <c r="KEZ32" s="1688"/>
      <c r="KFA32" s="1688"/>
      <c r="KFB32" s="1688"/>
      <c r="KFC32" s="1688"/>
      <c r="KFD32" s="1688"/>
      <c r="KFE32" s="1688"/>
      <c r="KFF32" s="1688"/>
      <c r="KFG32" s="1688"/>
      <c r="KFH32" s="1688"/>
      <c r="KFI32" s="1688"/>
      <c r="KFJ32" s="1688"/>
      <c r="KFK32" s="1688"/>
      <c r="KFL32" s="1688"/>
      <c r="KFM32" s="1688"/>
      <c r="KFN32" s="1688"/>
      <c r="KFO32" s="1688"/>
      <c r="KFP32" s="1688"/>
      <c r="KFQ32" s="1688"/>
      <c r="KFR32" s="1688"/>
      <c r="KFS32" s="1688"/>
      <c r="KFT32" s="1688"/>
      <c r="KFU32" s="1688"/>
      <c r="KFV32" s="1688"/>
      <c r="KFW32" s="1688"/>
      <c r="KFX32" s="1688"/>
      <c r="KFY32" s="1688"/>
      <c r="KFZ32" s="1688"/>
      <c r="KGA32" s="1688"/>
      <c r="KGB32" s="1688"/>
      <c r="KGC32" s="1688"/>
      <c r="KGD32" s="1688"/>
      <c r="KGE32" s="1688"/>
      <c r="KGF32" s="1688"/>
      <c r="KGG32" s="1688"/>
      <c r="KGH32" s="1688"/>
      <c r="KGI32" s="1688"/>
      <c r="KGJ32" s="1688"/>
      <c r="KGK32" s="1688"/>
      <c r="KGL32" s="1688"/>
      <c r="KGM32" s="1688"/>
      <c r="KGN32" s="1688"/>
      <c r="KGO32" s="1688"/>
      <c r="KGP32" s="1688"/>
      <c r="KGQ32" s="1688"/>
      <c r="KGR32" s="1688"/>
      <c r="KGS32" s="1688"/>
      <c r="KGT32" s="1688"/>
      <c r="KGU32" s="1688"/>
      <c r="KGV32" s="1688"/>
      <c r="KGW32" s="1688"/>
      <c r="KGX32" s="1688"/>
      <c r="KGY32" s="1688"/>
      <c r="KGZ32" s="1688"/>
      <c r="KHA32" s="1688"/>
      <c r="KHB32" s="1688"/>
      <c r="KHC32" s="1688"/>
      <c r="KHD32" s="1688"/>
      <c r="KHE32" s="1688"/>
      <c r="KHF32" s="1688"/>
      <c r="KHG32" s="1688"/>
      <c r="KHH32" s="1688"/>
      <c r="KHI32" s="1688"/>
      <c r="KHJ32" s="1688"/>
      <c r="KHK32" s="1688"/>
      <c r="KHL32" s="1688"/>
      <c r="KHM32" s="1688"/>
      <c r="KHN32" s="1688"/>
      <c r="KHO32" s="1688"/>
      <c r="KHP32" s="1688"/>
      <c r="KHQ32" s="1688"/>
      <c r="KHR32" s="1688"/>
      <c r="KHS32" s="1688"/>
      <c r="KHT32" s="1688"/>
      <c r="KHU32" s="1688"/>
      <c r="KHV32" s="1688"/>
      <c r="KHW32" s="1688"/>
      <c r="KHX32" s="1688"/>
      <c r="KHY32" s="1688"/>
      <c r="KHZ32" s="1688"/>
      <c r="KIA32" s="1688"/>
      <c r="KIB32" s="1688"/>
      <c r="KIC32" s="1688"/>
      <c r="KID32" s="1688"/>
      <c r="KIE32" s="1688"/>
      <c r="KIF32" s="1688"/>
      <c r="KIG32" s="1688"/>
      <c r="KIH32" s="1688"/>
      <c r="KII32" s="1688"/>
      <c r="KIJ32" s="1688"/>
      <c r="KIK32" s="1688"/>
      <c r="KIL32" s="1688"/>
      <c r="KIM32" s="1688"/>
      <c r="KIN32" s="1688"/>
      <c r="KIO32" s="1688"/>
      <c r="KIP32" s="1688"/>
      <c r="KIQ32" s="1688"/>
      <c r="KIR32" s="1688"/>
      <c r="KIS32" s="1688"/>
      <c r="KIT32" s="1688"/>
      <c r="KIU32" s="1688"/>
      <c r="KIV32" s="1688"/>
      <c r="KIW32" s="1688"/>
      <c r="KIX32" s="1688"/>
      <c r="KIY32" s="1688"/>
      <c r="KIZ32" s="1688"/>
      <c r="KJA32" s="1688"/>
      <c r="KJB32" s="1688"/>
      <c r="KJC32" s="1688"/>
      <c r="KJD32" s="1688"/>
      <c r="KJE32" s="1688"/>
      <c r="KJF32" s="1688"/>
      <c r="KJG32" s="1688"/>
      <c r="KJH32" s="1688"/>
      <c r="KJI32" s="1688"/>
      <c r="KJJ32" s="1688"/>
      <c r="KJK32" s="1688"/>
      <c r="KJL32" s="1688"/>
      <c r="KJM32" s="1688"/>
      <c r="KJN32" s="1688"/>
      <c r="KJO32" s="1688"/>
      <c r="KJP32" s="1688"/>
      <c r="KJQ32" s="1688"/>
      <c r="KJR32" s="1688"/>
      <c r="KJS32" s="1688"/>
      <c r="KJT32" s="1688"/>
      <c r="KJU32" s="1688"/>
      <c r="KJV32" s="1688"/>
      <c r="KJW32" s="1688"/>
      <c r="KJX32" s="1688"/>
      <c r="KJY32" s="1688"/>
      <c r="KJZ32" s="1688"/>
      <c r="KKA32" s="1688"/>
      <c r="KKB32" s="1688"/>
      <c r="KKC32" s="1688"/>
      <c r="KKD32" s="1688"/>
      <c r="KKE32" s="1688"/>
      <c r="KKF32" s="1688"/>
      <c r="KKG32" s="1688"/>
      <c r="KKH32" s="1688"/>
      <c r="KKI32" s="1688"/>
      <c r="KKJ32" s="1688"/>
      <c r="KKK32" s="1688"/>
      <c r="KKL32" s="1688"/>
      <c r="KKM32" s="1688"/>
      <c r="KKN32" s="1688"/>
      <c r="KKO32" s="1688"/>
      <c r="KKP32" s="1688"/>
      <c r="KKQ32" s="1688"/>
      <c r="KKR32" s="1688"/>
      <c r="KKS32" s="1688"/>
      <c r="KKT32" s="1688"/>
      <c r="KKU32" s="1688"/>
      <c r="KKV32" s="1688"/>
      <c r="KKW32" s="1688"/>
      <c r="KKX32" s="1688"/>
      <c r="KKY32" s="1688"/>
      <c r="KKZ32" s="1688"/>
      <c r="KLA32" s="1688"/>
      <c r="KLB32" s="1688"/>
      <c r="KLC32" s="1688"/>
      <c r="KLD32" s="1688"/>
      <c r="KLE32" s="1688"/>
      <c r="KLF32" s="1688"/>
      <c r="KLG32" s="1688"/>
      <c r="KLH32" s="1688"/>
      <c r="KLI32" s="1688"/>
      <c r="KLJ32" s="1688"/>
      <c r="KLK32" s="1688"/>
      <c r="KLL32" s="1688"/>
      <c r="KLM32" s="1688"/>
      <c r="KLN32" s="1688"/>
      <c r="KLO32" s="1688"/>
      <c r="KLP32" s="1688"/>
      <c r="KLQ32" s="1688"/>
      <c r="KLR32" s="1688"/>
      <c r="KLS32" s="1688"/>
      <c r="KLT32" s="1688"/>
      <c r="KLU32" s="1688"/>
      <c r="KLV32" s="1688"/>
      <c r="KLW32" s="1688"/>
      <c r="KLX32" s="1688"/>
      <c r="KLY32" s="1688"/>
      <c r="KLZ32" s="1688"/>
      <c r="KMA32" s="1688"/>
      <c r="KMB32" s="1688"/>
      <c r="KMC32" s="1688"/>
      <c r="KMD32" s="1688"/>
      <c r="KME32" s="1688"/>
      <c r="KMF32" s="1688"/>
      <c r="KMG32" s="1688"/>
      <c r="KMH32" s="1688"/>
      <c r="KMI32" s="1688"/>
      <c r="KMJ32" s="1688"/>
      <c r="KMK32" s="1688"/>
      <c r="KML32" s="1688"/>
      <c r="KMM32" s="1688"/>
      <c r="KMN32" s="1688"/>
      <c r="KMO32" s="1688"/>
      <c r="KMP32" s="1688"/>
      <c r="KMQ32" s="1688"/>
      <c r="KMR32" s="1688"/>
      <c r="KMS32" s="1688"/>
      <c r="KMT32" s="1688"/>
      <c r="KMU32" s="1688"/>
      <c r="KMV32" s="1688"/>
      <c r="KMW32" s="1688"/>
      <c r="KMX32" s="1688"/>
      <c r="KMY32" s="1688"/>
      <c r="KMZ32" s="1688"/>
      <c r="KNA32" s="1688"/>
      <c r="KNB32" s="1688"/>
      <c r="KNC32" s="1688"/>
      <c r="KND32" s="1688"/>
      <c r="KNE32" s="1688"/>
      <c r="KNF32" s="1688"/>
      <c r="KNG32" s="1688"/>
      <c r="KNH32" s="1688"/>
      <c r="KNI32" s="1688"/>
      <c r="KNJ32" s="1688"/>
      <c r="KNK32" s="1688"/>
      <c r="KNL32" s="1688"/>
      <c r="KNM32" s="1688"/>
      <c r="KNN32" s="1688"/>
      <c r="KNO32" s="1688"/>
      <c r="KNP32" s="1688"/>
      <c r="KNQ32" s="1688"/>
      <c r="KNR32" s="1688"/>
      <c r="KNS32" s="1688"/>
      <c r="KNT32" s="1688"/>
      <c r="KNU32" s="1688"/>
      <c r="KNV32" s="1688"/>
      <c r="KNW32" s="1688"/>
      <c r="KNX32" s="1688"/>
      <c r="KNY32" s="1688"/>
      <c r="KNZ32" s="1688"/>
      <c r="KOA32" s="1688"/>
      <c r="KOB32" s="1688"/>
      <c r="KOC32" s="1688"/>
      <c r="KOD32" s="1688"/>
      <c r="KOE32" s="1688"/>
      <c r="KOF32" s="1688"/>
      <c r="KOG32" s="1688"/>
      <c r="KOH32" s="1688"/>
      <c r="KOI32" s="1688"/>
      <c r="KOJ32" s="1688"/>
      <c r="KOK32" s="1688"/>
      <c r="KOL32" s="1688"/>
      <c r="KOM32" s="1688"/>
      <c r="KON32" s="1688"/>
      <c r="KOO32" s="1688"/>
      <c r="KOP32" s="1688"/>
      <c r="KOQ32" s="1688"/>
      <c r="KOR32" s="1688"/>
      <c r="KOS32" s="1688"/>
      <c r="KOT32" s="1688"/>
      <c r="KOU32" s="1688"/>
      <c r="KOV32" s="1688"/>
      <c r="KOW32" s="1688"/>
      <c r="KOX32" s="1688"/>
      <c r="KOY32" s="1688"/>
      <c r="KOZ32" s="1688"/>
      <c r="KPA32" s="1688"/>
      <c r="KPB32" s="1688"/>
      <c r="KPC32" s="1688"/>
      <c r="KPD32" s="1688"/>
      <c r="KPE32" s="1688"/>
      <c r="KPF32" s="1688"/>
      <c r="KPG32" s="1688"/>
      <c r="KPH32" s="1688"/>
      <c r="KPI32" s="1688"/>
      <c r="KPJ32" s="1688"/>
      <c r="KPK32" s="1688"/>
      <c r="KPL32" s="1688"/>
      <c r="KPM32" s="1688"/>
      <c r="KPN32" s="1688"/>
      <c r="KPO32" s="1688"/>
      <c r="KPP32" s="1688"/>
      <c r="KPQ32" s="1688"/>
      <c r="KPR32" s="1688"/>
      <c r="KPS32" s="1688"/>
      <c r="KPT32" s="1688"/>
      <c r="KPU32" s="1688"/>
      <c r="KPV32" s="1688"/>
      <c r="KPW32" s="1688"/>
      <c r="KPX32" s="1688"/>
      <c r="KPY32" s="1688"/>
      <c r="KPZ32" s="1688"/>
      <c r="KQA32" s="1688"/>
      <c r="KQB32" s="1688"/>
      <c r="KQC32" s="1688"/>
      <c r="KQD32" s="1688"/>
      <c r="KQE32" s="1688"/>
      <c r="KQF32" s="1688"/>
      <c r="KQG32" s="1688"/>
      <c r="KQH32" s="1688"/>
      <c r="KQI32" s="1688"/>
      <c r="KQJ32" s="1688"/>
      <c r="KQK32" s="1688"/>
      <c r="KQL32" s="1688"/>
      <c r="KQM32" s="1688"/>
      <c r="KQN32" s="1688"/>
      <c r="KQO32" s="1688"/>
      <c r="KQP32" s="1688"/>
      <c r="KQQ32" s="1688"/>
      <c r="KQR32" s="1688"/>
      <c r="KQS32" s="1688"/>
      <c r="KQT32" s="1688"/>
      <c r="KQU32" s="1688"/>
      <c r="KQV32" s="1688"/>
      <c r="KQW32" s="1688"/>
      <c r="KQX32" s="1688"/>
      <c r="KQY32" s="1688"/>
      <c r="KQZ32" s="1688"/>
      <c r="KRA32" s="1688"/>
      <c r="KRB32" s="1688"/>
      <c r="KRC32" s="1688"/>
      <c r="KRD32" s="1688"/>
      <c r="KRE32" s="1688"/>
      <c r="KRF32" s="1688"/>
      <c r="KRG32" s="1688"/>
      <c r="KRH32" s="1688"/>
      <c r="KRI32" s="1688"/>
      <c r="KRJ32" s="1688"/>
      <c r="KRK32" s="1688"/>
      <c r="KRL32" s="1688"/>
      <c r="KRM32" s="1688"/>
      <c r="KRN32" s="1688"/>
      <c r="KRO32" s="1688"/>
      <c r="KRP32" s="1688"/>
      <c r="KRQ32" s="1688"/>
      <c r="KRR32" s="1688"/>
      <c r="KRS32" s="1688"/>
      <c r="KRT32" s="1688"/>
      <c r="KRU32" s="1688"/>
      <c r="KRV32" s="1688"/>
      <c r="KRW32" s="1688"/>
      <c r="KRX32" s="1688"/>
      <c r="KRY32" s="1688"/>
      <c r="KRZ32" s="1688"/>
      <c r="KSA32" s="1688"/>
      <c r="KSB32" s="1688"/>
      <c r="KSC32" s="1688"/>
      <c r="KSD32" s="1688"/>
      <c r="KSE32" s="1688"/>
      <c r="KSF32" s="1688"/>
      <c r="KSG32" s="1688"/>
      <c r="KSH32" s="1688"/>
      <c r="KSI32" s="1688"/>
      <c r="KSJ32" s="1688"/>
      <c r="KSK32" s="1688"/>
      <c r="KSL32" s="1688"/>
      <c r="KSM32" s="1688"/>
      <c r="KSN32" s="1688"/>
      <c r="KSO32" s="1688"/>
      <c r="KSP32" s="1688"/>
      <c r="KSQ32" s="1688"/>
      <c r="KSR32" s="1688"/>
      <c r="KSS32" s="1688"/>
      <c r="KST32" s="1688"/>
      <c r="KSU32" s="1688"/>
      <c r="KSV32" s="1688"/>
      <c r="KSW32" s="1688"/>
      <c r="KSX32" s="1688"/>
      <c r="KSY32" s="1688"/>
      <c r="KSZ32" s="1688"/>
      <c r="KTA32" s="1688"/>
      <c r="KTB32" s="1688"/>
      <c r="KTC32" s="1688"/>
      <c r="KTD32" s="1688"/>
      <c r="KTE32" s="1688"/>
      <c r="KTF32" s="1688"/>
      <c r="KTG32" s="1688"/>
      <c r="KTH32" s="1688"/>
      <c r="KTI32" s="1688"/>
      <c r="KTJ32" s="1688"/>
      <c r="KTK32" s="1688"/>
      <c r="KTL32" s="1688"/>
      <c r="KTM32" s="1688"/>
      <c r="KTN32" s="1688"/>
      <c r="KTO32" s="1688"/>
      <c r="KTP32" s="1688"/>
      <c r="KTQ32" s="1688"/>
      <c r="KTR32" s="1688"/>
      <c r="KTS32" s="1688"/>
      <c r="KTT32" s="1688"/>
      <c r="KTU32" s="1688"/>
      <c r="KTV32" s="1688"/>
      <c r="KTW32" s="1688"/>
      <c r="KTX32" s="1688"/>
      <c r="KTY32" s="1688"/>
      <c r="KTZ32" s="1688"/>
      <c r="KUA32" s="1688"/>
      <c r="KUB32" s="1688"/>
      <c r="KUC32" s="1688"/>
      <c r="KUD32" s="1688"/>
      <c r="KUE32" s="1688"/>
      <c r="KUF32" s="1688"/>
      <c r="KUG32" s="1688"/>
      <c r="KUH32" s="1688"/>
      <c r="KUI32" s="1688"/>
      <c r="KUJ32" s="1688"/>
      <c r="KUK32" s="1688"/>
      <c r="KUL32" s="1688"/>
      <c r="KUM32" s="1688"/>
      <c r="KUN32" s="1688"/>
      <c r="KUO32" s="1688"/>
      <c r="KUP32" s="1688"/>
      <c r="KUQ32" s="1688"/>
      <c r="KUR32" s="1688"/>
      <c r="KUS32" s="1688"/>
      <c r="KUT32" s="1688"/>
      <c r="KUU32" s="1688"/>
      <c r="KUV32" s="1688"/>
      <c r="KUW32" s="1688"/>
      <c r="KUX32" s="1688"/>
      <c r="KUY32" s="1688"/>
      <c r="KUZ32" s="1688"/>
      <c r="KVA32" s="1688"/>
      <c r="KVB32" s="1688"/>
      <c r="KVC32" s="1688"/>
      <c r="KVD32" s="1688"/>
      <c r="KVE32" s="1688"/>
      <c r="KVF32" s="1688"/>
      <c r="KVG32" s="1688"/>
      <c r="KVH32" s="1688"/>
      <c r="KVI32" s="1688"/>
      <c r="KVJ32" s="1688"/>
      <c r="KVK32" s="1688"/>
      <c r="KVL32" s="1688"/>
      <c r="KVM32" s="1688"/>
      <c r="KVN32" s="1688"/>
      <c r="KVO32" s="1688"/>
      <c r="KVP32" s="1688"/>
      <c r="KVQ32" s="1688"/>
      <c r="KVR32" s="1688"/>
      <c r="KVS32" s="1688"/>
      <c r="KVT32" s="1688"/>
      <c r="KVU32" s="1688"/>
      <c r="KVV32" s="1688"/>
      <c r="KVW32" s="1688"/>
      <c r="KVX32" s="1688"/>
      <c r="KVY32" s="1688"/>
      <c r="KVZ32" s="1688"/>
      <c r="KWA32" s="1688"/>
      <c r="KWB32" s="1688"/>
      <c r="KWC32" s="1688"/>
      <c r="KWD32" s="1688"/>
      <c r="KWE32" s="1688"/>
      <c r="KWF32" s="1688"/>
      <c r="KWG32" s="1688"/>
      <c r="KWH32" s="1688"/>
      <c r="KWI32" s="1688"/>
      <c r="KWJ32" s="1688"/>
      <c r="KWK32" s="1688"/>
      <c r="KWL32" s="1688"/>
      <c r="KWM32" s="1688"/>
      <c r="KWN32" s="1688"/>
      <c r="KWO32" s="1688"/>
      <c r="KWP32" s="1688"/>
      <c r="KWQ32" s="1688"/>
      <c r="KWR32" s="1688"/>
      <c r="KWS32" s="1688"/>
      <c r="KWT32" s="1688"/>
      <c r="KWU32" s="1688"/>
      <c r="KWV32" s="1688"/>
      <c r="KWW32" s="1688"/>
      <c r="KWX32" s="1688"/>
      <c r="KWY32" s="1688"/>
      <c r="KWZ32" s="1688"/>
      <c r="KXA32" s="1688"/>
      <c r="KXB32" s="1688"/>
      <c r="KXC32" s="1688"/>
      <c r="KXD32" s="1688"/>
      <c r="KXE32" s="1688"/>
      <c r="KXF32" s="1688"/>
      <c r="KXG32" s="1688"/>
      <c r="KXH32" s="1688"/>
      <c r="KXI32" s="1688"/>
      <c r="KXJ32" s="1688"/>
      <c r="KXK32" s="1688"/>
      <c r="KXL32" s="1688"/>
      <c r="KXM32" s="1688"/>
      <c r="KXN32" s="1688"/>
      <c r="KXO32" s="1688"/>
      <c r="KXP32" s="1688"/>
      <c r="KXQ32" s="1688"/>
      <c r="KXR32" s="1688"/>
      <c r="KXS32" s="1688"/>
      <c r="KXT32" s="1688"/>
      <c r="KXU32" s="1688"/>
      <c r="KXV32" s="1688"/>
      <c r="KXW32" s="1688"/>
      <c r="KXX32" s="1688"/>
      <c r="KXY32" s="1688"/>
      <c r="KXZ32" s="1688"/>
      <c r="KYA32" s="1688"/>
      <c r="KYB32" s="1688"/>
      <c r="KYC32" s="1688"/>
      <c r="KYD32" s="1688"/>
      <c r="KYE32" s="1688"/>
      <c r="KYF32" s="1688"/>
      <c r="KYG32" s="1688"/>
      <c r="KYH32" s="1688"/>
      <c r="KYI32" s="1688"/>
      <c r="KYJ32" s="1688"/>
      <c r="KYK32" s="1688"/>
      <c r="KYL32" s="1688"/>
      <c r="KYM32" s="1688"/>
      <c r="KYN32" s="1688"/>
      <c r="KYO32" s="1688"/>
      <c r="KYP32" s="1688"/>
      <c r="KYQ32" s="1688"/>
      <c r="KYR32" s="1688"/>
      <c r="KYS32" s="1688"/>
      <c r="KYT32" s="1688"/>
      <c r="KYU32" s="1688"/>
      <c r="KYV32" s="1688"/>
      <c r="KYW32" s="1688"/>
      <c r="KYX32" s="1688"/>
      <c r="KYY32" s="1688"/>
      <c r="KYZ32" s="1688"/>
      <c r="KZA32" s="1688"/>
      <c r="KZB32" s="1688"/>
      <c r="KZC32" s="1688"/>
      <c r="KZD32" s="1688"/>
      <c r="KZE32" s="1688"/>
      <c r="KZF32" s="1688"/>
      <c r="KZG32" s="1688"/>
      <c r="KZH32" s="1688"/>
      <c r="KZI32" s="1688"/>
      <c r="KZJ32" s="1688"/>
      <c r="KZK32" s="1688"/>
      <c r="KZL32" s="1688"/>
      <c r="KZM32" s="1688"/>
      <c r="KZN32" s="1688"/>
      <c r="KZO32" s="1688"/>
      <c r="KZP32" s="1688"/>
      <c r="KZQ32" s="1688"/>
      <c r="KZR32" s="1688"/>
      <c r="KZS32" s="1688"/>
      <c r="KZT32" s="1688"/>
      <c r="KZU32" s="1688"/>
      <c r="KZV32" s="1688"/>
      <c r="KZW32" s="1688"/>
      <c r="KZX32" s="1688"/>
      <c r="KZY32" s="1688"/>
      <c r="KZZ32" s="1688"/>
      <c r="LAA32" s="1688"/>
      <c r="LAB32" s="1688"/>
      <c r="LAC32" s="1688"/>
      <c r="LAD32" s="1688"/>
      <c r="LAE32" s="1688"/>
      <c r="LAF32" s="1688"/>
      <c r="LAG32" s="1688"/>
      <c r="LAH32" s="1688"/>
      <c r="LAI32" s="1688"/>
      <c r="LAJ32" s="1688"/>
      <c r="LAK32" s="1688"/>
      <c r="LAL32" s="1688"/>
      <c r="LAM32" s="1688"/>
      <c r="LAN32" s="1688"/>
      <c r="LAO32" s="1688"/>
      <c r="LAP32" s="1688"/>
      <c r="LAQ32" s="1688"/>
      <c r="LAR32" s="1688"/>
      <c r="LAS32" s="1688"/>
      <c r="LAT32" s="1688"/>
      <c r="LAU32" s="1688"/>
      <c r="LAV32" s="1688"/>
      <c r="LAW32" s="1688"/>
      <c r="LAX32" s="1688"/>
      <c r="LAY32" s="1688"/>
      <c r="LAZ32" s="1688"/>
      <c r="LBA32" s="1688"/>
      <c r="LBB32" s="1688"/>
      <c r="LBC32" s="1688"/>
      <c r="LBD32" s="1688"/>
      <c r="LBE32" s="1688"/>
      <c r="LBF32" s="1688"/>
      <c r="LBG32" s="1688"/>
      <c r="LBH32" s="1688"/>
      <c r="LBI32" s="1688"/>
      <c r="LBJ32" s="1688"/>
      <c r="LBK32" s="1688"/>
      <c r="LBL32" s="1688"/>
      <c r="LBM32" s="1688"/>
      <c r="LBN32" s="1688"/>
      <c r="LBO32" s="1688"/>
      <c r="LBP32" s="1688"/>
      <c r="LBQ32" s="1688"/>
      <c r="LBR32" s="1688"/>
      <c r="LBS32" s="1688"/>
      <c r="LBT32" s="1688"/>
      <c r="LBU32" s="1688"/>
      <c r="LBV32" s="1688"/>
      <c r="LBW32" s="1688"/>
      <c r="LBX32" s="1688"/>
      <c r="LBY32" s="1688"/>
      <c r="LBZ32" s="1688"/>
      <c r="LCA32" s="1688"/>
      <c r="LCB32" s="1688"/>
      <c r="LCC32" s="1688"/>
      <c r="LCD32" s="1688"/>
      <c r="LCE32" s="1688"/>
      <c r="LCF32" s="1688"/>
      <c r="LCG32" s="1688"/>
      <c r="LCH32" s="1688"/>
      <c r="LCI32" s="1688"/>
      <c r="LCJ32" s="1688"/>
      <c r="LCK32" s="1688"/>
      <c r="LCL32" s="1688"/>
      <c r="LCM32" s="1688"/>
      <c r="LCN32" s="1688"/>
      <c r="LCO32" s="1688"/>
      <c r="LCP32" s="1688"/>
      <c r="LCQ32" s="1688"/>
      <c r="LCR32" s="1688"/>
      <c r="LCS32" s="1688"/>
      <c r="LCT32" s="1688"/>
      <c r="LCU32" s="1688"/>
      <c r="LCV32" s="1688"/>
      <c r="LCW32" s="1688"/>
      <c r="LCX32" s="1688"/>
      <c r="LCY32" s="1688"/>
      <c r="LCZ32" s="1688"/>
      <c r="LDA32" s="1688"/>
      <c r="LDB32" s="1688"/>
      <c r="LDC32" s="1688"/>
      <c r="LDD32" s="1688"/>
      <c r="LDE32" s="1688"/>
      <c r="LDF32" s="1688"/>
      <c r="LDG32" s="1688"/>
      <c r="LDH32" s="1688"/>
      <c r="LDI32" s="1688"/>
      <c r="LDJ32" s="1688"/>
      <c r="LDK32" s="1688"/>
      <c r="LDL32" s="1688"/>
      <c r="LDM32" s="1688"/>
      <c r="LDN32" s="1688"/>
      <c r="LDO32" s="1688"/>
      <c r="LDP32" s="1688"/>
      <c r="LDQ32" s="1688"/>
      <c r="LDR32" s="1688"/>
      <c r="LDS32" s="1688"/>
      <c r="LDT32" s="1688"/>
      <c r="LDU32" s="1688"/>
      <c r="LDV32" s="1688"/>
      <c r="LDW32" s="1688"/>
      <c r="LDX32" s="1688"/>
      <c r="LDY32" s="1688"/>
      <c r="LDZ32" s="1688"/>
      <c r="LEA32" s="1688"/>
      <c r="LEB32" s="1688"/>
      <c r="LEC32" s="1688"/>
      <c r="LED32" s="1688"/>
      <c r="LEE32" s="1688"/>
      <c r="LEF32" s="1688"/>
      <c r="LEG32" s="1688"/>
      <c r="LEH32" s="1688"/>
      <c r="LEI32" s="1688"/>
      <c r="LEJ32" s="1688"/>
      <c r="LEK32" s="1688"/>
      <c r="LEL32" s="1688"/>
      <c r="LEM32" s="1688"/>
      <c r="LEN32" s="1688"/>
      <c r="LEO32" s="1688"/>
      <c r="LEP32" s="1688"/>
      <c r="LEQ32" s="1688"/>
      <c r="LER32" s="1688"/>
      <c r="LES32" s="1688"/>
      <c r="LET32" s="1688"/>
      <c r="LEU32" s="1688"/>
      <c r="LEV32" s="1688"/>
      <c r="LEW32" s="1688"/>
      <c r="LEX32" s="1688"/>
      <c r="LEY32" s="1688"/>
      <c r="LEZ32" s="1688"/>
      <c r="LFA32" s="1688"/>
      <c r="LFB32" s="1688"/>
      <c r="LFC32" s="1688"/>
      <c r="LFD32" s="1688"/>
      <c r="LFE32" s="1688"/>
      <c r="LFF32" s="1688"/>
      <c r="LFG32" s="1688"/>
      <c r="LFH32" s="1688"/>
      <c r="LFI32" s="1688"/>
      <c r="LFJ32" s="1688"/>
      <c r="LFK32" s="1688"/>
      <c r="LFL32" s="1688"/>
      <c r="LFM32" s="1688"/>
      <c r="LFN32" s="1688"/>
      <c r="LFO32" s="1688"/>
      <c r="LFP32" s="1688"/>
      <c r="LFQ32" s="1688"/>
      <c r="LFR32" s="1688"/>
      <c r="LFS32" s="1688"/>
      <c r="LFT32" s="1688"/>
      <c r="LFU32" s="1688"/>
      <c r="LFV32" s="1688"/>
      <c r="LFW32" s="1688"/>
      <c r="LFX32" s="1688"/>
      <c r="LFY32" s="1688"/>
      <c r="LFZ32" s="1688"/>
      <c r="LGA32" s="1688"/>
      <c r="LGB32" s="1688"/>
      <c r="LGC32" s="1688"/>
      <c r="LGD32" s="1688"/>
      <c r="LGE32" s="1688"/>
      <c r="LGF32" s="1688"/>
      <c r="LGG32" s="1688"/>
      <c r="LGH32" s="1688"/>
      <c r="LGI32" s="1688"/>
      <c r="LGJ32" s="1688"/>
      <c r="LGK32" s="1688"/>
      <c r="LGL32" s="1688"/>
      <c r="LGM32" s="1688"/>
      <c r="LGN32" s="1688"/>
      <c r="LGO32" s="1688"/>
      <c r="LGP32" s="1688"/>
      <c r="LGQ32" s="1688"/>
      <c r="LGR32" s="1688"/>
      <c r="LGS32" s="1688"/>
      <c r="LGT32" s="1688"/>
      <c r="LGU32" s="1688"/>
      <c r="LGV32" s="1688"/>
      <c r="LGW32" s="1688"/>
      <c r="LGX32" s="1688"/>
      <c r="LGY32" s="1688"/>
      <c r="LGZ32" s="1688"/>
      <c r="LHA32" s="1688"/>
      <c r="LHB32" s="1688"/>
      <c r="LHC32" s="1688"/>
      <c r="LHD32" s="1688"/>
      <c r="LHE32" s="1688"/>
      <c r="LHF32" s="1688"/>
      <c r="LHG32" s="1688"/>
      <c r="LHH32" s="1688"/>
      <c r="LHI32" s="1688"/>
      <c r="LHJ32" s="1688"/>
      <c r="LHK32" s="1688"/>
      <c r="LHL32" s="1688"/>
      <c r="LHM32" s="1688"/>
      <c r="LHN32" s="1688"/>
      <c r="LHO32" s="1688"/>
      <c r="LHP32" s="1688"/>
      <c r="LHQ32" s="1688"/>
      <c r="LHR32" s="1688"/>
      <c r="LHS32" s="1688"/>
      <c r="LHT32" s="1688"/>
      <c r="LHU32" s="1688"/>
      <c r="LHV32" s="1688"/>
      <c r="LHW32" s="1688"/>
      <c r="LHX32" s="1688"/>
      <c r="LHY32" s="1688"/>
      <c r="LHZ32" s="1688"/>
      <c r="LIA32" s="1688"/>
      <c r="LIB32" s="1688"/>
      <c r="LIC32" s="1688"/>
      <c r="LID32" s="1688"/>
      <c r="LIE32" s="1688"/>
      <c r="LIF32" s="1688"/>
      <c r="LIG32" s="1688"/>
      <c r="LIH32" s="1688"/>
      <c r="LII32" s="1688"/>
      <c r="LIJ32" s="1688"/>
      <c r="LIK32" s="1688"/>
      <c r="LIL32" s="1688"/>
      <c r="LIM32" s="1688"/>
      <c r="LIN32" s="1688"/>
      <c r="LIO32" s="1688"/>
      <c r="LIP32" s="1688"/>
      <c r="LIQ32" s="1688"/>
      <c r="LIR32" s="1688"/>
      <c r="LIS32" s="1688"/>
      <c r="LIT32" s="1688"/>
      <c r="LIU32" s="1688"/>
      <c r="LIV32" s="1688"/>
      <c r="LIW32" s="1688"/>
      <c r="LIX32" s="1688"/>
      <c r="LIY32" s="1688"/>
      <c r="LIZ32" s="1688"/>
      <c r="LJA32" s="1688"/>
      <c r="LJB32" s="1688"/>
      <c r="LJC32" s="1688"/>
      <c r="LJD32" s="1688"/>
      <c r="LJE32" s="1688"/>
      <c r="LJF32" s="1688"/>
      <c r="LJG32" s="1688"/>
      <c r="LJH32" s="1688"/>
      <c r="LJI32" s="1688"/>
      <c r="LJJ32" s="1688"/>
      <c r="LJK32" s="1688"/>
      <c r="LJL32" s="1688"/>
      <c r="LJM32" s="1688"/>
      <c r="LJN32" s="1688"/>
      <c r="LJO32" s="1688"/>
      <c r="LJP32" s="1688"/>
      <c r="LJQ32" s="1688"/>
      <c r="LJR32" s="1688"/>
      <c r="LJS32" s="1688"/>
      <c r="LJT32" s="1688"/>
      <c r="LJU32" s="1688"/>
      <c r="LJV32" s="1688"/>
      <c r="LJW32" s="1688"/>
      <c r="LJX32" s="1688"/>
      <c r="LJY32" s="1688"/>
      <c r="LJZ32" s="1688"/>
      <c r="LKA32" s="1688"/>
      <c r="LKB32" s="1688"/>
      <c r="LKC32" s="1688"/>
      <c r="LKD32" s="1688"/>
      <c r="LKE32" s="1688"/>
      <c r="LKF32" s="1688"/>
      <c r="LKG32" s="1688"/>
      <c r="LKH32" s="1688"/>
      <c r="LKI32" s="1688"/>
      <c r="LKJ32" s="1688"/>
      <c r="LKK32" s="1688"/>
      <c r="LKL32" s="1688"/>
      <c r="LKM32" s="1688"/>
      <c r="LKN32" s="1688"/>
      <c r="LKO32" s="1688"/>
      <c r="LKP32" s="1688"/>
      <c r="LKQ32" s="1688"/>
      <c r="LKR32" s="1688"/>
      <c r="LKS32" s="1688"/>
      <c r="LKT32" s="1688"/>
      <c r="LKU32" s="1688"/>
      <c r="LKV32" s="1688"/>
      <c r="LKW32" s="1688"/>
      <c r="LKX32" s="1688"/>
      <c r="LKY32" s="1688"/>
      <c r="LKZ32" s="1688"/>
      <c r="LLA32" s="1688"/>
      <c r="LLB32" s="1688"/>
      <c r="LLC32" s="1688"/>
      <c r="LLD32" s="1688"/>
      <c r="LLE32" s="1688"/>
      <c r="LLF32" s="1688"/>
      <c r="LLG32" s="1688"/>
      <c r="LLH32" s="1688"/>
      <c r="LLI32" s="1688"/>
      <c r="LLJ32" s="1688"/>
      <c r="LLK32" s="1688"/>
      <c r="LLL32" s="1688"/>
      <c r="LLM32" s="1688"/>
      <c r="LLN32" s="1688"/>
      <c r="LLO32" s="1688"/>
      <c r="LLP32" s="1688"/>
      <c r="LLQ32" s="1688"/>
      <c r="LLR32" s="1688"/>
      <c r="LLS32" s="1688"/>
      <c r="LLT32" s="1688"/>
      <c r="LLU32" s="1688"/>
      <c r="LLV32" s="1688"/>
      <c r="LLW32" s="1688"/>
      <c r="LLX32" s="1688"/>
      <c r="LLY32" s="1688"/>
      <c r="LLZ32" s="1688"/>
      <c r="LMA32" s="1688"/>
      <c r="LMB32" s="1688"/>
      <c r="LMC32" s="1688"/>
      <c r="LMD32" s="1688"/>
      <c r="LME32" s="1688"/>
      <c r="LMF32" s="1688"/>
      <c r="LMG32" s="1688"/>
      <c r="LMH32" s="1688"/>
      <c r="LMI32" s="1688"/>
      <c r="LMJ32" s="1688"/>
      <c r="LMK32" s="1688"/>
      <c r="LML32" s="1688"/>
      <c r="LMM32" s="1688"/>
      <c r="LMN32" s="1688"/>
      <c r="LMO32" s="1688"/>
      <c r="LMP32" s="1688"/>
      <c r="LMQ32" s="1688"/>
      <c r="LMR32" s="1688"/>
      <c r="LMS32" s="1688"/>
      <c r="LMT32" s="1688"/>
      <c r="LMU32" s="1688"/>
      <c r="LMV32" s="1688"/>
      <c r="LMW32" s="1688"/>
      <c r="LMX32" s="1688"/>
      <c r="LMY32" s="1688"/>
      <c r="LMZ32" s="1688"/>
      <c r="LNA32" s="1688"/>
      <c r="LNB32" s="1688"/>
      <c r="LNC32" s="1688"/>
      <c r="LND32" s="1688"/>
      <c r="LNE32" s="1688"/>
      <c r="LNF32" s="1688"/>
      <c r="LNG32" s="1688"/>
      <c r="LNH32" s="1688"/>
      <c r="LNI32" s="1688"/>
      <c r="LNJ32" s="1688"/>
      <c r="LNK32" s="1688"/>
      <c r="LNL32" s="1688"/>
      <c r="LNM32" s="1688"/>
      <c r="LNN32" s="1688"/>
      <c r="LNO32" s="1688"/>
      <c r="LNP32" s="1688"/>
      <c r="LNQ32" s="1688"/>
      <c r="LNR32" s="1688"/>
      <c r="LNS32" s="1688"/>
      <c r="LNT32" s="1688"/>
      <c r="LNU32" s="1688"/>
      <c r="LNV32" s="1688"/>
      <c r="LNW32" s="1688"/>
      <c r="LNX32" s="1688"/>
      <c r="LNY32" s="1688"/>
      <c r="LNZ32" s="1688"/>
      <c r="LOA32" s="1688"/>
      <c r="LOB32" s="1688"/>
      <c r="LOC32" s="1688"/>
      <c r="LOD32" s="1688"/>
      <c r="LOE32" s="1688"/>
      <c r="LOF32" s="1688"/>
      <c r="LOG32" s="1688"/>
      <c r="LOH32" s="1688"/>
      <c r="LOI32" s="1688"/>
      <c r="LOJ32" s="1688"/>
      <c r="LOK32" s="1688"/>
      <c r="LOL32" s="1688"/>
      <c r="LOM32" s="1688"/>
      <c r="LON32" s="1688"/>
      <c r="LOO32" s="1688"/>
      <c r="LOP32" s="1688"/>
      <c r="LOQ32" s="1688"/>
      <c r="LOR32" s="1688"/>
      <c r="LOS32" s="1688"/>
      <c r="LOT32" s="1688"/>
      <c r="LOU32" s="1688"/>
      <c r="LOV32" s="1688"/>
      <c r="LOW32" s="1688"/>
      <c r="LOX32" s="1688"/>
      <c r="LOY32" s="1688"/>
      <c r="LOZ32" s="1688"/>
      <c r="LPA32" s="1688"/>
      <c r="LPB32" s="1688"/>
      <c r="LPC32" s="1688"/>
      <c r="LPD32" s="1688"/>
      <c r="LPE32" s="1688"/>
      <c r="LPF32" s="1688"/>
      <c r="LPG32" s="1688"/>
      <c r="LPH32" s="1688"/>
      <c r="LPI32" s="1688"/>
      <c r="LPJ32" s="1688"/>
      <c r="LPK32" s="1688"/>
      <c r="LPL32" s="1688"/>
      <c r="LPM32" s="1688"/>
      <c r="LPN32" s="1688"/>
      <c r="LPO32" s="1688"/>
      <c r="LPP32" s="1688"/>
      <c r="LPQ32" s="1688"/>
      <c r="LPR32" s="1688"/>
      <c r="LPS32" s="1688"/>
      <c r="LPT32" s="1688"/>
      <c r="LPU32" s="1688"/>
      <c r="LPV32" s="1688"/>
      <c r="LPW32" s="1688"/>
      <c r="LPX32" s="1688"/>
      <c r="LPY32" s="1688"/>
      <c r="LPZ32" s="1688"/>
      <c r="LQA32" s="1688"/>
      <c r="LQB32" s="1688"/>
      <c r="LQC32" s="1688"/>
      <c r="LQD32" s="1688"/>
      <c r="LQE32" s="1688"/>
      <c r="LQF32" s="1688"/>
      <c r="LQG32" s="1688"/>
      <c r="LQH32" s="1688"/>
      <c r="LQI32" s="1688"/>
      <c r="LQJ32" s="1688"/>
      <c r="LQK32" s="1688"/>
      <c r="LQL32" s="1688"/>
      <c r="LQM32" s="1688"/>
      <c r="LQN32" s="1688"/>
      <c r="LQO32" s="1688"/>
      <c r="LQP32" s="1688"/>
      <c r="LQQ32" s="1688"/>
      <c r="LQR32" s="1688"/>
      <c r="LQS32" s="1688"/>
      <c r="LQT32" s="1688"/>
      <c r="LQU32" s="1688"/>
      <c r="LQV32" s="1688"/>
      <c r="LQW32" s="1688"/>
      <c r="LQX32" s="1688"/>
      <c r="LQY32" s="1688"/>
      <c r="LQZ32" s="1688"/>
      <c r="LRA32" s="1688"/>
      <c r="LRB32" s="1688"/>
      <c r="LRC32" s="1688"/>
      <c r="LRD32" s="1688"/>
      <c r="LRE32" s="1688"/>
      <c r="LRF32" s="1688"/>
      <c r="LRG32" s="1688"/>
      <c r="LRH32" s="1688"/>
      <c r="LRI32" s="1688"/>
      <c r="LRJ32" s="1688"/>
      <c r="LRK32" s="1688"/>
      <c r="LRL32" s="1688"/>
      <c r="LRM32" s="1688"/>
      <c r="LRN32" s="1688"/>
      <c r="LRO32" s="1688"/>
      <c r="LRP32" s="1688"/>
      <c r="LRQ32" s="1688"/>
      <c r="LRR32" s="1688"/>
      <c r="LRS32" s="1688"/>
      <c r="LRT32" s="1688"/>
      <c r="LRU32" s="1688"/>
      <c r="LRV32" s="1688"/>
      <c r="LRW32" s="1688"/>
      <c r="LRX32" s="1688"/>
      <c r="LRY32" s="1688"/>
      <c r="LRZ32" s="1688"/>
      <c r="LSA32" s="1688"/>
      <c r="LSB32" s="1688"/>
      <c r="LSC32" s="1688"/>
      <c r="LSD32" s="1688"/>
      <c r="LSE32" s="1688"/>
      <c r="LSF32" s="1688"/>
      <c r="LSG32" s="1688"/>
      <c r="LSH32" s="1688"/>
      <c r="LSI32" s="1688"/>
      <c r="LSJ32" s="1688"/>
      <c r="LSK32" s="1688"/>
      <c r="LSL32" s="1688"/>
      <c r="LSM32" s="1688"/>
      <c r="LSN32" s="1688"/>
      <c r="LSO32" s="1688"/>
      <c r="LSP32" s="1688"/>
      <c r="LSQ32" s="1688"/>
      <c r="LSR32" s="1688"/>
      <c r="LSS32" s="1688"/>
      <c r="LST32" s="1688"/>
      <c r="LSU32" s="1688"/>
      <c r="LSV32" s="1688"/>
      <c r="LSW32" s="1688"/>
      <c r="LSX32" s="1688"/>
      <c r="LSY32" s="1688"/>
      <c r="LSZ32" s="1688"/>
      <c r="LTA32" s="1688"/>
      <c r="LTB32" s="1688"/>
      <c r="LTC32" s="1688"/>
      <c r="LTD32" s="1688"/>
      <c r="LTE32" s="1688"/>
      <c r="LTF32" s="1688"/>
      <c r="LTG32" s="1688"/>
      <c r="LTH32" s="1688"/>
      <c r="LTI32" s="1688"/>
      <c r="LTJ32" s="1688"/>
      <c r="LTK32" s="1688"/>
      <c r="LTL32" s="1688"/>
      <c r="LTM32" s="1688"/>
      <c r="LTN32" s="1688"/>
      <c r="LTO32" s="1688"/>
      <c r="LTP32" s="1688"/>
      <c r="LTQ32" s="1688"/>
      <c r="LTR32" s="1688"/>
      <c r="LTS32" s="1688"/>
      <c r="LTT32" s="1688"/>
      <c r="LTU32" s="1688"/>
      <c r="LTV32" s="1688"/>
      <c r="LTW32" s="1688"/>
      <c r="LTX32" s="1688"/>
      <c r="LTY32" s="1688"/>
      <c r="LTZ32" s="1688"/>
      <c r="LUA32" s="1688"/>
      <c r="LUB32" s="1688"/>
      <c r="LUC32" s="1688"/>
      <c r="LUD32" s="1688"/>
      <c r="LUE32" s="1688"/>
      <c r="LUF32" s="1688"/>
      <c r="LUG32" s="1688"/>
      <c r="LUH32" s="1688"/>
      <c r="LUI32" s="1688"/>
      <c r="LUJ32" s="1688"/>
      <c r="LUK32" s="1688"/>
      <c r="LUL32" s="1688"/>
      <c r="LUM32" s="1688"/>
      <c r="LUN32" s="1688"/>
      <c r="LUO32" s="1688"/>
      <c r="LUP32" s="1688"/>
      <c r="LUQ32" s="1688"/>
      <c r="LUR32" s="1688"/>
      <c r="LUS32" s="1688"/>
      <c r="LUT32" s="1688"/>
      <c r="LUU32" s="1688"/>
      <c r="LUV32" s="1688"/>
      <c r="LUW32" s="1688"/>
      <c r="LUX32" s="1688"/>
      <c r="LUY32" s="1688"/>
      <c r="LUZ32" s="1688"/>
      <c r="LVA32" s="1688"/>
      <c r="LVB32" s="1688"/>
      <c r="LVC32" s="1688"/>
      <c r="LVD32" s="1688"/>
      <c r="LVE32" s="1688"/>
      <c r="LVF32" s="1688"/>
      <c r="LVG32" s="1688"/>
      <c r="LVH32" s="1688"/>
      <c r="LVI32" s="1688"/>
      <c r="LVJ32" s="1688"/>
      <c r="LVK32" s="1688"/>
      <c r="LVL32" s="1688"/>
      <c r="LVM32" s="1688"/>
      <c r="LVN32" s="1688"/>
      <c r="LVO32" s="1688"/>
      <c r="LVP32" s="1688"/>
      <c r="LVQ32" s="1688"/>
      <c r="LVR32" s="1688"/>
      <c r="LVS32" s="1688"/>
      <c r="LVT32" s="1688"/>
      <c r="LVU32" s="1688"/>
      <c r="LVV32" s="1688"/>
      <c r="LVW32" s="1688"/>
      <c r="LVX32" s="1688"/>
      <c r="LVY32" s="1688"/>
      <c r="LVZ32" s="1688"/>
      <c r="LWA32" s="1688"/>
      <c r="LWB32" s="1688"/>
      <c r="LWC32" s="1688"/>
      <c r="LWD32" s="1688"/>
      <c r="LWE32" s="1688"/>
      <c r="LWF32" s="1688"/>
      <c r="LWG32" s="1688"/>
      <c r="LWH32" s="1688"/>
      <c r="LWI32" s="1688"/>
      <c r="LWJ32" s="1688"/>
      <c r="LWK32" s="1688"/>
      <c r="LWL32" s="1688"/>
      <c r="LWM32" s="1688"/>
      <c r="LWN32" s="1688"/>
      <c r="LWO32" s="1688"/>
      <c r="LWP32" s="1688"/>
      <c r="LWQ32" s="1688"/>
      <c r="LWR32" s="1688"/>
      <c r="LWS32" s="1688"/>
      <c r="LWT32" s="1688"/>
      <c r="LWU32" s="1688"/>
      <c r="LWV32" s="1688"/>
      <c r="LWW32" s="1688"/>
      <c r="LWX32" s="1688"/>
      <c r="LWY32" s="1688"/>
      <c r="LWZ32" s="1688"/>
      <c r="LXA32" s="1688"/>
      <c r="LXB32" s="1688"/>
      <c r="LXC32" s="1688"/>
      <c r="LXD32" s="1688"/>
      <c r="LXE32" s="1688"/>
      <c r="LXF32" s="1688"/>
      <c r="LXG32" s="1688"/>
      <c r="LXH32" s="1688"/>
      <c r="LXI32" s="1688"/>
      <c r="LXJ32" s="1688"/>
      <c r="LXK32" s="1688"/>
      <c r="LXL32" s="1688"/>
      <c r="LXM32" s="1688"/>
      <c r="LXN32" s="1688"/>
      <c r="LXO32" s="1688"/>
      <c r="LXP32" s="1688"/>
      <c r="LXQ32" s="1688"/>
      <c r="LXR32" s="1688"/>
      <c r="LXS32" s="1688"/>
      <c r="LXT32" s="1688"/>
      <c r="LXU32" s="1688"/>
      <c r="LXV32" s="1688"/>
      <c r="LXW32" s="1688"/>
      <c r="LXX32" s="1688"/>
      <c r="LXY32" s="1688"/>
      <c r="LXZ32" s="1688"/>
      <c r="LYA32" s="1688"/>
      <c r="LYB32" s="1688"/>
      <c r="LYC32" s="1688"/>
      <c r="LYD32" s="1688"/>
      <c r="LYE32" s="1688"/>
      <c r="LYF32" s="1688"/>
      <c r="LYG32" s="1688"/>
      <c r="LYH32" s="1688"/>
      <c r="LYI32" s="1688"/>
      <c r="LYJ32" s="1688"/>
      <c r="LYK32" s="1688"/>
      <c r="LYL32" s="1688"/>
      <c r="LYM32" s="1688"/>
      <c r="LYN32" s="1688"/>
      <c r="LYO32" s="1688"/>
      <c r="LYP32" s="1688"/>
      <c r="LYQ32" s="1688"/>
      <c r="LYR32" s="1688"/>
      <c r="LYS32" s="1688"/>
      <c r="LYT32" s="1688"/>
      <c r="LYU32" s="1688"/>
      <c r="LYV32" s="1688"/>
      <c r="LYW32" s="1688"/>
      <c r="LYX32" s="1688"/>
      <c r="LYY32" s="1688"/>
      <c r="LYZ32" s="1688"/>
      <c r="LZA32" s="1688"/>
      <c r="LZB32" s="1688"/>
      <c r="LZC32" s="1688"/>
      <c r="LZD32" s="1688"/>
      <c r="LZE32" s="1688"/>
      <c r="LZF32" s="1688"/>
      <c r="LZG32" s="1688"/>
      <c r="LZH32" s="1688"/>
      <c r="LZI32" s="1688"/>
      <c r="LZJ32" s="1688"/>
      <c r="LZK32" s="1688"/>
      <c r="LZL32" s="1688"/>
      <c r="LZM32" s="1688"/>
      <c r="LZN32" s="1688"/>
      <c r="LZO32" s="1688"/>
      <c r="LZP32" s="1688"/>
      <c r="LZQ32" s="1688"/>
      <c r="LZR32" s="1688"/>
      <c r="LZS32" s="1688"/>
      <c r="LZT32" s="1688"/>
      <c r="LZU32" s="1688"/>
      <c r="LZV32" s="1688"/>
      <c r="LZW32" s="1688"/>
      <c r="LZX32" s="1688"/>
      <c r="LZY32" s="1688"/>
      <c r="LZZ32" s="1688"/>
      <c r="MAA32" s="1688"/>
      <c r="MAB32" s="1688"/>
      <c r="MAC32" s="1688"/>
      <c r="MAD32" s="1688"/>
      <c r="MAE32" s="1688"/>
      <c r="MAF32" s="1688"/>
      <c r="MAG32" s="1688"/>
      <c r="MAH32" s="1688"/>
      <c r="MAI32" s="1688"/>
      <c r="MAJ32" s="1688"/>
      <c r="MAK32" s="1688"/>
      <c r="MAL32" s="1688"/>
      <c r="MAM32" s="1688"/>
      <c r="MAN32" s="1688"/>
      <c r="MAO32" s="1688"/>
      <c r="MAP32" s="1688"/>
      <c r="MAQ32" s="1688"/>
      <c r="MAR32" s="1688"/>
      <c r="MAS32" s="1688"/>
      <c r="MAT32" s="1688"/>
      <c r="MAU32" s="1688"/>
      <c r="MAV32" s="1688"/>
      <c r="MAW32" s="1688"/>
      <c r="MAX32" s="1688"/>
      <c r="MAY32" s="1688"/>
      <c r="MAZ32" s="1688"/>
      <c r="MBA32" s="1688"/>
      <c r="MBB32" s="1688"/>
      <c r="MBC32" s="1688"/>
      <c r="MBD32" s="1688"/>
      <c r="MBE32" s="1688"/>
      <c r="MBF32" s="1688"/>
      <c r="MBG32" s="1688"/>
      <c r="MBH32" s="1688"/>
      <c r="MBI32" s="1688"/>
      <c r="MBJ32" s="1688"/>
      <c r="MBK32" s="1688"/>
      <c r="MBL32" s="1688"/>
      <c r="MBM32" s="1688"/>
      <c r="MBN32" s="1688"/>
      <c r="MBO32" s="1688"/>
      <c r="MBP32" s="1688"/>
      <c r="MBQ32" s="1688"/>
      <c r="MBR32" s="1688"/>
      <c r="MBS32" s="1688"/>
      <c r="MBT32" s="1688"/>
      <c r="MBU32" s="1688"/>
      <c r="MBV32" s="1688"/>
      <c r="MBW32" s="1688"/>
      <c r="MBX32" s="1688"/>
      <c r="MBY32" s="1688"/>
      <c r="MBZ32" s="1688"/>
      <c r="MCA32" s="1688"/>
      <c r="MCB32" s="1688"/>
      <c r="MCC32" s="1688"/>
      <c r="MCD32" s="1688"/>
      <c r="MCE32" s="1688"/>
      <c r="MCF32" s="1688"/>
      <c r="MCG32" s="1688"/>
      <c r="MCH32" s="1688"/>
      <c r="MCI32" s="1688"/>
      <c r="MCJ32" s="1688"/>
      <c r="MCK32" s="1688"/>
      <c r="MCL32" s="1688"/>
      <c r="MCM32" s="1688"/>
      <c r="MCN32" s="1688"/>
      <c r="MCO32" s="1688"/>
      <c r="MCP32" s="1688"/>
      <c r="MCQ32" s="1688"/>
      <c r="MCR32" s="1688"/>
      <c r="MCS32" s="1688"/>
      <c r="MCT32" s="1688"/>
      <c r="MCU32" s="1688"/>
      <c r="MCV32" s="1688"/>
      <c r="MCW32" s="1688"/>
      <c r="MCX32" s="1688"/>
      <c r="MCY32" s="1688"/>
      <c r="MCZ32" s="1688"/>
      <c r="MDA32" s="1688"/>
      <c r="MDB32" s="1688"/>
      <c r="MDC32" s="1688"/>
      <c r="MDD32" s="1688"/>
      <c r="MDE32" s="1688"/>
      <c r="MDF32" s="1688"/>
      <c r="MDG32" s="1688"/>
      <c r="MDH32" s="1688"/>
      <c r="MDI32" s="1688"/>
      <c r="MDJ32" s="1688"/>
      <c r="MDK32" s="1688"/>
      <c r="MDL32" s="1688"/>
      <c r="MDM32" s="1688"/>
      <c r="MDN32" s="1688"/>
      <c r="MDO32" s="1688"/>
      <c r="MDP32" s="1688"/>
      <c r="MDQ32" s="1688"/>
      <c r="MDR32" s="1688"/>
      <c r="MDS32" s="1688"/>
      <c r="MDT32" s="1688"/>
      <c r="MDU32" s="1688"/>
      <c r="MDV32" s="1688"/>
      <c r="MDW32" s="1688"/>
      <c r="MDX32" s="1688"/>
      <c r="MDY32" s="1688"/>
      <c r="MDZ32" s="1688"/>
      <c r="MEA32" s="1688"/>
      <c r="MEB32" s="1688"/>
      <c r="MEC32" s="1688"/>
      <c r="MED32" s="1688"/>
      <c r="MEE32" s="1688"/>
      <c r="MEF32" s="1688"/>
      <c r="MEG32" s="1688"/>
      <c r="MEH32" s="1688"/>
      <c r="MEI32" s="1688"/>
      <c r="MEJ32" s="1688"/>
      <c r="MEK32" s="1688"/>
      <c r="MEL32" s="1688"/>
      <c r="MEM32" s="1688"/>
      <c r="MEN32" s="1688"/>
      <c r="MEO32" s="1688"/>
      <c r="MEP32" s="1688"/>
      <c r="MEQ32" s="1688"/>
      <c r="MER32" s="1688"/>
      <c r="MES32" s="1688"/>
      <c r="MET32" s="1688"/>
      <c r="MEU32" s="1688"/>
      <c r="MEV32" s="1688"/>
      <c r="MEW32" s="1688"/>
      <c r="MEX32" s="1688"/>
      <c r="MEY32" s="1688"/>
      <c r="MEZ32" s="1688"/>
      <c r="MFA32" s="1688"/>
      <c r="MFB32" s="1688"/>
      <c r="MFC32" s="1688"/>
      <c r="MFD32" s="1688"/>
      <c r="MFE32" s="1688"/>
      <c r="MFF32" s="1688"/>
      <c r="MFG32" s="1688"/>
      <c r="MFH32" s="1688"/>
      <c r="MFI32" s="1688"/>
      <c r="MFJ32" s="1688"/>
      <c r="MFK32" s="1688"/>
      <c r="MFL32" s="1688"/>
      <c r="MFM32" s="1688"/>
      <c r="MFN32" s="1688"/>
      <c r="MFO32" s="1688"/>
      <c r="MFP32" s="1688"/>
      <c r="MFQ32" s="1688"/>
      <c r="MFR32" s="1688"/>
      <c r="MFS32" s="1688"/>
      <c r="MFT32" s="1688"/>
      <c r="MFU32" s="1688"/>
      <c r="MFV32" s="1688"/>
      <c r="MFW32" s="1688"/>
      <c r="MFX32" s="1688"/>
      <c r="MFY32" s="1688"/>
      <c r="MFZ32" s="1688"/>
      <c r="MGA32" s="1688"/>
      <c r="MGB32" s="1688"/>
      <c r="MGC32" s="1688"/>
      <c r="MGD32" s="1688"/>
      <c r="MGE32" s="1688"/>
      <c r="MGF32" s="1688"/>
      <c r="MGG32" s="1688"/>
      <c r="MGH32" s="1688"/>
      <c r="MGI32" s="1688"/>
      <c r="MGJ32" s="1688"/>
      <c r="MGK32" s="1688"/>
      <c r="MGL32" s="1688"/>
      <c r="MGM32" s="1688"/>
      <c r="MGN32" s="1688"/>
      <c r="MGO32" s="1688"/>
      <c r="MGP32" s="1688"/>
      <c r="MGQ32" s="1688"/>
      <c r="MGR32" s="1688"/>
      <c r="MGS32" s="1688"/>
      <c r="MGT32" s="1688"/>
      <c r="MGU32" s="1688"/>
      <c r="MGV32" s="1688"/>
      <c r="MGW32" s="1688"/>
      <c r="MGX32" s="1688"/>
      <c r="MGY32" s="1688"/>
      <c r="MGZ32" s="1688"/>
      <c r="MHA32" s="1688"/>
      <c r="MHB32" s="1688"/>
      <c r="MHC32" s="1688"/>
      <c r="MHD32" s="1688"/>
      <c r="MHE32" s="1688"/>
      <c r="MHF32" s="1688"/>
      <c r="MHG32" s="1688"/>
      <c r="MHH32" s="1688"/>
      <c r="MHI32" s="1688"/>
      <c r="MHJ32" s="1688"/>
      <c r="MHK32" s="1688"/>
      <c r="MHL32" s="1688"/>
      <c r="MHM32" s="1688"/>
      <c r="MHN32" s="1688"/>
      <c r="MHO32" s="1688"/>
      <c r="MHP32" s="1688"/>
      <c r="MHQ32" s="1688"/>
      <c r="MHR32" s="1688"/>
      <c r="MHS32" s="1688"/>
      <c r="MHT32" s="1688"/>
      <c r="MHU32" s="1688"/>
      <c r="MHV32" s="1688"/>
      <c r="MHW32" s="1688"/>
      <c r="MHX32" s="1688"/>
      <c r="MHY32" s="1688"/>
      <c r="MHZ32" s="1688"/>
      <c r="MIA32" s="1688"/>
      <c r="MIB32" s="1688"/>
      <c r="MIC32" s="1688"/>
      <c r="MID32" s="1688"/>
      <c r="MIE32" s="1688"/>
      <c r="MIF32" s="1688"/>
      <c r="MIG32" s="1688"/>
      <c r="MIH32" s="1688"/>
      <c r="MII32" s="1688"/>
      <c r="MIJ32" s="1688"/>
      <c r="MIK32" s="1688"/>
      <c r="MIL32" s="1688"/>
      <c r="MIM32" s="1688"/>
      <c r="MIN32" s="1688"/>
      <c r="MIO32" s="1688"/>
      <c r="MIP32" s="1688"/>
      <c r="MIQ32" s="1688"/>
      <c r="MIR32" s="1688"/>
      <c r="MIS32" s="1688"/>
      <c r="MIT32" s="1688"/>
      <c r="MIU32" s="1688"/>
      <c r="MIV32" s="1688"/>
      <c r="MIW32" s="1688"/>
      <c r="MIX32" s="1688"/>
      <c r="MIY32" s="1688"/>
      <c r="MIZ32" s="1688"/>
      <c r="MJA32" s="1688"/>
      <c r="MJB32" s="1688"/>
      <c r="MJC32" s="1688"/>
      <c r="MJD32" s="1688"/>
      <c r="MJE32" s="1688"/>
      <c r="MJF32" s="1688"/>
      <c r="MJG32" s="1688"/>
      <c r="MJH32" s="1688"/>
      <c r="MJI32" s="1688"/>
      <c r="MJJ32" s="1688"/>
      <c r="MJK32" s="1688"/>
      <c r="MJL32" s="1688"/>
      <c r="MJM32" s="1688"/>
      <c r="MJN32" s="1688"/>
      <c r="MJO32" s="1688"/>
      <c r="MJP32" s="1688"/>
      <c r="MJQ32" s="1688"/>
      <c r="MJR32" s="1688"/>
      <c r="MJS32" s="1688"/>
      <c r="MJT32" s="1688"/>
      <c r="MJU32" s="1688"/>
      <c r="MJV32" s="1688"/>
      <c r="MJW32" s="1688"/>
      <c r="MJX32" s="1688"/>
      <c r="MJY32" s="1688"/>
      <c r="MJZ32" s="1688"/>
      <c r="MKA32" s="1688"/>
      <c r="MKB32" s="1688"/>
      <c r="MKC32" s="1688"/>
      <c r="MKD32" s="1688"/>
      <c r="MKE32" s="1688"/>
      <c r="MKF32" s="1688"/>
      <c r="MKG32" s="1688"/>
      <c r="MKH32" s="1688"/>
      <c r="MKI32" s="1688"/>
      <c r="MKJ32" s="1688"/>
      <c r="MKK32" s="1688"/>
      <c r="MKL32" s="1688"/>
      <c r="MKM32" s="1688"/>
      <c r="MKN32" s="1688"/>
      <c r="MKO32" s="1688"/>
      <c r="MKP32" s="1688"/>
      <c r="MKQ32" s="1688"/>
      <c r="MKR32" s="1688"/>
      <c r="MKS32" s="1688"/>
      <c r="MKT32" s="1688"/>
      <c r="MKU32" s="1688"/>
      <c r="MKV32" s="1688"/>
      <c r="MKW32" s="1688"/>
      <c r="MKX32" s="1688"/>
      <c r="MKY32" s="1688"/>
      <c r="MKZ32" s="1688"/>
      <c r="MLA32" s="1688"/>
      <c r="MLB32" s="1688"/>
      <c r="MLC32" s="1688"/>
      <c r="MLD32" s="1688"/>
      <c r="MLE32" s="1688"/>
      <c r="MLF32" s="1688"/>
      <c r="MLG32" s="1688"/>
      <c r="MLH32" s="1688"/>
      <c r="MLI32" s="1688"/>
      <c r="MLJ32" s="1688"/>
      <c r="MLK32" s="1688"/>
      <c r="MLL32" s="1688"/>
      <c r="MLM32" s="1688"/>
      <c r="MLN32" s="1688"/>
      <c r="MLO32" s="1688"/>
      <c r="MLP32" s="1688"/>
      <c r="MLQ32" s="1688"/>
      <c r="MLR32" s="1688"/>
      <c r="MLS32" s="1688"/>
      <c r="MLT32" s="1688"/>
      <c r="MLU32" s="1688"/>
      <c r="MLV32" s="1688"/>
      <c r="MLW32" s="1688"/>
      <c r="MLX32" s="1688"/>
      <c r="MLY32" s="1688"/>
      <c r="MLZ32" s="1688"/>
      <c r="MMA32" s="1688"/>
      <c r="MMB32" s="1688"/>
      <c r="MMC32" s="1688"/>
      <c r="MMD32" s="1688"/>
      <c r="MME32" s="1688"/>
      <c r="MMF32" s="1688"/>
      <c r="MMG32" s="1688"/>
      <c r="MMH32" s="1688"/>
      <c r="MMI32" s="1688"/>
      <c r="MMJ32" s="1688"/>
      <c r="MMK32" s="1688"/>
      <c r="MML32" s="1688"/>
      <c r="MMM32" s="1688"/>
      <c r="MMN32" s="1688"/>
      <c r="MMO32" s="1688"/>
      <c r="MMP32" s="1688"/>
      <c r="MMQ32" s="1688"/>
      <c r="MMR32" s="1688"/>
      <c r="MMS32" s="1688"/>
      <c r="MMT32" s="1688"/>
      <c r="MMU32" s="1688"/>
      <c r="MMV32" s="1688"/>
      <c r="MMW32" s="1688"/>
      <c r="MMX32" s="1688"/>
      <c r="MMY32" s="1688"/>
      <c r="MMZ32" s="1688"/>
      <c r="MNA32" s="1688"/>
      <c r="MNB32" s="1688"/>
      <c r="MNC32" s="1688"/>
      <c r="MND32" s="1688"/>
      <c r="MNE32" s="1688"/>
      <c r="MNF32" s="1688"/>
      <c r="MNG32" s="1688"/>
      <c r="MNH32" s="1688"/>
      <c r="MNI32" s="1688"/>
      <c r="MNJ32" s="1688"/>
      <c r="MNK32" s="1688"/>
      <c r="MNL32" s="1688"/>
      <c r="MNM32" s="1688"/>
      <c r="MNN32" s="1688"/>
      <c r="MNO32" s="1688"/>
      <c r="MNP32" s="1688"/>
      <c r="MNQ32" s="1688"/>
      <c r="MNR32" s="1688"/>
      <c r="MNS32" s="1688"/>
      <c r="MNT32" s="1688"/>
      <c r="MNU32" s="1688"/>
      <c r="MNV32" s="1688"/>
      <c r="MNW32" s="1688"/>
      <c r="MNX32" s="1688"/>
      <c r="MNY32" s="1688"/>
      <c r="MNZ32" s="1688"/>
      <c r="MOA32" s="1688"/>
      <c r="MOB32" s="1688"/>
      <c r="MOC32" s="1688"/>
      <c r="MOD32" s="1688"/>
      <c r="MOE32" s="1688"/>
      <c r="MOF32" s="1688"/>
      <c r="MOG32" s="1688"/>
      <c r="MOH32" s="1688"/>
      <c r="MOI32" s="1688"/>
      <c r="MOJ32" s="1688"/>
      <c r="MOK32" s="1688"/>
      <c r="MOL32" s="1688"/>
      <c r="MOM32" s="1688"/>
      <c r="MON32" s="1688"/>
      <c r="MOO32" s="1688"/>
      <c r="MOP32" s="1688"/>
      <c r="MOQ32" s="1688"/>
      <c r="MOR32" s="1688"/>
      <c r="MOS32" s="1688"/>
      <c r="MOT32" s="1688"/>
      <c r="MOU32" s="1688"/>
      <c r="MOV32" s="1688"/>
      <c r="MOW32" s="1688"/>
      <c r="MOX32" s="1688"/>
      <c r="MOY32" s="1688"/>
      <c r="MOZ32" s="1688"/>
      <c r="MPA32" s="1688"/>
      <c r="MPB32" s="1688"/>
      <c r="MPC32" s="1688"/>
      <c r="MPD32" s="1688"/>
      <c r="MPE32" s="1688"/>
      <c r="MPF32" s="1688"/>
      <c r="MPG32" s="1688"/>
      <c r="MPH32" s="1688"/>
      <c r="MPI32" s="1688"/>
      <c r="MPJ32" s="1688"/>
      <c r="MPK32" s="1688"/>
      <c r="MPL32" s="1688"/>
      <c r="MPM32" s="1688"/>
      <c r="MPN32" s="1688"/>
      <c r="MPO32" s="1688"/>
      <c r="MPP32" s="1688"/>
      <c r="MPQ32" s="1688"/>
      <c r="MPR32" s="1688"/>
      <c r="MPS32" s="1688"/>
      <c r="MPT32" s="1688"/>
      <c r="MPU32" s="1688"/>
      <c r="MPV32" s="1688"/>
      <c r="MPW32" s="1688"/>
      <c r="MPX32" s="1688"/>
      <c r="MPY32" s="1688"/>
      <c r="MPZ32" s="1688"/>
      <c r="MQA32" s="1688"/>
      <c r="MQB32" s="1688"/>
      <c r="MQC32" s="1688"/>
      <c r="MQD32" s="1688"/>
      <c r="MQE32" s="1688"/>
      <c r="MQF32" s="1688"/>
      <c r="MQG32" s="1688"/>
      <c r="MQH32" s="1688"/>
      <c r="MQI32" s="1688"/>
      <c r="MQJ32" s="1688"/>
      <c r="MQK32" s="1688"/>
      <c r="MQL32" s="1688"/>
      <c r="MQM32" s="1688"/>
      <c r="MQN32" s="1688"/>
      <c r="MQO32" s="1688"/>
      <c r="MQP32" s="1688"/>
      <c r="MQQ32" s="1688"/>
      <c r="MQR32" s="1688"/>
      <c r="MQS32" s="1688"/>
      <c r="MQT32" s="1688"/>
      <c r="MQU32" s="1688"/>
      <c r="MQV32" s="1688"/>
      <c r="MQW32" s="1688"/>
      <c r="MQX32" s="1688"/>
      <c r="MQY32" s="1688"/>
      <c r="MQZ32" s="1688"/>
      <c r="MRA32" s="1688"/>
      <c r="MRB32" s="1688"/>
      <c r="MRC32" s="1688"/>
      <c r="MRD32" s="1688"/>
      <c r="MRE32" s="1688"/>
      <c r="MRF32" s="1688"/>
      <c r="MRG32" s="1688"/>
      <c r="MRH32" s="1688"/>
      <c r="MRI32" s="1688"/>
      <c r="MRJ32" s="1688"/>
      <c r="MRK32" s="1688"/>
      <c r="MRL32" s="1688"/>
      <c r="MRM32" s="1688"/>
      <c r="MRN32" s="1688"/>
      <c r="MRO32" s="1688"/>
      <c r="MRP32" s="1688"/>
      <c r="MRQ32" s="1688"/>
      <c r="MRR32" s="1688"/>
      <c r="MRS32" s="1688"/>
      <c r="MRT32" s="1688"/>
      <c r="MRU32" s="1688"/>
      <c r="MRV32" s="1688"/>
      <c r="MRW32" s="1688"/>
      <c r="MRX32" s="1688"/>
      <c r="MRY32" s="1688"/>
      <c r="MRZ32" s="1688"/>
      <c r="MSA32" s="1688"/>
      <c r="MSB32" s="1688"/>
      <c r="MSC32" s="1688"/>
      <c r="MSD32" s="1688"/>
      <c r="MSE32" s="1688"/>
      <c r="MSF32" s="1688"/>
      <c r="MSG32" s="1688"/>
      <c r="MSH32" s="1688"/>
      <c r="MSI32" s="1688"/>
      <c r="MSJ32" s="1688"/>
      <c r="MSK32" s="1688"/>
      <c r="MSL32" s="1688"/>
      <c r="MSM32" s="1688"/>
      <c r="MSN32" s="1688"/>
      <c r="MSO32" s="1688"/>
      <c r="MSP32" s="1688"/>
      <c r="MSQ32" s="1688"/>
      <c r="MSR32" s="1688"/>
      <c r="MSS32" s="1688"/>
      <c r="MST32" s="1688"/>
      <c r="MSU32" s="1688"/>
      <c r="MSV32" s="1688"/>
      <c r="MSW32" s="1688"/>
      <c r="MSX32" s="1688"/>
      <c r="MSY32" s="1688"/>
      <c r="MSZ32" s="1688"/>
      <c r="MTA32" s="1688"/>
      <c r="MTB32" s="1688"/>
      <c r="MTC32" s="1688"/>
      <c r="MTD32" s="1688"/>
      <c r="MTE32" s="1688"/>
      <c r="MTF32" s="1688"/>
      <c r="MTG32" s="1688"/>
      <c r="MTH32" s="1688"/>
      <c r="MTI32" s="1688"/>
      <c r="MTJ32" s="1688"/>
      <c r="MTK32" s="1688"/>
      <c r="MTL32" s="1688"/>
      <c r="MTM32" s="1688"/>
      <c r="MTN32" s="1688"/>
      <c r="MTO32" s="1688"/>
      <c r="MTP32" s="1688"/>
      <c r="MTQ32" s="1688"/>
      <c r="MTR32" s="1688"/>
      <c r="MTS32" s="1688"/>
      <c r="MTT32" s="1688"/>
      <c r="MTU32" s="1688"/>
      <c r="MTV32" s="1688"/>
      <c r="MTW32" s="1688"/>
      <c r="MTX32" s="1688"/>
      <c r="MTY32" s="1688"/>
      <c r="MTZ32" s="1688"/>
      <c r="MUA32" s="1688"/>
      <c r="MUB32" s="1688"/>
      <c r="MUC32" s="1688"/>
      <c r="MUD32" s="1688"/>
      <c r="MUE32" s="1688"/>
      <c r="MUF32" s="1688"/>
      <c r="MUG32" s="1688"/>
      <c r="MUH32" s="1688"/>
      <c r="MUI32" s="1688"/>
      <c r="MUJ32" s="1688"/>
      <c r="MUK32" s="1688"/>
      <c r="MUL32" s="1688"/>
      <c r="MUM32" s="1688"/>
      <c r="MUN32" s="1688"/>
      <c r="MUO32" s="1688"/>
      <c r="MUP32" s="1688"/>
      <c r="MUQ32" s="1688"/>
      <c r="MUR32" s="1688"/>
      <c r="MUS32" s="1688"/>
      <c r="MUT32" s="1688"/>
      <c r="MUU32" s="1688"/>
      <c r="MUV32" s="1688"/>
      <c r="MUW32" s="1688"/>
      <c r="MUX32" s="1688"/>
      <c r="MUY32" s="1688"/>
      <c r="MUZ32" s="1688"/>
      <c r="MVA32" s="1688"/>
      <c r="MVB32" s="1688"/>
      <c r="MVC32" s="1688"/>
      <c r="MVD32" s="1688"/>
      <c r="MVE32" s="1688"/>
      <c r="MVF32" s="1688"/>
      <c r="MVG32" s="1688"/>
      <c r="MVH32" s="1688"/>
      <c r="MVI32" s="1688"/>
      <c r="MVJ32" s="1688"/>
      <c r="MVK32" s="1688"/>
      <c r="MVL32" s="1688"/>
      <c r="MVM32" s="1688"/>
      <c r="MVN32" s="1688"/>
      <c r="MVO32" s="1688"/>
      <c r="MVP32" s="1688"/>
      <c r="MVQ32" s="1688"/>
      <c r="MVR32" s="1688"/>
      <c r="MVS32" s="1688"/>
      <c r="MVT32" s="1688"/>
      <c r="MVU32" s="1688"/>
      <c r="MVV32" s="1688"/>
      <c r="MVW32" s="1688"/>
      <c r="MVX32" s="1688"/>
      <c r="MVY32" s="1688"/>
      <c r="MVZ32" s="1688"/>
      <c r="MWA32" s="1688"/>
      <c r="MWB32" s="1688"/>
      <c r="MWC32" s="1688"/>
      <c r="MWD32" s="1688"/>
      <c r="MWE32" s="1688"/>
      <c r="MWF32" s="1688"/>
      <c r="MWG32" s="1688"/>
      <c r="MWH32" s="1688"/>
      <c r="MWI32" s="1688"/>
      <c r="MWJ32" s="1688"/>
      <c r="MWK32" s="1688"/>
      <c r="MWL32" s="1688"/>
      <c r="MWM32" s="1688"/>
      <c r="MWN32" s="1688"/>
      <c r="MWO32" s="1688"/>
      <c r="MWP32" s="1688"/>
      <c r="MWQ32" s="1688"/>
      <c r="MWR32" s="1688"/>
      <c r="MWS32" s="1688"/>
      <c r="MWT32" s="1688"/>
      <c r="MWU32" s="1688"/>
      <c r="MWV32" s="1688"/>
      <c r="MWW32" s="1688"/>
      <c r="MWX32" s="1688"/>
      <c r="MWY32" s="1688"/>
      <c r="MWZ32" s="1688"/>
      <c r="MXA32" s="1688"/>
      <c r="MXB32" s="1688"/>
      <c r="MXC32" s="1688"/>
      <c r="MXD32" s="1688"/>
      <c r="MXE32" s="1688"/>
      <c r="MXF32" s="1688"/>
      <c r="MXG32" s="1688"/>
      <c r="MXH32" s="1688"/>
      <c r="MXI32" s="1688"/>
      <c r="MXJ32" s="1688"/>
      <c r="MXK32" s="1688"/>
      <c r="MXL32" s="1688"/>
      <c r="MXM32" s="1688"/>
      <c r="MXN32" s="1688"/>
      <c r="MXO32" s="1688"/>
      <c r="MXP32" s="1688"/>
      <c r="MXQ32" s="1688"/>
      <c r="MXR32" s="1688"/>
      <c r="MXS32" s="1688"/>
      <c r="MXT32" s="1688"/>
      <c r="MXU32" s="1688"/>
      <c r="MXV32" s="1688"/>
      <c r="MXW32" s="1688"/>
      <c r="MXX32" s="1688"/>
      <c r="MXY32" s="1688"/>
      <c r="MXZ32" s="1688"/>
      <c r="MYA32" s="1688"/>
      <c r="MYB32" s="1688"/>
      <c r="MYC32" s="1688"/>
      <c r="MYD32" s="1688"/>
      <c r="MYE32" s="1688"/>
      <c r="MYF32" s="1688"/>
      <c r="MYG32" s="1688"/>
      <c r="MYH32" s="1688"/>
      <c r="MYI32" s="1688"/>
      <c r="MYJ32" s="1688"/>
      <c r="MYK32" s="1688"/>
      <c r="MYL32" s="1688"/>
      <c r="MYM32" s="1688"/>
      <c r="MYN32" s="1688"/>
      <c r="MYO32" s="1688"/>
      <c r="MYP32" s="1688"/>
      <c r="MYQ32" s="1688"/>
      <c r="MYR32" s="1688"/>
      <c r="MYS32" s="1688"/>
      <c r="MYT32" s="1688"/>
      <c r="MYU32" s="1688"/>
      <c r="MYV32" s="1688"/>
      <c r="MYW32" s="1688"/>
      <c r="MYX32" s="1688"/>
      <c r="MYY32" s="1688"/>
      <c r="MYZ32" s="1688"/>
      <c r="MZA32" s="1688"/>
      <c r="MZB32" s="1688"/>
      <c r="MZC32" s="1688"/>
      <c r="MZD32" s="1688"/>
      <c r="MZE32" s="1688"/>
      <c r="MZF32" s="1688"/>
      <c r="MZG32" s="1688"/>
      <c r="MZH32" s="1688"/>
      <c r="MZI32" s="1688"/>
      <c r="MZJ32" s="1688"/>
      <c r="MZK32" s="1688"/>
      <c r="MZL32" s="1688"/>
      <c r="MZM32" s="1688"/>
      <c r="MZN32" s="1688"/>
      <c r="MZO32" s="1688"/>
      <c r="MZP32" s="1688"/>
      <c r="MZQ32" s="1688"/>
      <c r="MZR32" s="1688"/>
      <c r="MZS32" s="1688"/>
      <c r="MZT32" s="1688"/>
      <c r="MZU32" s="1688"/>
      <c r="MZV32" s="1688"/>
      <c r="MZW32" s="1688"/>
      <c r="MZX32" s="1688"/>
      <c r="MZY32" s="1688"/>
      <c r="MZZ32" s="1688"/>
      <c r="NAA32" s="1688"/>
      <c r="NAB32" s="1688"/>
      <c r="NAC32" s="1688"/>
      <c r="NAD32" s="1688"/>
      <c r="NAE32" s="1688"/>
      <c r="NAF32" s="1688"/>
      <c r="NAG32" s="1688"/>
      <c r="NAH32" s="1688"/>
      <c r="NAI32" s="1688"/>
      <c r="NAJ32" s="1688"/>
      <c r="NAK32" s="1688"/>
      <c r="NAL32" s="1688"/>
      <c r="NAM32" s="1688"/>
      <c r="NAN32" s="1688"/>
      <c r="NAO32" s="1688"/>
      <c r="NAP32" s="1688"/>
      <c r="NAQ32" s="1688"/>
      <c r="NAR32" s="1688"/>
      <c r="NAS32" s="1688"/>
      <c r="NAT32" s="1688"/>
      <c r="NAU32" s="1688"/>
      <c r="NAV32" s="1688"/>
      <c r="NAW32" s="1688"/>
      <c r="NAX32" s="1688"/>
      <c r="NAY32" s="1688"/>
      <c r="NAZ32" s="1688"/>
      <c r="NBA32" s="1688"/>
      <c r="NBB32" s="1688"/>
      <c r="NBC32" s="1688"/>
      <c r="NBD32" s="1688"/>
      <c r="NBE32" s="1688"/>
      <c r="NBF32" s="1688"/>
      <c r="NBG32" s="1688"/>
      <c r="NBH32" s="1688"/>
      <c r="NBI32" s="1688"/>
      <c r="NBJ32" s="1688"/>
      <c r="NBK32" s="1688"/>
      <c r="NBL32" s="1688"/>
      <c r="NBM32" s="1688"/>
      <c r="NBN32" s="1688"/>
      <c r="NBO32" s="1688"/>
      <c r="NBP32" s="1688"/>
      <c r="NBQ32" s="1688"/>
      <c r="NBR32" s="1688"/>
      <c r="NBS32" s="1688"/>
      <c r="NBT32" s="1688"/>
      <c r="NBU32" s="1688"/>
      <c r="NBV32" s="1688"/>
      <c r="NBW32" s="1688"/>
      <c r="NBX32" s="1688"/>
      <c r="NBY32" s="1688"/>
      <c r="NBZ32" s="1688"/>
      <c r="NCA32" s="1688"/>
      <c r="NCB32" s="1688"/>
      <c r="NCC32" s="1688"/>
      <c r="NCD32" s="1688"/>
      <c r="NCE32" s="1688"/>
      <c r="NCF32" s="1688"/>
      <c r="NCG32" s="1688"/>
      <c r="NCH32" s="1688"/>
      <c r="NCI32" s="1688"/>
      <c r="NCJ32" s="1688"/>
      <c r="NCK32" s="1688"/>
      <c r="NCL32" s="1688"/>
      <c r="NCM32" s="1688"/>
      <c r="NCN32" s="1688"/>
      <c r="NCO32" s="1688"/>
      <c r="NCP32" s="1688"/>
      <c r="NCQ32" s="1688"/>
      <c r="NCR32" s="1688"/>
      <c r="NCS32" s="1688"/>
      <c r="NCT32" s="1688"/>
      <c r="NCU32" s="1688"/>
      <c r="NCV32" s="1688"/>
      <c r="NCW32" s="1688"/>
      <c r="NCX32" s="1688"/>
      <c r="NCY32" s="1688"/>
      <c r="NCZ32" s="1688"/>
      <c r="NDA32" s="1688"/>
      <c r="NDB32" s="1688"/>
      <c r="NDC32" s="1688"/>
      <c r="NDD32" s="1688"/>
      <c r="NDE32" s="1688"/>
      <c r="NDF32" s="1688"/>
      <c r="NDG32" s="1688"/>
      <c r="NDH32" s="1688"/>
      <c r="NDI32" s="1688"/>
      <c r="NDJ32" s="1688"/>
      <c r="NDK32" s="1688"/>
      <c r="NDL32" s="1688"/>
      <c r="NDM32" s="1688"/>
      <c r="NDN32" s="1688"/>
      <c r="NDO32" s="1688"/>
      <c r="NDP32" s="1688"/>
      <c r="NDQ32" s="1688"/>
      <c r="NDR32" s="1688"/>
      <c r="NDS32" s="1688"/>
      <c r="NDT32" s="1688"/>
      <c r="NDU32" s="1688"/>
      <c r="NDV32" s="1688"/>
      <c r="NDW32" s="1688"/>
      <c r="NDX32" s="1688"/>
      <c r="NDY32" s="1688"/>
      <c r="NDZ32" s="1688"/>
      <c r="NEA32" s="1688"/>
      <c r="NEB32" s="1688"/>
      <c r="NEC32" s="1688"/>
      <c r="NED32" s="1688"/>
      <c r="NEE32" s="1688"/>
      <c r="NEF32" s="1688"/>
      <c r="NEG32" s="1688"/>
      <c r="NEH32" s="1688"/>
      <c r="NEI32" s="1688"/>
      <c r="NEJ32" s="1688"/>
      <c r="NEK32" s="1688"/>
      <c r="NEL32" s="1688"/>
      <c r="NEM32" s="1688"/>
      <c r="NEN32" s="1688"/>
      <c r="NEO32" s="1688"/>
      <c r="NEP32" s="1688"/>
      <c r="NEQ32" s="1688"/>
      <c r="NER32" s="1688"/>
      <c r="NES32" s="1688"/>
      <c r="NET32" s="1688"/>
      <c r="NEU32" s="1688"/>
      <c r="NEV32" s="1688"/>
      <c r="NEW32" s="1688"/>
      <c r="NEX32" s="1688"/>
      <c r="NEY32" s="1688"/>
      <c r="NEZ32" s="1688"/>
      <c r="NFA32" s="1688"/>
      <c r="NFB32" s="1688"/>
      <c r="NFC32" s="1688"/>
      <c r="NFD32" s="1688"/>
      <c r="NFE32" s="1688"/>
      <c r="NFF32" s="1688"/>
      <c r="NFG32" s="1688"/>
      <c r="NFH32" s="1688"/>
      <c r="NFI32" s="1688"/>
      <c r="NFJ32" s="1688"/>
      <c r="NFK32" s="1688"/>
      <c r="NFL32" s="1688"/>
      <c r="NFM32" s="1688"/>
      <c r="NFN32" s="1688"/>
      <c r="NFO32" s="1688"/>
      <c r="NFP32" s="1688"/>
      <c r="NFQ32" s="1688"/>
      <c r="NFR32" s="1688"/>
      <c r="NFS32" s="1688"/>
      <c r="NFT32" s="1688"/>
      <c r="NFU32" s="1688"/>
      <c r="NFV32" s="1688"/>
      <c r="NFW32" s="1688"/>
      <c r="NFX32" s="1688"/>
      <c r="NFY32" s="1688"/>
      <c r="NFZ32" s="1688"/>
      <c r="NGA32" s="1688"/>
      <c r="NGB32" s="1688"/>
      <c r="NGC32" s="1688"/>
      <c r="NGD32" s="1688"/>
      <c r="NGE32" s="1688"/>
      <c r="NGF32" s="1688"/>
      <c r="NGG32" s="1688"/>
      <c r="NGH32" s="1688"/>
      <c r="NGI32" s="1688"/>
      <c r="NGJ32" s="1688"/>
      <c r="NGK32" s="1688"/>
      <c r="NGL32" s="1688"/>
      <c r="NGM32" s="1688"/>
      <c r="NGN32" s="1688"/>
      <c r="NGO32" s="1688"/>
      <c r="NGP32" s="1688"/>
      <c r="NGQ32" s="1688"/>
      <c r="NGR32" s="1688"/>
      <c r="NGS32" s="1688"/>
      <c r="NGT32" s="1688"/>
      <c r="NGU32" s="1688"/>
      <c r="NGV32" s="1688"/>
      <c r="NGW32" s="1688"/>
      <c r="NGX32" s="1688"/>
      <c r="NGY32" s="1688"/>
      <c r="NGZ32" s="1688"/>
      <c r="NHA32" s="1688"/>
      <c r="NHB32" s="1688"/>
      <c r="NHC32" s="1688"/>
      <c r="NHD32" s="1688"/>
      <c r="NHE32" s="1688"/>
      <c r="NHF32" s="1688"/>
      <c r="NHG32" s="1688"/>
      <c r="NHH32" s="1688"/>
      <c r="NHI32" s="1688"/>
      <c r="NHJ32" s="1688"/>
      <c r="NHK32" s="1688"/>
      <c r="NHL32" s="1688"/>
      <c r="NHM32" s="1688"/>
      <c r="NHN32" s="1688"/>
      <c r="NHO32" s="1688"/>
      <c r="NHP32" s="1688"/>
      <c r="NHQ32" s="1688"/>
      <c r="NHR32" s="1688"/>
      <c r="NHS32" s="1688"/>
      <c r="NHT32" s="1688"/>
      <c r="NHU32" s="1688"/>
      <c r="NHV32" s="1688"/>
      <c r="NHW32" s="1688"/>
      <c r="NHX32" s="1688"/>
      <c r="NHY32" s="1688"/>
      <c r="NHZ32" s="1688"/>
      <c r="NIA32" s="1688"/>
      <c r="NIB32" s="1688"/>
      <c r="NIC32" s="1688"/>
      <c r="NID32" s="1688"/>
      <c r="NIE32" s="1688"/>
      <c r="NIF32" s="1688"/>
      <c r="NIG32" s="1688"/>
      <c r="NIH32" s="1688"/>
      <c r="NII32" s="1688"/>
      <c r="NIJ32" s="1688"/>
      <c r="NIK32" s="1688"/>
      <c r="NIL32" s="1688"/>
      <c r="NIM32" s="1688"/>
      <c r="NIN32" s="1688"/>
      <c r="NIO32" s="1688"/>
      <c r="NIP32" s="1688"/>
      <c r="NIQ32" s="1688"/>
      <c r="NIR32" s="1688"/>
      <c r="NIS32" s="1688"/>
      <c r="NIT32" s="1688"/>
      <c r="NIU32" s="1688"/>
      <c r="NIV32" s="1688"/>
      <c r="NIW32" s="1688"/>
      <c r="NIX32" s="1688"/>
      <c r="NIY32" s="1688"/>
      <c r="NIZ32" s="1688"/>
      <c r="NJA32" s="1688"/>
      <c r="NJB32" s="1688"/>
      <c r="NJC32" s="1688"/>
      <c r="NJD32" s="1688"/>
      <c r="NJE32" s="1688"/>
      <c r="NJF32" s="1688"/>
      <c r="NJG32" s="1688"/>
      <c r="NJH32" s="1688"/>
      <c r="NJI32" s="1688"/>
      <c r="NJJ32" s="1688"/>
      <c r="NJK32" s="1688"/>
      <c r="NJL32" s="1688"/>
      <c r="NJM32" s="1688"/>
      <c r="NJN32" s="1688"/>
      <c r="NJO32" s="1688"/>
      <c r="NJP32" s="1688"/>
      <c r="NJQ32" s="1688"/>
      <c r="NJR32" s="1688"/>
      <c r="NJS32" s="1688"/>
      <c r="NJT32" s="1688"/>
      <c r="NJU32" s="1688"/>
      <c r="NJV32" s="1688"/>
      <c r="NJW32" s="1688"/>
      <c r="NJX32" s="1688"/>
      <c r="NJY32" s="1688"/>
      <c r="NJZ32" s="1688"/>
      <c r="NKA32" s="1688"/>
      <c r="NKB32" s="1688"/>
      <c r="NKC32" s="1688"/>
      <c r="NKD32" s="1688"/>
      <c r="NKE32" s="1688"/>
      <c r="NKF32" s="1688"/>
      <c r="NKG32" s="1688"/>
      <c r="NKH32" s="1688"/>
      <c r="NKI32" s="1688"/>
      <c r="NKJ32" s="1688"/>
      <c r="NKK32" s="1688"/>
      <c r="NKL32" s="1688"/>
      <c r="NKM32" s="1688"/>
      <c r="NKN32" s="1688"/>
      <c r="NKO32" s="1688"/>
      <c r="NKP32" s="1688"/>
      <c r="NKQ32" s="1688"/>
      <c r="NKR32" s="1688"/>
      <c r="NKS32" s="1688"/>
      <c r="NKT32" s="1688"/>
      <c r="NKU32" s="1688"/>
      <c r="NKV32" s="1688"/>
      <c r="NKW32" s="1688"/>
      <c r="NKX32" s="1688"/>
      <c r="NKY32" s="1688"/>
      <c r="NKZ32" s="1688"/>
      <c r="NLA32" s="1688"/>
      <c r="NLB32" s="1688"/>
      <c r="NLC32" s="1688"/>
      <c r="NLD32" s="1688"/>
      <c r="NLE32" s="1688"/>
      <c r="NLF32" s="1688"/>
      <c r="NLG32" s="1688"/>
      <c r="NLH32" s="1688"/>
      <c r="NLI32" s="1688"/>
      <c r="NLJ32" s="1688"/>
      <c r="NLK32" s="1688"/>
      <c r="NLL32" s="1688"/>
      <c r="NLM32" s="1688"/>
      <c r="NLN32" s="1688"/>
      <c r="NLO32" s="1688"/>
      <c r="NLP32" s="1688"/>
      <c r="NLQ32" s="1688"/>
      <c r="NLR32" s="1688"/>
      <c r="NLS32" s="1688"/>
      <c r="NLT32" s="1688"/>
      <c r="NLU32" s="1688"/>
      <c r="NLV32" s="1688"/>
      <c r="NLW32" s="1688"/>
      <c r="NLX32" s="1688"/>
      <c r="NLY32" s="1688"/>
      <c r="NLZ32" s="1688"/>
      <c r="NMA32" s="1688"/>
      <c r="NMB32" s="1688"/>
      <c r="NMC32" s="1688"/>
      <c r="NMD32" s="1688"/>
      <c r="NME32" s="1688"/>
      <c r="NMF32" s="1688"/>
      <c r="NMG32" s="1688"/>
      <c r="NMH32" s="1688"/>
      <c r="NMI32" s="1688"/>
      <c r="NMJ32" s="1688"/>
      <c r="NMK32" s="1688"/>
      <c r="NML32" s="1688"/>
      <c r="NMM32" s="1688"/>
      <c r="NMN32" s="1688"/>
      <c r="NMO32" s="1688"/>
      <c r="NMP32" s="1688"/>
      <c r="NMQ32" s="1688"/>
      <c r="NMR32" s="1688"/>
      <c r="NMS32" s="1688"/>
      <c r="NMT32" s="1688"/>
      <c r="NMU32" s="1688"/>
      <c r="NMV32" s="1688"/>
      <c r="NMW32" s="1688"/>
      <c r="NMX32" s="1688"/>
      <c r="NMY32" s="1688"/>
      <c r="NMZ32" s="1688"/>
      <c r="NNA32" s="1688"/>
      <c r="NNB32" s="1688"/>
      <c r="NNC32" s="1688"/>
      <c r="NND32" s="1688"/>
      <c r="NNE32" s="1688"/>
      <c r="NNF32" s="1688"/>
      <c r="NNG32" s="1688"/>
      <c r="NNH32" s="1688"/>
      <c r="NNI32" s="1688"/>
      <c r="NNJ32" s="1688"/>
      <c r="NNK32" s="1688"/>
      <c r="NNL32" s="1688"/>
      <c r="NNM32" s="1688"/>
      <c r="NNN32" s="1688"/>
      <c r="NNO32" s="1688"/>
      <c r="NNP32" s="1688"/>
      <c r="NNQ32" s="1688"/>
      <c r="NNR32" s="1688"/>
      <c r="NNS32" s="1688"/>
      <c r="NNT32" s="1688"/>
      <c r="NNU32" s="1688"/>
      <c r="NNV32" s="1688"/>
      <c r="NNW32" s="1688"/>
      <c r="NNX32" s="1688"/>
      <c r="NNY32" s="1688"/>
      <c r="NNZ32" s="1688"/>
      <c r="NOA32" s="1688"/>
      <c r="NOB32" s="1688"/>
      <c r="NOC32" s="1688"/>
      <c r="NOD32" s="1688"/>
      <c r="NOE32" s="1688"/>
      <c r="NOF32" s="1688"/>
      <c r="NOG32" s="1688"/>
      <c r="NOH32" s="1688"/>
      <c r="NOI32" s="1688"/>
      <c r="NOJ32" s="1688"/>
      <c r="NOK32" s="1688"/>
      <c r="NOL32" s="1688"/>
      <c r="NOM32" s="1688"/>
      <c r="NON32" s="1688"/>
      <c r="NOO32" s="1688"/>
      <c r="NOP32" s="1688"/>
      <c r="NOQ32" s="1688"/>
      <c r="NOR32" s="1688"/>
      <c r="NOS32" s="1688"/>
      <c r="NOT32" s="1688"/>
      <c r="NOU32" s="1688"/>
      <c r="NOV32" s="1688"/>
      <c r="NOW32" s="1688"/>
      <c r="NOX32" s="1688"/>
      <c r="NOY32" s="1688"/>
      <c r="NOZ32" s="1688"/>
      <c r="NPA32" s="1688"/>
      <c r="NPB32" s="1688"/>
      <c r="NPC32" s="1688"/>
      <c r="NPD32" s="1688"/>
      <c r="NPE32" s="1688"/>
      <c r="NPF32" s="1688"/>
      <c r="NPG32" s="1688"/>
      <c r="NPH32" s="1688"/>
      <c r="NPI32" s="1688"/>
      <c r="NPJ32" s="1688"/>
      <c r="NPK32" s="1688"/>
      <c r="NPL32" s="1688"/>
      <c r="NPM32" s="1688"/>
      <c r="NPN32" s="1688"/>
      <c r="NPO32" s="1688"/>
      <c r="NPP32" s="1688"/>
      <c r="NPQ32" s="1688"/>
      <c r="NPR32" s="1688"/>
      <c r="NPS32" s="1688"/>
      <c r="NPT32" s="1688"/>
      <c r="NPU32" s="1688"/>
      <c r="NPV32" s="1688"/>
      <c r="NPW32" s="1688"/>
      <c r="NPX32" s="1688"/>
      <c r="NPY32" s="1688"/>
      <c r="NPZ32" s="1688"/>
      <c r="NQA32" s="1688"/>
      <c r="NQB32" s="1688"/>
      <c r="NQC32" s="1688"/>
      <c r="NQD32" s="1688"/>
      <c r="NQE32" s="1688"/>
      <c r="NQF32" s="1688"/>
      <c r="NQG32" s="1688"/>
      <c r="NQH32" s="1688"/>
      <c r="NQI32" s="1688"/>
      <c r="NQJ32" s="1688"/>
      <c r="NQK32" s="1688"/>
      <c r="NQL32" s="1688"/>
      <c r="NQM32" s="1688"/>
      <c r="NQN32" s="1688"/>
      <c r="NQO32" s="1688"/>
      <c r="NQP32" s="1688"/>
      <c r="NQQ32" s="1688"/>
      <c r="NQR32" s="1688"/>
      <c r="NQS32" s="1688"/>
      <c r="NQT32" s="1688"/>
      <c r="NQU32" s="1688"/>
      <c r="NQV32" s="1688"/>
      <c r="NQW32" s="1688"/>
      <c r="NQX32" s="1688"/>
      <c r="NQY32" s="1688"/>
      <c r="NQZ32" s="1688"/>
      <c r="NRA32" s="1688"/>
      <c r="NRB32" s="1688"/>
      <c r="NRC32" s="1688"/>
      <c r="NRD32" s="1688"/>
      <c r="NRE32" s="1688"/>
      <c r="NRF32" s="1688"/>
      <c r="NRG32" s="1688"/>
      <c r="NRH32" s="1688"/>
      <c r="NRI32" s="1688"/>
      <c r="NRJ32" s="1688"/>
      <c r="NRK32" s="1688"/>
      <c r="NRL32" s="1688"/>
      <c r="NRM32" s="1688"/>
      <c r="NRN32" s="1688"/>
      <c r="NRO32" s="1688"/>
      <c r="NRP32" s="1688"/>
      <c r="NRQ32" s="1688"/>
      <c r="NRR32" s="1688"/>
      <c r="NRS32" s="1688"/>
      <c r="NRT32" s="1688"/>
      <c r="NRU32" s="1688"/>
      <c r="NRV32" s="1688"/>
      <c r="NRW32" s="1688"/>
      <c r="NRX32" s="1688"/>
      <c r="NRY32" s="1688"/>
      <c r="NRZ32" s="1688"/>
      <c r="NSA32" s="1688"/>
      <c r="NSB32" s="1688"/>
      <c r="NSC32" s="1688"/>
      <c r="NSD32" s="1688"/>
      <c r="NSE32" s="1688"/>
      <c r="NSF32" s="1688"/>
      <c r="NSG32" s="1688"/>
      <c r="NSH32" s="1688"/>
      <c r="NSI32" s="1688"/>
      <c r="NSJ32" s="1688"/>
      <c r="NSK32" s="1688"/>
      <c r="NSL32" s="1688"/>
      <c r="NSM32" s="1688"/>
      <c r="NSN32" s="1688"/>
      <c r="NSO32" s="1688"/>
      <c r="NSP32" s="1688"/>
      <c r="NSQ32" s="1688"/>
      <c r="NSR32" s="1688"/>
      <c r="NSS32" s="1688"/>
      <c r="NST32" s="1688"/>
      <c r="NSU32" s="1688"/>
      <c r="NSV32" s="1688"/>
      <c r="NSW32" s="1688"/>
      <c r="NSX32" s="1688"/>
      <c r="NSY32" s="1688"/>
      <c r="NSZ32" s="1688"/>
      <c r="NTA32" s="1688"/>
      <c r="NTB32" s="1688"/>
      <c r="NTC32" s="1688"/>
      <c r="NTD32" s="1688"/>
      <c r="NTE32" s="1688"/>
      <c r="NTF32" s="1688"/>
      <c r="NTG32" s="1688"/>
      <c r="NTH32" s="1688"/>
      <c r="NTI32" s="1688"/>
      <c r="NTJ32" s="1688"/>
      <c r="NTK32" s="1688"/>
      <c r="NTL32" s="1688"/>
      <c r="NTM32" s="1688"/>
      <c r="NTN32" s="1688"/>
      <c r="NTO32" s="1688"/>
      <c r="NTP32" s="1688"/>
      <c r="NTQ32" s="1688"/>
      <c r="NTR32" s="1688"/>
      <c r="NTS32" s="1688"/>
      <c r="NTT32" s="1688"/>
      <c r="NTU32" s="1688"/>
      <c r="NTV32" s="1688"/>
      <c r="NTW32" s="1688"/>
      <c r="NTX32" s="1688"/>
      <c r="NTY32" s="1688"/>
      <c r="NTZ32" s="1688"/>
      <c r="NUA32" s="1688"/>
      <c r="NUB32" s="1688"/>
      <c r="NUC32" s="1688"/>
      <c r="NUD32" s="1688"/>
      <c r="NUE32" s="1688"/>
      <c r="NUF32" s="1688"/>
      <c r="NUG32" s="1688"/>
      <c r="NUH32" s="1688"/>
      <c r="NUI32" s="1688"/>
      <c r="NUJ32" s="1688"/>
      <c r="NUK32" s="1688"/>
      <c r="NUL32" s="1688"/>
      <c r="NUM32" s="1688"/>
      <c r="NUN32" s="1688"/>
      <c r="NUO32" s="1688"/>
      <c r="NUP32" s="1688"/>
      <c r="NUQ32" s="1688"/>
      <c r="NUR32" s="1688"/>
      <c r="NUS32" s="1688"/>
      <c r="NUT32" s="1688"/>
      <c r="NUU32" s="1688"/>
      <c r="NUV32" s="1688"/>
      <c r="NUW32" s="1688"/>
      <c r="NUX32" s="1688"/>
      <c r="NUY32" s="1688"/>
      <c r="NUZ32" s="1688"/>
      <c r="NVA32" s="1688"/>
      <c r="NVB32" s="1688"/>
      <c r="NVC32" s="1688"/>
      <c r="NVD32" s="1688"/>
      <c r="NVE32" s="1688"/>
      <c r="NVF32" s="1688"/>
      <c r="NVG32" s="1688"/>
      <c r="NVH32" s="1688"/>
      <c r="NVI32" s="1688"/>
      <c r="NVJ32" s="1688"/>
      <c r="NVK32" s="1688"/>
      <c r="NVL32" s="1688"/>
      <c r="NVM32" s="1688"/>
      <c r="NVN32" s="1688"/>
      <c r="NVO32" s="1688"/>
      <c r="NVP32" s="1688"/>
      <c r="NVQ32" s="1688"/>
      <c r="NVR32" s="1688"/>
      <c r="NVS32" s="1688"/>
      <c r="NVT32" s="1688"/>
      <c r="NVU32" s="1688"/>
      <c r="NVV32" s="1688"/>
      <c r="NVW32" s="1688"/>
      <c r="NVX32" s="1688"/>
      <c r="NVY32" s="1688"/>
      <c r="NVZ32" s="1688"/>
      <c r="NWA32" s="1688"/>
      <c r="NWB32" s="1688"/>
      <c r="NWC32" s="1688"/>
      <c r="NWD32" s="1688"/>
      <c r="NWE32" s="1688"/>
      <c r="NWF32" s="1688"/>
      <c r="NWG32" s="1688"/>
      <c r="NWH32" s="1688"/>
      <c r="NWI32" s="1688"/>
      <c r="NWJ32" s="1688"/>
      <c r="NWK32" s="1688"/>
      <c r="NWL32" s="1688"/>
      <c r="NWM32" s="1688"/>
      <c r="NWN32" s="1688"/>
      <c r="NWO32" s="1688"/>
      <c r="NWP32" s="1688"/>
      <c r="NWQ32" s="1688"/>
      <c r="NWR32" s="1688"/>
      <c r="NWS32" s="1688"/>
      <c r="NWT32" s="1688"/>
      <c r="NWU32" s="1688"/>
      <c r="NWV32" s="1688"/>
      <c r="NWW32" s="1688"/>
      <c r="NWX32" s="1688"/>
      <c r="NWY32" s="1688"/>
      <c r="NWZ32" s="1688"/>
      <c r="NXA32" s="1688"/>
      <c r="NXB32" s="1688"/>
      <c r="NXC32" s="1688"/>
      <c r="NXD32" s="1688"/>
      <c r="NXE32" s="1688"/>
      <c r="NXF32" s="1688"/>
      <c r="NXG32" s="1688"/>
      <c r="NXH32" s="1688"/>
      <c r="NXI32" s="1688"/>
      <c r="NXJ32" s="1688"/>
      <c r="NXK32" s="1688"/>
      <c r="NXL32" s="1688"/>
      <c r="NXM32" s="1688"/>
      <c r="NXN32" s="1688"/>
      <c r="NXO32" s="1688"/>
      <c r="NXP32" s="1688"/>
      <c r="NXQ32" s="1688"/>
      <c r="NXR32" s="1688"/>
      <c r="NXS32" s="1688"/>
      <c r="NXT32" s="1688"/>
      <c r="NXU32" s="1688"/>
      <c r="NXV32" s="1688"/>
      <c r="NXW32" s="1688"/>
      <c r="NXX32" s="1688"/>
      <c r="NXY32" s="1688"/>
      <c r="NXZ32" s="1688"/>
      <c r="NYA32" s="1688"/>
      <c r="NYB32" s="1688"/>
      <c r="NYC32" s="1688"/>
      <c r="NYD32" s="1688"/>
      <c r="NYE32" s="1688"/>
      <c r="NYF32" s="1688"/>
      <c r="NYG32" s="1688"/>
      <c r="NYH32" s="1688"/>
      <c r="NYI32" s="1688"/>
      <c r="NYJ32" s="1688"/>
      <c r="NYK32" s="1688"/>
      <c r="NYL32" s="1688"/>
      <c r="NYM32" s="1688"/>
      <c r="NYN32" s="1688"/>
      <c r="NYO32" s="1688"/>
      <c r="NYP32" s="1688"/>
      <c r="NYQ32" s="1688"/>
      <c r="NYR32" s="1688"/>
      <c r="NYS32" s="1688"/>
      <c r="NYT32" s="1688"/>
      <c r="NYU32" s="1688"/>
      <c r="NYV32" s="1688"/>
      <c r="NYW32" s="1688"/>
      <c r="NYX32" s="1688"/>
      <c r="NYY32" s="1688"/>
      <c r="NYZ32" s="1688"/>
      <c r="NZA32" s="1688"/>
      <c r="NZB32" s="1688"/>
      <c r="NZC32" s="1688"/>
      <c r="NZD32" s="1688"/>
      <c r="NZE32" s="1688"/>
      <c r="NZF32" s="1688"/>
      <c r="NZG32" s="1688"/>
      <c r="NZH32" s="1688"/>
      <c r="NZI32" s="1688"/>
      <c r="NZJ32" s="1688"/>
      <c r="NZK32" s="1688"/>
      <c r="NZL32" s="1688"/>
      <c r="NZM32" s="1688"/>
      <c r="NZN32" s="1688"/>
      <c r="NZO32" s="1688"/>
      <c r="NZP32" s="1688"/>
      <c r="NZQ32" s="1688"/>
      <c r="NZR32" s="1688"/>
      <c r="NZS32" s="1688"/>
      <c r="NZT32" s="1688"/>
      <c r="NZU32" s="1688"/>
      <c r="NZV32" s="1688"/>
      <c r="NZW32" s="1688"/>
      <c r="NZX32" s="1688"/>
      <c r="NZY32" s="1688"/>
      <c r="NZZ32" s="1688"/>
      <c r="OAA32" s="1688"/>
      <c r="OAB32" s="1688"/>
      <c r="OAC32" s="1688"/>
      <c r="OAD32" s="1688"/>
      <c r="OAE32" s="1688"/>
      <c r="OAF32" s="1688"/>
      <c r="OAG32" s="1688"/>
      <c r="OAH32" s="1688"/>
      <c r="OAI32" s="1688"/>
      <c r="OAJ32" s="1688"/>
      <c r="OAK32" s="1688"/>
      <c r="OAL32" s="1688"/>
      <c r="OAM32" s="1688"/>
      <c r="OAN32" s="1688"/>
      <c r="OAO32" s="1688"/>
      <c r="OAP32" s="1688"/>
      <c r="OAQ32" s="1688"/>
      <c r="OAR32" s="1688"/>
      <c r="OAS32" s="1688"/>
      <c r="OAT32" s="1688"/>
      <c r="OAU32" s="1688"/>
      <c r="OAV32" s="1688"/>
      <c r="OAW32" s="1688"/>
      <c r="OAX32" s="1688"/>
      <c r="OAY32" s="1688"/>
      <c r="OAZ32" s="1688"/>
      <c r="OBA32" s="1688"/>
      <c r="OBB32" s="1688"/>
      <c r="OBC32" s="1688"/>
      <c r="OBD32" s="1688"/>
      <c r="OBE32" s="1688"/>
      <c r="OBF32" s="1688"/>
      <c r="OBG32" s="1688"/>
      <c r="OBH32" s="1688"/>
      <c r="OBI32" s="1688"/>
      <c r="OBJ32" s="1688"/>
      <c r="OBK32" s="1688"/>
      <c r="OBL32" s="1688"/>
      <c r="OBM32" s="1688"/>
      <c r="OBN32" s="1688"/>
      <c r="OBO32" s="1688"/>
      <c r="OBP32" s="1688"/>
      <c r="OBQ32" s="1688"/>
      <c r="OBR32" s="1688"/>
      <c r="OBS32" s="1688"/>
      <c r="OBT32" s="1688"/>
      <c r="OBU32" s="1688"/>
      <c r="OBV32" s="1688"/>
      <c r="OBW32" s="1688"/>
      <c r="OBX32" s="1688"/>
      <c r="OBY32" s="1688"/>
      <c r="OBZ32" s="1688"/>
      <c r="OCA32" s="1688"/>
      <c r="OCB32" s="1688"/>
      <c r="OCC32" s="1688"/>
      <c r="OCD32" s="1688"/>
      <c r="OCE32" s="1688"/>
      <c r="OCF32" s="1688"/>
      <c r="OCG32" s="1688"/>
      <c r="OCH32" s="1688"/>
      <c r="OCI32" s="1688"/>
      <c r="OCJ32" s="1688"/>
      <c r="OCK32" s="1688"/>
      <c r="OCL32" s="1688"/>
      <c r="OCM32" s="1688"/>
      <c r="OCN32" s="1688"/>
      <c r="OCO32" s="1688"/>
      <c r="OCP32" s="1688"/>
      <c r="OCQ32" s="1688"/>
      <c r="OCR32" s="1688"/>
      <c r="OCS32" s="1688"/>
      <c r="OCT32" s="1688"/>
      <c r="OCU32" s="1688"/>
      <c r="OCV32" s="1688"/>
      <c r="OCW32" s="1688"/>
      <c r="OCX32" s="1688"/>
      <c r="OCY32" s="1688"/>
      <c r="OCZ32" s="1688"/>
      <c r="ODA32" s="1688"/>
      <c r="ODB32" s="1688"/>
      <c r="ODC32" s="1688"/>
      <c r="ODD32" s="1688"/>
      <c r="ODE32" s="1688"/>
      <c r="ODF32" s="1688"/>
      <c r="ODG32" s="1688"/>
      <c r="ODH32" s="1688"/>
      <c r="ODI32" s="1688"/>
      <c r="ODJ32" s="1688"/>
      <c r="ODK32" s="1688"/>
      <c r="ODL32" s="1688"/>
      <c r="ODM32" s="1688"/>
      <c r="ODN32" s="1688"/>
      <c r="ODO32" s="1688"/>
      <c r="ODP32" s="1688"/>
      <c r="ODQ32" s="1688"/>
      <c r="ODR32" s="1688"/>
      <c r="ODS32" s="1688"/>
      <c r="ODT32" s="1688"/>
      <c r="ODU32" s="1688"/>
      <c r="ODV32" s="1688"/>
      <c r="ODW32" s="1688"/>
      <c r="ODX32" s="1688"/>
      <c r="ODY32" s="1688"/>
      <c r="ODZ32" s="1688"/>
      <c r="OEA32" s="1688"/>
      <c r="OEB32" s="1688"/>
      <c r="OEC32" s="1688"/>
      <c r="OED32" s="1688"/>
      <c r="OEE32" s="1688"/>
      <c r="OEF32" s="1688"/>
      <c r="OEG32" s="1688"/>
      <c r="OEH32" s="1688"/>
      <c r="OEI32" s="1688"/>
      <c r="OEJ32" s="1688"/>
      <c r="OEK32" s="1688"/>
      <c r="OEL32" s="1688"/>
      <c r="OEM32" s="1688"/>
      <c r="OEN32" s="1688"/>
      <c r="OEO32" s="1688"/>
      <c r="OEP32" s="1688"/>
      <c r="OEQ32" s="1688"/>
      <c r="OER32" s="1688"/>
      <c r="OES32" s="1688"/>
      <c r="OET32" s="1688"/>
      <c r="OEU32" s="1688"/>
      <c r="OEV32" s="1688"/>
      <c r="OEW32" s="1688"/>
      <c r="OEX32" s="1688"/>
      <c r="OEY32" s="1688"/>
      <c r="OEZ32" s="1688"/>
      <c r="OFA32" s="1688"/>
      <c r="OFB32" s="1688"/>
      <c r="OFC32" s="1688"/>
      <c r="OFD32" s="1688"/>
      <c r="OFE32" s="1688"/>
      <c r="OFF32" s="1688"/>
      <c r="OFG32" s="1688"/>
      <c r="OFH32" s="1688"/>
      <c r="OFI32" s="1688"/>
      <c r="OFJ32" s="1688"/>
      <c r="OFK32" s="1688"/>
      <c r="OFL32" s="1688"/>
      <c r="OFM32" s="1688"/>
      <c r="OFN32" s="1688"/>
      <c r="OFO32" s="1688"/>
      <c r="OFP32" s="1688"/>
      <c r="OFQ32" s="1688"/>
      <c r="OFR32" s="1688"/>
      <c r="OFS32" s="1688"/>
      <c r="OFT32" s="1688"/>
      <c r="OFU32" s="1688"/>
      <c r="OFV32" s="1688"/>
      <c r="OFW32" s="1688"/>
      <c r="OFX32" s="1688"/>
      <c r="OFY32" s="1688"/>
      <c r="OFZ32" s="1688"/>
      <c r="OGA32" s="1688"/>
      <c r="OGB32" s="1688"/>
      <c r="OGC32" s="1688"/>
      <c r="OGD32" s="1688"/>
      <c r="OGE32" s="1688"/>
      <c r="OGF32" s="1688"/>
      <c r="OGG32" s="1688"/>
      <c r="OGH32" s="1688"/>
      <c r="OGI32" s="1688"/>
      <c r="OGJ32" s="1688"/>
      <c r="OGK32" s="1688"/>
      <c r="OGL32" s="1688"/>
      <c r="OGM32" s="1688"/>
      <c r="OGN32" s="1688"/>
      <c r="OGO32" s="1688"/>
      <c r="OGP32" s="1688"/>
      <c r="OGQ32" s="1688"/>
      <c r="OGR32" s="1688"/>
      <c r="OGS32" s="1688"/>
      <c r="OGT32" s="1688"/>
      <c r="OGU32" s="1688"/>
      <c r="OGV32" s="1688"/>
      <c r="OGW32" s="1688"/>
      <c r="OGX32" s="1688"/>
      <c r="OGY32" s="1688"/>
      <c r="OGZ32" s="1688"/>
      <c r="OHA32" s="1688"/>
      <c r="OHB32" s="1688"/>
      <c r="OHC32" s="1688"/>
      <c r="OHD32" s="1688"/>
      <c r="OHE32" s="1688"/>
      <c r="OHF32" s="1688"/>
      <c r="OHG32" s="1688"/>
      <c r="OHH32" s="1688"/>
      <c r="OHI32" s="1688"/>
      <c r="OHJ32" s="1688"/>
      <c r="OHK32" s="1688"/>
      <c r="OHL32" s="1688"/>
      <c r="OHM32" s="1688"/>
      <c r="OHN32" s="1688"/>
      <c r="OHO32" s="1688"/>
      <c r="OHP32" s="1688"/>
      <c r="OHQ32" s="1688"/>
      <c r="OHR32" s="1688"/>
      <c r="OHS32" s="1688"/>
      <c r="OHT32" s="1688"/>
      <c r="OHU32" s="1688"/>
      <c r="OHV32" s="1688"/>
      <c r="OHW32" s="1688"/>
      <c r="OHX32" s="1688"/>
      <c r="OHY32" s="1688"/>
      <c r="OHZ32" s="1688"/>
      <c r="OIA32" s="1688"/>
      <c r="OIB32" s="1688"/>
      <c r="OIC32" s="1688"/>
      <c r="OID32" s="1688"/>
      <c r="OIE32" s="1688"/>
      <c r="OIF32" s="1688"/>
      <c r="OIG32" s="1688"/>
      <c r="OIH32" s="1688"/>
      <c r="OII32" s="1688"/>
      <c r="OIJ32" s="1688"/>
      <c r="OIK32" s="1688"/>
      <c r="OIL32" s="1688"/>
      <c r="OIM32" s="1688"/>
      <c r="OIN32" s="1688"/>
      <c r="OIO32" s="1688"/>
      <c r="OIP32" s="1688"/>
      <c r="OIQ32" s="1688"/>
      <c r="OIR32" s="1688"/>
      <c r="OIS32" s="1688"/>
      <c r="OIT32" s="1688"/>
      <c r="OIU32" s="1688"/>
      <c r="OIV32" s="1688"/>
      <c r="OIW32" s="1688"/>
      <c r="OIX32" s="1688"/>
      <c r="OIY32" s="1688"/>
      <c r="OIZ32" s="1688"/>
      <c r="OJA32" s="1688"/>
      <c r="OJB32" s="1688"/>
      <c r="OJC32" s="1688"/>
      <c r="OJD32" s="1688"/>
      <c r="OJE32" s="1688"/>
      <c r="OJF32" s="1688"/>
      <c r="OJG32" s="1688"/>
      <c r="OJH32" s="1688"/>
      <c r="OJI32" s="1688"/>
      <c r="OJJ32" s="1688"/>
      <c r="OJK32" s="1688"/>
      <c r="OJL32" s="1688"/>
      <c r="OJM32" s="1688"/>
      <c r="OJN32" s="1688"/>
      <c r="OJO32" s="1688"/>
      <c r="OJP32" s="1688"/>
      <c r="OJQ32" s="1688"/>
      <c r="OJR32" s="1688"/>
      <c r="OJS32" s="1688"/>
      <c r="OJT32" s="1688"/>
      <c r="OJU32" s="1688"/>
      <c r="OJV32" s="1688"/>
      <c r="OJW32" s="1688"/>
      <c r="OJX32" s="1688"/>
      <c r="OJY32" s="1688"/>
      <c r="OJZ32" s="1688"/>
      <c r="OKA32" s="1688"/>
      <c r="OKB32" s="1688"/>
      <c r="OKC32" s="1688"/>
      <c r="OKD32" s="1688"/>
      <c r="OKE32" s="1688"/>
      <c r="OKF32" s="1688"/>
      <c r="OKG32" s="1688"/>
      <c r="OKH32" s="1688"/>
      <c r="OKI32" s="1688"/>
      <c r="OKJ32" s="1688"/>
      <c r="OKK32" s="1688"/>
      <c r="OKL32" s="1688"/>
      <c r="OKM32" s="1688"/>
      <c r="OKN32" s="1688"/>
      <c r="OKO32" s="1688"/>
      <c r="OKP32" s="1688"/>
      <c r="OKQ32" s="1688"/>
      <c r="OKR32" s="1688"/>
      <c r="OKS32" s="1688"/>
      <c r="OKT32" s="1688"/>
      <c r="OKU32" s="1688"/>
      <c r="OKV32" s="1688"/>
      <c r="OKW32" s="1688"/>
      <c r="OKX32" s="1688"/>
      <c r="OKY32" s="1688"/>
      <c r="OKZ32" s="1688"/>
      <c r="OLA32" s="1688"/>
      <c r="OLB32" s="1688"/>
      <c r="OLC32" s="1688"/>
      <c r="OLD32" s="1688"/>
      <c r="OLE32" s="1688"/>
      <c r="OLF32" s="1688"/>
      <c r="OLG32" s="1688"/>
      <c r="OLH32" s="1688"/>
      <c r="OLI32" s="1688"/>
      <c r="OLJ32" s="1688"/>
      <c r="OLK32" s="1688"/>
      <c r="OLL32" s="1688"/>
      <c r="OLM32" s="1688"/>
      <c r="OLN32" s="1688"/>
      <c r="OLO32" s="1688"/>
      <c r="OLP32" s="1688"/>
      <c r="OLQ32" s="1688"/>
      <c r="OLR32" s="1688"/>
      <c r="OLS32" s="1688"/>
      <c r="OLT32" s="1688"/>
      <c r="OLU32" s="1688"/>
      <c r="OLV32" s="1688"/>
      <c r="OLW32" s="1688"/>
      <c r="OLX32" s="1688"/>
      <c r="OLY32" s="1688"/>
      <c r="OLZ32" s="1688"/>
      <c r="OMA32" s="1688"/>
      <c r="OMB32" s="1688"/>
      <c r="OMC32" s="1688"/>
      <c r="OMD32" s="1688"/>
      <c r="OME32" s="1688"/>
      <c r="OMF32" s="1688"/>
      <c r="OMG32" s="1688"/>
      <c r="OMH32" s="1688"/>
      <c r="OMI32" s="1688"/>
      <c r="OMJ32" s="1688"/>
      <c r="OMK32" s="1688"/>
      <c r="OML32" s="1688"/>
      <c r="OMM32" s="1688"/>
      <c r="OMN32" s="1688"/>
      <c r="OMO32" s="1688"/>
      <c r="OMP32" s="1688"/>
      <c r="OMQ32" s="1688"/>
      <c r="OMR32" s="1688"/>
      <c r="OMS32" s="1688"/>
      <c r="OMT32" s="1688"/>
      <c r="OMU32" s="1688"/>
      <c r="OMV32" s="1688"/>
      <c r="OMW32" s="1688"/>
      <c r="OMX32" s="1688"/>
      <c r="OMY32" s="1688"/>
      <c r="OMZ32" s="1688"/>
      <c r="ONA32" s="1688"/>
      <c r="ONB32" s="1688"/>
      <c r="ONC32" s="1688"/>
      <c r="OND32" s="1688"/>
      <c r="ONE32" s="1688"/>
      <c r="ONF32" s="1688"/>
      <c r="ONG32" s="1688"/>
      <c r="ONH32" s="1688"/>
      <c r="ONI32" s="1688"/>
      <c r="ONJ32" s="1688"/>
      <c r="ONK32" s="1688"/>
      <c r="ONL32" s="1688"/>
      <c r="ONM32" s="1688"/>
      <c r="ONN32" s="1688"/>
      <c r="ONO32" s="1688"/>
      <c r="ONP32" s="1688"/>
      <c r="ONQ32" s="1688"/>
      <c r="ONR32" s="1688"/>
      <c r="ONS32" s="1688"/>
      <c r="ONT32" s="1688"/>
      <c r="ONU32" s="1688"/>
      <c r="ONV32" s="1688"/>
      <c r="ONW32" s="1688"/>
      <c r="ONX32" s="1688"/>
      <c r="ONY32" s="1688"/>
      <c r="ONZ32" s="1688"/>
      <c r="OOA32" s="1688"/>
      <c r="OOB32" s="1688"/>
      <c r="OOC32" s="1688"/>
      <c r="OOD32" s="1688"/>
      <c r="OOE32" s="1688"/>
      <c r="OOF32" s="1688"/>
      <c r="OOG32" s="1688"/>
      <c r="OOH32" s="1688"/>
      <c r="OOI32" s="1688"/>
      <c r="OOJ32" s="1688"/>
      <c r="OOK32" s="1688"/>
      <c r="OOL32" s="1688"/>
      <c r="OOM32" s="1688"/>
      <c r="OON32" s="1688"/>
      <c r="OOO32" s="1688"/>
      <c r="OOP32" s="1688"/>
      <c r="OOQ32" s="1688"/>
      <c r="OOR32" s="1688"/>
      <c r="OOS32" s="1688"/>
      <c r="OOT32" s="1688"/>
      <c r="OOU32" s="1688"/>
      <c r="OOV32" s="1688"/>
      <c r="OOW32" s="1688"/>
      <c r="OOX32" s="1688"/>
      <c r="OOY32" s="1688"/>
      <c r="OOZ32" s="1688"/>
      <c r="OPA32" s="1688"/>
      <c r="OPB32" s="1688"/>
      <c r="OPC32" s="1688"/>
      <c r="OPD32" s="1688"/>
      <c r="OPE32" s="1688"/>
      <c r="OPF32" s="1688"/>
      <c r="OPG32" s="1688"/>
      <c r="OPH32" s="1688"/>
      <c r="OPI32" s="1688"/>
      <c r="OPJ32" s="1688"/>
      <c r="OPK32" s="1688"/>
      <c r="OPL32" s="1688"/>
      <c r="OPM32" s="1688"/>
      <c r="OPN32" s="1688"/>
      <c r="OPO32" s="1688"/>
      <c r="OPP32" s="1688"/>
      <c r="OPQ32" s="1688"/>
      <c r="OPR32" s="1688"/>
      <c r="OPS32" s="1688"/>
      <c r="OPT32" s="1688"/>
      <c r="OPU32" s="1688"/>
      <c r="OPV32" s="1688"/>
      <c r="OPW32" s="1688"/>
      <c r="OPX32" s="1688"/>
      <c r="OPY32" s="1688"/>
      <c r="OPZ32" s="1688"/>
      <c r="OQA32" s="1688"/>
      <c r="OQB32" s="1688"/>
      <c r="OQC32" s="1688"/>
      <c r="OQD32" s="1688"/>
      <c r="OQE32" s="1688"/>
      <c r="OQF32" s="1688"/>
      <c r="OQG32" s="1688"/>
      <c r="OQH32" s="1688"/>
      <c r="OQI32" s="1688"/>
      <c r="OQJ32" s="1688"/>
      <c r="OQK32" s="1688"/>
      <c r="OQL32" s="1688"/>
      <c r="OQM32" s="1688"/>
      <c r="OQN32" s="1688"/>
      <c r="OQO32" s="1688"/>
      <c r="OQP32" s="1688"/>
      <c r="OQQ32" s="1688"/>
      <c r="OQR32" s="1688"/>
      <c r="OQS32" s="1688"/>
      <c r="OQT32" s="1688"/>
      <c r="OQU32" s="1688"/>
      <c r="OQV32" s="1688"/>
      <c r="OQW32" s="1688"/>
      <c r="OQX32" s="1688"/>
      <c r="OQY32" s="1688"/>
      <c r="OQZ32" s="1688"/>
      <c r="ORA32" s="1688"/>
      <c r="ORB32" s="1688"/>
      <c r="ORC32" s="1688"/>
      <c r="ORD32" s="1688"/>
      <c r="ORE32" s="1688"/>
      <c r="ORF32" s="1688"/>
      <c r="ORG32" s="1688"/>
      <c r="ORH32" s="1688"/>
      <c r="ORI32" s="1688"/>
      <c r="ORJ32" s="1688"/>
      <c r="ORK32" s="1688"/>
      <c r="ORL32" s="1688"/>
      <c r="ORM32" s="1688"/>
      <c r="ORN32" s="1688"/>
      <c r="ORO32" s="1688"/>
      <c r="ORP32" s="1688"/>
      <c r="ORQ32" s="1688"/>
      <c r="ORR32" s="1688"/>
      <c r="ORS32" s="1688"/>
      <c r="ORT32" s="1688"/>
      <c r="ORU32" s="1688"/>
      <c r="ORV32" s="1688"/>
      <c r="ORW32" s="1688"/>
      <c r="ORX32" s="1688"/>
      <c r="ORY32" s="1688"/>
      <c r="ORZ32" s="1688"/>
      <c r="OSA32" s="1688"/>
      <c r="OSB32" s="1688"/>
      <c r="OSC32" s="1688"/>
      <c r="OSD32" s="1688"/>
      <c r="OSE32" s="1688"/>
      <c r="OSF32" s="1688"/>
      <c r="OSG32" s="1688"/>
      <c r="OSH32" s="1688"/>
      <c r="OSI32" s="1688"/>
      <c r="OSJ32" s="1688"/>
      <c r="OSK32" s="1688"/>
      <c r="OSL32" s="1688"/>
      <c r="OSM32" s="1688"/>
      <c r="OSN32" s="1688"/>
      <c r="OSO32" s="1688"/>
      <c r="OSP32" s="1688"/>
      <c r="OSQ32" s="1688"/>
      <c r="OSR32" s="1688"/>
      <c r="OSS32" s="1688"/>
      <c r="OST32" s="1688"/>
      <c r="OSU32" s="1688"/>
      <c r="OSV32" s="1688"/>
      <c r="OSW32" s="1688"/>
      <c r="OSX32" s="1688"/>
      <c r="OSY32" s="1688"/>
      <c r="OSZ32" s="1688"/>
      <c r="OTA32" s="1688"/>
      <c r="OTB32" s="1688"/>
      <c r="OTC32" s="1688"/>
      <c r="OTD32" s="1688"/>
      <c r="OTE32" s="1688"/>
      <c r="OTF32" s="1688"/>
      <c r="OTG32" s="1688"/>
      <c r="OTH32" s="1688"/>
      <c r="OTI32" s="1688"/>
      <c r="OTJ32" s="1688"/>
      <c r="OTK32" s="1688"/>
      <c r="OTL32" s="1688"/>
      <c r="OTM32" s="1688"/>
      <c r="OTN32" s="1688"/>
      <c r="OTO32" s="1688"/>
      <c r="OTP32" s="1688"/>
      <c r="OTQ32" s="1688"/>
      <c r="OTR32" s="1688"/>
      <c r="OTS32" s="1688"/>
      <c r="OTT32" s="1688"/>
      <c r="OTU32" s="1688"/>
      <c r="OTV32" s="1688"/>
      <c r="OTW32" s="1688"/>
      <c r="OTX32" s="1688"/>
      <c r="OTY32" s="1688"/>
      <c r="OTZ32" s="1688"/>
      <c r="OUA32" s="1688"/>
      <c r="OUB32" s="1688"/>
      <c r="OUC32" s="1688"/>
      <c r="OUD32" s="1688"/>
      <c r="OUE32" s="1688"/>
      <c r="OUF32" s="1688"/>
      <c r="OUG32" s="1688"/>
      <c r="OUH32" s="1688"/>
      <c r="OUI32" s="1688"/>
      <c r="OUJ32" s="1688"/>
      <c r="OUK32" s="1688"/>
      <c r="OUL32" s="1688"/>
      <c r="OUM32" s="1688"/>
      <c r="OUN32" s="1688"/>
      <c r="OUO32" s="1688"/>
      <c r="OUP32" s="1688"/>
      <c r="OUQ32" s="1688"/>
      <c r="OUR32" s="1688"/>
      <c r="OUS32" s="1688"/>
      <c r="OUT32" s="1688"/>
      <c r="OUU32" s="1688"/>
      <c r="OUV32" s="1688"/>
      <c r="OUW32" s="1688"/>
      <c r="OUX32" s="1688"/>
      <c r="OUY32" s="1688"/>
      <c r="OUZ32" s="1688"/>
      <c r="OVA32" s="1688"/>
      <c r="OVB32" s="1688"/>
      <c r="OVC32" s="1688"/>
      <c r="OVD32" s="1688"/>
      <c r="OVE32" s="1688"/>
      <c r="OVF32" s="1688"/>
      <c r="OVG32" s="1688"/>
      <c r="OVH32" s="1688"/>
      <c r="OVI32" s="1688"/>
      <c r="OVJ32" s="1688"/>
      <c r="OVK32" s="1688"/>
      <c r="OVL32" s="1688"/>
      <c r="OVM32" s="1688"/>
      <c r="OVN32" s="1688"/>
      <c r="OVO32" s="1688"/>
      <c r="OVP32" s="1688"/>
      <c r="OVQ32" s="1688"/>
      <c r="OVR32" s="1688"/>
      <c r="OVS32" s="1688"/>
      <c r="OVT32" s="1688"/>
      <c r="OVU32" s="1688"/>
      <c r="OVV32" s="1688"/>
      <c r="OVW32" s="1688"/>
      <c r="OVX32" s="1688"/>
      <c r="OVY32" s="1688"/>
      <c r="OVZ32" s="1688"/>
      <c r="OWA32" s="1688"/>
      <c r="OWB32" s="1688"/>
      <c r="OWC32" s="1688"/>
      <c r="OWD32" s="1688"/>
      <c r="OWE32" s="1688"/>
      <c r="OWF32" s="1688"/>
      <c r="OWG32" s="1688"/>
      <c r="OWH32" s="1688"/>
      <c r="OWI32" s="1688"/>
      <c r="OWJ32" s="1688"/>
      <c r="OWK32" s="1688"/>
      <c r="OWL32" s="1688"/>
      <c r="OWM32" s="1688"/>
      <c r="OWN32" s="1688"/>
      <c r="OWO32" s="1688"/>
      <c r="OWP32" s="1688"/>
      <c r="OWQ32" s="1688"/>
      <c r="OWR32" s="1688"/>
      <c r="OWS32" s="1688"/>
      <c r="OWT32" s="1688"/>
      <c r="OWU32" s="1688"/>
      <c r="OWV32" s="1688"/>
      <c r="OWW32" s="1688"/>
      <c r="OWX32" s="1688"/>
      <c r="OWY32" s="1688"/>
      <c r="OWZ32" s="1688"/>
      <c r="OXA32" s="1688"/>
      <c r="OXB32" s="1688"/>
      <c r="OXC32" s="1688"/>
      <c r="OXD32" s="1688"/>
      <c r="OXE32" s="1688"/>
      <c r="OXF32" s="1688"/>
      <c r="OXG32" s="1688"/>
      <c r="OXH32" s="1688"/>
      <c r="OXI32" s="1688"/>
      <c r="OXJ32" s="1688"/>
      <c r="OXK32" s="1688"/>
      <c r="OXL32" s="1688"/>
      <c r="OXM32" s="1688"/>
      <c r="OXN32" s="1688"/>
      <c r="OXO32" s="1688"/>
      <c r="OXP32" s="1688"/>
      <c r="OXQ32" s="1688"/>
      <c r="OXR32" s="1688"/>
      <c r="OXS32" s="1688"/>
      <c r="OXT32" s="1688"/>
      <c r="OXU32" s="1688"/>
      <c r="OXV32" s="1688"/>
      <c r="OXW32" s="1688"/>
      <c r="OXX32" s="1688"/>
      <c r="OXY32" s="1688"/>
      <c r="OXZ32" s="1688"/>
      <c r="OYA32" s="1688"/>
      <c r="OYB32" s="1688"/>
      <c r="OYC32" s="1688"/>
      <c r="OYD32" s="1688"/>
      <c r="OYE32" s="1688"/>
      <c r="OYF32" s="1688"/>
      <c r="OYG32" s="1688"/>
      <c r="OYH32" s="1688"/>
      <c r="OYI32" s="1688"/>
      <c r="OYJ32" s="1688"/>
      <c r="OYK32" s="1688"/>
      <c r="OYL32" s="1688"/>
      <c r="OYM32" s="1688"/>
      <c r="OYN32" s="1688"/>
      <c r="OYO32" s="1688"/>
      <c r="OYP32" s="1688"/>
      <c r="OYQ32" s="1688"/>
      <c r="OYR32" s="1688"/>
      <c r="OYS32" s="1688"/>
      <c r="OYT32" s="1688"/>
      <c r="OYU32" s="1688"/>
      <c r="OYV32" s="1688"/>
      <c r="OYW32" s="1688"/>
      <c r="OYX32" s="1688"/>
      <c r="OYY32" s="1688"/>
      <c r="OYZ32" s="1688"/>
      <c r="OZA32" s="1688"/>
      <c r="OZB32" s="1688"/>
      <c r="OZC32" s="1688"/>
      <c r="OZD32" s="1688"/>
      <c r="OZE32" s="1688"/>
      <c r="OZF32" s="1688"/>
      <c r="OZG32" s="1688"/>
      <c r="OZH32" s="1688"/>
      <c r="OZI32" s="1688"/>
      <c r="OZJ32" s="1688"/>
      <c r="OZK32" s="1688"/>
      <c r="OZL32" s="1688"/>
      <c r="OZM32" s="1688"/>
      <c r="OZN32" s="1688"/>
      <c r="OZO32" s="1688"/>
      <c r="OZP32" s="1688"/>
      <c r="OZQ32" s="1688"/>
      <c r="OZR32" s="1688"/>
      <c r="OZS32" s="1688"/>
      <c r="OZT32" s="1688"/>
      <c r="OZU32" s="1688"/>
      <c r="OZV32" s="1688"/>
      <c r="OZW32" s="1688"/>
      <c r="OZX32" s="1688"/>
      <c r="OZY32" s="1688"/>
      <c r="OZZ32" s="1688"/>
      <c r="PAA32" s="1688"/>
      <c r="PAB32" s="1688"/>
      <c r="PAC32" s="1688"/>
      <c r="PAD32" s="1688"/>
      <c r="PAE32" s="1688"/>
      <c r="PAF32" s="1688"/>
      <c r="PAG32" s="1688"/>
      <c r="PAH32" s="1688"/>
      <c r="PAI32" s="1688"/>
      <c r="PAJ32" s="1688"/>
      <c r="PAK32" s="1688"/>
      <c r="PAL32" s="1688"/>
      <c r="PAM32" s="1688"/>
      <c r="PAN32" s="1688"/>
      <c r="PAO32" s="1688"/>
      <c r="PAP32" s="1688"/>
      <c r="PAQ32" s="1688"/>
      <c r="PAR32" s="1688"/>
      <c r="PAS32" s="1688"/>
      <c r="PAT32" s="1688"/>
      <c r="PAU32" s="1688"/>
      <c r="PAV32" s="1688"/>
      <c r="PAW32" s="1688"/>
      <c r="PAX32" s="1688"/>
      <c r="PAY32" s="1688"/>
      <c r="PAZ32" s="1688"/>
      <c r="PBA32" s="1688"/>
      <c r="PBB32" s="1688"/>
      <c r="PBC32" s="1688"/>
      <c r="PBD32" s="1688"/>
      <c r="PBE32" s="1688"/>
      <c r="PBF32" s="1688"/>
      <c r="PBG32" s="1688"/>
      <c r="PBH32" s="1688"/>
      <c r="PBI32" s="1688"/>
      <c r="PBJ32" s="1688"/>
      <c r="PBK32" s="1688"/>
      <c r="PBL32" s="1688"/>
      <c r="PBM32" s="1688"/>
      <c r="PBN32" s="1688"/>
      <c r="PBO32" s="1688"/>
      <c r="PBP32" s="1688"/>
      <c r="PBQ32" s="1688"/>
      <c r="PBR32" s="1688"/>
      <c r="PBS32" s="1688"/>
      <c r="PBT32" s="1688"/>
      <c r="PBU32" s="1688"/>
      <c r="PBV32" s="1688"/>
      <c r="PBW32" s="1688"/>
      <c r="PBX32" s="1688"/>
      <c r="PBY32" s="1688"/>
      <c r="PBZ32" s="1688"/>
      <c r="PCA32" s="1688"/>
      <c r="PCB32" s="1688"/>
      <c r="PCC32" s="1688"/>
      <c r="PCD32" s="1688"/>
      <c r="PCE32" s="1688"/>
      <c r="PCF32" s="1688"/>
      <c r="PCG32" s="1688"/>
      <c r="PCH32" s="1688"/>
      <c r="PCI32" s="1688"/>
      <c r="PCJ32" s="1688"/>
      <c r="PCK32" s="1688"/>
      <c r="PCL32" s="1688"/>
      <c r="PCM32" s="1688"/>
      <c r="PCN32" s="1688"/>
      <c r="PCO32" s="1688"/>
      <c r="PCP32" s="1688"/>
      <c r="PCQ32" s="1688"/>
      <c r="PCR32" s="1688"/>
      <c r="PCS32" s="1688"/>
      <c r="PCT32" s="1688"/>
      <c r="PCU32" s="1688"/>
      <c r="PCV32" s="1688"/>
      <c r="PCW32" s="1688"/>
      <c r="PCX32" s="1688"/>
      <c r="PCY32" s="1688"/>
      <c r="PCZ32" s="1688"/>
      <c r="PDA32" s="1688"/>
      <c r="PDB32" s="1688"/>
      <c r="PDC32" s="1688"/>
      <c r="PDD32" s="1688"/>
      <c r="PDE32" s="1688"/>
      <c r="PDF32" s="1688"/>
      <c r="PDG32" s="1688"/>
      <c r="PDH32" s="1688"/>
      <c r="PDI32" s="1688"/>
      <c r="PDJ32" s="1688"/>
      <c r="PDK32" s="1688"/>
      <c r="PDL32" s="1688"/>
      <c r="PDM32" s="1688"/>
      <c r="PDN32" s="1688"/>
      <c r="PDO32" s="1688"/>
      <c r="PDP32" s="1688"/>
      <c r="PDQ32" s="1688"/>
      <c r="PDR32" s="1688"/>
      <c r="PDS32" s="1688"/>
      <c r="PDT32" s="1688"/>
      <c r="PDU32" s="1688"/>
      <c r="PDV32" s="1688"/>
      <c r="PDW32" s="1688"/>
      <c r="PDX32" s="1688"/>
      <c r="PDY32" s="1688"/>
      <c r="PDZ32" s="1688"/>
      <c r="PEA32" s="1688"/>
      <c r="PEB32" s="1688"/>
      <c r="PEC32" s="1688"/>
      <c r="PED32" s="1688"/>
      <c r="PEE32" s="1688"/>
      <c r="PEF32" s="1688"/>
      <c r="PEG32" s="1688"/>
      <c r="PEH32" s="1688"/>
      <c r="PEI32" s="1688"/>
      <c r="PEJ32" s="1688"/>
      <c r="PEK32" s="1688"/>
      <c r="PEL32" s="1688"/>
      <c r="PEM32" s="1688"/>
      <c r="PEN32" s="1688"/>
      <c r="PEO32" s="1688"/>
      <c r="PEP32" s="1688"/>
      <c r="PEQ32" s="1688"/>
      <c r="PER32" s="1688"/>
      <c r="PES32" s="1688"/>
      <c r="PET32" s="1688"/>
      <c r="PEU32" s="1688"/>
      <c r="PEV32" s="1688"/>
      <c r="PEW32" s="1688"/>
      <c r="PEX32" s="1688"/>
      <c r="PEY32" s="1688"/>
      <c r="PEZ32" s="1688"/>
      <c r="PFA32" s="1688"/>
      <c r="PFB32" s="1688"/>
      <c r="PFC32" s="1688"/>
      <c r="PFD32" s="1688"/>
      <c r="PFE32" s="1688"/>
      <c r="PFF32" s="1688"/>
      <c r="PFG32" s="1688"/>
      <c r="PFH32" s="1688"/>
      <c r="PFI32" s="1688"/>
      <c r="PFJ32" s="1688"/>
      <c r="PFK32" s="1688"/>
      <c r="PFL32" s="1688"/>
      <c r="PFM32" s="1688"/>
      <c r="PFN32" s="1688"/>
      <c r="PFO32" s="1688"/>
      <c r="PFP32" s="1688"/>
      <c r="PFQ32" s="1688"/>
      <c r="PFR32" s="1688"/>
      <c r="PFS32" s="1688"/>
      <c r="PFT32" s="1688"/>
      <c r="PFU32" s="1688"/>
      <c r="PFV32" s="1688"/>
      <c r="PFW32" s="1688"/>
      <c r="PFX32" s="1688"/>
      <c r="PFY32" s="1688"/>
      <c r="PFZ32" s="1688"/>
      <c r="PGA32" s="1688"/>
      <c r="PGB32" s="1688"/>
      <c r="PGC32" s="1688"/>
      <c r="PGD32" s="1688"/>
      <c r="PGE32" s="1688"/>
      <c r="PGF32" s="1688"/>
      <c r="PGG32" s="1688"/>
      <c r="PGH32" s="1688"/>
      <c r="PGI32" s="1688"/>
      <c r="PGJ32" s="1688"/>
      <c r="PGK32" s="1688"/>
      <c r="PGL32" s="1688"/>
      <c r="PGM32" s="1688"/>
      <c r="PGN32" s="1688"/>
      <c r="PGO32" s="1688"/>
      <c r="PGP32" s="1688"/>
      <c r="PGQ32" s="1688"/>
      <c r="PGR32" s="1688"/>
      <c r="PGS32" s="1688"/>
      <c r="PGT32" s="1688"/>
      <c r="PGU32" s="1688"/>
      <c r="PGV32" s="1688"/>
      <c r="PGW32" s="1688"/>
      <c r="PGX32" s="1688"/>
      <c r="PGY32" s="1688"/>
      <c r="PGZ32" s="1688"/>
      <c r="PHA32" s="1688"/>
      <c r="PHB32" s="1688"/>
      <c r="PHC32" s="1688"/>
      <c r="PHD32" s="1688"/>
      <c r="PHE32" s="1688"/>
      <c r="PHF32" s="1688"/>
      <c r="PHG32" s="1688"/>
      <c r="PHH32" s="1688"/>
      <c r="PHI32" s="1688"/>
      <c r="PHJ32" s="1688"/>
      <c r="PHK32" s="1688"/>
      <c r="PHL32" s="1688"/>
      <c r="PHM32" s="1688"/>
      <c r="PHN32" s="1688"/>
      <c r="PHO32" s="1688"/>
      <c r="PHP32" s="1688"/>
      <c r="PHQ32" s="1688"/>
      <c r="PHR32" s="1688"/>
      <c r="PHS32" s="1688"/>
      <c r="PHT32" s="1688"/>
      <c r="PHU32" s="1688"/>
      <c r="PHV32" s="1688"/>
      <c r="PHW32" s="1688"/>
      <c r="PHX32" s="1688"/>
      <c r="PHY32" s="1688"/>
      <c r="PHZ32" s="1688"/>
      <c r="PIA32" s="1688"/>
      <c r="PIB32" s="1688"/>
      <c r="PIC32" s="1688"/>
      <c r="PID32" s="1688"/>
      <c r="PIE32" s="1688"/>
      <c r="PIF32" s="1688"/>
      <c r="PIG32" s="1688"/>
      <c r="PIH32" s="1688"/>
      <c r="PII32" s="1688"/>
      <c r="PIJ32" s="1688"/>
      <c r="PIK32" s="1688"/>
      <c r="PIL32" s="1688"/>
      <c r="PIM32" s="1688"/>
      <c r="PIN32" s="1688"/>
      <c r="PIO32" s="1688"/>
      <c r="PIP32" s="1688"/>
      <c r="PIQ32" s="1688"/>
      <c r="PIR32" s="1688"/>
      <c r="PIS32" s="1688"/>
      <c r="PIT32" s="1688"/>
      <c r="PIU32" s="1688"/>
      <c r="PIV32" s="1688"/>
      <c r="PIW32" s="1688"/>
      <c r="PIX32" s="1688"/>
      <c r="PIY32" s="1688"/>
      <c r="PIZ32" s="1688"/>
      <c r="PJA32" s="1688"/>
      <c r="PJB32" s="1688"/>
      <c r="PJC32" s="1688"/>
      <c r="PJD32" s="1688"/>
      <c r="PJE32" s="1688"/>
      <c r="PJF32" s="1688"/>
      <c r="PJG32" s="1688"/>
      <c r="PJH32" s="1688"/>
      <c r="PJI32" s="1688"/>
      <c r="PJJ32" s="1688"/>
      <c r="PJK32" s="1688"/>
      <c r="PJL32" s="1688"/>
      <c r="PJM32" s="1688"/>
      <c r="PJN32" s="1688"/>
      <c r="PJO32" s="1688"/>
      <c r="PJP32" s="1688"/>
      <c r="PJQ32" s="1688"/>
      <c r="PJR32" s="1688"/>
      <c r="PJS32" s="1688"/>
      <c r="PJT32" s="1688"/>
      <c r="PJU32" s="1688"/>
      <c r="PJV32" s="1688"/>
      <c r="PJW32" s="1688"/>
      <c r="PJX32" s="1688"/>
      <c r="PJY32" s="1688"/>
      <c r="PJZ32" s="1688"/>
      <c r="PKA32" s="1688"/>
      <c r="PKB32" s="1688"/>
      <c r="PKC32" s="1688"/>
      <c r="PKD32" s="1688"/>
      <c r="PKE32" s="1688"/>
      <c r="PKF32" s="1688"/>
      <c r="PKG32" s="1688"/>
      <c r="PKH32" s="1688"/>
      <c r="PKI32" s="1688"/>
      <c r="PKJ32" s="1688"/>
      <c r="PKK32" s="1688"/>
      <c r="PKL32" s="1688"/>
      <c r="PKM32" s="1688"/>
      <c r="PKN32" s="1688"/>
      <c r="PKO32" s="1688"/>
      <c r="PKP32" s="1688"/>
      <c r="PKQ32" s="1688"/>
      <c r="PKR32" s="1688"/>
      <c r="PKS32" s="1688"/>
      <c r="PKT32" s="1688"/>
      <c r="PKU32" s="1688"/>
      <c r="PKV32" s="1688"/>
      <c r="PKW32" s="1688"/>
      <c r="PKX32" s="1688"/>
      <c r="PKY32" s="1688"/>
      <c r="PKZ32" s="1688"/>
      <c r="PLA32" s="1688"/>
      <c r="PLB32" s="1688"/>
      <c r="PLC32" s="1688"/>
      <c r="PLD32" s="1688"/>
      <c r="PLE32" s="1688"/>
      <c r="PLF32" s="1688"/>
      <c r="PLG32" s="1688"/>
      <c r="PLH32" s="1688"/>
      <c r="PLI32" s="1688"/>
      <c r="PLJ32" s="1688"/>
      <c r="PLK32" s="1688"/>
      <c r="PLL32" s="1688"/>
      <c r="PLM32" s="1688"/>
      <c r="PLN32" s="1688"/>
      <c r="PLO32" s="1688"/>
      <c r="PLP32" s="1688"/>
      <c r="PLQ32" s="1688"/>
      <c r="PLR32" s="1688"/>
      <c r="PLS32" s="1688"/>
      <c r="PLT32" s="1688"/>
      <c r="PLU32" s="1688"/>
      <c r="PLV32" s="1688"/>
      <c r="PLW32" s="1688"/>
      <c r="PLX32" s="1688"/>
      <c r="PLY32" s="1688"/>
      <c r="PLZ32" s="1688"/>
      <c r="PMA32" s="1688"/>
      <c r="PMB32" s="1688"/>
      <c r="PMC32" s="1688"/>
      <c r="PMD32" s="1688"/>
      <c r="PME32" s="1688"/>
      <c r="PMF32" s="1688"/>
      <c r="PMG32" s="1688"/>
      <c r="PMH32" s="1688"/>
      <c r="PMI32" s="1688"/>
      <c r="PMJ32" s="1688"/>
      <c r="PMK32" s="1688"/>
      <c r="PML32" s="1688"/>
      <c r="PMM32" s="1688"/>
      <c r="PMN32" s="1688"/>
      <c r="PMO32" s="1688"/>
      <c r="PMP32" s="1688"/>
      <c r="PMQ32" s="1688"/>
      <c r="PMR32" s="1688"/>
      <c r="PMS32" s="1688"/>
      <c r="PMT32" s="1688"/>
      <c r="PMU32" s="1688"/>
      <c r="PMV32" s="1688"/>
      <c r="PMW32" s="1688"/>
      <c r="PMX32" s="1688"/>
      <c r="PMY32" s="1688"/>
      <c r="PMZ32" s="1688"/>
      <c r="PNA32" s="1688"/>
      <c r="PNB32" s="1688"/>
      <c r="PNC32" s="1688"/>
      <c r="PND32" s="1688"/>
      <c r="PNE32" s="1688"/>
      <c r="PNF32" s="1688"/>
      <c r="PNG32" s="1688"/>
      <c r="PNH32" s="1688"/>
      <c r="PNI32" s="1688"/>
      <c r="PNJ32" s="1688"/>
      <c r="PNK32" s="1688"/>
      <c r="PNL32" s="1688"/>
      <c r="PNM32" s="1688"/>
      <c r="PNN32" s="1688"/>
      <c r="PNO32" s="1688"/>
      <c r="PNP32" s="1688"/>
      <c r="PNQ32" s="1688"/>
      <c r="PNR32" s="1688"/>
      <c r="PNS32" s="1688"/>
      <c r="PNT32" s="1688"/>
      <c r="PNU32" s="1688"/>
      <c r="PNV32" s="1688"/>
      <c r="PNW32" s="1688"/>
      <c r="PNX32" s="1688"/>
      <c r="PNY32" s="1688"/>
      <c r="PNZ32" s="1688"/>
      <c r="POA32" s="1688"/>
      <c r="POB32" s="1688"/>
      <c r="POC32" s="1688"/>
      <c r="POD32" s="1688"/>
      <c r="POE32" s="1688"/>
      <c r="POF32" s="1688"/>
      <c r="POG32" s="1688"/>
      <c r="POH32" s="1688"/>
      <c r="POI32" s="1688"/>
      <c r="POJ32" s="1688"/>
      <c r="POK32" s="1688"/>
      <c r="POL32" s="1688"/>
      <c r="POM32" s="1688"/>
      <c r="PON32" s="1688"/>
      <c r="POO32" s="1688"/>
      <c r="POP32" s="1688"/>
      <c r="POQ32" s="1688"/>
      <c r="POR32" s="1688"/>
      <c r="POS32" s="1688"/>
      <c r="POT32" s="1688"/>
      <c r="POU32" s="1688"/>
      <c r="POV32" s="1688"/>
      <c r="POW32" s="1688"/>
      <c r="POX32" s="1688"/>
      <c r="POY32" s="1688"/>
      <c r="POZ32" s="1688"/>
      <c r="PPA32" s="1688"/>
      <c r="PPB32" s="1688"/>
      <c r="PPC32" s="1688"/>
      <c r="PPD32" s="1688"/>
      <c r="PPE32" s="1688"/>
      <c r="PPF32" s="1688"/>
      <c r="PPG32" s="1688"/>
      <c r="PPH32" s="1688"/>
      <c r="PPI32" s="1688"/>
      <c r="PPJ32" s="1688"/>
      <c r="PPK32" s="1688"/>
      <c r="PPL32" s="1688"/>
      <c r="PPM32" s="1688"/>
      <c r="PPN32" s="1688"/>
      <c r="PPO32" s="1688"/>
      <c r="PPP32" s="1688"/>
      <c r="PPQ32" s="1688"/>
      <c r="PPR32" s="1688"/>
      <c r="PPS32" s="1688"/>
      <c r="PPT32" s="1688"/>
      <c r="PPU32" s="1688"/>
      <c r="PPV32" s="1688"/>
      <c r="PPW32" s="1688"/>
      <c r="PPX32" s="1688"/>
      <c r="PPY32" s="1688"/>
      <c r="PPZ32" s="1688"/>
      <c r="PQA32" s="1688"/>
      <c r="PQB32" s="1688"/>
      <c r="PQC32" s="1688"/>
      <c r="PQD32" s="1688"/>
      <c r="PQE32" s="1688"/>
      <c r="PQF32" s="1688"/>
      <c r="PQG32" s="1688"/>
      <c r="PQH32" s="1688"/>
      <c r="PQI32" s="1688"/>
      <c r="PQJ32" s="1688"/>
      <c r="PQK32" s="1688"/>
      <c r="PQL32" s="1688"/>
      <c r="PQM32" s="1688"/>
      <c r="PQN32" s="1688"/>
      <c r="PQO32" s="1688"/>
      <c r="PQP32" s="1688"/>
      <c r="PQQ32" s="1688"/>
      <c r="PQR32" s="1688"/>
      <c r="PQS32" s="1688"/>
      <c r="PQT32" s="1688"/>
      <c r="PQU32" s="1688"/>
      <c r="PQV32" s="1688"/>
      <c r="PQW32" s="1688"/>
      <c r="PQX32" s="1688"/>
      <c r="PQY32" s="1688"/>
      <c r="PQZ32" s="1688"/>
      <c r="PRA32" s="1688"/>
      <c r="PRB32" s="1688"/>
      <c r="PRC32" s="1688"/>
      <c r="PRD32" s="1688"/>
      <c r="PRE32" s="1688"/>
      <c r="PRF32" s="1688"/>
      <c r="PRG32" s="1688"/>
      <c r="PRH32" s="1688"/>
      <c r="PRI32" s="1688"/>
      <c r="PRJ32" s="1688"/>
      <c r="PRK32" s="1688"/>
      <c r="PRL32" s="1688"/>
      <c r="PRM32" s="1688"/>
      <c r="PRN32" s="1688"/>
      <c r="PRO32" s="1688"/>
      <c r="PRP32" s="1688"/>
      <c r="PRQ32" s="1688"/>
      <c r="PRR32" s="1688"/>
      <c r="PRS32" s="1688"/>
      <c r="PRT32" s="1688"/>
      <c r="PRU32" s="1688"/>
      <c r="PRV32" s="1688"/>
      <c r="PRW32" s="1688"/>
      <c r="PRX32" s="1688"/>
      <c r="PRY32" s="1688"/>
      <c r="PRZ32" s="1688"/>
      <c r="PSA32" s="1688"/>
      <c r="PSB32" s="1688"/>
      <c r="PSC32" s="1688"/>
      <c r="PSD32" s="1688"/>
      <c r="PSE32" s="1688"/>
      <c r="PSF32" s="1688"/>
      <c r="PSG32" s="1688"/>
      <c r="PSH32" s="1688"/>
      <c r="PSI32" s="1688"/>
      <c r="PSJ32" s="1688"/>
      <c r="PSK32" s="1688"/>
      <c r="PSL32" s="1688"/>
      <c r="PSM32" s="1688"/>
      <c r="PSN32" s="1688"/>
      <c r="PSO32" s="1688"/>
      <c r="PSP32" s="1688"/>
      <c r="PSQ32" s="1688"/>
      <c r="PSR32" s="1688"/>
      <c r="PSS32" s="1688"/>
      <c r="PST32" s="1688"/>
      <c r="PSU32" s="1688"/>
      <c r="PSV32" s="1688"/>
      <c r="PSW32" s="1688"/>
      <c r="PSX32" s="1688"/>
      <c r="PSY32" s="1688"/>
      <c r="PSZ32" s="1688"/>
      <c r="PTA32" s="1688"/>
      <c r="PTB32" s="1688"/>
      <c r="PTC32" s="1688"/>
      <c r="PTD32" s="1688"/>
      <c r="PTE32" s="1688"/>
      <c r="PTF32" s="1688"/>
      <c r="PTG32" s="1688"/>
      <c r="PTH32" s="1688"/>
      <c r="PTI32" s="1688"/>
      <c r="PTJ32" s="1688"/>
      <c r="PTK32" s="1688"/>
      <c r="PTL32" s="1688"/>
      <c r="PTM32" s="1688"/>
      <c r="PTN32" s="1688"/>
      <c r="PTO32" s="1688"/>
      <c r="PTP32" s="1688"/>
      <c r="PTQ32" s="1688"/>
      <c r="PTR32" s="1688"/>
      <c r="PTS32" s="1688"/>
      <c r="PTT32" s="1688"/>
      <c r="PTU32" s="1688"/>
      <c r="PTV32" s="1688"/>
      <c r="PTW32" s="1688"/>
      <c r="PTX32" s="1688"/>
      <c r="PTY32" s="1688"/>
      <c r="PTZ32" s="1688"/>
      <c r="PUA32" s="1688"/>
      <c r="PUB32" s="1688"/>
      <c r="PUC32" s="1688"/>
      <c r="PUD32" s="1688"/>
      <c r="PUE32" s="1688"/>
      <c r="PUF32" s="1688"/>
      <c r="PUG32" s="1688"/>
      <c r="PUH32" s="1688"/>
      <c r="PUI32" s="1688"/>
      <c r="PUJ32" s="1688"/>
      <c r="PUK32" s="1688"/>
      <c r="PUL32" s="1688"/>
      <c r="PUM32" s="1688"/>
      <c r="PUN32" s="1688"/>
      <c r="PUO32" s="1688"/>
      <c r="PUP32" s="1688"/>
      <c r="PUQ32" s="1688"/>
      <c r="PUR32" s="1688"/>
      <c r="PUS32" s="1688"/>
      <c r="PUT32" s="1688"/>
      <c r="PUU32" s="1688"/>
      <c r="PUV32" s="1688"/>
      <c r="PUW32" s="1688"/>
      <c r="PUX32" s="1688"/>
      <c r="PUY32" s="1688"/>
      <c r="PUZ32" s="1688"/>
      <c r="PVA32" s="1688"/>
      <c r="PVB32" s="1688"/>
      <c r="PVC32" s="1688"/>
      <c r="PVD32" s="1688"/>
      <c r="PVE32" s="1688"/>
      <c r="PVF32" s="1688"/>
      <c r="PVG32" s="1688"/>
      <c r="PVH32" s="1688"/>
      <c r="PVI32" s="1688"/>
      <c r="PVJ32" s="1688"/>
      <c r="PVK32" s="1688"/>
      <c r="PVL32" s="1688"/>
      <c r="PVM32" s="1688"/>
      <c r="PVN32" s="1688"/>
      <c r="PVO32" s="1688"/>
      <c r="PVP32" s="1688"/>
      <c r="PVQ32" s="1688"/>
      <c r="PVR32" s="1688"/>
      <c r="PVS32" s="1688"/>
      <c r="PVT32" s="1688"/>
      <c r="PVU32" s="1688"/>
      <c r="PVV32" s="1688"/>
      <c r="PVW32" s="1688"/>
      <c r="PVX32" s="1688"/>
      <c r="PVY32" s="1688"/>
      <c r="PVZ32" s="1688"/>
      <c r="PWA32" s="1688"/>
      <c r="PWB32" s="1688"/>
      <c r="PWC32" s="1688"/>
      <c r="PWD32" s="1688"/>
      <c r="PWE32" s="1688"/>
      <c r="PWF32" s="1688"/>
      <c r="PWG32" s="1688"/>
      <c r="PWH32" s="1688"/>
      <c r="PWI32" s="1688"/>
      <c r="PWJ32" s="1688"/>
      <c r="PWK32" s="1688"/>
      <c r="PWL32" s="1688"/>
      <c r="PWM32" s="1688"/>
      <c r="PWN32" s="1688"/>
      <c r="PWO32" s="1688"/>
      <c r="PWP32" s="1688"/>
      <c r="PWQ32" s="1688"/>
      <c r="PWR32" s="1688"/>
      <c r="PWS32" s="1688"/>
      <c r="PWT32" s="1688"/>
      <c r="PWU32" s="1688"/>
      <c r="PWV32" s="1688"/>
      <c r="PWW32" s="1688"/>
      <c r="PWX32" s="1688"/>
      <c r="PWY32" s="1688"/>
      <c r="PWZ32" s="1688"/>
      <c r="PXA32" s="1688"/>
      <c r="PXB32" s="1688"/>
      <c r="PXC32" s="1688"/>
      <c r="PXD32" s="1688"/>
      <c r="PXE32" s="1688"/>
      <c r="PXF32" s="1688"/>
      <c r="PXG32" s="1688"/>
      <c r="PXH32" s="1688"/>
      <c r="PXI32" s="1688"/>
      <c r="PXJ32" s="1688"/>
      <c r="PXK32" s="1688"/>
      <c r="PXL32" s="1688"/>
      <c r="PXM32" s="1688"/>
      <c r="PXN32" s="1688"/>
      <c r="PXO32" s="1688"/>
      <c r="PXP32" s="1688"/>
      <c r="PXQ32" s="1688"/>
      <c r="PXR32" s="1688"/>
      <c r="PXS32" s="1688"/>
      <c r="PXT32" s="1688"/>
      <c r="PXU32" s="1688"/>
      <c r="PXV32" s="1688"/>
      <c r="PXW32" s="1688"/>
      <c r="PXX32" s="1688"/>
      <c r="PXY32" s="1688"/>
      <c r="PXZ32" s="1688"/>
      <c r="PYA32" s="1688"/>
      <c r="PYB32" s="1688"/>
      <c r="PYC32" s="1688"/>
      <c r="PYD32" s="1688"/>
      <c r="PYE32" s="1688"/>
      <c r="PYF32" s="1688"/>
      <c r="PYG32" s="1688"/>
      <c r="PYH32" s="1688"/>
      <c r="PYI32" s="1688"/>
      <c r="PYJ32" s="1688"/>
      <c r="PYK32" s="1688"/>
      <c r="PYL32" s="1688"/>
      <c r="PYM32" s="1688"/>
      <c r="PYN32" s="1688"/>
      <c r="PYO32" s="1688"/>
      <c r="PYP32" s="1688"/>
      <c r="PYQ32" s="1688"/>
      <c r="PYR32" s="1688"/>
      <c r="PYS32" s="1688"/>
      <c r="PYT32" s="1688"/>
      <c r="PYU32" s="1688"/>
      <c r="PYV32" s="1688"/>
      <c r="PYW32" s="1688"/>
      <c r="PYX32" s="1688"/>
      <c r="PYY32" s="1688"/>
      <c r="PYZ32" s="1688"/>
      <c r="PZA32" s="1688"/>
      <c r="PZB32" s="1688"/>
      <c r="PZC32" s="1688"/>
      <c r="PZD32" s="1688"/>
      <c r="PZE32" s="1688"/>
      <c r="PZF32" s="1688"/>
      <c r="PZG32" s="1688"/>
      <c r="PZH32" s="1688"/>
      <c r="PZI32" s="1688"/>
      <c r="PZJ32" s="1688"/>
      <c r="PZK32" s="1688"/>
      <c r="PZL32" s="1688"/>
      <c r="PZM32" s="1688"/>
      <c r="PZN32" s="1688"/>
      <c r="PZO32" s="1688"/>
      <c r="PZP32" s="1688"/>
      <c r="PZQ32" s="1688"/>
      <c r="PZR32" s="1688"/>
      <c r="PZS32" s="1688"/>
      <c r="PZT32" s="1688"/>
      <c r="PZU32" s="1688"/>
      <c r="PZV32" s="1688"/>
      <c r="PZW32" s="1688"/>
      <c r="PZX32" s="1688"/>
      <c r="PZY32" s="1688"/>
      <c r="PZZ32" s="1688"/>
      <c r="QAA32" s="1688"/>
      <c r="QAB32" s="1688"/>
      <c r="QAC32" s="1688"/>
      <c r="QAD32" s="1688"/>
      <c r="QAE32" s="1688"/>
      <c r="QAF32" s="1688"/>
      <c r="QAG32" s="1688"/>
      <c r="QAH32" s="1688"/>
      <c r="QAI32" s="1688"/>
      <c r="QAJ32" s="1688"/>
      <c r="QAK32" s="1688"/>
      <c r="QAL32" s="1688"/>
      <c r="QAM32" s="1688"/>
      <c r="QAN32" s="1688"/>
      <c r="QAO32" s="1688"/>
      <c r="QAP32" s="1688"/>
      <c r="QAQ32" s="1688"/>
      <c r="QAR32" s="1688"/>
      <c r="QAS32" s="1688"/>
      <c r="QAT32" s="1688"/>
      <c r="QAU32" s="1688"/>
      <c r="QAV32" s="1688"/>
      <c r="QAW32" s="1688"/>
      <c r="QAX32" s="1688"/>
      <c r="QAY32" s="1688"/>
      <c r="QAZ32" s="1688"/>
      <c r="QBA32" s="1688"/>
      <c r="QBB32" s="1688"/>
      <c r="QBC32" s="1688"/>
      <c r="QBD32" s="1688"/>
      <c r="QBE32" s="1688"/>
      <c r="QBF32" s="1688"/>
      <c r="QBG32" s="1688"/>
      <c r="QBH32" s="1688"/>
      <c r="QBI32" s="1688"/>
      <c r="QBJ32" s="1688"/>
      <c r="QBK32" s="1688"/>
      <c r="QBL32" s="1688"/>
      <c r="QBM32" s="1688"/>
      <c r="QBN32" s="1688"/>
      <c r="QBO32" s="1688"/>
      <c r="QBP32" s="1688"/>
      <c r="QBQ32" s="1688"/>
      <c r="QBR32" s="1688"/>
      <c r="QBS32" s="1688"/>
      <c r="QBT32" s="1688"/>
      <c r="QBU32" s="1688"/>
      <c r="QBV32" s="1688"/>
      <c r="QBW32" s="1688"/>
      <c r="QBX32" s="1688"/>
      <c r="QBY32" s="1688"/>
      <c r="QBZ32" s="1688"/>
      <c r="QCA32" s="1688"/>
      <c r="QCB32" s="1688"/>
      <c r="QCC32" s="1688"/>
      <c r="QCD32" s="1688"/>
      <c r="QCE32" s="1688"/>
      <c r="QCF32" s="1688"/>
      <c r="QCG32" s="1688"/>
      <c r="QCH32" s="1688"/>
      <c r="QCI32" s="1688"/>
      <c r="QCJ32" s="1688"/>
      <c r="QCK32" s="1688"/>
      <c r="QCL32" s="1688"/>
      <c r="QCM32" s="1688"/>
      <c r="QCN32" s="1688"/>
      <c r="QCO32" s="1688"/>
      <c r="QCP32" s="1688"/>
      <c r="QCQ32" s="1688"/>
      <c r="QCR32" s="1688"/>
      <c r="QCS32" s="1688"/>
      <c r="QCT32" s="1688"/>
      <c r="QCU32" s="1688"/>
      <c r="QCV32" s="1688"/>
      <c r="QCW32" s="1688"/>
      <c r="QCX32" s="1688"/>
      <c r="QCY32" s="1688"/>
      <c r="QCZ32" s="1688"/>
      <c r="QDA32" s="1688"/>
      <c r="QDB32" s="1688"/>
      <c r="QDC32" s="1688"/>
      <c r="QDD32" s="1688"/>
      <c r="QDE32" s="1688"/>
      <c r="QDF32" s="1688"/>
      <c r="QDG32" s="1688"/>
      <c r="QDH32" s="1688"/>
      <c r="QDI32" s="1688"/>
      <c r="QDJ32" s="1688"/>
      <c r="QDK32" s="1688"/>
      <c r="QDL32" s="1688"/>
      <c r="QDM32" s="1688"/>
      <c r="QDN32" s="1688"/>
      <c r="QDO32" s="1688"/>
      <c r="QDP32" s="1688"/>
      <c r="QDQ32" s="1688"/>
      <c r="QDR32" s="1688"/>
      <c r="QDS32" s="1688"/>
      <c r="QDT32" s="1688"/>
      <c r="QDU32" s="1688"/>
      <c r="QDV32" s="1688"/>
      <c r="QDW32" s="1688"/>
      <c r="QDX32" s="1688"/>
      <c r="QDY32" s="1688"/>
      <c r="QDZ32" s="1688"/>
      <c r="QEA32" s="1688"/>
      <c r="QEB32" s="1688"/>
      <c r="QEC32" s="1688"/>
      <c r="QED32" s="1688"/>
      <c r="QEE32" s="1688"/>
      <c r="QEF32" s="1688"/>
      <c r="QEG32" s="1688"/>
      <c r="QEH32" s="1688"/>
      <c r="QEI32" s="1688"/>
      <c r="QEJ32" s="1688"/>
      <c r="QEK32" s="1688"/>
      <c r="QEL32" s="1688"/>
      <c r="QEM32" s="1688"/>
      <c r="QEN32" s="1688"/>
      <c r="QEO32" s="1688"/>
      <c r="QEP32" s="1688"/>
      <c r="QEQ32" s="1688"/>
      <c r="QER32" s="1688"/>
      <c r="QES32" s="1688"/>
      <c r="QET32" s="1688"/>
      <c r="QEU32" s="1688"/>
      <c r="QEV32" s="1688"/>
      <c r="QEW32" s="1688"/>
      <c r="QEX32" s="1688"/>
      <c r="QEY32" s="1688"/>
      <c r="QEZ32" s="1688"/>
      <c r="QFA32" s="1688"/>
      <c r="QFB32" s="1688"/>
      <c r="QFC32" s="1688"/>
      <c r="QFD32" s="1688"/>
      <c r="QFE32" s="1688"/>
      <c r="QFF32" s="1688"/>
      <c r="QFG32" s="1688"/>
      <c r="QFH32" s="1688"/>
      <c r="QFI32" s="1688"/>
      <c r="QFJ32" s="1688"/>
      <c r="QFK32" s="1688"/>
      <c r="QFL32" s="1688"/>
      <c r="QFM32" s="1688"/>
      <c r="QFN32" s="1688"/>
      <c r="QFO32" s="1688"/>
      <c r="QFP32" s="1688"/>
      <c r="QFQ32" s="1688"/>
      <c r="QFR32" s="1688"/>
      <c r="QFS32" s="1688"/>
      <c r="QFT32" s="1688"/>
      <c r="QFU32" s="1688"/>
      <c r="QFV32" s="1688"/>
      <c r="QFW32" s="1688"/>
      <c r="QFX32" s="1688"/>
      <c r="QFY32" s="1688"/>
      <c r="QFZ32" s="1688"/>
      <c r="QGA32" s="1688"/>
      <c r="QGB32" s="1688"/>
      <c r="QGC32" s="1688"/>
      <c r="QGD32" s="1688"/>
      <c r="QGE32" s="1688"/>
      <c r="QGF32" s="1688"/>
      <c r="QGG32" s="1688"/>
      <c r="QGH32" s="1688"/>
      <c r="QGI32" s="1688"/>
      <c r="QGJ32" s="1688"/>
      <c r="QGK32" s="1688"/>
      <c r="QGL32" s="1688"/>
      <c r="QGM32" s="1688"/>
      <c r="QGN32" s="1688"/>
      <c r="QGO32" s="1688"/>
      <c r="QGP32" s="1688"/>
      <c r="QGQ32" s="1688"/>
      <c r="QGR32" s="1688"/>
      <c r="QGS32" s="1688"/>
      <c r="QGT32" s="1688"/>
      <c r="QGU32" s="1688"/>
      <c r="QGV32" s="1688"/>
      <c r="QGW32" s="1688"/>
      <c r="QGX32" s="1688"/>
      <c r="QGY32" s="1688"/>
      <c r="QGZ32" s="1688"/>
      <c r="QHA32" s="1688"/>
      <c r="QHB32" s="1688"/>
      <c r="QHC32" s="1688"/>
      <c r="QHD32" s="1688"/>
      <c r="QHE32" s="1688"/>
      <c r="QHF32" s="1688"/>
      <c r="QHG32" s="1688"/>
      <c r="QHH32" s="1688"/>
      <c r="QHI32" s="1688"/>
      <c r="QHJ32" s="1688"/>
      <c r="QHK32" s="1688"/>
      <c r="QHL32" s="1688"/>
      <c r="QHM32" s="1688"/>
      <c r="QHN32" s="1688"/>
      <c r="QHO32" s="1688"/>
      <c r="QHP32" s="1688"/>
      <c r="QHQ32" s="1688"/>
      <c r="QHR32" s="1688"/>
      <c r="QHS32" s="1688"/>
      <c r="QHT32" s="1688"/>
      <c r="QHU32" s="1688"/>
      <c r="QHV32" s="1688"/>
      <c r="QHW32" s="1688"/>
      <c r="QHX32" s="1688"/>
      <c r="QHY32" s="1688"/>
      <c r="QHZ32" s="1688"/>
      <c r="QIA32" s="1688"/>
      <c r="QIB32" s="1688"/>
      <c r="QIC32" s="1688"/>
      <c r="QID32" s="1688"/>
      <c r="QIE32" s="1688"/>
      <c r="QIF32" s="1688"/>
      <c r="QIG32" s="1688"/>
      <c r="QIH32" s="1688"/>
      <c r="QII32" s="1688"/>
      <c r="QIJ32" s="1688"/>
      <c r="QIK32" s="1688"/>
      <c r="QIL32" s="1688"/>
      <c r="QIM32" s="1688"/>
      <c r="QIN32" s="1688"/>
      <c r="QIO32" s="1688"/>
      <c r="QIP32" s="1688"/>
      <c r="QIQ32" s="1688"/>
      <c r="QIR32" s="1688"/>
      <c r="QIS32" s="1688"/>
      <c r="QIT32" s="1688"/>
      <c r="QIU32" s="1688"/>
      <c r="QIV32" s="1688"/>
      <c r="QIW32" s="1688"/>
      <c r="QIX32" s="1688"/>
      <c r="QIY32" s="1688"/>
      <c r="QIZ32" s="1688"/>
      <c r="QJA32" s="1688"/>
      <c r="QJB32" s="1688"/>
      <c r="QJC32" s="1688"/>
      <c r="QJD32" s="1688"/>
      <c r="QJE32" s="1688"/>
      <c r="QJF32" s="1688"/>
      <c r="QJG32" s="1688"/>
      <c r="QJH32" s="1688"/>
      <c r="QJI32" s="1688"/>
      <c r="QJJ32" s="1688"/>
      <c r="QJK32" s="1688"/>
      <c r="QJL32" s="1688"/>
      <c r="QJM32" s="1688"/>
      <c r="QJN32" s="1688"/>
      <c r="QJO32" s="1688"/>
      <c r="QJP32" s="1688"/>
      <c r="QJQ32" s="1688"/>
      <c r="QJR32" s="1688"/>
      <c r="QJS32" s="1688"/>
      <c r="QJT32" s="1688"/>
      <c r="QJU32" s="1688"/>
      <c r="QJV32" s="1688"/>
      <c r="QJW32" s="1688"/>
      <c r="QJX32" s="1688"/>
      <c r="QJY32" s="1688"/>
      <c r="QJZ32" s="1688"/>
      <c r="QKA32" s="1688"/>
      <c r="QKB32" s="1688"/>
      <c r="QKC32" s="1688"/>
      <c r="QKD32" s="1688"/>
      <c r="QKE32" s="1688"/>
      <c r="QKF32" s="1688"/>
      <c r="QKG32" s="1688"/>
      <c r="QKH32" s="1688"/>
      <c r="QKI32" s="1688"/>
      <c r="QKJ32" s="1688"/>
      <c r="QKK32" s="1688"/>
      <c r="QKL32" s="1688"/>
      <c r="QKM32" s="1688"/>
      <c r="QKN32" s="1688"/>
      <c r="QKO32" s="1688"/>
      <c r="QKP32" s="1688"/>
      <c r="QKQ32" s="1688"/>
      <c r="QKR32" s="1688"/>
      <c r="QKS32" s="1688"/>
      <c r="QKT32" s="1688"/>
      <c r="QKU32" s="1688"/>
      <c r="QKV32" s="1688"/>
      <c r="QKW32" s="1688"/>
      <c r="QKX32" s="1688"/>
      <c r="QKY32" s="1688"/>
      <c r="QKZ32" s="1688"/>
      <c r="QLA32" s="1688"/>
      <c r="QLB32" s="1688"/>
      <c r="QLC32" s="1688"/>
      <c r="QLD32" s="1688"/>
      <c r="QLE32" s="1688"/>
      <c r="QLF32" s="1688"/>
      <c r="QLG32" s="1688"/>
      <c r="QLH32" s="1688"/>
      <c r="QLI32" s="1688"/>
      <c r="QLJ32" s="1688"/>
      <c r="QLK32" s="1688"/>
      <c r="QLL32" s="1688"/>
      <c r="QLM32" s="1688"/>
      <c r="QLN32" s="1688"/>
      <c r="QLO32" s="1688"/>
      <c r="QLP32" s="1688"/>
      <c r="QLQ32" s="1688"/>
      <c r="QLR32" s="1688"/>
      <c r="QLS32" s="1688"/>
      <c r="QLT32" s="1688"/>
      <c r="QLU32" s="1688"/>
      <c r="QLV32" s="1688"/>
      <c r="QLW32" s="1688"/>
      <c r="QLX32" s="1688"/>
      <c r="QLY32" s="1688"/>
      <c r="QLZ32" s="1688"/>
      <c r="QMA32" s="1688"/>
      <c r="QMB32" s="1688"/>
      <c r="QMC32" s="1688"/>
      <c r="QMD32" s="1688"/>
      <c r="QME32" s="1688"/>
      <c r="QMF32" s="1688"/>
      <c r="QMG32" s="1688"/>
      <c r="QMH32" s="1688"/>
      <c r="QMI32" s="1688"/>
      <c r="QMJ32" s="1688"/>
      <c r="QMK32" s="1688"/>
      <c r="QML32" s="1688"/>
      <c r="QMM32" s="1688"/>
      <c r="QMN32" s="1688"/>
      <c r="QMO32" s="1688"/>
      <c r="QMP32" s="1688"/>
      <c r="QMQ32" s="1688"/>
      <c r="QMR32" s="1688"/>
      <c r="QMS32" s="1688"/>
      <c r="QMT32" s="1688"/>
      <c r="QMU32" s="1688"/>
      <c r="QMV32" s="1688"/>
      <c r="QMW32" s="1688"/>
      <c r="QMX32" s="1688"/>
      <c r="QMY32" s="1688"/>
      <c r="QMZ32" s="1688"/>
      <c r="QNA32" s="1688"/>
      <c r="QNB32" s="1688"/>
      <c r="QNC32" s="1688"/>
      <c r="QND32" s="1688"/>
      <c r="QNE32" s="1688"/>
      <c r="QNF32" s="1688"/>
      <c r="QNG32" s="1688"/>
      <c r="QNH32" s="1688"/>
      <c r="QNI32" s="1688"/>
      <c r="QNJ32" s="1688"/>
      <c r="QNK32" s="1688"/>
      <c r="QNL32" s="1688"/>
      <c r="QNM32" s="1688"/>
      <c r="QNN32" s="1688"/>
      <c r="QNO32" s="1688"/>
      <c r="QNP32" s="1688"/>
      <c r="QNQ32" s="1688"/>
      <c r="QNR32" s="1688"/>
      <c r="QNS32" s="1688"/>
      <c r="QNT32" s="1688"/>
      <c r="QNU32" s="1688"/>
      <c r="QNV32" s="1688"/>
      <c r="QNW32" s="1688"/>
      <c r="QNX32" s="1688"/>
      <c r="QNY32" s="1688"/>
      <c r="QNZ32" s="1688"/>
      <c r="QOA32" s="1688"/>
      <c r="QOB32" s="1688"/>
      <c r="QOC32" s="1688"/>
      <c r="QOD32" s="1688"/>
      <c r="QOE32" s="1688"/>
      <c r="QOF32" s="1688"/>
      <c r="QOG32" s="1688"/>
      <c r="QOH32" s="1688"/>
      <c r="QOI32" s="1688"/>
      <c r="QOJ32" s="1688"/>
      <c r="QOK32" s="1688"/>
      <c r="QOL32" s="1688"/>
      <c r="QOM32" s="1688"/>
      <c r="QON32" s="1688"/>
      <c r="QOO32" s="1688"/>
      <c r="QOP32" s="1688"/>
      <c r="QOQ32" s="1688"/>
      <c r="QOR32" s="1688"/>
      <c r="QOS32" s="1688"/>
      <c r="QOT32" s="1688"/>
      <c r="QOU32" s="1688"/>
      <c r="QOV32" s="1688"/>
      <c r="QOW32" s="1688"/>
      <c r="QOX32" s="1688"/>
      <c r="QOY32" s="1688"/>
      <c r="QOZ32" s="1688"/>
      <c r="QPA32" s="1688"/>
      <c r="QPB32" s="1688"/>
      <c r="QPC32" s="1688"/>
      <c r="QPD32" s="1688"/>
      <c r="QPE32" s="1688"/>
      <c r="QPF32" s="1688"/>
      <c r="QPG32" s="1688"/>
      <c r="QPH32" s="1688"/>
      <c r="QPI32" s="1688"/>
      <c r="QPJ32" s="1688"/>
      <c r="QPK32" s="1688"/>
      <c r="QPL32" s="1688"/>
      <c r="QPM32" s="1688"/>
      <c r="QPN32" s="1688"/>
      <c r="QPO32" s="1688"/>
      <c r="QPP32" s="1688"/>
      <c r="QPQ32" s="1688"/>
      <c r="QPR32" s="1688"/>
      <c r="QPS32" s="1688"/>
      <c r="QPT32" s="1688"/>
      <c r="QPU32" s="1688"/>
      <c r="QPV32" s="1688"/>
      <c r="QPW32" s="1688"/>
      <c r="QPX32" s="1688"/>
      <c r="QPY32" s="1688"/>
      <c r="QPZ32" s="1688"/>
      <c r="QQA32" s="1688"/>
      <c r="QQB32" s="1688"/>
      <c r="QQC32" s="1688"/>
      <c r="QQD32" s="1688"/>
      <c r="QQE32" s="1688"/>
      <c r="QQF32" s="1688"/>
      <c r="QQG32" s="1688"/>
      <c r="QQH32" s="1688"/>
      <c r="QQI32" s="1688"/>
      <c r="QQJ32" s="1688"/>
      <c r="QQK32" s="1688"/>
      <c r="QQL32" s="1688"/>
      <c r="QQM32" s="1688"/>
      <c r="QQN32" s="1688"/>
      <c r="QQO32" s="1688"/>
      <c r="QQP32" s="1688"/>
      <c r="QQQ32" s="1688"/>
      <c r="QQR32" s="1688"/>
      <c r="QQS32" s="1688"/>
      <c r="QQT32" s="1688"/>
      <c r="QQU32" s="1688"/>
      <c r="QQV32" s="1688"/>
      <c r="QQW32" s="1688"/>
      <c r="QQX32" s="1688"/>
      <c r="QQY32" s="1688"/>
      <c r="QQZ32" s="1688"/>
      <c r="QRA32" s="1688"/>
      <c r="QRB32" s="1688"/>
      <c r="QRC32" s="1688"/>
      <c r="QRD32" s="1688"/>
      <c r="QRE32" s="1688"/>
      <c r="QRF32" s="1688"/>
      <c r="QRG32" s="1688"/>
      <c r="QRH32" s="1688"/>
      <c r="QRI32" s="1688"/>
      <c r="QRJ32" s="1688"/>
      <c r="QRK32" s="1688"/>
      <c r="QRL32" s="1688"/>
      <c r="QRM32" s="1688"/>
      <c r="QRN32" s="1688"/>
      <c r="QRO32" s="1688"/>
      <c r="QRP32" s="1688"/>
      <c r="QRQ32" s="1688"/>
      <c r="QRR32" s="1688"/>
      <c r="QRS32" s="1688"/>
      <c r="QRT32" s="1688"/>
      <c r="QRU32" s="1688"/>
      <c r="QRV32" s="1688"/>
      <c r="QRW32" s="1688"/>
      <c r="QRX32" s="1688"/>
      <c r="QRY32" s="1688"/>
      <c r="QRZ32" s="1688"/>
      <c r="QSA32" s="1688"/>
      <c r="QSB32" s="1688"/>
      <c r="QSC32" s="1688"/>
      <c r="QSD32" s="1688"/>
      <c r="QSE32" s="1688"/>
      <c r="QSF32" s="1688"/>
      <c r="QSG32" s="1688"/>
      <c r="QSH32" s="1688"/>
      <c r="QSI32" s="1688"/>
      <c r="QSJ32" s="1688"/>
      <c r="QSK32" s="1688"/>
      <c r="QSL32" s="1688"/>
      <c r="QSM32" s="1688"/>
      <c r="QSN32" s="1688"/>
      <c r="QSO32" s="1688"/>
      <c r="QSP32" s="1688"/>
      <c r="QSQ32" s="1688"/>
      <c r="QSR32" s="1688"/>
      <c r="QSS32" s="1688"/>
      <c r="QST32" s="1688"/>
      <c r="QSU32" s="1688"/>
      <c r="QSV32" s="1688"/>
      <c r="QSW32" s="1688"/>
      <c r="QSX32" s="1688"/>
      <c r="QSY32" s="1688"/>
      <c r="QSZ32" s="1688"/>
      <c r="QTA32" s="1688"/>
      <c r="QTB32" s="1688"/>
      <c r="QTC32" s="1688"/>
      <c r="QTD32" s="1688"/>
      <c r="QTE32" s="1688"/>
      <c r="QTF32" s="1688"/>
      <c r="QTG32" s="1688"/>
      <c r="QTH32" s="1688"/>
      <c r="QTI32" s="1688"/>
      <c r="QTJ32" s="1688"/>
      <c r="QTK32" s="1688"/>
      <c r="QTL32" s="1688"/>
      <c r="QTM32" s="1688"/>
      <c r="QTN32" s="1688"/>
      <c r="QTO32" s="1688"/>
      <c r="QTP32" s="1688"/>
      <c r="QTQ32" s="1688"/>
      <c r="QTR32" s="1688"/>
      <c r="QTS32" s="1688"/>
      <c r="QTT32" s="1688"/>
      <c r="QTU32" s="1688"/>
      <c r="QTV32" s="1688"/>
      <c r="QTW32" s="1688"/>
      <c r="QTX32" s="1688"/>
      <c r="QTY32" s="1688"/>
      <c r="QTZ32" s="1688"/>
      <c r="QUA32" s="1688"/>
      <c r="QUB32" s="1688"/>
      <c r="QUC32" s="1688"/>
      <c r="QUD32" s="1688"/>
      <c r="QUE32" s="1688"/>
      <c r="QUF32" s="1688"/>
      <c r="QUG32" s="1688"/>
      <c r="QUH32" s="1688"/>
      <c r="QUI32" s="1688"/>
      <c r="QUJ32" s="1688"/>
      <c r="QUK32" s="1688"/>
      <c r="QUL32" s="1688"/>
      <c r="QUM32" s="1688"/>
      <c r="QUN32" s="1688"/>
      <c r="QUO32" s="1688"/>
      <c r="QUP32" s="1688"/>
      <c r="QUQ32" s="1688"/>
      <c r="QUR32" s="1688"/>
      <c r="QUS32" s="1688"/>
      <c r="QUT32" s="1688"/>
      <c r="QUU32" s="1688"/>
      <c r="QUV32" s="1688"/>
      <c r="QUW32" s="1688"/>
      <c r="QUX32" s="1688"/>
      <c r="QUY32" s="1688"/>
      <c r="QUZ32" s="1688"/>
      <c r="QVA32" s="1688"/>
      <c r="QVB32" s="1688"/>
      <c r="QVC32" s="1688"/>
      <c r="QVD32" s="1688"/>
      <c r="QVE32" s="1688"/>
      <c r="QVF32" s="1688"/>
      <c r="QVG32" s="1688"/>
      <c r="QVH32" s="1688"/>
      <c r="QVI32" s="1688"/>
      <c r="QVJ32" s="1688"/>
      <c r="QVK32" s="1688"/>
      <c r="QVL32" s="1688"/>
      <c r="QVM32" s="1688"/>
      <c r="QVN32" s="1688"/>
      <c r="QVO32" s="1688"/>
      <c r="QVP32" s="1688"/>
      <c r="QVQ32" s="1688"/>
      <c r="QVR32" s="1688"/>
      <c r="QVS32" s="1688"/>
      <c r="QVT32" s="1688"/>
      <c r="QVU32" s="1688"/>
      <c r="QVV32" s="1688"/>
      <c r="QVW32" s="1688"/>
      <c r="QVX32" s="1688"/>
      <c r="QVY32" s="1688"/>
      <c r="QVZ32" s="1688"/>
      <c r="QWA32" s="1688"/>
      <c r="QWB32" s="1688"/>
      <c r="QWC32" s="1688"/>
      <c r="QWD32" s="1688"/>
      <c r="QWE32" s="1688"/>
      <c r="QWF32" s="1688"/>
      <c r="QWG32" s="1688"/>
      <c r="QWH32" s="1688"/>
      <c r="QWI32" s="1688"/>
      <c r="QWJ32" s="1688"/>
      <c r="QWK32" s="1688"/>
      <c r="QWL32" s="1688"/>
      <c r="QWM32" s="1688"/>
      <c r="QWN32" s="1688"/>
      <c r="QWO32" s="1688"/>
      <c r="QWP32" s="1688"/>
      <c r="QWQ32" s="1688"/>
      <c r="QWR32" s="1688"/>
      <c r="QWS32" s="1688"/>
      <c r="QWT32" s="1688"/>
      <c r="QWU32" s="1688"/>
      <c r="QWV32" s="1688"/>
      <c r="QWW32" s="1688"/>
      <c r="QWX32" s="1688"/>
      <c r="QWY32" s="1688"/>
      <c r="QWZ32" s="1688"/>
      <c r="QXA32" s="1688"/>
      <c r="QXB32" s="1688"/>
      <c r="QXC32" s="1688"/>
      <c r="QXD32" s="1688"/>
      <c r="QXE32" s="1688"/>
      <c r="QXF32" s="1688"/>
      <c r="QXG32" s="1688"/>
      <c r="QXH32" s="1688"/>
      <c r="QXI32" s="1688"/>
      <c r="QXJ32" s="1688"/>
      <c r="QXK32" s="1688"/>
      <c r="QXL32" s="1688"/>
      <c r="QXM32" s="1688"/>
      <c r="QXN32" s="1688"/>
      <c r="QXO32" s="1688"/>
      <c r="QXP32" s="1688"/>
      <c r="QXQ32" s="1688"/>
      <c r="QXR32" s="1688"/>
      <c r="QXS32" s="1688"/>
      <c r="QXT32" s="1688"/>
      <c r="QXU32" s="1688"/>
      <c r="QXV32" s="1688"/>
      <c r="QXW32" s="1688"/>
      <c r="QXX32" s="1688"/>
      <c r="QXY32" s="1688"/>
      <c r="QXZ32" s="1688"/>
      <c r="QYA32" s="1688"/>
      <c r="QYB32" s="1688"/>
      <c r="QYC32" s="1688"/>
      <c r="QYD32" s="1688"/>
      <c r="QYE32" s="1688"/>
      <c r="QYF32" s="1688"/>
      <c r="QYG32" s="1688"/>
      <c r="QYH32" s="1688"/>
      <c r="QYI32" s="1688"/>
      <c r="QYJ32" s="1688"/>
      <c r="QYK32" s="1688"/>
      <c r="QYL32" s="1688"/>
      <c r="QYM32" s="1688"/>
      <c r="QYN32" s="1688"/>
      <c r="QYO32" s="1688"/>
      <c r="QYP32" s="1688"/>
      <c r="QYQ32" s="1688"/>
      <c r="QYR32" s="1688"/>
      <c r="QYS32" s="1688"/>
      <c r="QYT32" s="1688"/>
      <c r="QYU32" s="1688"/>
      <c r="QYV32" s="1688"/>
      <c r="QYW32" s="1688"/>
      <c r="QYX32" s="1688"/>
      <c r="QYY32" s="1688"/>
      <c r="QYZ32" s="1688"/>
      <c r="QZA32" s="1688"/>
      <c r="QZB32" s="1688"/>
      <c r="QZC32" s="1688"/>
      <c r="QZD32" s="1688"/>
      <c r="QZE32" s="1688"/>
      <c r="QZF32" s="1688"/>
      <c r="QZG32" s="1688"/>
      <c r="QZH32" s="1688"/>
      <c r="QZI32" s="1688"/>
      <c r="QZJ32" s="1688"/>
      <c r="QZK32" s="1688"/>
      <c r="QZL32" s="1688"/>
      <c r="QZM32" s="1688"/>
      <c r="QZN32" s="1688"/>
      <c r="QZO32" s="1688"/>
      <c r="QZP32" s="1688"/>
      <c r="QZQ32" s="1688"/>
      <c r="QZR32" s="1688"/>
      <c r="QZS32" s="1688"/>
      <c r="QZT32" s="1688"/>
      <c r="QZU32" s="1688"/>
      <c r="QZV32" s="1688"/>
      <c r="QZW32" s="1688"/>
      <c r="QZX32" s="1688"/>
      <c r="QZY32" s="1688"/>
      <c r="QZZ32" s="1688"/>
      <c r="RAA32" s="1688"/>
      <c r="RAB32" s="1688"/>
      <c r="RAC32" s="1688"/>
      <c r="RAD32" s="1688"/>
      <c r="RAE32" s="1688"/>
      <c r="RAF32" s="1688"/>
      <c r="RAG32" s="1688"/>
      <c r="RAH32" s="1688"/>
      <c r="RAI32" s="1688"/>
      <c r="RAJ32" s="1688"/>
      <c r="RAK32" s="1688"/>
      <c r="RAL32" s="1688"/>
      <c r="RAM32" s="1688"/>
      <c r="RAN32" s="1688"/>
      <c r="RAO32" s="1688"/>
      <c r="RAP32" s="1688"/>
      <c r="RAQ32" s="1688"/>
      <c r="RAR32" s="1688"/>
      <c r="RAS32" s="1688"/>
      <c r="RAT32" s="1688"/>
      <c r="RAU32" s="1688"/>
      <c r="RAV32" s="1688"/>
      <c r="RAW32" s="1688"/>
      <c r="RAX32" s="1688"/>
      <c r="RAY32" s="1688"/>
      <c r="RAZ32" s="1688"/>
      <c r="RBA32" s="1688"/>
      <c r="RBB32" s="1688"/>
      <c r="RBC32" s="1688"/>
      <c r="RBD32" s="1688"/>
      <c r="RBE32" s="1688"/>
      <c r="RBF32" s="1688"/>
      <c r="RBG32" s="1688"/>
      <c r="RBH32" s="1688"/>
      <c r="RBI32" s="1688"/>
      <c r="RBJ32" s="1688"/>
      <c r="RBK32" s="1688"/>
      <c r="RBL32" s="1688"/>
      <c r="RBM32" s="1688"/>
      <c r="RBN32" s="1688"/>
      <c r="RBO32" s="1688"/>
      <c r="RBP32" s="1688"/>
      <c r="RBQ32" s="1688"/>
      <c r="RBR32" s="1688"/>
      <c r="RBS32" s="1688"/>
      <c r="RBT32" s="1688"/>
      <c r="RBU32" s="1688"/>
      <c r="RBV32" s="1688"/>
      <c r="RBW32" s="1688"/>
      <c r="RBX32" s="1688"/>
      <c r="RBY32" s="1688"/>
      <c r="RBZ32" s="1688"/>
      <c r="RCA32" s="1688"/>
      <c r="RCB32" s="1688"/>
      <c r="RCC32" s="1688"/>
      <c r="RCD32" s="1688"/>
      <c r="RCE32" s="1688"/>
      <c r="RCF32" s="1688"/>
      <c r="RCG32" s="1688"/>
      <c r="RCH32" s="1688"/>
      <c r="RCI32" s="1688"/>
      <c r="RCJ32" s="1688"/>
      <c r="RCK32" s="1688"/>
      <c r="RCL32" s="1688"/>
      <c r="RCM32" s="1688"/>
      <c r="RCN32" s="1688"/>
      <c r="RCO32" s="1688"/>
      <c r="RCP32" s="1688"/>
      <c r="RCQ32" s="1688"/>
      <c r="RCR32" s="1688"/>
      <c r="RCS32" s="1688"/>
      <c r="RCT32" s="1688"/>
      <c r="RCU32" s="1688"/>
      <c r="RCV32" s="1688"/>
      <c r="RCW32" s="1688"/>
      <c r="RCX32" s="1688"/>
      <c r="RCY32" s="1688"/>
      <c r="RCZ32" s="1688"/>
      <c r="RDA32" s="1688"/>
      <c r="RDB32" s="1688"/>
      <c r="RDC32" s="1688"/>
      <c r="RDD32" s="1688"/>
      <c r="RDE32" s="1688"/>
      <c r="RDF32" s="1688"/>
      <c r="RDG32" s="1688"/>
      <c r="RDH32" s="1688"/>
      <c r="RDI32" s="1688"/>
      <c r="RDJ32" s="1688"/>
      <c r="RDK32" s="1688"/>
      <c r="RDL32" s="1688"/>
      <c r="RDM32" s="1688"/>
      <c r="RDN32" s="1688"/>
      <c r="RDO32" s="1688"/>
      <c r="RDP32" s="1688"/>
      <c r="RDQ32" s="1688"/>
      <c r="RDR32" s="1688"/>
      <c r="RDS32" s="1688"/>
      <c r="RDT32" s="1688"/>
      <c r="RDU32" s="1688"/>
      <c r="RDV32" s="1688"/>
      <c r="RDW32" s="1688"/>
      <c r="RDX32" s="1688"/>
      <c r="RDY32" s="1688"/>
      <c r="RDZ32" s="1688"/>
      <c r="REA32" s="1688"/>
      <c r="REB32" s="1688"/>
      <c r="REC32" s="1688"/>
      <c r="RED32" s="1688"/>
      <c r="REE32" s="1688"/>
      <c r="REF32" s="1688"/>
      <c r="REG32" s="1688"/>
      <c r="REH32" s="1688"/>
      <c r="REI32" s="1688"/>
      <c r="REJ32" s="1688"/>
      <c r="REK32" s="1688"/>
      <c r="REL32" s="1688"/>
      <c r="REM32" s="1688"/>
      <c r="REN32" s="1688"/>
      <c r="REO32" s="1688"/>
      <c r="REP32" s="1688"/>
      <c r="REQ32" s="1688"/>
      <c r="RER32" s="1688"/>
      <c r="RES32" s="1688"/>
      <c r="RET32" s="1688"/>
      <c r="REU32" s="1688"/>
      <c r="REV32" s="1688"/>
      <c r="REW32" s="1688"/>
      <c r="REX32" s="1688"/>
      <c r="REY32" s="1688"/>
      <c r="REZ32" s="1688"/>
      <c r="RFA32" s="1688"/>
      <c r="RFB32" s="1688"/>
      <c r="RFC32" s="1688"/>
      <c r="RFD32" s="1688"/>
      <c r="RFE32" s="1688"/>
      <c r="RFF32" s="1688"/>
      <c r="RFG32" s="1688"/>
      <c r="RFH32" s="1688"/>
      <c r="RFI32" s="1688"/>
      <c r="RFJ32" s="1688"/>
      <c r="RFK32" s="1688"/>
      <c r="RFL32" s="1688"/>
      <c r="RFM32" s="1688"/>
      <c r="RFN32" s="1688"/>
      <c r="RFO32" s="1688"/>
      <c r="RFP32" s="1688"/>
      <c r="RFQ32" s="1688"/>
      <c r="RFR32" s="1688"/>
      <c r="RFS32" s="1688"/>
      <c r="RFT32" s="1688"/>
      <c r="RFU32" s="1688"/>
      <c r="RFV32" s="1688"/>
      <c r="RFW32" s="1688"/>
      <c r="RFX32" s="1688"/>
      <c r="RFY32" s="1688"/>
      <c r="RFZ32" s="1688"/>
      <c r="RGA32" s="1688"/>
      <c r="RGB32" s="1688"/>
      <c r="RGC32" s="1688"/>
      <c r="RGD32" s="1688"/>
      <c r="RGE32" s="1688"/>
      <c r="RGF32" s="1688"/>
      <c r="RGG32" s="1688"/>
      <c r="RGH32" s="1688"/>
      <c r="RGI32" s="1688"/>
      <c r="RGJ32" s="1688"/>
      <c r="RGK32" s="1688"/>
      <c r="RGL32" s="1688"/>
      <c r="RGM32" s="1688"/>
      <c r="RGN32" s="1688"/>
      <c r="RGO32" s="1688"/>
      <c r="RGP32" s="1688"/>
      <c r="RGQ32" s="1688"/>
      <c r="RGR32" s="1688"/>
      <c r="RGS32" s="1688"/>
      <c r="RGT32" s="1688"/>
      <c r="RGU32" s="1688"/>
      <c r="RGV32" s="1688"/>
      <c r="RGW32" s="1688"/>
      <c r="RGX32" s="1688"/>
      <c r="RGY32" s="1688"/>
      <c r="RGZ32" s="1688"/>
      <c r="RHA32" s="1688"/>
      <c r="RHB32" s="1688"/>
      <c r="RHC32" s="1688"/>
      <c r="RHD32" s="1688"/>
      <c r="RHE32" s="1688"/>
      <c r="RHF32" s="1688"/>
      <c r="RHG32" s="1688"/>
      <c r="RHH32" s="1688"/>
      <c r="RHI32" s="1688"/>
      <c r="RHJ32" s="1688"/>
      <c r="RHK32" s="1688"/>
      <c r="RHL32" s="1688"/>
      <c r="RHM32" s="1688"/>
      <c r="RHN32" s="1688"/>
      <c r="RHO32" s="1688"/>
      <c r="RHP32" s="1688"/>
      <c r="RHQ32" s="1688"/>
      <c r="RHR32" s="1688"/>
      <c r="RHS32" s="1688"/>
      <c r="RHT32" s="1688"/>
      <c r="RHU32" s="1688"/>
      <c r="RHV32" s="1688"/>
      <c r="RHW32" s="1688"/>
      <c r="RHX32" s="1688"/>
      <c r="RHY32" s="1688"/>
      <c r="RHZ32" s="1688"/>
      <c r="RIA32" s="1688"/>
      <c r="RIB32" s="1688"/>
      <c r="RIC32" s="1688"/>
      <c r="RID32" s="1688"/>
      <c r="RIE32" s="1688"/>
      <c r="RIF32" s="1688"/>
      <c r="RIG32" s="1688"/>
      <c r="RIH32" s="1688"/>
      <c r="RII32" s="1688"/>
      <c r="RIJ32" s="1688"/>
      <c r="RIK32" s="1688"/>
      <c r="RIL32" s="1688"/>
      <c r="RIM32" s="1688"/>
      <c r="RIN32" s="1688"/>
      <c r="RIO32" s="1688"/>
      <c r="RIP32" s="1688"/>
      <c r="RIQ32" s="1688"/>
      <c r="RIR32" s="1688"/>
      <c r="RIS32" s="1688"/>
      <c r="RIT32" s="1688"/>
      <c r="RIU32" s="1688"/>
      <c r="RIV32" s="1688"/>
      <c r="RIW32" s="1688"/>
      <c r="RIX32" s="1688"/>
      <c r="RIY32" s="1688"/>
      <c r="RIZ32" s="1688"/>
      <c r="RJA32" s="1688"/>
      <c r="RJB32" s="1688"/>
      <c r="RJC32" s="1688"/>
      <c r="RJD32" s="1688"/>
      <c r="RJE32" s="1688"/>
      <c r="RJF32" s="1688"/>
      <c r="RJG32" s="1688"/>
      <c r="RJH32" s="1688"/>
      <c r="RJI32" s="1688"/>
      <c r="RJJ32" s="1688"/>
      <c r="RJK32" s="1688"/>
      <c r="RJL32" s="1688"/>
      <c r="RJM32" s="1688"/>
      <c r="RJN32" s="1688"/>
      <c r="RJO32" s="1688"/>
      <c r="RJP32" s="1688"/>
      <c r="RJQ32" s="1688"/>
      <c r="RJR32" s="1688"/>
      <c r="RJS32" s="1688"/>
      <c r="RJT32" s="1688"/>
      <c r="RJU32" s="1688"/>
      <c r="RJV32" s="1688"/>
      <c r="RJW32" s="1688"/>
      <c r="RJX32" s="1688"/>
      <c r="RJY32" s="1688"/>
      <c r="RJZ32" s="1688"/>
      <c r="RKA32" s="1688"/>
      <c r="RKB32" s="1688"/>
      <c r="RKC32" s="1688"/>
      <c r="RKD32" s="1688"/>
      <c r="RKE32" s="1688"/>
      <c r="RKF32" s="1688"/>
      <c r="RKG32" s="1688"/>
      <c r="RKH32" s="1688"/>
      <c r="RKI32" s="1688"/>
      <c r="RKJ32" s="1688"/>
      <c r="RKK32" s="1688"/>
      <c r="RKL32" s="1688"/>
      <c r="RKM32" s="1688"/>
      <c r="RKN32" s="1688"/>
      <c r="RKO32" s="1688"/>
      <c r="RKP32" s="1688"/>
      <c r="RKQ32" s="1688"/>
      <c r="RKR32" s="1688"/>
      <c r="RKS32" s="1688"/>
      <c r="RKT32" s="1688"/>
      <c r="RKU32" s="1688"/>
      <c r="RKV32" s="1688"/>
      <c r="RKW32" s="1688"/>
      <c r="RKX32" s="1688"/>
      <c r="RKY32" s="1688"/>
      <c r="RKZ32" s="1688"/>
      <c r="RLA32" s="1688"/>
      <c r="RLB32" s="1688"/>
      <c r="RLC32" s="1688"/>
      <c r="RLD32" s="1688"/>
      <c r="RLE32" s="1688"/>
      <c r="RLF32" s="1688"/>
      <c r="RLG32" s="1688"/>
      <c r="RLH32" s="1688"/>
      <c r="RLI32" s="1688"/>
      <c r="RLJ32" s="1688"/>
      <c r="RLK32" s="1688"/>
      <c r="RLL32" s="1688"/>
      <c r="RLM32" s="1688"/>
      <c r="RLN32" s="1688"/>
      <c r="RLO32" s="1688"/>
      <c r="RLP32" s="1688"/>
      <c r="RLQ32" s="1688"/>
      <c r="RLR32" s="1688"/>
      <c r="RLS32" s="1688"/>
      <c r="RLT32" s="1688"/>
      <c r="RLU32" s="1688"/>
      <c r="RLV32" s="1688"/>
      <c r="RLW32" s="1688"/>
      <c r="RLX32" s="1688"/>
      <c r="RLY32" s="1688"/>
      <c r="RLZ32" s="1688"/>
      <c r="RMA32" s="1688"/>
      <c r="RMB32" s="1688"/>
      <c r="RMC32" s="1688"/>
      <c r="RMD32" s="1688"/>
      <c r="RME32" s="1688"/>
      <c r="RMF32" s="1688"/>
      <c r="RMG32" s="1688"/>
      <c r="RMH32" s="1688"/>
      <c r="RMI32" s="1688"/>
      <c r="RMJ32" s="1688"/>
      <c r="RMK32" s="1688"/>
      <c r="RML32" s="1688"/>
      <c r="RMM32" s="1688"/>
      <c r="RMN32" s="1688"/>
      <c r="RMO32" s="1688"/>
      <c r="RMP32" s="1688"/>
      <c r="RMQ32" s="1688"/>
      <c r="RMR32" s="1688"/>
      <c r="RMS32" s="1688"/>
      <c r="RMT32" s="1688"/>
      <c r="RMU32" s="1688"/>
      <c r="RMV32" s="1688"/>
      <c r="RMW32" s="1688"/>
      <c r="RMX32" s="1688"/>
      <c r="RMY32" s="1688"/>
      <c r="RMZ32" s="1688"/>
      <c r="RNA32" s="1688"/>
      <c r="RNB32" s="1688"/>
      <c r="RNC32" s="1688"/>
      <c r="RND32" s="1688"/>
      <c r="RNE32" s="1688"/>
      <c r="RNF32" s="1688"/>
      <c r="RNG32" s="1688"/>
      <c r="RNH32" s="1688"/>
      <c r="RNI32" s="1688"/>
      <c r="RNJ32" s="1688"/>
      <c r="RNK32" s="1688"/>
      <c r="RNL32" s="1688"/>
      <c r="RNM32" s="1688"/>
      <c r="RNN32" s="1688"/>
      <c r="RNO32" s="1688"/>
      <c r="RNP32" s="1688"/>
      <c r="RNQ32" s="1688"/>
      <c r="RNR32" s="1688"/>
      <c r="RNS32" s="1688"/>
      <c r="RNT32" s="1688"/>
      <c r="RNU32" s="1688"/>
      <c r="RNV32" s="1688"/>
      <c r="RNW32" s="1688"/>
      <c r="RNX32" s="1688"/>
      <c r="RNY32" s="1688"/>
      <c r="RNZ32" s="1688"/>
      <c r="ROA32" s="1688"/>
      <c r="ROB32" s="1688"/>
      <c r="ROC32" s="1688"/>
      <c r="ROD32" s="1688"/>
      <c r="ROE32" s="1688"/>
      <c r="ROF32" s="1688"/>
      <c r="ROG32" s="1688"/>
      <c r="ROH32" s="1688"/>
      <c r="ROI32" s="1688"/>
      <c r="ROJ32" s="1688"/>
      <c r="ROK32" s="1688"/>
      <c r="ROL32" s="1688"/>
      <c r="ROM32" s="1688"/>
      <c r="RON32" s="1688"/>
      <c r="ROO32" s="1688"/>
      <c r="ROP32" s="1688"/>
      <c r="ROQ32" s="1688"/>
      <c r="ROR32" s="1688"/>
      <c r="ROS32" s="1688"/>
      <c r="ROT32" s="1688"/>
      <c r="ROU32" s="1688"/>
      <c r="ROV32" s="1688"/>
      <c r="ROW32" s="1688"/>
      <c r="ROX32" s="1688"/>
      <c r="ROY32" s="1688"/>
      <c r="ROZ32" s="1688"/>
      <c r="RPA32" s="1688"/>
      <c r="RPB32" s="1688"/>
      <c r="RPC32" s="1688"/>
      <c r="RPD32" s="1688"/>
      <c r="RPE32" s="1688"/>
      <c r="RPF32" s="1688"/>
      <c r="RPG32" s="1688"/>
      <c r="RPH32" s="1688"/>
      <c r="RPI32" s="1688"/>
      <c r="RPJ32" s="1688"/>
      <c r="RPK32" s="1688"/>
      <c r="RPL32" s="1688"/>
      <c r="RPM32" s="1688"/>
      <c r="RPN32" s="1688"/>
      <c r="RPO32" s="1688"/>
      <c r="RPP32" s="1688"/>
      <c r="RPQ32" s="1688"/>
      <c r="RPR32" s="1688"/>
      <c r="RPS32" s="1688"/>
      <c r="RPT32" s="1688"/>
      <c r="RPU32" s="1688"/>
      <c r="RPV32" s="1688"/>
      <c r="RPW32" s="1688"/>
      <c r="RPX32" s="1688"/>
      <c r="RPY32" s="1688"/>
      <c r="RPZ32" s="1688"/>
      <c r="RQA32" s="1688"/>
      <c r="RQB32" s="1688"/>
      <c r="RQC32" s="1688"/>
      <c r="RQD32" s="1688"/>
      <c r="RQE32" s="1688"/>
      <c r="RQF32" s="1688"/>
      <c r="RQG32" s="1688"/>
      <c r="RQH32" s="1688"/>
      <c r="RQI32" s="1688"/>
      <c r="RQJ32" s="1688"/>
      <c r="RQK32" s="1688"/>
      <c r="RQL32" s="1688"/>
      <c r="RQM32" s="1688"/>
      <c r="RQN32" s="1688"/>
      <c r="RQO32" s="1688"/>
      <c r="RQP32" s="1688"/>
      <c r="RQQ32" s="1688"/>
      <c r="RQR32" s="1688"/>
      <c r="RQS32" s="1688"/>
      <c r="RQT32" s="1688"/>
      <c r="RQU32" s="1688"/>
      <c r="RQV32" s="1688"/>
      <c r="RQW32" s="1688"/>
      <c r="RQX32" s="1688"/>
      <c r="RQY32" s="1688"/>
      <c r="RQZ32" s="1688"/>
      <c r="RRA32" s="1688"/>
      <c r="RRB32" s="1688"/>
      <c r="RRC32" s="1688"/>
      <c r="RRD32" s="1688"/>
      <c r="RRE32" s="1688"/>
      <c r="RRF32" s="1688"/>
      <c r="RRG32" s="1688"/>
      <c r="RRH32" s="1688"/>
      <c r="RRI32" s="1688"/>
      <c r="RRJ32" s="1688"/>
      <c r="RRK32" s="1688"/>
      <c r="RRL32" s="1688"/>
      <c r="RRM32" s="1688"/>
      <c r="RRN32" s="1688"/>
      <c r="RRO32" s="1688"/>
      <c r="RRP32" s="1688"/>
      <c r="RRQ32" s="1688"/>
      <c r="RRR32" s="1688"/>
      <c r="RRS32" s="1688"/>
      <c r="RRT32" s="1688"/>
      <c r="RRU32" s="1688"/>
      <c r="RRV32" s="1688"/>
      <c r="RRW32" s="1688"/>
      <c r="RRX32" s="1688"/>
      <c r="RRY32" s="1688"/>
      <c r="RRZ32" s="1688"/>
      <c r="RSA32" s="1688"/>
      <c r="RSB32" s="1688"/>
      <c r="RSC32" s="1688"/>
      <c r="RSD32" s="1688"/>
      <c r="RSE32" s="1688"/>
      <c r="RSF32" s="1688"/>
      <c r="RSG32" s="1688"/>
      <c r="RSH32" s="1688"/>
      <c r="RSI32" s="1688"/>
      <c r="RSJ32" s="1688"/>
      <c r="RSK32" s="1688"/>
      <c r="RSL32" s="1688"/>
      <c r="RSM32" s="1688"/>
      <c r="RSN32" s="1688"/>
      <c r="RSO32" s="1688"/>
      <c r="RSP32" s="1688"/>
      <c r="RSQ32" s="1688"/>
      <c r="RSR32" s="1688"/>
      <c r="RSS32" s="1688"/>
      <c r="RST32" s="1688"/>
      <c r="RSU32" s="1688"/>
      <c r="RSV32" s="1688"/>
      <c r="RSW32" s="1688"/>
      <c r="RSX32" s="1688"/>
      <c r="RSY32" s="1688"/>
      <c r="RSZ32" s="1688"/>
      <c r="RTA32" s="1688"/>
      <c r="RTB32" s="1688"/>
      <c r="RTC32" s="1688"/>
      <c r="RTD32" s="1688"/>
      <c r="RTE32" s="1688"/>
      <c r="RTF32" s="1688"/>
      <c r="RTG32" s="1688"/>
      <c r="RTH32" s="1688"/>
      <c r="RTI32" s="1688"/>
      <c r="RTJ32" s="1688"/>
      <c r="RTK32" s="1688"/>
      <c r="RTL32" s="1688"/>
      <c r="RTM32" s="1688"/>
      <c r="RTN32" s="1688"/>
      <c r="RTO32" s="1688"/>
      <c r="RTP32" s="1688"/>
      <c r="RTQ32" s="1688"/>
      <c r="RTR32" s="1688"/>
      <c r="RTS32" s="1688"/>
      <c r="RTT32" s="1688"/>
      <c r="RTU32" s="1688"/>
      <c r="RTV32" s="1688"/>
      <c r="RTW32" s="1688"/>
      <c r="RTX32" s="1688"/>
      <c r="RTY32" s="1688"/>
      <c r="RTZ32" s="1688"/>
      <c r="RUA32" s="1688"/>
      <c r="RUB32" s="1688"/>
      <c r="RUC32" s="1688"/>
      <c r="RUD32" s="1688"/>
      <c r="RUE32" s="1688"/>
      <c r="RUF32" s="1688"/>
      <c r="RUG32" s="1688"/>
      <c r="RUH32" s="1688"/>
      <c r="RUI32" s="1688"/>
      <c r="RUJ32" s="1688"/>
      <c r="RUK32" s="1688"/>
      <c r="RUL32" s="1688"/>
      <c r="RUM32" s="1688"/>
      <c r="RUN32" s="1688"/>
      <c r="RUO32" s="1688"/>
      <c r="RUP32" s="1688"/>
      <c r="RUQ32" s="1688"/>
      <c r="RUR32" s="1688"/>
      <c r="RUS32" s="1688"/>
      <c r="RUT32" s="1688"/>
      <c r="RUU32" s="1688"/>
      <c r="RUV32" s="1688"/>
      <c r="RUW32" s="1688"/>
      <c r="RUX32" s="1688"/>
      <c r="RUY32" s="1688"/>
      <c r="RUZ32" s="1688"/>
      <c r="RVA32" s="1688"/>
      <c r="RVB32" s="1688"/>
      <c r="RVC32" s="1688"/>
      <c r="RVD32" s="1688"/>
      <c r="RVE32" s="1688"/>
      <c r="RVF32" s="1688"/>
      <c r="RVG32" s="1688"/>
      <c r="RVH32" s="1688"/>
      <c r="RVI32" s="1688"/>
      <c r="RVJ32" s="1688"/>
      <c r="RVK32" s="1688"/>
      <c r="RVL32" s="1688"/>
      <c r="RVM32" s="1688"/>
      <c r="RVN32" s="1688"/>
      <c r="RVO32" s="1688"/>
      <c r="RVP32" s="1688"/>
      <c r="RVQ32" s="1688"/>
      <c r="RVR32" s="1688"/>
      <c r="RVS32" s="1688"/>
      <c r="RVT32" s="1688"/>
      <c r="RVU32" s="1688"/>
      <c r="RVV32" s="1688"/>
      <c r="RVW32" s="1688"/>
      <c r="RVX32" s="1688"/>
      <c r="RVY32" s="1688"/>
      <c r="RVZ32" s="1688"/>
      <c r="RWA32" s="1688"/>
      <c r="RWB32" s="1688"/>
      <c r="RWC32" s="1688"/>
      <c r="RWD32" s="1688"/>
      <c r="RWE32" s="1688"/>
      <c r="RWF32" s="1688"/>
      <c r="RWG32" s="1688"/>
      <c r="RWH32" s="1688"/>
      <c r="RWI32" s="1688"/>
      <c r="RWJ32" s="1688"/>
      <c r="RWK32" s="1688"/>
      <c r="RWL32" s="1688"/>
      <c r="RWM32" s="1688"/>
      <c r="RWN32" s="1688"/>
      <c r="RWO32" s="1688"/>
      <c r="RWP32" s="1688"/>
      <c r="RWQ32" s="1688"/>
      <c r="RWR32" s="1688"/>
      <c r="RWS32" s="1688"/>
      <c r="RWT32" s="1688"/>
      <c r="RWU32" s="1688"/>
      <c r="RWV32" s="1688"/>
      <c r="RWW32" s="1688"/>
      <c r="RWX32" s="1688"/>
      <c r="RWY32" s="1688"/>
      <c r="RWZ32" s="1688"/>
      <c r="RXA32" s="1688"/>
      <c r="RXB32" s="1688"/>
      <c r="RXC32" s="1688"/>
      <c r="RXD32" s="1688"/>
      <c r="RXE32" s="1688"/>
      <c r="RXF32" s="1688"/>
      <c r="RXG32" s="1688"/>
      <c r="RXH32" s="1688"/>
      <c r="RXI32" s="1688"/>
      <c r="RXJ32" s="1688"/>
      <c r="RXK32" s="1688"/>
      <c r="RXL32" s="1688"/>
      <c r="RXM32" s="1688"/>
      <c r="RXN32" s="1688"/>
      <c r="RXO32" s="1688"/>
      <c r="RXP32" s="1688"/>
      <c r="RXQ32" s="1688"/>
      <c r="RXR32" s="1688"/>
      <c r="RXS32" s="1688"/>
      <c r="RXT32" s="1688"/>
      <c r="RXU32" s="1688"/>
      <c r="RXV32" s="1688"/>
      <c r="RXW32" s="1688"/>
      <c r="RXX32" s="1688"/>
      <c r="RXY32" s="1688"/>
      <c r="RXZ32" s="1688"/>
      <c r="RYA32" s="1688"/>
      <c r="RYB32" s="1688"/>
      <c r="RYC32" s="1688"/>
      <c r="RYD32" s="1688"/>
      <c r="RYE32" s="1688"/>
      <c r="RYF32" s="1688"/>
      <c r="RYG32" s="1688"/>
      <c r="RYH32" s="1688"/>
      <c r="RYI32" s="1688"/>
      <c r="RYJ32" s="1688"/>
      <c r="RYK32" s="1688"/>
      <c r="RYL32" s="1688"/>
      <c r="RYM32" s="1688"/>
      <c r="RYN32" s="1688"/>
      <c r="RYO32" s="1688"/>
      <c r="RYP32" s="1688"/>
      <c r="RYQ32" s="1688"/>
      <c r="RYR32" s="1688"/>
      <c r="RYS32" s="1688"/>
      <c r="RYT32" s="1688"/>
      <c r="RYU32" s="1688"/>
      <c r="RYV32" s="1688"/>
      <c r="RYW32" s="1688"/>
      <c r="RYX32" s="1688"/>
      <c r="RYY32" s="1688"/>
      <c r="RYZ32" s="1688"/>
      <c r="RZA32" s="1688"/>
      <c r="RZB32" s="1688"/>
      <c r="RZC32" s="1688"/>
      <c r="RZD32" s="1688"/>
      <c r="RZE32" s="1688"/>
      <c r="RZF32" s="1688"/>
      <c r="RZG32" s="1688"/>
      <c r="RZH32" s="1688"/>
      <c r="RZI32" s="1688"/>
      <c r="RZJ32" s="1688"/>
      <c r="RZK32" s="1688"/>
      <c r="RZL32" s="1688"/>
      <c r="RZM32" s="1688"/>
      <c r="RZN32" s="1688"/>
      <c r="RZO32" s="1688"/>
      <c r="RZP32" s="1688"/>
      <c r="RZQ32" s="1688"/>
      <c r="RZR32" s="1688"/>
      <c r="RZS32" s="1688"/>
      <c r="RZT32" s="1688"/>
      <c r="RZU32" s="1688"/>
      <c r="RZV32" s="1688"/>
      <c r="RZW32" s="1688"/>
      <c r="RZX32" s="1688"/>
      <c r="RZY32" s="1688"/>
      <c r="RZZ32" s="1688"/>
      <c r="SAA32" s="1688"/>
      <c r="SAB32" s="1688"/>
      <c r="SAC32" s="1688"/>
      <c r="SAD32" s="1688"/>
      <c r="SAE32" s="1688"/>
      <c r="SAF32" s="1688"/>
      <c r="SAG32" s="1688"/>
      <c r="SAH32" s="1688"/>
      <c r="SAI32" s="1688"/>
      <c r="SAJ32" s="1688"/>
      <c r="SAK32" s="1688"/>
      <c r="SAL32" s="1688"/>
      <c r="SAM32" s="1688"/>
      <c r="SAN32" s="1688"/>
      <c r="SAO32" s="1688"/>
      <c r="SAP32" s="1688"/>
      <c r="SAQ32" s="1688"/>
      <c r="SAR32" s="1688"/>
      <c r="SAS32" s="1688"/>
      <c r="SAT32" s="1688"/>
      <c r="SAU32" s="1688"/>
      <c r="SAV32" s="1688"/>
      <c r="SAW32" s="1688"/>
      <c r="SAX32" s="1688"/>
      <c r="SAY32" s="1688"/>
      <c r="SAZ32" s="1688"/>
      <c r="SBA32" s="1688"/>
      <c r="SBB32" s="1688"/>
      <c r="SBC32" s="1688"/>
      <c r="SBD32" s="1688"/>
      <c r="SBE32" s="1688"/>
      <c r="SBF32" s="1688"/>
      <c r="SBG32" s="1688"/>
      <c r="SBH32" s="1688"/>
      <c r="SBI32" s="1688"/>
      <c r="SBJ32" s="1688"/>
      <c r="SBK32" s="1688"/>
      <c r="SBL32" s="1688"/>
      <c r="SBM32" s="1688"/>
      <c r="SBN32" s="1688"/>
      <c r="SBO32" s="1688"/>
      <c r="SBP32" s="1688"/>
      <c r="SBQ32" s="1688"/>
      <c r="SBR32" s="1688"/>
      <c r="SBS32" s="1688"/>
      <c r="SBT32" s="1688"/>
      <c r="SBU32" s="1688"/>
      <c r="SBV32" s="1688"/>
      <c r="SBW32" s="1688"/>
      <c r="SBX32" s="1688"/>
      <c r="SBY32" s="1688"/>
      <c r="SBZ32" s="1688"/>
      <c r="SCA32" s="1688"/>
      <c r="SCB32" s="1688"/>
      <c r="SCC32" s="1688"/>
      <c r="SCD32" s="1688"/>
      <c r="SCE32" s="1688"/>
      <c r="SCF32" s="1688"/>
      <c r="SCG32" s="1688"/>
      <c r="SCH32" s="1688"/>
      <c r="SCI32" s="1688"/>
      <c r="SCJ32" s="1688"/>
      <c r="SCK32" s="1688"/>
      <c r="SCL32" s="1688"/>
      <c r="SCM32" s="1688"/>
      <c r="SCN32" s="1688"/>
      <c r="SCO32" s="1688"/>
      <c r="SCP32" s="1688"/>
      <c r="SCQ32" s="1688"/>
      <c r="SCR32" s="1688"/>
      <c r="SCS32" s="1688"/>
      <c r="SCT32" s="1688"/>
      <c r="SCU32" s="1688"/>
      <c r="SCV32" s="1688"/>
      <c r="SCW32" s="1688"/>
      <c r="SCX32" s="1688"/>
      <c r="SCY32" s="1688"/>
      <c r="SCZ32" s="1688"/>
      <c r="SDA32" s="1688"/>
      <c r="SDB32" s="1688"/>
      <c r="SDC32" s="1688"/>
      <c r="SDD32" s="1688"/>
      <c r="SDE32" s="1688"/>
      <c r="SDF32" s="1688"/>
      <c r="SDG32" s="1688"/>
      <c r="SDH32" s="1688"/>
      <c r="SDI32" s="1688"/>
      <c r="SDJ32" s="1688"/>
      <c r="SDK32" s="1688"/>
      <c r="SDL32" s="1688"/>
      <c r="SDM32" s="1688"/>
      <c r="SDN32" s="1688"/>
      <c r="SDO32" s="1688"/>
      <c r="SDP32" s="1688"/>
      <c r="SDQ32" s="1688"/>
      <c r="SDR32" s="1688"/>
      <c r="SDS32" s="1688"/>
      <c r="SDT32" s="1688"/>
      <c r="SDU32" s="1688"/>
      <c r="SDV32" s="1688"/>
      <c r="SDW32" s="1688"/>
      <c r="SDX32" s="1688"/>
      <c r="SDY32" s="1688"/>
      <c r="SDZ32" s="1688"/>
      <c r="SEA32" s="1688"/>
      <c r="SEB32" s="1688"/>
      <c r="SEC32" s="1688"/>
      <c r="SED32" s="1688"/>
      <c r="SEE32" s="1688"/>
      <c r="SEF32" s="1688"/>
      <c r="SEG32" s="1688"/>
      <c r="SEH32" s="1688"/>
      <c r="SEI32" s="1688"/>
      <c r="SEJ32" s="1688"/>
      <c r="SEK32" s="1688"/>
      <c r="SEL32" s="1688"/>
      <c r="SEM32" s="1688"/>
      <c r="SEN32" s="1688"/>
      <c r="SEO32" s="1688"/>
      <c r="SEP32" s="1688"/>
      <c r="SEQ32" s="1688"/>
      <c r="SER32" s="1688"/>
      <c r="SES32" s="1688"/>
      <c r="SET32" s="1688"/>
      <c r="SEU32" s="1688"/>
      <c r="SEV32" s="1688"/>
      <c r="SEW32" s="1688"/>
      <c r="SEX32" s="1688"/>
      <c r="SEY32" s="1688"/>
      <c r="SEZ32" s="1688"/>
      <c r="SFA32" s="1688"/>
      <c r="SFB32" s="1688"/>
      <c r="SFC32" s="1688"/>
      <c r="SFD32" s="1688"/>
      <c r="SFE32" s="1688"/>
      <c r="SFF32" s="1688"/>
      <c r="SFG32" s="1688"/>
      <c r="SFH32" s="1688"/>
      <c r="SFI32" s="1688"/>
      <c r="SFJ32" s="1688"/>
      <c r="SFK32" s="1688"/>
      <c r="SFL32" s="1688"/>
      <c r="SFM32" s="1688"/>
      <c r="SFN32" s="1688"/>
      <c r="SFO32" s="1688"/>
      <c r="SFP32" s="1688"/>
      <c r="SFQ32" s="1688"/>
      <c r="SFR32" s="1688"/>
      <c r="SFS32" s="1688"/>
      <c r="SFT32" s="1688"/>
      <c r="SFU32" s="1688"/>
      <c r="SFV32" s="1688"/>
      <c r="SFW32" s="1688"/>
      <c r="SFX32" s="1688"/>
      <c r="SFY32" s="1688"/>
      <c r="SFZ32" s="1688"/>
      <c r="SGA32" s="1688"/>
      <c r="SGB32" s="1688"/>
      <c r="SGC32" s="1688"/>
      <c r="SGD32" s="1688"/>
      <c r="SGE32" s="1688"/>
      <c r="SGF32" s="1688"/>
      <c r="SGG32" s="1688"/>
      <c r="SGH32" s="1688"/>
      <c r="SGI32" s="1688"/>
      <c r="SGJ32" s="1688"/>
      <c r="SGK32" s="1688"/>
      <c r="SGL32" s="1688"/>
      <c r="SGM32" s="1688"/>
      <c r="SGN32" s="1688"/>
      <c r="SGO32" s="1688"/>
      <c r="SGP32" s="1688"/>
      <c r="SGQ32" s="1688"/>
      <c r="SGR32" s="1688"/>
      <c r="SGS32" s="1688"/>
      <c r="SGT32" s="1688"/>
      <c r="SGU32" s="1688"/>
      <c r="SGV32" s="1688"/>
      <c r="SGW32" s="1688"/>
      <c r="SGX32" s="1688"/>
      <c r="SGY32" s="1688"/>
      <c r="SGZ32" s="1688"/>
      <c r="SHA32" s="1688"/>
      <c r="SHB32" s="1688"/>
      <c r="SHC32" s="1688"/>
      <c r="SHD32" s="1688"/>
      <c r="SHE32" s="1688"/>
      <c r="SHF32" s="1688"/>
      <c r="SHG32" s="1688"/>
      <c r="SHH32" s="1688"/>
      <c r="SHI32" s="1688"/>
      <c r="SHJ32" s="1688"/>
      <c r="SHK32" s="1688"/>
      <c r="SHL32" s="1688"/>
      <c r="SHM32" s="1688"/>
      <c r="SHN32" s="1688"/>
      <c r="SHO32" s="1688"/>
      <c r="SHP32" s="1688"/>
      <c r="SHQ32" s="1688"/>
      <c r="SHR32" s="1688"/>
      <c r="SHS32" s="1688"/>
      <c r="SHT32" s="1688"/>
      <c r="SHU32" s="1688"/>
      <c r="SHV32" s="1688"/>
      <c r="SHW32" s="1688"/>
      <c r="SHX32" s="1688"/>
      <c r="SHY32" s="1688"/>
      <c r="SHZ32" s="1688"/>
      <c r="SIA32" s="1688"/>
      <c r="SIB32" s="1688"/>
      <c r="SIC32" s="1688"/>
      <c r="SID32" s="1688"/>
      <c r="SIE32" s="1688"/>
      <c r="SIF32" s="1688"/>
      <c r="SIG32" s="1688"/>
      <c r="SIH32" s="1688"/>
      <c r="SII32" s="1688"/>
      <c r="SIJ32" s="1688"/>
      <c r="SIK32" s="1688"/>
      <c r="SIL32" s="1688"/>
      <c r="SIM32" s="1688"/>
      <c r="SIN32" s="1688"/>
      <c r="SIO32" s="1688"/>
      <c r="SIP32" s="1688"/>
      <c r="SIQ32" s="1688"/>
      <c r="SIR32" s="1688"/>
      <c r="SIS32" s="1688"/>
      <c r="SIT32" s="1688"/>
      <c r="SIU32" s="1688"/>
      <c r="SIV32" s="1688"/>
      <c r="SIW32" s="1688"/>
      <c r="SIX32" s="1688"/>
      <c r="SIY32" s="1688"/>
      <c r="SIZ32" s="1688"/>
      <c r="SJA32" s="1688"/>
      <c r="SJB32" s="1688"/>
      <c r="SJC32" s="1688"/>
      <c r="SJD32" s="1688"/>
      <c r="SJE32" s="1688"/>
      <c r="SJF32" s="1688"/>
      <c r="SJG32" s="1688"/>
      <c r="SJH32" s="1688"/>
      <c r="SJI32" s="1688"/>
      <c r="SJJ32" s="1688"/>
      <c r="SJK32" s="1688"/>
      <c r="SJL32" s="1688"/>
      <c r="SJM32" s="1688"/>
      <c r="SJN32" s="1688"/>
      <c r="SJO32" s="1688"/>
      <c r="SJP32" s="1688"/>
      <c r="SJQ32" s="1688"/>
      <c r="SJR32" s="1688"/>
      <c r="SJS32" s="1688"/>
      <c r="SJT32" s="1688"/>
      <c r="SJU32" s="1688"/>
      <c r="SJV32" s="1688"/>
      <c r="SJW32" s="1688"/>
      <c r="SJX32" s="1688"/>
      <c r="SJY32" s="1688"/>
      <c r="SJZ32" s="1688"/>
      <c r="SKA32" s="1688"/>
      <c r="SKB32" s="1688"/>
      <c r="SKC32" s="1688"/>
      <c r="SKD32" s="1688"/>
      <c r="SKE32" s="1688"/>
      <c r="SKF32" s="1688"/>
      <c r="SKG32" s="1688"/>
      <c r="SKH32" s="1688"/>
      <c r="SKI32" s="1688"/>
      <c r="SKJ32" s="1688"/>
      <c r="SKK32" s="1688"/>
      <c r="SKL32" s="1688"/>
      <c r="SKM32" s="1688"/>
      <c r="SKN32" s="1688"/>
      <c r="SKO32" s="1688"/>
      <c r="SKP32" s="1688"/>
      <c r="SKQ32" s="1688"/>
      <c r="SKR32" s="1688"/>
      <c r="SKS32" s="1688"/>
      <c r="SKT32" s="1688"/>
      <c r="SKU32" s="1688"/>
      <c r="SKV32" s="1688"/>
      <c r="SKW32" s="1688"/>
      <c r="SKX32" s="1688"/>
      <c r="SKY32" s="1688"/>
      <c r="SKZ32" s="1688"/>
      <c r="SLA32" s="1688"/>
      <c r="SLB32" s="1688"/>
      <c r="SLC32" s="1688"/>
      <c r="SLD32" s="1688"/>
      <c r="SLE32" s="1688"/>
      <c r="SLF32" s="1688"/>
      <c r="SLG32" s="1688"/>
      <c r="SLH32" s="1688"/>
      <c r="SLI32" s="1688"/>
      <c r="SLJ32" s="1688"/>
      <c r="SLK32" s="1688"/>
      <c r="SLL32" s="1688"/>
      <c r="SLM32" s="1688"/>
      <c r="SLN32" s="1688"/>
      <c r="SLO32" s="1688"/>
      <c r="SLP32" s="1688"/>
      <c r="SLQ32" s="1688"/>
      <c r="SLR32" s="1688"/>
      <c r="SLS32" s="1688"/>
      <c r="SLT32" s="1688"/>
      <c r="SLU32" s="1688"/>
      <c r="SLV32" s="1688"/>
      <c r="SLW32" s="1688"/>
      <c r="SLX32" s="1688"/>
      <c r="SLY32" s="1688"/>
      <c r="SLZ32" s="1688"/>
      <c r="SMA32" s="1688"/>
      <c r="SMB32" s="1688"/>
      <c r="SMC32" s="1688"/>
      <c r="SMD32" s="1688"/>
      <c r="SME32" s="1688"/>
      <c r="SMF32" s="1688"/>
      <c r="SMG32" s="1688"/>
      <c r="SMH32" s="1688"/>
      <c r="SMI32" s="1688"/>
      <c r="SMJ32" s="1688"/>
      <c r="SMK32" s="1688"/>
      <c r="SML32" s="1688"/>
      <c r="SMM32" s="1688"/>
      <c r="SMN32" s="1688"/>
      <c r="SMO32" s="1688"/>
      <c r="SMP32" s="1688"/>
      <c r="SMQ32" s="1688"/>
      <c r="SMR32" s="1688"/>
      <c r="SMS32" s="1688"/>
      <c r="SMT32" s="1688"/>
      <c r="SMU32" s="1688"/>
      <c r="SMV32" s="1688"/>
      <c r="SMW32" s="1688"/>
      <c r="SMX32" s="1688"/>
      <c r="SMY32" s="1688"/>
      <c r="SMZ32" s="1688"/>
      <c r="SNA32" s="1688"/>
      <c r="SNB32" s="1688"/>
      <c r="SNC32" s="1688"/>
      <c r="SND32" s="1688"/>
      <c r="SNE32" s="1688"/>
      <c r="SNF32" s="1688"/>
      <c r="SNG32" s="1688"/>
      <c r="SNH32" s="1688"/>
      <c r="SNI32" s="1688"/>
      <c r="SNJ32" s="1688"/>
      <c r="SNK32" s="1688"/>
      <c r="SNL32" s="1688"/>
      <c r="SNM32" s="1688"/>
      <c r="SNN32" s="1688"/>
      <c r="SNO32" s="1688"/>
      <c r="SNP32" s="1688"/>
      <c r="SNQ32" s="1688"/>
      <c r="SNR32" s="1688"/>
      <c r="SNS32" s="1688"/>
      <c r="SNT32" s="1688"/>
      <c r="SNU32" s="1688"/>
      <c r="SNV32" s="1688"/>
      <c r="SNW32" s="1688"/>
      <c r="SNX32" s="1688"/>
      <c r="SNY32" s="1688"/>
      <c r="SNZ32" s="1688"/>
      <c r="SOA32" s="1688"/>
      <c r="SOB32" s="1688"/>
      <c r="SOC32" s="1688"/>
      <c r="SOD32" s="1688"/>
      <c r="SOE32" s="1688"/>
      <c r="SOF32" s="1688"/>
      <c r="SOG32" s="1688"/>
      <c r="SOH32" s="1688"/>
      <c r="SOI32" s="1688"/>
      <c r="SOJ32" s="1688"/>
      <c r="SOK32" s="1688"/>
      <c r="SOL32" s="1688"/>
      <c r="SOM32" s="1688"/>
      <c r="SON32" s="1688"/>
      <c r="SOO32" s="1688"/>
      <c r="SOP32" s="1688"/>
      <c r="SOQ32" s="1688"/>
      <c r="SOR32" s="1688"/>
      <c r="SOS32" s="1688"/>
      <c r="SOT32" s="1688"/>
      <c r="SOU32" s="1688"/>
      <c r="SOV32" s="1688"/>
      <c r="SOW32" s="1688"/>
      <c r="SOX32" s="1688"/>
      <c r="SOY32" s="1688"/>
      <c r="SOZ32" s="1688"/>
      <c r="SPA32" s="1688"/>
      <c r="SPB32" s="1688"/>
      <c r="SPC32" s="1688"/>
      <c r="SPD32" s="1688"/>
      <c r="SPE32" s="1688"/>
      <c r="SPF32" s="1688"/>
      <c r="SPG32" s="1688"/>
      <c r="SPH32" s="1688"/>
      <c r="SPI32" s="1688"/>
      <c r="SPJ32" s="1688"/>
      <c r="SPK32" s="1688"/>
      <c r="SPL32" s="1688"/>
      <c r="SPM32" s="1688"/>
      <c r="SPN32" s="1688"/>
      <c r="SPO32" s="1688"/>
      <c r="SPP32" s="1688"/>
      <c r="SPQ32" s="1688"/>
      <c r="SPR32" s="1688"/>
      <c r="SPS32" s="1688"/>
      <c r="SPT32" s="1688"/>
      <c r="SPU32" s="1688"/>
      <c r="SPV32" s="1688"/>
      <c r="SPW32" s="1688"/>
      <c r="SPX32" s="1688"/>
      <c r="SPY32" s="1688"/>
      <c r="SPZ32" s="1688"/>
      <c r="SQA32" s="1688"/>
      <c r="SQB32" s="1688"/>
      <c r="SQC32" s="1688"/>
      <c r="SQD32" s="1688"/>
      <c r="SQE32" s="1688"/>
      <c r="SQF32" s="1688"/>
      <c r="SQG32" s="1688"/>
      <c r="SQH32" s="1688"/>
      <c r="SQI32" s="1688"/>
      <c r="SQJ32" s="1688"/>
      <c r="SQK32" s="1688"/>
      <c r="SQL32" s="1688"/>
      <c r="SQM32" s="1688"/>
      <c r="SQN32" s="1688"/>
      <c r="SQO32" s="1688"/>
      <c r="SQP32" s="1688"/>
      <c r="SQQ32" s="1688"/>
      <c r="SQR32" s="1688"/>
      <c r="SQS32" s="1688"/>
      <c r="SQT32" s="1688"/>
      <c r="SQU32" s="1688"/>
      <c r="SQV32" s="1688"/>
      <c r="SQW32" s="1688"/>
      <c r="SQX32" s="1688"/>
      <c r="SQY32" s="1688"/>
      <c r="SQZ32" s="1688"/>
      <c r="SRA32" s="1688"/>
      <c r="SRB32" s="1688"/>
      <c r="SRC32" s="1688"/>
      <c r="SRD32" s="1688"/>
      <c r="SRE32" s="1688"/>
      <c r="SRF32" s="1688"/>
      <c r="SRG32" s="1688"/>
      <c r="SRH32" s="1688"/>
      <c r="SRI32" s="1688"/>
      <c r="SRJ32" s="1688"/>
      <c r="SRK32" s="1688"/>
      <c r="SRL32" s="1688"/>
      <c r="SRM32" s="1688"/>
      <c r="SRN32" s="1688"/>
      <c r="SRO32" s="1688"/>
      <c r="SRP32" s="1688"/>
      <c r="SRQ32" s="1688"/>
      <c r="SRR32" s="1688"/>
      <c r="SRS32" s="1688"/>
      <c r="SRT32" s="1688"/>
      <c r="SRU32" s="1688"/>
      <c r="SRV32" s="1688"/>
      <c r="SRW32" s="1688"/>
      <c r="SRX32" s="1688"/>
      <c r="SRY32" s="1688"/>
      <c r="SRZ32" s="1688"/>
      <c r="SSA32" s="1688"/>
      <c r="SSB32" s="1688"/>
      <c r="SSC32" s="1688"/>
      <c r="SSD32" s="1688"/>
      <c r="SSE32" s="1688"/>
      <c r="SSF32" s="1688"/>
      <c r="SSG32" s="1688"/>
      <c r="SSH32" s="1688"/>
      <c r="SSI32" s="1688"/>
      <c r="SSJ32" s="1688"/>
      <c r="SSK32" s="1688"/>
      <c r="SSL32" s="1688"/>
      <c r="SSM32" s="1688"/>
      <c r="SSN32" s="1688"/>
      <c r="SSO32" s="1688"/>
      <c r="SSP32" s="1688"/>
      <c r="SSQ32" s="1688"/>
      <c r="SSR32" s="1688"/>
      <c r="SSS32" s="1688"/>
      <c r="SST32" s="1688"/>
      <c r="SSU32" s="1688"/>
      <c r="SSV32" s="1688"/>
      <c r="SSW32" s="1688"/>
      <c r="SSX32" s="1688"/>
      <c r="SSY32" s="1688"/>
      <c r="SSZ32" s="1688"/>
      <c r="STA32" s="1688"/>
      <c r="STB32" s="1688"/>
      <c r="STC32" s="1688"/>
      <c r="STD32" s="1688"/>
      <c r="STE32" s="1688"/>
      <c r="STF32" s="1688"/>
      <c r="STG32" s="1688"/>
      <c r="STH32" s="1688"/>
      <c r="STI32" s="1688"/>
      <c r="STJ32" s="1688"/>
      <c r="STK32" s="1688"/>
      <c r="STL32" s="1688"/>
      <c r="STM32" s="1688"/>
      <c r="STN32" s="1688"/>
      <c r="STO32" s="1688"/>
      <c r="STP32" s="1688"/>
      <c r="STQ32" s="1688"/>
      <c r="STR32" s="1688"/>
      <c r="STS32" s="1688"/>
      <c r="STT32" s="1688"/>
      <c r="STU32" s="1688"/>
      <c r="STV32" s="1688"/>
      <c r="STW32" s="1688"/>
      <c r="STX32" s="1688"/>
      <c r="STY32" s="1688"/>
      <c r="STZ32" s="1688"/>
      <c r="SUA32" s="1688"/>
      <c r="SUB32" s="1688"/>
      <c r="SUC32" s="1688"/>
      <c r="SUD32" s="1688"/>
      <c r="SUE32" s="1688"/>
      <c r="SUF32" s="1688"/>
      <c r="SUG32" s="1688"/>
      <c r="SUH32" s="1688"/>
      <c r="SUI32" s="1688"/>
      <c r="SUJ32" s="1688"/>
      <c r="SUK32" s="1688"/>
      <c r="SUL32" s="1688"/>
      <c r="SUM32" s="1688"/>
      <c r="SUN32" s="1688"/>
      <c r="SUO32" s="1688"/>
      <c r="SUP32" s="1688"/>
      <c r="SUQ32" s="1688"/>
      <c r="SUR32" s="1688"/>
      <c r="SUS32" s="1688"/>
      <c r="SUT32" s="1688"/>
      <c r="SUU32" s="1688"/>
      <c r="SUV32" s="1688"/>
      <c r="SUW32" s="1688"/>
      <c r="SUX32" s="1688"/>
      <c r="SUY32" s="1688"/>
      <c r="SUZ32" s="1688"/>
      <c r="SVA32" s="1688"/>
      <c r="SVB32" s="1688"/>
      <c r="SVC32" s="1688"/>
      <c r="SVD32" s="1688"/>
      <c r="SVE32" s="1688"/>
      <c r="SVF32" s="1688"/>
      <c r="SVG32" s="1688"/>
      <c r="SVH32" s="1688"/>
      <c r="SVI32" s="1688"/>
      <c r="SVJ32" s="1688"/>
      <c r="SVK32" s="1688"/>
      <c r="SVL32" s="1688"/>
      <c r="SVM32" s="1688"/>
      <c r="SVN32" s="1688"/>
      <c r="SVO32" s="1688"/>
      <c r="SVP32" s="1688"/>
      <c r="SVQ32" s="1688"/>
      <c r="SVR32" s="1688"/>
      <c r="SVS32" s="1688"/>
      <c r="SVT32" s="1688"/>
      <c r="SVU32" s="1688"/>
      <c r="SVV32" s="1688"/>
      <c r="SVW32" s="1688"/>
      <c r="SVX32" s="1688"/>
      <c r="SVY32" s="1688"/>
      <c r="SVZ32" s="1688"/>
      <c r="SWA32" s="1688"/>
      <c r="SWB32" s="1688"/>
      <c r="SWC32" s="1688"/>
      <c r="SWD32" s="1688"/>
      <c r="SWE32" s="1688"/>
      <c r="SWF32" s="1688"/>
      <c r="SWG32" s="1688"/>
      <c r="SWH32" s="1688"/>
      <c r="SWI32" s="1688"/>
      <c r="SWJ32" s="1688"/>
      <c r="SWK32" s="1688"/>
      <c r="SWL32" s="1688"/>
      <c r="SWM32" s="1688"/>
      <c r="SWN32" s="1688"/>
      <c r="SWO32" s="1688"/>
      <c r="SWP32" s="1688"/>
      <c r="SWQ32" s="1688"/>
      <c r="SWR32" s="1688"/>
      <c r="SWS32" s="1688"/>
      <c r="SWT32" s="1688"/>
      <c r="SWU32" s="1688"/>
      <c r="SWV32" s="1688"/>
      <c r="SWW32" s="1688"/>
      <c r="SWX32" s="1688"/>
      <c r="SWY32" s="1688"/>
      <c r="SWZ32" s="1688"/>
      <c r="SXA32" s="1688"/>
      <c r="SXB32" s="1688"/>
      <c r="SXC32" s="1688"/>
      <c r="SXD32" s="1688"/>
      <c r="SXE32" s="1688"/>
      <c r="SXF32" s="1688"/>
      <c r="SXG32" s="1688"/>
      <c r="SXH32" s="1688"/>
      <c r="SXI32" s="1688"/>
      <c r="SXJ32" s="1688"/>
      <c r="SXK32" s="1688"/>
      <c r="SXL32" s="1688"/>
      <c r="SXM32" s="1688"/>
      <c r="SXN32" s="1688"/>
      <c r="SXO32" s="1688"/>
      <c r="SXP32" s="1688"/>
      <c r="SXQ32" s="1688"/>
      <c r="SXR32" s="1688"/>
      <c r="SXS32" s="1688"/>
      <c r="SXT32" s="1688"/>
      <c r="SXU32" s="1688"/>
      <c r="SXV32" s="1688"/>
      <c r="SXW32" s="1688"/>
      <c r="SXX32" s="1688"/>
      <c r="SXY32" s="1688"/>
      <c r="SXZ32" s="1688"/>
      <c r="SYA32" s="1688"/>
      <c r="SYB32" s="1688"/>
      <c r="SYC32" s="1688"/>
      <c r="SYD32" s="1688"/>
      <c r="SYE32" s="1688"/>
      <c r="SYF32" s="1688"/>
      <c r="SYG32" s="1688"/>
      <c r="SYH32" s="1688"/>
      <c r="SYI32" s="1688"/>
      <c r="SYJ32" s="1688"/>
      <c r="SYK32" s="1688"/>
      <c r="SYL32" s="1688"/>
      <c r="SYM32" s="1688"/>
      <c r="SYN32" s="1688"/>
      <c r="SYO32" s="1688"/>
      <c r="SYP32" s="1688"/>
      <c r="SYQ32" s="1688"/>
      <c r="SYR32" s="1688"/>
      <c r="SYS32" s="1688"/>
      <c r="SYT32" s="1688"/>
      <c r="SYU32" s="1688"/>
      <c r="SYV32" s="1688"/>
      <c r="SYW32" s="1688"/>
      <c r="SYX32" s="1688"/>
      <c r="SYY32" s="1688"/>
      <c r="SYZ32" s="1688"/>
      <c r="SZA32" s="1688"/>
      <c r="SZB32" s="1688"/>
      <c r="SZC32" s="1688"/>
      <c r="SZD32" s="1688"/>
      <c r="SZE32" s="1688"/>
      <c r="SZF32" s="1688"/>
      <c r="SZG32" s="1688"/>
      <c r="SZH32" s="1688"/>
      <c r="SZI32" s="1688"/>
      <c r="SZJ32" s="1688"/>
      <c r="SZK32" s="1688"/>
      <c r="SZL32" s="1688"/>
      <c r="SZM32" s="1688"/>
      <c r="SZN32" s="1688"/>
      <c r="SZO32" s="1688"/>
      <c r="SZP32" s="1688"/>
      <c r="SZQ32" s="1688"/>
      <c r="SZR32" s="1688"/>
      <c r="SZS32" s="1688"/>
      <c r="SZT32" s="1688"/>
      <c r="SZU32" s="1688"/>
      <c r="SZV32" s="1688"/>
      <c r="SZW32" s="1688"/>
      <c r="SZX32" s="1688"/>
      <c r="SZY32" s="1688"/>
      <c r="SZZ32" s="1688"/>
      <c r="TAA32" s="1688"/>
      <c r="TAB32" s="1688"/>
      <c r="TAC32" s="1688"/>
      <c r="TAD32" s="1688"/>
      <c r="TAE32" s="1688"/>
      <c r="TAF32" s="1688"/>
      <c r="TAG32" s="1688"/>
      <c r="TAH32" s="1688"/>
      <c r="TAI32" s="1688"/>
      <c r="TAJ32" s="1688"/>
      <c r="TAK32" s="1688"/>
      <c r="TAL32" s="1688"/>
      <c r="TAM32" s="1688"/>
      <c r="TAN32" s="1688"/>
      <c r="TAO32" s="1688"/>
      <c r="TAP32" s="1688"/>
      <c r="TAQ32" s="1688"/>
      <c r="TAR32" s="1688"/>
      <c r="TAS32" s="1688"/>
      <c r="TAT32" s="1688"/>
      <c r="TAU32" s="1688"/>
      <c r="TAV32" s="1688"/>
      <c r="TAW32" s="1688"/>
      <c r="TAX32" s="1688"/>
      <c r="TAY32" s="1688"/>
      <c r="TAZ32" s="1688"/>
      <c r="TBA32" s="1688"/>
      <c r="TBB32" s="1688"/>
      <c r="TBC32" s="1688"/>
      <c r="TBD32" s="1688"/>
      <c r="TBE32" s="1688"/>
      <c r="TBF32" s="1688"/>
      <c r="TBG32" s="1688"/>
      <c r="TBH32" s="1688"/>
      <c r="TBI32" s="1688"/>
      <c r="TBJ32" s="1688"/>
      <c r="TBK32" s="1688"/>
      <c r="TBL32" s="1688"/>
      <c r="TBM32" s="1688"/>
      <c r="TBN32" s="1688"/>
      <c r="TBO32" s="1688"/>
      <c r="TBP32" s="1688"/>
      <c r="TBQ32" s="1688"/>
      <c r="TBR32" s="1688"/>
      <c r="TBS32" s="1688"/>
      <c r="TBT32" s="1688"/>
      <c r="TBU32" s="1688"/>
      <c r="TBV32" s="1688"/>
      <c r="TBW32" s="1688"/>
      <c r="TBX32" s="1688"/>
      <c r="TBY32" s="1688"/>
      <c r="TBZ32" s="1688"/>
      <c r="TCA32" s="1688"/>
      <c r="TCB32" s="1688"/>
      <c r="TCC32" s="1688"/>
      <c r="TCD32" s="1688"/>
      <c r="TCE32" s="1688"/>
      <c r="TCF32" s="1688"/>
      <c r="TCG32" s="1688"/>
      <c r="TCH32" s="1688"/>
      <c r="TCI32" s="1688"/>
      <c r="TCJ32" s="1688"/>
      <c r="TCK32" s="1688"/>
      <c r="TCL32" s="1688"/>
      <c r="TCM32" s="1688"/>
      <c r="TCN32" s="1688"/>
      <c r="TCO32" s="1688"/>
      <c r="TCP32" s="1688"/>
      <c r="TCQ32" s="1688"/>
      <c r="TCR32" s="1688"/>
      <c r="TCS32" s="1688"/>
      <c r="TCT32" s="1688"/>
      <c r="TCU32" s="1688"/>
      <c r="TCV32" s="1688"/>
      <c r="TCW32" s="1688"/>
      <c r="TCX32" s="1688"/>
      <c r="TCY32" s="1688"/>
      <c r="TCZ32" s="1688"/>
      <c r="TDA32" s="1688"/>
      <c r="TDB32" s="1688"/>
      <c r="TDC32" s="1688"/>
      <c r="TDD32" s="1688"/>
      <c r="TDE32" s="1688"/>
      <c r="TDF32" s="1688"/>
      <c r="TDG32" s="1688"/>
      <c r="TDH32" s="1688"/>
      <c r="TDI32" s="1688"/>
      <c r="TDJ32" s="1688"/>
      <c r="TDK32" s="1688"/>
      <c r="TDL32" s="1688"/>
      <c r="TDM32" s="1688"/>
      <c r="TDN32" s="1688"/>
      <c r="TDO32" s="1688"/>
      <c r="TDP32" s="1688"/>
      <c r="TDQ32" s="1688"/>
      <c r="TDR32" s="1688"/>
      <c r="TDS32" s="1688"/>
      <c r="TDT32" s="1688"/>
      <c r="TDU32" s="1688"/>
      <c r="TDV32" s="1688"/>
      <c r="TDW32" s="1688"/>
      <c r="TDX32" s="1688"/>
      <c r="TDY32" s="1688"/>
      <c r="TDZ32" s="1688"/>
      <c r="TEA32" s="1688"/>
      <c r="TEB32" s="1688"/>
      <c r="TEC32" s="1688"/>
      <c r="TED32" s="1688"/>
      <c r="TEE32" s="1688"/>
      <c r="TEF32" s="1688"/>
      <c r="TEG32" s="1688"/>
      <c r="TEH32" s="1688"/>
      <c r="TEI32" s="1688"/>
      <c r="TEJ32" s="1688"/>
      <c r="TEK32" s="1688"/>
      <c r="TEL32" s="1688"/>
      <c r="TEM32" s="1688"/>
      <c r="TEN32" s="1688"/>
      <c r="TEO32" s="1688"/>
      <c r="TEP32" s="1688"/>
      <c r="TEQ32" s="1688"/>
      <c r="TER32" s="1688"/>
      <c r="TES32" s="1688"/>
      <c r="TET32" s="1688"/>
      <c r="TEU32" s="1688"/>
      <c r="TEV32" s="1688"/>
      <c r="TEW32" s="1688"/>
      <c r="TEX32" s="1688"/>
      <c r="TEY32" s="1688"/>
      <c r="TEZ32" s="1688"/>
      <c r="TFA32" s="1688"/>
      <c r="TFB32" s="1688"/>
      <c r="TFC32" s="1688"/>
      <c r="TFD32" s="1688"/>
      <c r="TFE32" s="1688"/>
      <c r="TFF32" s="1688"/>
      <c r="TFG32" s="1688"/>
      <c r="TFH32" s="1688"/>
      <c r="TFI32" s="1688"/>
      <c r="TFJ32" s="1688"/>
      <c r="TFK32" s="1688"/>
      <c r="TFL32" s="1688"/>
      <c r="TFM32" s="1688"/>
      <c r="TFN32" s="1688"/>
      <c r="TFO32" s="1688"/>
      <c r="TFP32" s="1688"/>
      <c r="TFQ32" s="1688"/>
      <c r="TFR32" s="1688"/>
      <c r="TFS32" s="1688"/>
      <c r="TFT32" s="1688"/>
      <c r="TFU32" s="1688"/>
      <c r="TFV32" s="1688"/>
      <c r="TFW32" s="1688"/>
      <c r="TFX32" s="1688"/>
      <c r="TFY32" s="1688"/>
      <c r="TFZ32" s="1688"/>
      <c r="TGA32" s="1688"/>
      <c r="TGB32" s="1688"/>
      <c r="TGC32" s="1688"/>
      <c r="TGD32" s="1688"/>
      <c r="TGE32" s="1688"/>
      <c r="TGF32" s="1688"/>
      <c r="TGG32" s="1688"/>
      <c r="TGH32" s="1688"/>
      <c r="TGI32" s="1688"/>
      <c r="TGJ32" s="1688"/>
      <c r="TGK32" s="1688"/>
      <c r="TGL32" s="1688"/>
      <c r="TGM32" s="1688"/>
      <c r="TGN32" s="1688"/>
      <c r="TGO32" s="1688"/>
      <c r="TGP32" s="1688"/>
      <c r="TGQ32" s="1688"/>
      <c r="TGR32" s="1688"/>
      <c r="TGS32" s="1688"/>
      <c r="TGT32" s="1688"/>
      <c r="TGU32" s="1688"/>
      <c r="TGV32" s="1688"/>
      <c r="TGW32" s="1688"/>
      <c r="TGX32" s="1688"/>
      <c r="TGY32" s="1688"/>
      <c r="TGZ32" s="1688"/>
      <c r="THA32" s="1688"/>
      <c r="THB32" s="1688"/>
      <c r="THC32" s="1688"/>
      <c r="THD32" s="1688"/>
      <c r="THE32" s="1688"/>
      <c r="THF32" s="1688"/>
      <c r="THG32" s="1688"/>
      <c r="THH32" s="1688"/>
      <c r="THI32" s="1688"/>
      <c r="THJ32" s="1688"/>
      <c r="THK32" s="1688"/>
      <c r="THL32" s="1688"/>
      <c r="THM32" s="1688"/>
      <c r="THN32" s="1688"/>
      <c r="THO32" s="1688"/>
      <c r="THP32" s="1688"/>
      <c r="THQ32" s="1688"/>
      <c r="THR32" s="1688"/>
      <c r="THS32" s="1688"/>
      <c r="THT32" s="1688"/>
      <c r="THU32" s="1688"/>
      <c r="THV32" s="1688"/>
      <c r="THW32" s="1688"/>
      <c r="THX32" s="1688"/>
      <c r="THY32" s="1688"/>
      <c r="THZ32" s="1688"/>
      <c r="TIA32" s="1688"/>
      <c r="TIB32" s="1688"/>
      <c r="TIC32" s="1688"/>
      <c r="TID32" s="1688"/>
      <c r="TIE32" s="1688"/>
      <c r="TIF32" s="1688"/>
      <c r="TIG32" s="1688"/>
      <c r="TIH32" s="1688"/>
      <c r="TII32" s="1688"/>
      <c r="TIJ32" s="1688"/>
      <c r="TIK32" s="1688"/>
      <c r="TIL32" s="1688"/>
      <c r="TIM32" s="1688"/>
      <c r="TIN32" s="1688"/>
      <c r="TIO32" s="1688"/>
      <c r="TIP32" s="1688"/>
      <c r="TIQ32" s="1688"/>
      <c r="TIR32" s="1688"/>
      <c r="TIS32" s="1688"/>
      <c r="TIT32" s="1688"/>
      <c r="TIU32" s="1688"/>
      <c r="TIV32" s="1688"/>
      <c r="TIW32" s="1688"/>
      <c r="TIX32" s="1688"/>
      <c r="TIY32" s="1688"/>
      <c r="TIZ32" s="1688"/>
      <c r="TJA32" s="1688"/>
      <c r="TJB32" s="1688"/>
      <c r="TJC32" s="1688"/>
      <c r="TJD32" s="1688"/>
      <c r="TJE32" s="1688"/>
      <c r="TJF32" s="1688"/>
      <c r="TJG32" s="1688"/>
      <c r="TJH32" s="1688"/>
      <c r="TJI32" s="1688"/>
      <c r="TJJ32" s="1688"/>
      <c r="TJK32" s="1688"/>
      <c r="TJL32" s="1688"/>
      <c r="TJM32" s="1688"/>
      <c r="TJN32" s="1688"/>
      <c r="TJO32" s="1688"/>
      <c r="TJP32" s="1688"/>
      <c r="TJQ32" s="1688"/>
      <c r="TJR32" s="1688"/>
      <c r="TJS32" s="1688"/>
      <c r="TJT32" s="1688"/>
      <c r="TJU32" s="1688"/>
      <c r="TJV32" s="1688"/>
      <c r="TJW32" s="1688"/>
      <c r="TJX32" s="1688"/>
      <c r="TJY32" s="1688"/>
      <c r="TJZ32" s="1688"/>
      <c r="TKA32" s="1688"/>
      <c r="TKB32" s="1688"/>
      <c r="TKC32" s="1688"/>
      <c r="TKD32" s="1688"/>
      <c r="TKE32" s="1688"/>
      <c r="TKF32" s="1688"/>
      <c r="TKG32" s="1688"/>
      <c r="TKH32" s="1688"/>
      <c r="TKI32" s="1688"/>
      <c r="TKJ32" s="1688"/>
      <c r="TKK32" s="1688"/>
      <c r="TKL32" s="1688"/>
      <c r="TKM32" s="1688"/>
      <c r="TKN32" s="1688"/>
      <c r="TKO32" s="1688"/>
      <c r="TKP32" s="1688"/>
      <c r="TKQ32" s="1688"/>
      <c r="TKR32" s="1688"/>
      <c r="TKS32" s="1688"/>
      <c r="TKT32" s="1688"/>
      <c r="TKU32" s="1688"/>
      <c r="TKV32" s="1688"/>
      <c r="TKW32" s="1688"/>
      <c r="TKX32" s="1688"/>
      <c r="TKY32" s="1688"/>
      <c r="TKZ32" s="1688"/>
      <c r="TLA32" s="1688"/>
      <c r="TLB32" s="1688"/>
      <c r="TLC32" s="1688"/>
      <c r="TLD32" s="1688"/>
      <c r="TLE32" s="1688"/>
      <c r="TLF32" s="1688"/>
      <c r="TLG32" s="1688"/>
      <c r="TLH32" s="1688"/>
      <c r="TLI32" s="1688"/>
      <c r="TLJ32" s="1688"/>
      <c r="TLK32" s="1688"/>
      <c r="TLL32" s="1688"/>
      <c r="TLM32" s="1688"/>
      <c r="TLN32" s="1688"/>
      <c r="TLO32" s="1688"/>
      <c r="TLP32" s="1688"/>
      <c r="TLQ32" s="1688"/>
      <c r="TLR32" s="1688"/>
      <c r="TLS32" s="1688"/>
      <c r="TLT32" s="1688"/>
      <c r="TLU32" s="1688"/>
      <c r="TLV32" s="1688"/>
      <c r="TLW32" s="1688"/>
      <c r="TLX32" s="1688"/>
      <c r="TLY32" s="1688"/>
      <c r="TLZ32" s="1688"/>
      <c r="TMA32" s="1688"/>
      <c r="TMB32" s="1688"/>
      <c r="TMC32" s="1688"/>
      <c r="TMD32" s="1688"/>
      <c r="TME32" s="1688"/>
      <c r="TMF32" s="1688"/>
      <c r="TMG32" s="1688"/>
      <c r="TMH32" s="1688"/>
      <c r="TMI32" s="1688"/>
      <c r="TMJ32" s="1688"/>
      <c r="TMK32" s="1688"/>
      <c r="TML32" s="1688"/>
      <c r="TMM32" s="1688"/>
      <c r="TMN32" s="1688"/>
      <c r="TMO32" s="1688"/>
      <c r="TMP32" s="1688"/>
      <c r="TMQ32" s="1688"/>
      <c r="TMR32" s="1688"/>
      <c r="TMS32" s="1688"/>
      <c r="TMT32" s="1688"/>
      <c r="TMU32" s="1688"/>
      <c r="TMV32" s="1688"/>
      <c r="TMW32" s="1688"/>
      <c r="TMX32" s="1688"/>
      <c r="TMY32" s="1688"/>
      <c r="TMZ32" s="1688"/>
      <c r="TNA32" s="1688"/>
      <c r="TNB32" s="1688"/>
      <c r="TNC32" s="1688"/>
      <c r="TND32" s="1688"/>
      <c r="TNE32" s="1688"/>
      <c r="TNF32" s="1688"/>
      <c r="TNG32" s="1688"/>
      <c r="TNH32" s="1688"/>
      <c r="TNI32" s="1688"/>
      <c r="TNJ32" s="1688"/>
      <c r="TNK32" s="1688"/>
      <c r="TNL32" s="1688"/>
      <c r="TNM32" s="1688"/>
      <c r="TNN32" s="1688"/>
      <c r="TNO32" s="1688"/>
      <c r="TNP32" s="1688"/>
      <c r="TNQ32" s="1688"/>
      <c r="TNR32" s="1688"/>
      <c r="TNS32" s="1688"/>
      <c r="TNT32" s="1688"/>
      <c r="TNU32" s="1688"/>
      <c r="TNV32" s="1688"/>
      <c r="TNW32" s="1688"/>
      <c r="TNX32" s="1688"/>
      <c r="TNY32" s="1688"/>
      <c r="TNZ32" s="1688"/>
      <c r="TOA32" s="1688"/>
      <c r="TOB32" s="1688"/>
      <c r="TOC32" s="1688"/>
      <c r="TOD32" s="1688"/>
      <c r="TOE32" s="1688"/>
      <c r="TOF32" s="1688"/>
      <c r="TOG32" s="1688"/>
      <c r="TOH32" s="1688"/>
      <c r="TOI32" s="1688"/>
      <c r="TOJ32" s="1688"/>
      <c r="TOK32" s="1688"/>
      <c r="TOL32" s="1688"/>
      <c r="TOM32" s="1688"/>
      <c r="TON32" s="1688"/>
      <c r="TOO32" s="1688"/>
      <c r="TOP32" s="1688"/>
      <c r="TOQ32" s="1688"/>
      <c r="TOR32" s="1688"/>
      <c r="TOS32" s="1688"/>
      <c r="TOT32" s="1688"/>
      <c r="TOU32" s="1688"/>
      <c r="TOV32" s="1688"/>
      <c r="TOW32" s="1688"/>
      <c r="TOX32" s="1688"/>
      <c r="TOY32" s="1688"/>
      <c r="TOZ32" s="1688"/>
      <c r="TPA32" s="1688"/>
      <c r="TPB32" s="1688"/>
      <c r="TPC32" s="1688"/>
      <c r="TPD32" s="1688"/>
      <c r="TPE32" s="1688"/>
      <c r="TPF32" s="1688"/>
      <c r="TPG32" s="1688"/>
      <c r="TPH32" s="1688"/>
      <c r="TPI32" s="1688"/>
      <c r="TPJ32" s="1688"/>
      <c r="TPK32" s="1688"/>
      <c r="TPL32" s="1688"/>
      <c r="TPM32" s="1688"/>
      <c r="TPN32" s="1688"/>
      <c r="TPO32" s="1688"/>
      <c r="TPP32" s="1688"/>
      <c r="TPQ32" s="1688"/>
      <c r="TPR32" s="1688"/>
      <c r="TPS32" s="1688"/>
      <c r="TPT32" s="1688"/>
      <c r="TPU32" s="1688"/>
      <c r="TPV32" s="1688"/>
      <c r="TPW32" s="1688"/>
      <c r="TPX32" s="1688"/>
      <c r="TPY32" s="1688"/>
      <c r="TPZ32" s="1688"/>
      <c r="TQA32" s="1688"/>
      <c r="TQB32" s="1688"/>
      <c r="TQC32" s="1688"/>
      <c r="TQD32" s="1688"/>
      <c r="TQE32" s="1688"/>
      <c r="TQF32" s="1688"/>
      <c r="TQG32" s="1688"/>
      <c r="TQH32" s="1688"/>
      <c r="TQI32" s="1688"/>
      <c r="TQJ32" s="1688"/>
      <c r="TQK32" s="1688"/>
      <c r="TQL32" s="1688"/>
      <c r="TQM32" s="1688"/>
      <c r="TQN32" s="1688"/>
      <c r="TQO32" s="1688"/>
      <c r="TQP32" s="1688"/>
      <c r="TQQ32" s="1688"/>
      <c r="TQR32" s="1688"/>
      <c r="TQS32" s="1688"/>
      <c r="TQT32" s="1688"/>
      <c r="TQU32" s="1688"/>
      <c r="TQV32" s="1688"/>
      <c r="TQW32" s="1688"/>
      <c r="TQX32" s="1688"/>
      <c r="TQY32" s="1688"/>
      <c r="TQZ32" s="1688"/>
      <c r="TRA32" s="1688"/>
      <c r="TRB32" s="1688"/>
      <c r="TRC32" s="1688"/>
      <c r="TRD32" s="1688"/>
      <c r="TRE32" s="1688"/>
      <c r="TRF32" s="1688"/>
      <c r="TRG32" s="1688"/>
      <c r="TRH32" s="1688"/>
      <c r="TRI32" s="1688"/>
      <c r="TRJ32" s="1688"/>
      <c r="TRK32" s="1688"/>
      <c r="TRL32" s="1688"/>
      <c r="TRM32" s="1688"/>
      <c r="TRN32" s="1688"/>
      <c r="TRO32" s="1688"/>
      <c r="TRP32" s="1688"/>
      <c r="TRQ32" s="1688"/>
      <c r="TRR32" s="1688"/>
      <c r="TRS32" s="1688"/>
      <c r="TRT32" s="1688"/>
      <c r="TRU32" s="1688"/>
      <c r="TRV32" s="1688"/>
      <c r="TRW32" s="1688"/>
      <c r="TRX32" s="1688"/>
      <c r="TRY32" s="1688"/>
      <c r="TRZ32" s="1688"/>
      <c r="TSA32" s="1688"/>
      <c r="TSB32" s="1688"/>
      <c r="TSC32" s="1688"/>
      <c r="TSD32" s="1688"/>
      <c r="TSE32" s="1688"/>
      <c r="TSF32" s="1688"/>
      <c r="TSG32" s="1688"/>
      <c r="TSH32" s="1688"/>
      <c r="TSI32" s="1688"/>
      <c r="TSJ32" s="1688"/>
      <c r="TSK32" s="1688"/>
      <c r="TSL32" s="1688"/>
      <c r="TSM32" s="1688"/>
      <c r="TSN32" s="1688"/>
      <c r="TSO32" s="1688"/>
      <c r="TSP32" s="1688"/>
      <c r="TSQ32" s="1688"/>
      <c r="TSR32" s="1688"/>
      <c r="TSS32" s="1688"/>
      <c r="TST32" s="1688"/>
      <c r="TSU32" s="1688"/>
      <c r="TSV32" s="1688"/>
      <c r="TSW32" s="1688"/>
      <c r="TSX32" s="1688"/>
      <c r="TSY32" s="1688"/>
      <c r="TSZ32" s="1688"/>
      <c r="TTA32" s="1688"/>
      <c r="TTB32" s="1688"/>
      <c r="TTC32" s="1688"/>
      <c r="TTD32" s="1688"/>
      <c r="TTE32" s="1688"/>
      <c r="TTF32" s="1688"/>
      <c r="TTG32" s="1688"/>
      <c r="TTH32" s="1688"/>
      <c r="TTI32" s="1688"/>
      <c r="TTJ32" s="1688"/>
      <c r="TTK32" s="1688"/>
      <c r="TTL32" s="1688"/>
      <c r="TTM32" s="1688"/>
      <c r="TTN32" s="1688"/>
      <c r="TTO32" s="1688"/>
      <c r="TTP32" s="1688"/>
      <c r="TTQ32" s="1688"/>
      <c r="TTR32" s="1688"/>
      <c r="TTS32" s="1688"/>
      <c r="TTT32" s="1688"/>
      <c r="TTU32" s="1688"/>
      <c r="TTV32" s="1688"/>
      <c r="TTW32" s="1688"/>
      <c r="TTX32" s="1688"/>
      <c r="TTY32" s="1688"/>
      <c r="TTZ32" s="1688"/>
      <c r="TUA32" s="1688"/>
      <c r="TUB32" s="1688"/>
      <c r="TUC32" s="1688"/>
      <c r="TUD32" s="1688"/>
      <c r="TUE32" s="1688"/>
      <c r="TUF32" s="1688"/>
      <c r="TUG32" s="1688"/>
      <c r="TUH32" s="1688"/>
      <c r="TUI32" s="1688"/>
      <c r="TUJ32" s="1688"/>
      <c r="TUK32" s="1688"/>
      <c r="TUL32" s="1688"/>
      <c r="TUM32" s="1688"/>
      <c r="TUN32" s="1688"/>
      <c r="TUO32" s="1688"/>
      <c r="TUP32" s="1688"/>
      <c r="TUQ32" s="1688"/>
      <c r="TUR32" s="1688"/>
      <c r="TUS32" s="1688"/>
      <c r="TUT32" s="1688"/>
      <c r="TUU32" s="1688"/>
      <c r="TUV32" s="1688"/>
      <c r="TUW32" s="1688"/>
      <c r="TUX32" s="1688"/>
      <c r="TUY32" s="1688"/>
      <c r="TUZ32" s="1688"/>
      <c r="TVA32" s="1688"/>
      <c r="TVB32" s="1688"/>
      <c r="TVC32" s="1688"/>
      <c r="TVD32" s="1688"/>
      <c r="TVE32" s="1688"/>
      <c r="TVF32" s="1688"/>
      <c r="TVG32" s="1688"/>
      <c r="TVH32" s="1688"/>
      <c r="TVI32" s="1688"/>
      <c r="TVJ32" s="1688"/>
      <c r="TVK32" s="1688"/>
      <c r="TVL32" s="1688"/>
      <c r="TVM32" s="1688"/>
      <c r="TVN32" s="1688"/>
      <c r="TVO32" s="1688"/>
      <c r="TVP32" s="1688"/>
      <c r="TVQ32" s="1688"/>
      <c r="TVR32" s="1688"/>
      <c r="TVS32" s="1688"/>
      <c r="TVT32" s="1688"/>
      <c r="TVU32" s="1688"/>
      <c r="TVV32" s="1688"/>
      <c r="TVW32" s="1688"/>
      <c r="TVX32" s="1688"/>
      <c r="TVY32" s="1688"/>
      <c r="TVZ32" s="1688"/>
      <c r="TWA32" s="1688"/>
      <c r="TWB32" s="1688"/>
      <c r="TWC32" s="1688"/>
      <c r="TWD32" s="1688"/>
      <c r="TWE32" s="1688"/>
      <c r="TWF32" s="1688"/>
      <c r="TWG32" s="1688"/>
      <c r="TWH32" s="1688"/>
      <c r="TWI32" s="1688"/>
      <c r="TWJ32" s="1688"/>
      <c r="TWK32" s="1688"/>
      <c r="TWL32" s="1688"/>
      <c r="TWM32" s="1688"/>
      <c r="TWN32" s="1688"/>
      <c r="TWO32" s="1688"/>
      <c r="TWP32" s="1688"/>
      <c r="TWQ32" s="1688"/>
      <c r="TWR32" s="1688"/>
      <c r="TWS32" s="1688"/>
      <c r="TWT32" s="1688"/>
      <c r="TWU32" s="1688"/>
      <c r="TWV32" s="1688"/>
      <c r="TWW32" s="1688"/>
      <c r="TWX32" s="1688"/>
      <c r="TWY32" s="1688"/>
      <c r="TWZ32" s="1688"/>
      <c r="TXA32" s="1688"/>
      <c r="TXB32" s="1688"/>
      <c r="TXC32" s="1688"/>
      <c r="TXD32" s="1688"/>
      <c r="TXE32" s="1688"/>
      <c r="TXF32" s="1688"/>
      <c r="TXG32" s="1688"/>
      <c r="TXH32" s="1688"/>
      <c r="TXI32" s="1688"/>
      <c r="TXJ32" s="1688"/>
      <c r="TXK32" s="1688"/>
      <c r="TXL32" s="1688"/>
      <c r="TXM32" s="1688"/>
      <c r="TXN32" s="1688"/>
      <c r="TXO32" s="1688"/>
      <c r="TXP32" s="1688"/>
      <c r="TXQ32" s="1688"/>
      <c r="TXR32" s="1688"/>
      <c r="TXS32" s="1688"/>
      <c r="TXT32" s="1688"/>
      <c r="TXU32" s="1688"/>
      <c r="TXV32" s="1688"/>
      <c r="TXW32" s="1688"/>
      <c r="TXX32" s="1688"/>
      <c r="TXY32" s="1688"/>
      <c r="TXZ32" s="1688"/>
      <c r="TYA32" s="1688"/>
      <c r="TYB32" s="1688"/>
      <c r="TYC32" s="1688"/>
      <c r="TYD32" s="1688"/>
      <c r="TYE32" s="1688"/>
      <c r="TYF32" s="1688"/>
      <c r="TYG32" s="1688"/>
      <c r="TYH32" s="1688"/>
      <c r="TYI32" s="1688"/>
      <c r="TYJ32" s="1688"/>
      <c r="TYK32" s="1688"/>
      <c r="TYL32" s="1688"/>
      <c r="TYM32" s="1688"/>
      <c r="TYN32" s="1688"/>
      <c r="TYO32" s="1688"/>
      <c r="TYP32" s="1688"/>
      <c r="TYQ32" s="1688"/>
      <c r="TYR32" s="1688"/>
      <c r="TYS32" s="1688"/>
      <c r="TYT32" s="1688"/>
      <c r="TYU32" s="1688"/>
      <c r="TYV32" s="1688"/>
      <c r="TYW32" s="1688"/>
      <c r="TYX32" s="1688"/>
      <c r="TYY32" s="1688"/>
      <c r="TYZ32" s="1688"/>
      <c r="TZA32" s="1688"/>
      <c r="TZB32" s="1688"/>
      <c r="TZC32" s="1688"/>
      <c r="TZD32" s="1688"/>
      <c r="TZE32" s="1688"/>
      <c r="TZF32" s="1688"/>
      <c r="TZG32" s="1688"/>
      <c r="TZH32" s="1688"/>
      <c r="TZI32" s="1688"/>
      <c r="TZJ32" s="1688"/>
      <c r="TZK32" s="1688"/>
      <c r="TZL32" s="1688"/>
      <c r="TZM32" s="1688"/>
      <c r="TZN32" s="1688"/>
      <c r="TZO32" s="1688"/>
      <c r="TZP32" s="1688"/>
      <c r="TZQ32" s="1688"/>
      <c r="TZR32" s="1688"/>
      <c r="TZS32" s="1688"/>
      <c r="TZT32" s="1688"/>
      <c r="TZU32" s="1688"/>
      <c r="TZV32" s="1688"/>
      <c r="TZW32" s="1688"/>
      <c r="TZX32" s="1688"/>
      <c r="TZY32" s="1688"/>
      <c r="TZZ32" s="1688"/>
      <c r="UAA32" s="1688"/>
      <c r="UAB32" s="1688"/>
      <c r="UAC32" s="1688"/>
      <c r="UAD32" s="1688"/>
      <c r="UAE32" s="1688"/>
      <c r="UAF32" s="1688"/>
      <c r="UAG32" s="1688"/>
      <c r="UAH32" s="1688"/>
      <c r="UAI32" s="1688"/>
      <c r="UAJ32" s="1688"/>
      <c r="UAK32" s="1688"/>
      <c r="UAL32" s="1688"/>
      <c r="UAM32" s="1688"/>
      <c r="UAN32" s="1688"/>
      <c r="UAO32" s="1688"/>
      <c r="UAP32" s="1688"/>
      <c r="UAQ32" s="1688"/>
      <c r="UAR32" s="1688"/>
      <c r="UAS32" s="1688"/>
      <c r="UAT32" s="1688"/>
      <c r="UAU32" s="1688"/>
      <c r="UAV32" s="1688"/>
      <c r="UAW32" s="1688"/>
      <c r="UAX32" s="1688"/>
      <c r="UAY32" s="1688"/>
      <c r="UAZ32" s="1688"/>
      <c r="UBA32" s="1688"/>
      <c r="UBB32" s="1688"/>
      <c r="UBC32" s="1688"/>
      <c r="UBD32" s="1688"/>
      <c r="UBE32" s="1688"/>
      <c r="UBF32" s="1688"/>
      <c r="UBG32" s="1688"/>
      <c r="UBH32" s="1688"/>
      <c r="UBI32" s="1688"/>
      <c r="UBJ32" s="1688"/>
      <c r="UBK32" s="1688"/>
      <c r="UBL32" s="1688"/>
      <c r="UBM32" s="1688"/>
      <c r="UBN32" s="1688"/>
      <c r="UBO32" s="1688"/>
      <c r="UBP32" s="1688"/>
      <c r="UBQ32" s="1688"/>
      <c r="UBR32" s="1688"/>
      <c r="UBS32" s="1688"/>
      <c r="UBT32" s="1688"/>
      <c r="UBU32" s="1688"/>
      <c r="UBV32" s="1688"/>
      <c r="UBW32" s="1688"/>
      <c r="UBX32" s="1688"/>
      <c r="UBY32" s="1688"/>
      <c r="UBZ32" s="1688"/>
      <c r="UCA32" s="1688"/>
      <c r="UCB32" s="1688"/>
      <c r="UCC32" s="1688"/>
      <c r="UCD32" s="1688"/>
      <c r="UCE32" s="1688"/>
      <c r="UCF32" s="1688"/>
      <c r="UCG32" s="1688"/>
      <c r="UCH32" s="1688"/>
      <c r="UCI32" s="1688"/>
      <c r="UCJ32" s="1688"/>
      <c r="UCK32" s="1688"/>
      <c r="UCL32" s="1688"/>
      <c r="UCM32" s="1688"/>
      <c r="UCN32" s="1688"/>
      <c r="UCO32" s="1688"/>
      <c r="UCP32" s="1688"/>
      <c r="UCQ32" s="1688"/>
      <c r="UCR32" s="1688"/>
      <c r="UCS32" s="1688"/>
      <c r="UCT32" s="1688"/>
      <c r="UCU32" s="1688"/>
      <c r="UCV32" s="1688"/>
      <c r="UCW32" s="1688"/>
      <c r="UCX32" s="1688"/>
      <c r="UCY32" s="1688"/>
      <c r="UCZ32" s="1688"/>
      <c r="UDA32" s="1688"/>
      <c r="UDB32" s="1688"/>
      <c r="UDC32" s="1688"/>
      <c r="UDD32" s="1688"/>
      <c r="UDE32" s="1688"/>
      <c r="UDF32" s="1688"/>
      <c r="UDG32" s="1688"/>
      <c r="UDH32" s="1688"/>
      <c r="UDI32" s="1688"/>
      <c r="UDJ32" s="1688"/>
      <c r="UDK32" s="1688"/>
      <c r="UDL32" s="1688"/>
      <c r="UDM32" s="1688"/>
      <c r="UDN32" s="1688"/>
      <c r="UDO32" s="1688"/>
      <c r="UDP32" s="1688"/>
      <c r="UDQ32" s="1688"/>
      <c r="UDR32" s="1688"/>
      <c r="UDS32" s="1688"/>
      <c r="UDT32" s="1688"/>
      <c r="UDU32" s="1688"/>
      <c r="UDV32" s="1688"/>
      <c r="UDW32" s="1688"/>
      <c r="UDX32" s="1688"/>
      <c r="UDY32" s="1688"/>
      <c r="UDZ32" s="1688"/>
      <c r="UEA32" s="1688"/>
      <c r="UEB32" s="1688"/>
      <c r="UEC32" s="1688"/>
      <c r="UED32" s="1688"/>
      <c r="UEE32" s="1688"/>
      <c r="UEF32" s="1688"/>
      <c r="UEG32" s="1688"/>
      <c r="UEH32" s="1688"/>
      <c r="UEI32" s="1688"/>
      <c r="UEJ32" s="1688"/>
      <c r="UEK32" s="1688"/>
      <c r="UEL32" s="1688"/>
      <c r="UEM32" s="1688"/>
      <c r="UEN32" s="1688"/>
      <c r="UEO32" s="1688"/>
      <c r="UEP32" s="1688"/>
      <c r="UEQ32" s="1688"/>
      <c r="UER32" s="1688"/>
      <c r="UES32" s="1688"/>
      <c r="UET32" s="1688"/>
      <c r="UEU32" s="1688"/>
      <c r="UEV32" s="1688"/>
      <c r="UEW32" s="1688"/>
      <c r="UEX32" s="1688"/>
      <c r="UEY32" s="1688"/>
      <c r="UEZ32" s="1688"/>
      <c r="UFA32" s="1688"/>
      <c r="UFB32" s="1688"/>
      <c r="UFC32" s="1688"/>
      <c r="UFD32" s="1688"/>
      <c r="UFE32" s="1688"/>
      <c r="UFF32" s="1688"/>
      <c r="UFG32" s="1688"/>
      <c r="UFH32" s="1688"/>
      <c r="UFI32" s="1688"/>
      <c r="UFJ32" s="1688"/>
      <c r="UFK32" s="1688"/>
      <c r="UFL32" s="1688"/>
      <c r="UFM32" s="1688"/>
      <c r="UFN32" s="1688"/>
      <c r="UFO32" s="1688"/>
      <c r="UFP32" s="1688"/>
      <c r="UFQ32" s="1688"/>
      <c r="UFR32" s="1688"/>
      <c r="UFS32" s="1688"/>
      <c r="UFT32" s="1688"/>
      <c r="UFU32" s="1688"/>
      <c r="UFV32" s="1688"/>
      <c r="UFW32" s="1688"/>
      <c r="UFX32" s="1688"/>
      <c r="UFY32" s="1688"/>
      <c r="UFZ32" s="1688"/>
      <c r="UGA32" s="1688"/>
      <c r="UGB32" s="1688"/>
      <c r="UGC32" s="1688"/>
      <c r="UGD32" s="1688"/>
      <c r="UGE32" s="1688"/>
      <c r="UGF32" s="1688"/>
      <c r="UGG32" s="1688"/>
      <c r="UGH32" s="1688"/>
      <c r="UGI32" s="1688"/>
      <c r="UGJ32" s="1688"/>
      <c r="UGK32" s="1688"/>
      <c r="UGL32" s="1688"/>
      <c r="UGM32" s="1688"/>
      <c r="UGN32" s="1688"/>
      <c r="UGO32" s="1688"/>
      <c r="UGP32" s="1688"/>
      <c r="UGQ32" s="1688"/>
      <c r="UGR32" s="1688"/>
      <c r="UGS32" s="1688"/>
      <c r="UGT32" s="1688"/>
      <c r="UGU32" s="1688"/>
      <c r="UGV32" s="1688"/>
      <c r="UGW32" s="1688"/>
      <c r="UGX32" s="1688"/>
      <c r="UGY32" s="1688"/>
      <c r="UGZ32" s="1688"/>
      <c r="UHA32" s="1688"/>
      <c r="UHB32" s="1688"/>
      <c r="UHC32" s="1688"/>
      <c r="UHD32" s="1688"/>
      <c r="UHE32" s="1688"/>
      <c r="UHF32" s="1688"/>
      <c r="UHG32" s="1688"/>
      <c r="UHH32" s="1688"/>
      <c r="UHI32" s="1688"/>
      <c r="UHJ32" s="1688"/>
      <c r="UHK32" s="1688"/>
      <c r="UHL32" s="1688"/>
      <c r="UHM32" s="1688"/>
      <c r="UHN32" s="1688"/>
      <c r="UHO32" s="1688"/>
      <c r="UHP32" s="1688"/>
      <c r="UHQ32" s="1688"/>
      <c r="UHR32" s="1688"/>
      <c r="UHS32" s="1688"/>
      <c r="UHT32" s="1688"/>
      <c r="UHU32" s="1688"/>
      <c r="UHV32" s="1688"/>
      <c r="UHW32" s="1688"/>
      <c r="UHX32" s="1688"/>
      <c r="UHY32" s="1688"/>
      <c r="UHZ32" s="1688"/>
      <c r="UIA32" s="1688"/>
      <c r="UIB32" s="1688"/>
      <c r="UIC32" s="1688"/>
      <c r="UID32" s="1688"/>
      <c r="UIE32" s="1688"/>
      <c r="UIF32" s="1688"/>
      <c r="UIG32" s="1688"/>
      <c r="UIH32" s="1688"/>
      <c r="UII32" s="1688"/>
      <c r="UIJ32" s="1688"/>
      <c r="UIK32" s="1688"/>
      <c r="UIL32" s="1688"/>
      <c r="UIM32" s="1688"/>
      <c r="UIN32" s="1688"/>
      <c r="UIO32" s="1688"/>
      <c r="UIP32" s="1688"/>
      <c r="UIQ32" s="1688"/>
      <c r="UIR32" s="1688"/>
      <c r="UIS32" s="1688"/>
      <c r="UIT32" s="1688"/>
      <c r="UIU32" s="1688"/>
      <c r="UIV32" s="1688"/>
      <c r="UIW32" s="1688"/>
      <c r="UIX32" s="1688"/>
      <c r="UIY32" s="1688"/>
      <c r="UIZ32" s="1688"/>
      <c r="UJA32" s="1688"/>
      <c r="UJB32" s="1688"/>
      <c r="UJC32" s="1688"/>
      <c r="UJD32" s="1688"/>
      <c r="UJE32" s="1688"/>
      <c r="UJF32" s="1688"/>
      <c r="UJG32" s="1688"/>
      <c r="UJH32" s="1688"/>
      <c r="UJI32" s="1688"/>
      <c r="UJJ32" s="1688"/>
      <c r="UJK32" s="1688"/>
      <c r="UJL32" s="1688"/>
      <c r="UJM32" s="1688"/>
      <c r="UJN32" s="1688"/>
      <c r="UJO32" s="1688"/>
      <c r="UJP32" s="1688"/>
      <c r="UJQ32" s="1688"/>
      <c r="UJR32" s="1688"/>
      <c r="UJS32" s="1688"/>
      <c r="UJT32" s="1688"/>
      <c r="UJU32" s="1688"/>
      <c r="UJV32" s="1688"/>
      <c r="UJW32" s="1688"/>
      <c r="UJX32" s="1688"/>
      <c r="UJY32" s="1688"/>
      <c r="UJZ32" s="1688"/>
      <c r="UKA32" s="1688"/>
      <c r="UKB32" s="1688"/>
      <c r="UKC32" s="1688"/>
      <c r="UKD32" s="1688"/>
      <c r="UKE32" s="1688"/>
      <c r="UKF32" s="1688"/>
      <c r="UKG32" s="1688"/>
      <c r="UKH32" s="1688"/>
      <c r="UKI32" s="1688"/>
      <c r="UKJ32" s="1688"/>
      <c r="UKK32" s="1688"/>
      <c r="UKL32" s="1688"/>
      <c r="UKM32" s="1688"/>
      <c r="UKN32" s="1688"/>
      <c r="UKO32" s="1688"/>
      <c r="UKP32" s="1688"/>
      <c r="UKQ32" s="1688"/>
      <c r="UKR32" s="1688"/>
      <c r="UKS32" s="1688"/>
      <c r="UKT32" s="1688"/>
      <c r="UKU32" s="1688"/>
      <c r="UKV32" s="1688"/>
      <c r="UKW32" s="1688"/>
      <c r="UKX32" s="1688"/>
      <c r="UKY32" s="1688"/>
      <c r="UKZ32" s="1688"/>
      <c r="ULA32" s="1688"/>
      <c r="ULB32" s="1688"/>
      <c r="ULC32" s="1688"/>
      <c r="ULD32" s="1688"/>
      <c r="ULE32" s="1688"/>
      <c r="ULF32" s="1688"/>
      <c r="ULG32" s="1688"/>
      <c r="ULH32" s="1688"/>
      <c r="ULI32" s="1688"/>
      <c r="ULJ32" s="1688"/>
      <c r="ULK32" s="1688"/>
      <c r="ULL32" s="1688"/>
      <c r="ULM32" s="1688"/>
      <c r="ULN32" s="1688"/>
      <c r="ULO32" s="1688"/>
      <c r="ULP32" s="1688"/>
      <c r="ULQ32" s="1688"/>
      <c r="ULR32" s="1688"/>
      <c r="ULS32" s="1688"/>
      <c r="ULT32" s="1688"/>
      <c r="ULU32" s="1688"/>
      <c r="ULV32" s="1688"/>
      <c r="ULW32" s="1688"/>
      <c r="ULX32" s="1688"/>
      <c r="ULY32" s="1688"/>
      <c r="ULZ32" s="1688"/>
      <c r="UMA32" s="1688"/>
      <c r="UMB32" s="1688"/>
      <c r="UMC32" s="1688"/>
      <c r="UMD32" s="1688"/>
      <c r="UME32" s="1688"/>
      <c r="UMF32" s="1688"/>
      <c r="UMG32" s="1688"/>
      <c r="UMH32" s="1688"/>
      <c r="UMI32" s="1688"/>
      <c r="UMJ32" s="1688"/>
      <c r="UMK32" s="1688"/>
      <c r="UML32" s="1688"/>
      <c r="UMM32" s="1688"/>
      <c r="UMN32" s="1688"/>
      <c r="UMO32" s="1688"/>
      <c r="UMP32" s="1688"/>
      <c r="UMQ32" s="1688"/>
      <c r="UMR32" s="1688"/>
      <c r="UMS32" s="1688"/>
      <c r="UMT32" s="1688"/>
      <c r="UMU32" s="1688"/>
      <c r="UMV32" s="1688"/>
      <c r="UMW32" s="1688"/>
      <c r="UMX32" s="1688"/>
      <c r="UMY32" s="1688"/>
      <c r="UMZ32" s="1688"/>
      <c r="UNA32" s="1688"/>
      <c r="UNB32" s="1688"/>
      <c r="UNC32" s="1688"/>
      <c r="UND32" s="1688"/>
      <c r="UNE32" s="1688"/>
      <c r="UNF32" s="1688"/>
      <c r="UNG32" s="1688"/>
      <c r="UNH32" s="1688"/>
      <c r="UNI32" s="1688"/>
      <c r="UNJ32" s="1688"/>
      <c r="UNK32" s="1688"/>
      <c r="UNL32" s="1688"/>
      <c r="UNM32" s="1688"/>
      <c r="UNN32" s="1688"/>
      <c r="UNO32" s="1688"/>
      <c r="UNP32" s="1688"/>
      <c r="UNQ32" s="1688"/>
      <c r="UNR32" s="1688"/>
      <c r="UNS32" s="1688"/>
      <c r="UNT32" s="1688"/>
      <c r="UNU32" s="1688"/>
      <c r="UNV32" s="1688"/>
      <c r="UNW32" s="1688"/>
      <c r="UNX32" s="1688"/>
      <c r="UNY32" s="1688"/>
      <c r="UNZ32" s="1688"/>
      <c r="UOA32" s="1688"/>
      <c r="UOB32" s="1688"/>
      <c r="UOC32" s="1688"/>
      <c r="UOD32" s="1688"/>
      <c r="UOE32" s="1688"/>
      <c r="UOF32" s="1688"/>
      <c r="UOG32" s="1688"/>
      <c r="UOH32" s="1688"/>
      <c r="UOI32" s="1688"/>
      <c r="UOJ32" s="1688"/>
      <c r="UOK32" s="1688"/>
      <c r="UOL32" s="1688"/>
      <c r="UOM32" s="1688"/>
      <c r="UON32" s="1688"/>
      <c r="UOO32" s="1688"/>
      <c r="UOP32" s="1688"/>
      <c r="UOQ32" s="1688"/>
      <c r="UOR32" s="1688"/>
      <c r="UOS32" s="1688"/>
      <c r="UOT32" s="1688"/>
      <c r="UOU32" s="1688"/>
      <c r="UOV32" s="1688"/>
      <c r="UOW32" s="1688"/>
      <c r="UOX32" s="1688"/>
      <c r="UOY32" s="1688"/>
      <c r="UOZ32" s="1688"/>
      <c r="UPA32" s="1688"/>
      <c r="UPB32" s="1688"/>
      <c r="UPC32" s="1688"/>
      <c r="UPD32" s="1688"/>
      <c r="UPE32" s="1688"/>
      <c r="UPF32" s="1688"/>
      <c r="UPG32" s="1688"/>
      <c r="UPH32" s="1688"/>
      <c r="UPI32" s="1688"/>
      <c r="UPJ32" s="1688"/>
      <c r="UPK32" s="1688"/>
      <c r="UPL32" s="1688"/>
      <c r="UPM32" s="1688"/>
      <c r="UPN32" s="1688"/>
      <c r="UPO32" s="1688"/>
      <c r="UPP32" s="1688"/>
      <c r="UPQ32" s="1688"/>
      <c r="UPR32" s="1688"/>
      <c r="UPS32" s="1688"/>
      <c r="UPT32" s="1688"/>
      <c r="UPU32" s="1688"/>
      <c r="UPV32" s="1688"/>
      <c r="UPW32" s="1688"/>
      <c r="UPX32" s="1688"/>
      <c r="UPY32" s="1688"/>
      <c r="UPZ32" s="1688"/>
      <c r="UQA32" s="1688"/>
      <c r="UQB32" s="1688"/>
      <c r="UQC32" s="1688"/>
      <c r="UQD32" s="1688"/>
      <c r="UQE32" s="1688"/>
      <c r="UQF32" s="1688"/>
      <c r="UQG32" s="1688"/>
      <c r="UQH32" s="1688"/>
      <c r="UQI32" s="1688"/>
      <c r="UQJ32" s="1688"/>
      <c r="UQK32" s="1688"/>
      <c r="UQL32" s="1688"/>
      <c r="UQM32" s="1688"/>
      <c r="UQN32" s="1688"/>
      <c r="UQO32" s="1688"/>
      <c r="UQP32" s="1688"/>
      <c r="UQQ32" s="1688"/>
      <c r="UQR32" s="1688"/>
      <c r="UQS32" s="1688"/>
      <c r="UQT32" s="1688"/>
      <c r="UQU32" s="1688"/>
      <c r="UQV32" s="1688"/>
      <c r="UQW32" s="1688"/>
      <c r="UQX32" s="1688"/>
      <c r="UQY32" s="1688"/>
      <c r="UQZ32" s="1688"/>
      <c r="URA32" s="1688"/>
      <c r="URB32" s="1688"/>
      <c r="URC32" s="1688"/>
      <c r="URD32" s="1688"/>
      <c r="URE32" s="1688"/>
      <c r="URF32" s="1688"/>
      <c r="URG32" s="1688"/>
      <c r="URH32" s="1688"/>
      <c r="URI32" s="1688"/>
      <c r="URJ32" s="1688"/>
      <c r="URK32" s="1688"/>
      <c r="URL32" s="1688"/>
      <c r="URM32" s="1688"/>
      <c r="URN32" s="1688"/>
      <c r="URO32" s="1688"/>
      <c r="URP32" s="1688"/>
      <c r="URQ32" s="1688"/>
      <c r="URR32" s="1688"/>
      <c r="URS32" s="1688"/>
      <c r="URT32" s="1688"/>
      <c r="URU32" s="1688"/>
      <c r="URV32" s="1688"/>
      <c r="URW32" s="1688"/>
      <c r="URX32" s="1688"/>
      <c r="URY32" s="1688"/>
      <c r="URZ32" s="1688"/>
      <c r="USA32" s="1688"/>
      <c r="USB32" s="1688"/>
      <c r="USC32" s="1688"/>
      <c r="USD32" s="1688"/>
      <c r="USE32" s="1688"/>
      <c r="USF32" s="1688"/>
      <c r="USG32" s="1688"/>
      <c r="USH32" s="1688"/>
      <c r="USI32" s="1688"/>
      <c r="USJ32" s="1688"/>
      <c r="USK32" s="1688"/>
      <c r="USL32" s="1688"/>
      <c r="USM32" s="1688"/>
      <c r="USN32" s="1688"/>
      <c r="USO32" s="1688"/>
      <c r="USP32" s="1688"/>
      <c r="USQ32" s="1688"/>
      <c r="USR32" s="1688"/>
      <c r="USS32" s="1688"/>
      <c r="UST32" s="1688"/>
      <c r="USU32" s="1688"/>
      <c r="USV32" s="1688"/>
      <c r="USW32" s="1688"/>
      <c r="USX32" s="1688"/>
      <c r="USY32" s="1688"/>
      <c r="USZ32" s="1688"/>
      <c r="UTA32" s="1688"/>
      <c r="UTB32" s="1688"/>
      <c r="UTC32" s="1688"/>
      <c r="UTD32" s="1688"/>
      <c r="UTE32" s="1688"/>
      <c r="UTF32" s="1688"/>
      <c r="UTG32" s="1688"/>
      <c r="UTH32" s="1688"/>
      <c r="UTI32" s="1688"/>
      <c r="UTJ32" s="1688"/>
      <c r="UTK32" s="1688"/>
      <c r="UTL32" s="1688"/>
      <c r="UTM32" s="1688"/>
      <c r="UTN32" s="1688"/>
      <c r="UTO32" s="1688"/>
      <c r="UTP32" s="1688"/>
      <c r="UTQ32" s="1688"/>
      <c r="UTR32" s="1688"/>
      <c r="UTS32" s="1688"/>
      <c r="UTT32" s="1688"/>
      <c r="UTU32" s="1688"/>
      <c r="UTV32" s="1688"/>
      <c r="UTW32" s="1688"/>
      <c r="UTX32" s="1688"/>
      <c r="UTY32" s="1688"/>
      <c r="UTZ32" s="1688"/>
      <c r="UUA32" s="1688"/>
      <c r="UUB32" s="1688"/>
      <c r="UUC32" s="1688"/>
      <c r="UUD32" s="1688"/>
      <c r="UUE32" s="1688"/>
      <c r="UUF32" s="1688"/>
      <c r="UUG32" s="1688"/>
      <c r="UUH32" s="1688"/>
      <c r="UUI32" s="1688"/>
      <c r="UUJ32" s="1688"/>
      <c r="UUK32" s="1688"/>
      <c r="UUL32" s="1688"/>
      <c r="UUM32" s="1688"/>
      <c r="UUN32" s="1688"/>
      <c r="UUO32" s="1688"/>
      <c r="UUP32" s="1688"/>
      <c r="UUQ32" s="1688"/>
      <c r="UUR32" s="1688"/>
      <c r="UUS32" s="1688"/>
      <c r="UUT32" s="1688"/>
      <c r="UUU32" s="1688"/>
      <c r="UUV32" s="1688"/>
      <c r="UUW32" s="1688"/>
      <c r="UUX32" s="1688"/>
      <c r="UUY32" s="1688"/>
      <c r="UUZ32" s="1688"/>
      <c r="UVA32" s="1688"/>
      <c r="UVB32" s="1688"/>
      <c r="UVC32" s="1688"/>
      <c r="UVD32" s="1688"/>
      <c r="UVE32" s="1688"/>
      <c r="UVF32" s="1688"/>
      <c r="UVG32" s="1688"/>
      <c r="UVH32" s="1688"/>
      <c r="UVI32" s="1688"/>
      <c r="UVJ32" s="1688"/>
      <c r="UVK32" s="1688"/>
      <c r="UVL32" s="1688"/>
      <c r="UVM32" s="1688"/>
      <c r="UVN32" s="1688"/>
      <c r="UVO32" s="1688"/>
      <c r="UVP32" s="1688"/>
      <c r="UVQ32" s="1688"/>
      <c r="UVR32" s="1688"/>
      <c r="UVS32" s="1688"/>
      <c r="UVT32" s="1688"/>
      <c r="UVU32" s="1688"/>
      <c r="UVV32" s="1688"/>
      <c r="UVW32" s="1688"/>
      <c r="UVX32" s="1688"/>
      <c r="UVY32" s="1688"/>
      <c r="UVZ32" s="1688"/>
      <c r="UWA32" s="1688"/>
      <c r="UWB32" s="1688"/>
      <c r="UWC32" s="1688"/>
      <c r="UWD32" s="1688"/>
      <c r="UWE32" s="1688"/>
      <c r="UWF32" s="1688"/>
      <c r="UWG32" s="1688"/>
      <c r="UWH32" s="1688"/>
      <c r="UWI32" s="1688"/>
      <c r="UWJ32" s="1688"/>
      <c r="UWK32" s="1688"/>
      <c r="UWL32" s="1688"/>
      <c r="UWM32" s="1688"/>
      <c r="UWN32" s="1688"/>
      <c r="UWO32" s="1688"/>
      <c r="UWP32" s="1688"/>
      <c r="UWQ32" s="1688"/>
      <c r="UWR32" s="1688"/>
      <c r="UWS32" s="1688"/>
      <c r="UWT32" s="1688"/>
      <c r="UWU32" s="1688"/>
      <c r="UWV32" s="1688"/>
      <c r="UWW32" s="1688"/>
      <c r="UWX32" s="1688"/>
      <c r="UWY32" s="1688"/>
      <c r="UWZ32" s="1688"/>
      <c r="UXA32" s="1688"/>
      <c r="UXB32" s="1688"/>
      <c r="UXC32" s="1688"/>
      <c r="UXD32" s="1688"/>
      <c r="UXE32" s="1688"/>
      <c r="UXF32" s="1688"/>
      <c r="UXG32" s="1688"/>
      <c r="UXH32" s="1688"/>
      <c r="UXI32" s="1688"/>
      <c r="UXJ32" s="1688"/>
      <c r="UXK32" s="1688"/>
      <c r="UXL32" s="1688"/>
      <c r="UXM32" s="1688"/>
      <c r="UXN32" s="1688"/>
      <c r="UXO32" s="1688"/>
      <c r="UXP32" s="1688"/>
      <c r="UXQ32" s="1688"/>
      <c r="UXR32" s="1688"/>
      <c r="UXS32" s="1688"/>
      <c r="UXT32" s="1688"/>
      <c r="UXU32" s="1688"/>
      <c r="UXV32" s="1688"/>
      <c r="UXW32" s="1688"/>
      <c r="UXX32" s="1688"/>
      <c r="UXY32" s="1688"/>
      <c r="UXZ32" s="1688"/>
      <c r="UYA32" s="1688"/>
      <c r="UYB32" s="1688"/>
      <c r="UYC32" s="1688"/>
      <c r="UYD32" s="1688"/>
      <c r="UYE32" s="1688"/>
      <c r="UYF32" s="1688"/>
      <c r="UYG32" s="1688"/>
      <c r="UYH32" s="1688"/>
      <c r="UYI32" s="1688"/>
      <c r="UYJ32" s="1688"/>
      <c r="UYK32" s="1688"/>
      <c r="UYL32" s="1688"/>
      <c r="UYM32" s="1688"/>
      <c r="UYN32" s="1688"/>
      <c r="UYO32" s="1688"/>
      <c r="UYP32" s="1688"/>
      <c r="UYQ32" s="1688"/>
      <c r="UYR32" s="1688"/>
      <c r="UYS32" s="1688"/>
      <c r="UYT32" s="1688"/>
      <c r="UYU32" s="1688"/>
      <c r="UYV32" s="1688"/>
      <c r="UYW32" s="1688"/>
      <c r="UYX32" s="1688"/>
      <c r="UYY32" s="1688"/>
      <c r="UYZ32" s="1688"/>
      <c r="UZA32" s="1688"/>
      <c r="UZB32" s="1688"/>
      <c r="UZC32" s="1688"/>
      <c r="UZD32" s="1688"/>
      <c r="UZE32" s="1688"/>
      <c r="UZF32" s="1688"/>
      <c r="UZG32" s="1688"/>
      <c r="UZH32" s="1688"/>
      <c r="UZI32" s="1688"/>
      <c r="UZJ32" s="1688"/>
      <c r="UZK32" s="1688"/>
      <c r="UZL32" s="1688"/>
      <c r="UZM32" s="1688"/>
      <c r="UZN32" s="1688"/>
      <c r="UZO32" s="1688"/>
      <c r="UZP32" s="1688"/>
      <c r="UZQ32" s="1688"/>
      <c r="UZR32" s="1688"/>
      <c r="UZS32" s="1688"/>
      <c r="UZT32" s="1688"/>
      <c r="UZU32" s="1688"/>
      <c r="UZV32" s="1688"/>
      <c r="UZW32" s="1688"/>
      <c r="UZX32" s="1688"/>
      <c r="UZY32" s="1688"/>
      <c r="UZZ32" s="1688"/>
      <c r="VAA32" s="1688"/>
      <c r="VAB32" s="1688"/>
      <c r="VAC32" s="1688"/>
      <c r="VAD32" s="1688"/>
      <c r="VAE32" s="1688"/>
      <c r="VAF32" s="1688"/>
      <c r="VAG32" s="1688"/>
      <c r="VAH32" s="1688"/>
      <c r="VAI32" s="1688"/>
      <c r="VAJ32" s="1688"/>
      <c r="VAK32" s="1688"/>
      <c r="VAL32" s="1688"/>
      <c r="VAM32" s="1688"/>
      <c r="VAN32" s="1688"/>
      <c r="VAO32" s="1688"/>
      <c r="VAP32" s="1688"/>
      <c r="VAQ32" s="1688"/>
      <c r="VAR32" s="1688"/>
      <c r="VAS32" s="1688"/>
      <c r="VAT32" s="1688"/>
      <c r="VAU32" s="1688"/>
      <c r="VAV32" s="1688"/>
      <c r="VAW32" s="1688"/>
      <c r="VAX32" s="1688"/>
      <c r="VAY32" s="1688"/>
      <c r="VAZ32" s="1688"/>
      <c r="VBA32" s="1688"/>
      <c r="VBB32" s="1688"/>
      <c r="VBC32" s="1688"/>
      <c r="VBD32" s="1688"/>
      <c r="VBE32" s="1688"/>
      <c r="VBF32" s="1688"/>
      <c r="VBG32" s="1688"/>
      <c r="VBH32" s="1688"/>
      <c r="VBI32" s="1688"/>
      <c r="VBJ32" s="1688"/>
      <c r="VBK32" s="1688"/>
      <c r="VBL32" s="1688"/>
      <c r="VBM32" s="1688"/>
      <c r="VBN32" s="1688"/>
      <c r="VBO32" s="1688"/>
      <c r="VBP32" s="1688"/>
      <c r="VBQ32" s="1688"/>
      <c r="VBR32" s="1688"/>
      <c r="VBS32" s="1688"/>
      <c r="VBT32" s="1688"/>
      <c r="VBU32" s="1688"/>
      <c r="VBV32" s="1688"/>
      <c r="VBW32" s="1688"/>
      <c r="VBX32" s="1688"/>
      <c r="VBY32" s="1688"/>
      <c r="VBZ32" s="1688"/>
      <c r="VCA32" s="1688"/>
      <c r="VCB32" s="1688"/>
      <c r="VCC32" s="1688"/>
      <c r="VCD32" s="1688"/>
      <c r="VCE32" s="1688"/>
      <c r="VCF32" s="1688"/>
      <c r="VCG32" s="1688"/>
      <c r="VCH32" s="1688"/>
      <c r="VCI32" s="1688"/>
      <c r="VCJ32" s="1688"/>
      <c r="VCK32" s="1688"/>
      <c r="VCL32" s="1688"/>
      <c r="VCM32" s="1688"/>
      <c r="VCN32" s="1688"/>
      <c r="VCO32" s="1688"/>
      <c r="VCP32" s="1688"/>
      <c r="VCQ32" s="1688"/>
      <c r="VCR32" s="1688"/>
      <c r="VCS32" s="1688"/>
      <c r="VCT32" s="1688"/>
      <c r="VCU32" s="1688"/>
      <c r="VCV32" s="1688"/>
      <c r="VCW32" s="1688"/>
      <c r="VCX32" s="1688"/>
      <c r="VCY32" s="1688"/>
      <c r="VCZ32" s="1688"/>
      <c r="VDA32" s="1688"/>
      <c r="VDB32" s="1688"/>
      <c r="VDC32" s="1688"/>
      <c r="VDD32" s="1688"/>
      <c r="VDE32" s="1688"/>
      <c r="VDF32" s="1688"/>
      <c r="VDG32" s="1688"/>
      <c r="VDH32" s="1688"/>
      <c r="VDI32" s="1688"/>
      <c r="VDJ32" s="1688"/>
      <c r="VDK32" s="1688"/>
      <c r="VDL32" s="1688"/>
      <c r="VDM32" s="1688"/>
      <c r="VDN32" s="1688"/>
      <c r="VDO32" s="1688"/>
      <c r="VDP32" s="1688"/>
      <c r="VDQ32" s="1688"/>
      <c r="VDR32" s="1688"/>
      <c r="VDS32" s="1688"/>
      <c r="VDT32" s="1688"/>
      <c r="VDU32" s="1688"/>
      <c r="VDV32" s="1688"/>
      <c r="VDW32" s="1688"/>
      <c r="VDX32" s="1688"/>
      <c r="VDY32" s="1688"/>
      <c r="VDZ32" s="1688"/>
      <c r="VEA32" s="1688"/>
      <c r="VEB32" s="1688"/>
      <c r="VEC32" s="1688"/>
      <c r="VED32" s="1688"/>
      <c r="VEE32" s="1688"/>
      <c r="VEF32" s="1688"/>
      <c r="VEG32" s="1688"/>
      <c r="VEH32" s="1688"/>
      <c r="VEI32" s="1688"/>
      <c r="VEJ32" s="1688"/>
      <c r="VEK32" s="1688"/>
      <c r="VEL32" s="1688"/>
      <c r="VEM32" s="1688"/>
      <c r="VEN32" s="1688"/>
      <c r="VEO32" s="1688"/>
      <c r="VEP32" s="1688"/>
      <c r="VEQ32" s="1688"/>
      <c r="VER32" s="1688"/>
      <c r="VES32" s="1688"/>
      <c r="VET32" s="1688"/>
      <c r="VEU32" s="1688"/>
      <c r="VEV32" s="1688"/>
      <c r="VEW32" s="1688"/>
      <c r="VEX32" s="1688"/>
      <c r="VEY32" s="1688"/>
      <c r="VEZ32" s="1688"/>
      <c r="VFA32" s="1688"/>
      <c r="VFB32" s="1688"/>
      <c r="VFC32" s="1688"/>
      <c r="VFD32" s="1688"/>
      <c r="VFE32" s="1688"/>
      <c r="VFF32" s="1688"/>
      <c r="VFG32" s="1688"/>
      <c r="VFH32" s="1688"/>
      <c r="VFI32" s="1688"/>
      <c r="VFJ32" s="1688"/>
      <c r="VFK32" s="1688"/>
      <c r="VFL32" s="1688"/>
      <c r="VFM32" s="1688"/>
      <c r="VFN32" s="1688"/>
      <c r="VFO32" s="1688"/>
      <c r="VFP32" s="1688"/>
      <c r="VFQ32" s="1688"/>
      <c r="VFR32" s="1688"/>
      <c r="VFS32" s="1688"/>
      <c r="VFT32" s="1688"/>
      <c r="VFU32" s="1688"/>
      <c r="VFV32" s="1688"/>
      <c r="VFW32" s="1688"/>
      <c r="VFX32" s="1688"/>
      <c r="VFY32" s="1688"/>
      <c r="VFZ32" s="1688"/>
      <c r="VGA32" s="1688"/>
      <c r="VGB32" s="1688"/>
      <c r="VGC32" s="1688"/>
      <c r="VGD32" s="1688"/>
      <c r="VGE32" s="1688"/>
      <c r="VGF32" s="1688"/>
      <c r="VGG32" s="1688"/>
      <c r="VGH32" s="1688"/>
      <c r="VGI32" s="1688"/>
      <c r="VGJ32" s="1688"/>
      <c r="VGK32" s="1688"/>
      <c r="VGL32" s="1688"/>
      <c r="VGM32" s="1688"/>
      <c r="VGN32" s="1688"/>
      <c r="VGO32" s="1688"/>
      <c r="VGP32" s="1688"/>
      <c r="VGQ32" s="1688"/>
      <c r="VGR32" s="1688"/>
      <c r="VGS32" s="1688"/>
      <c r="VGT32" s="1688"/>
      <c r="VGU32" s="1688"/>
      <c r="VGV32" s="1688"/>
      <c r="VGW32" s="1688"/>
      <c r="VGX32" s="1688"/>
      <c r="VGY32" s="1688"/>
      <c r="VGZ32" s="1688"/>
      <c r="VHA32" s="1688"/>
      <c r="VHB32" s="1688"/>
      <c r="VHC32" s="1688"/>
      <c r="VHD32" s="1688"/>
      <c r="VHE32" s="1688"/>
      <c r="VHF32" s="1688"/>
      <c r="VHG32" s="1688"/>
      <c r="VHH32" s="1688"/>
      <c r="VHI32" s="1688"/>
      <c r="VHJ32" s="1688"/>
      <c r="VHK32" s="1688"/>
      <c r="VHL32" s="1688"/>
      <c r="VHM32" s="1688"/>
      <c r="VHN32" s="1688"/>
      <c r="VHO32" s="1688"/>
      <c r="VHP32" s="1688"/>
      <c r="VHQ32" s="1688"/>
      <c r="VHR32" s="1688"/>
      <c r="VHS32" s="1688"/>
      <c r="VHT32" s="1688"/>
      <c r="VHU32" s="1688"/>
      <c r="VHV32" s="1688"/>
      <c r="VHW32" s="1688"/>
      <c r="VHX32" s="1688"/>
      <c r="VHY32" s="1688"/>
      <c r="VHZ32" s="1688"/>
      <c r="VIA32" s="1688"/>
      <c r="VIB32" s="1688"/>
      <c r="VIC32" s="1688"/>
      <c r="VID32" s="1688"/>
      <c r="VIE32" s="1688"/>
      <c r="VIF32" s="1688"/>
      <c r="VIG32" s="1688"/>
      <c r="VIH32" s="1688"/>
      <c r="VII32" s="1688"/>
      <c r="VIJ32" s="1688"/>
      <c r="VIK32" s="1688"/>
      <c r="VIL32" s="1688"/>
      <c r="VIM32" s="1688"/>
      <c r="VIN32" s="1688"/>
      <c r="VIO32" s="1688"/>
      <c r="VIP32" s="1688"/>
      <c r="VIQ32" s="1688"/>
      <c r="VIR32" s="1688"/>
      <c r="VIS32" s="1688"/>
      <c r="VIT32" s="1688"/>
      <c r="VIU32" s="1688"/>
      <c r="VIV32" s="1688"/>
      <c r="VIW32" s="1688"/>
      <c r="VIX32" s="1688"/>
      <c r="VIY32" s="1688"/>
      <c r="VIZ32" s="1688"/>
      <c r="VJA32" s="1688"/>
      <c r="VJB32" s="1688"/>
      <c r="VJC32" s="1688"/>
      <c r="VJD32" s="1688"/>
      <c r="VJE32" s="1688"/>
      <c r="VJF32" s="1688"/>
      <c r="VJG32" s="1688"/>
      <c r="VJH32" s="1688"/>
      <c r="VJI32" s="1688"/>
      <c r="VJJ32" s="1688"/>
      <c r="VJK32" s="1688"/>
      <c r="VJL32" s="1688"/>
      <c r="VJM32" s="1688"/>
      <c r="VJN32" s="1688"/>
      <c r="VJO32" s="1688"/>
      <c r="VJP32" s="1688"/>
      <c r="VJQ32" s="1688"/>
      <c r="VJR32" s="1688"/>
      <c r="VJS32" s="1688"/>
      <c r="VJT32" s="1688"/>
      <c r="VJU32" s="1688"/>
      <c r="VJV32" s="1688"/>
      <c r="VJW32" s="1688"/>
      <c r="VJX32" s="1688"/>
      <c r="VJY32" s="1688"/>
      <c r="VJZ32" s="1688"/>
      <c r="VKA32" s="1688"/>
      <c r="VKB32" s="1688"/>
      <c r="VKC32" s="1688"/>
      <c r="VKD32" s="1688"/>
      <c r="VKE32" s="1688"/>
      <c r="VKF32" s="1688"/>
      <c r="VKG32" s="1688"/>
      <c r="VKH32" s="1688"/>
      <c r="VKI32" s="1688"/>
      <c r="VKJ32" s="1688"/>
      <c r="VKK32" s="1688"/>
      <c r="VKL32" s="1688"/>
      <c r="VKM32" s="1688"/>
      <c r="VKN32" s="1688"/>
      <c r="VKO32" s="1688"/>
      <c r="VKP32" s="1688"/>
      <c r="VKQ32" s="1688"/>
      <c r="VKR32" s="1688"/>
      <c r="VKS32" s="1688"/>
      <c r="VKT32" s="1688"/>
      <c r="VKU32" s="1688"/>
      <c r="VKV32" s="1688"/>
      <c r="VKW32" s="1688"/>
      <c r="VKX32" s="1688"/>
      <c r="VKY32" s="1688"/>
      <c r="VKZ32" s="1688"/>
      <c r="VLA32" s="1688"/>
      <c r="VLB32" s="1688"/>
      <c r="VLC32" s="1688"/>
      <c r="VLD32" s="1688"/>
      <c r="VLE32" s="1688"/>
      <c r="VLF32" s="1688"/>
      <c r="VLG32" s="1688"/>
      <c r="VLH32" s="1688"/>
      <c r="VLI32" s="1688"/>
      <c r="VLJ32" s="1688"/>
      <c r="VLK32" s="1688"/>
      <c r="VLL32" s="1688"/>
      <c r="VLM32" s="1688"/>
      <c r="VLN32" s="1688"/>
      <c r="VLO32" s="1688"/>
      <c r="VLP32" s="1688"/>
      <c r="VLQ32" s="1688"/>
      <c r="VLR32" s="1688"/>
      <c r="VLS32" s="1688"/>
      <c r="VLT32" s="1688"/>
      <c r="VLU32" s="1688"/>
      <c r="VLV32" s="1688"/>
      <c r="VLW32" s="1688"/>
      <c r="VLX32" s="1688"/>
      <c r="VLY32" s="1688"/>
      <c r="VLZ32" s="1688"/>
      <c r="VMA32" s="1688"/>
      <c r="VMB32" s="1688"/>
      <c r="VMC32" s="1688"/>
      <c r="VMD32" s="1688"/>
      <c r="VME32" s="1688"/>
      <c r="VMF32" s="1688"/>
      <c r="VMG32" s="1688"/>
      <c r="VMH32" s="1688"/>
      <c r="VMI32" s="1688"/>
      <c r="VMJ32" s="1688"/>
      <c r="VMK32" s="1688"/>
      <c r="VML32" s="1688"/>
      <c r="VMM32" s="1688"/>
      <c r="VMN32" s="1688"/>
      <c r="VMO32" s="1688"/>
      <c r="VMP32" s="1688"/>
      <c r="VMQ32" s="1688"/>
      <c r="VMR32" s="1688"/>
      <c r="VMS32" s="1688"/>
      <c r="VMT32" s="1688"/>
      <c r="VMU32" s="1688"/>
      <c r="VMV32" s="1688"/>
      <c r="VMW32" s="1688"/>
      <c r="VMX32" s="1688"/>
      <c r="VMY32" s="1688"/>
      <c r="VMZ32" s="1688"/>
      <c r="VNA32" s="1688"/>
      <c r="VNB32" s="1688"/>
      <c r="VNC32" s="1688"/>
      <c r="VND32" s="1688"/>
      <c r="VNE32" s="1688"/>
      <c r="VNF32" s="1688"/>
      <c r="VNG32" s="1688"/>
      <c r="VNH32" s="1688"/>
      <c r="VNI32" s="1688"/>
      <c r="VNJ32" s="1688"/>
      <c r="VNK32" s="1688"/>
      <c r="VNL32" s="1688"/>
      <c r="VNM32" s="1688"/>
      <c r="VNN32" s="1688"/>
      <c r="VNO32" s="1688"/>
      <c r="VNP32" s="1688"/>
      <c r="VNQ32" s="1688"/>
      <c r="VNR32" s="1688"/>
      <c r="VNS32" s="1688"/>
      <c r="VNT32" s="1688"/>
      <c r="VNU32" s="1688"/>
      <c r="VNV32" s="1688"/>
      <c r="VNW32" s="1688"/>
      <c r="VNX32" s="1688"/>
      <c r="VNY32" s="1688"/>
      <c r="VNZ32" s="1688"/>
      <c r="VOA32" s="1688"/>
      <c r="VOB32" s="1688"/>
      <c r="VOC32" s="1688"/>
      <c r="VOD32" s="1688"/>
      <c r="VOE32" s="1688"/>
      <c r="VOF32" s="1688"/>
      <c r="VOG32" s="1688"/>
      <c r="VOH32" s="1688"/>
      <c r="VOI32" s="1688"/>
      <c r="VOJ32" s="1688"/>
      <c r="VOK32" s="1688"/>
      <c r="VOL32" s="1688"/>
      <c r="VOM32" s="1688"/>
      <c r="VON32" s="1688"/>
      <c r="VOO32" s="1688"/>
      <c r="VOP32" s="1688"/>
      <c r="VOQ32" s="1688"/>
      <c r="VOR32" s="1688"/>
      <c r="VOS32" s="1688"/>
      <c r="VOT32" s="1688"/>
      <c r="VOU32" s="1688"/>
      <c r="VOV32" s="1688"/>
      <c r="VOW32" s="1688"/>
      <c r="VOX32" s="1688"/>
      <c r="VOY32" s="1688"/>
      <c r="VOZ32" s="1688"/>
      <c r="VPA32" s="1688"/>
      <c r="VPB32" s="1688"/>
      <c r="VPC32" s="1688"/>
      <c r="VPD32" s="1688"/>
      <c r="VPE32" s="1688"/>
      <c r="VPF32" s="1688"/>
      <c r="VPG32" s="1688"/>
      <c r="VPH32" s="1688"/>
      <c r="VPI32" s="1688"/>
      <c r="VPJ32" s="1688"/>
      <c r="VPK32" s="1688"/>
      <c r="VPL32" s="1688"/>
      <c r="VPM32" s="1688"/>
      <c r="VPN32" s="1688"/>
      <c r="VPO32" s="1688"/>
      <c r="VPP32" s="1688"/>
      <c r="VPQ32" s="1688"/>
      <c r="VPR32" s="1688"/>
      <c r="VPS32" s="1688"/>
      <c r="VPT32" s="1688"/>
      <c r="VPU32" s="1688"/>
      <c r="VPV32" s="1688"/>
      <c r="VPW32" s="1688"/>
      <c r="VPX32" s="1688"/>
      <c r="VPY32" s="1688"/>
      <c r="VPZ32" s="1688"/>
      <c r="VQA32" s="1688"/>
      <c r="VQB32" s="1688"/>
      <c r="VQC32" s="1688"/>
      <c r="VQD32" s="1688"/>
      <c r="VQE32" s="1688"/>
      <c r="VQF32" s="1688"/>
      <c r="VQG32" s="1688"/>
      <c r="VQH32" s="1688"/>
      <c r="VQI32" s="1688"/>
      <c r="VQJ32" s="1688"/>
      <c r="VQK32" s="1688"/>
      <c r="VQL32" s="1688"/>
      <c r="VQM32" s="1688"/>
      <c r="VQN32" s="1688"/>
      <c r="VQO32" s="1688"/>
      <c r="VQP32" s="1688"/>
      <c r="VQQ32" s="1688"/>
      <c r="VQR32" s="1688"/>
      <c r="VQS32" s="1688"/>
      <c r="VQT32" s="1688"/>
      <c r="VQU32" s="1688"/>
      <c r="VQV32" s="1688"/>
      <c r="VQW32" s="1688"/>
      <c r="VQX32" s="1688"/>
      <c r="VQY32" s="1688"/>
      <c r="VQZ32" s="1688"/>
      <c r="VRA32" s="1688"/>
      <c r="VRB32" s="1688"/>
      <c r="VRC32" s="1688"/>
      <c r="VRD32" s="1688"/>
      <c r="VRE32" s="1688"/>
      <c r="VRF32" s="1688"/>
      <c r="VRG32" s="1688"/>
      <c r="VRH32" s="1688"/>
      <c r="VRI32" s="1688"/>
      <c r="VRJ32" s="1688"/>
      <c r="VRK32" s="1688"/>
      <c r="VRL32" s="1688"/>
      <c r="VRM32" s="1688"/>
      <c r="VRN32" s="1688"/>
      <c r="VRO32" s="1688"/>
      <c r="VRP32" s="1688"/>
      <c r="VRQ32" s="1688"/>
      <c r="VRR32" s="1688"/>
      <c r="VRS32" s="1688"/>
      <c r="VRT32" s="1688"/>
      <c r="VRU32" s="1688"/>
      <c r="VRV32" s="1688"/>
      <c r="VRW32" s="1688"/>
      <c r="VRX32" s="1688"/>
      <c r="VRY32" s="1688"/>
      <c r="VRZ32" s="1688"/>
      <c r="VSA32" s="1688"/>
      <c r="VSB32" s="1688"/>
      <c r="VSC32" s="1688"/>
      <c r="VSD32" s="1688"/>
      <c r="VSE32" s="1688"/>
      <c r="VSF32" s="1688"/>
      <c r="VSG32" s="1688"/>
      <c r="VSH32" s="1688"/>
      <c r="VSI32" s="1688"/>
      <c r="VSJ32" s="1688"/>
      <c r="VSK32" s="1688"/>
      <c r="VSL32" s="1688"/>
      <c r="VSM32" s="1688"/>
      <c r="VSN32" s="1688"/>
      <c r="VSO32" s="1688"/>
      <c r="VSP32" s="1688"/>
      <c r="VSQ32" s="1688"/>
      <c r="VSR32" s="1688"/>
      <c r="VSS32" s="1688"/>
      <c r="VST32" s="1688"/>
      <c r="VSU32" s="1688"/>
      <c r="VSV32" s="1688"/>
      <c r="VSW32" s="1688"/>
      <c r="VSX32" s="1688"/>
      <c r="VSY32" s="1688"/>
      <c r="VSZ32" s="1688"/>
      <c r="VTA32" s="1688"/>
      <c r="VTB32" s="1688"/>
      <c r="VTC32" s="1688"/>
      <c r="VTD32" s="1688"/>
      <c r="VTE32" s="1688"/>
      <c r="VTF32" s="1688"/>
      <c r="VTG32" s="1688"/>
      <c r="VTH32" s="1688"/>
      <c r="VTI32" s="1688"/>
      <c r="VTJ32" s="1688"/>
      <c r="VTK32" s="1688"/>
      <c r="VTL32" s="1688"/>
      <c r="VTM32" s="1688"/>
      <c r="VTN32" s="1688"/>
      <c r="VTO32" s="1688"/>
      <c r="VTP32" s="1688"/>
      <c r="VTQ32" s="1688"/>
      <c r="VTR32" s="1688"/>
      <c r="VTS32" s="1688"/>
      <c r="VTT32" s="1688"/>
      <c r="VTU32" s="1688"/>
      <c r="VTV32" s="1688"/>
      <c r="VTW32" s="1688"/>
      <c r="VTX32" s="1688"/>
      <c r="VTY32" s="1688"/>
      <c r="VTZ32" s="1688"/>
      <c r="VUA32" s="1688"/>
      <c r="VUB32" s="1688"/>
      <c r="VUC32" s="1688"/>
      <c r="VUD32" s="1688"/>
      <c r="VUE32" s="1688"/>
      <c r="VUF32" s="1688"/>
      <c r="VUG32" s="1688"/>
      <c r="VUH32" s="1688"/>
      <c r="VUI32" s="1688"/>
      <c r="VUJ32" s="1688"/>
      <c r="VUK32" s="1688"/>
      <c r="VUL32" s="1688"/>
      <c r="VUM32" s="1688"/>
      <c r="VUN32" s="1688"/>
      <c r="VUO32" s="1688"/>
      <c r="VUP32" s="1688"/>
      <c r="VUQ32" s="1688"/>
      <c r="VUR32" s="1688"/>
      <c r="VUS32" s="1688"/>
      <c r="VUT32" s="1688"/>
      <c r="VUU32" s="1688"/>
      <c r="VUV32" s="1688"/>
      <c r="VUW32" s="1688"/>
      <c r="VUX32" s="1688"/>
      <c r="VUY32" s="1688"/>
      <c r="VUZ32" s="1688"/>
      <c r="VVA32" s="1688"/>
      <c r="VVB32" s="1688"/>
      <c r="VVC32" s="1688"/>
      <c r="VVD32" s="1688"/>
      <c r="VVE32" s="1688"/>
      <c r="VVF32" s="1688"/>
      <c r="VVG32" s="1688"/>
      <c r="VVH32" s="1688"/>
      <c r="VVI32" s="1688"/>
      <c r="VVJ32" s="1688"/>
      <c r="VVK32" s="1688"/>
      <c r="VVL32" s="1688"/>
      <c r="VVM32" s="1688"/>
      <c r="VVN32" s="1688"/>
      <c r="VVO32" s="1688"/>
      <c r="VVP32" s="1688"/>
      <c r="VVQ32" s="1688"/>
      <c r="VVR32" s="1688"/>
      <c r="VVS32" s="1688"/>
      <c r="VVT32" s="1688"/>
      <c r="VVU32" s="1688"/>
      <c r="VVV32" s="1688"/>
      <c r="VVW32" s="1688"/>
      <c r="VVX32" s="1688"/>
      <c r="VVY32" s="1688"/>
      <c r="VVZ32" s="1688"/>
      <c r="VWA32" s="1688"/>
      <c r="VWB32" s="1688"/>
      <c r="VWC32" s="1688"/>
      <c r="VWD32" s="1688"/>
      <c r="VWE32" s="1688"/>
      <c r="VWF32" s="1688"/>
      <c r="VWG32" s="1688"/>
      <c r="VWH32" s="1688"/>
      <c r="VWI32" s="1688"/>
      <c r="VWJ32" s="1688"/>
      <c r="VWK32" s="1688"/>
      <c r="VWL32" s="1688"/>
      <c r="VWM32" s="1688"/>
      <c r="VWN32" s="1688"/>
      <c r="VWO32" s="1688"/>
      <c r="VWP32" s="1688"/>
      <c r="VWQ32" s="1688"/>
      <c r="VWR32" s="1688"/>
      <c r="VWS32" s="1688"/>
      <c r="VWT32" s="1688"/>
      <c r="VWU32" s="1688"/>
      <c r="VWV32" s="1688"/>
      <c r="VWW32" s="1688"/>
      <c r="VWX32" s="1688"/>
      <c r="VWY32" s="1688"/>
      <c r="VWZ32" s="1688"/>
      <c r="VXA32" s="1688"/>
      <c r="VXB32" s="1688"/>
      <c r="VXC32" s="1688"/>
      <c r="VXD32" s="1688"/>
      <c r="VXE32" s="1688"/>
      <c r="VXF32" s="1688"/>
      <c r="VXG32" s="1688"/>
      <c r="VXH32" s="1688"/>
      <c r="VXI32" s="1688"/>
      <c r="VXJ32" s="1688"/>
      <c r="VXK32" s="1688"/>
      <c r="VXL32" s="1688"/>
      <c r="VXM32" s="1688"/>
      <c r="VXN32" s="1688"/>
      <c r="VXO32" s="1688"/>
      <c r="VXP32" s="1688"/>
      <c r="VXQ32" s="1688"/>
      <c r="VXR32" s="1688"/>
      <c r="VXS32" s="1688"/>
      <c r="VXT32" s="1688"/>
      <c r="VXU32" s="1688"/>
      <c r="VXV32" s="1688"/>
      <c r="VXW32" s="1688"/>
      <c r="VXX32" s="1688"/>
      <c r="VXY32" s="1688"/>
      <c r="VXZ32" s="1688"/>
      <c r="VYA32" s="1688"/>
      <c r="VYB32" s="1688"/>
      <c r="VYC32" s="1688"/>
      <c r="VYD32" s="1688"/>
      <c r="VYE32" s="1688"/>
      <c r="VYF32" s="1688"/>
      <c r="VYG32" s="1688"/>
      <c r="VYH32" s="1688"/>
      <c r="VYI32" s="1688"/>
      <c r="VYJ32" s="1688"/>
      <c r="VYK32" s="1688"/>
      <c r="VYL32" s="1688"/>
      <c r="VYM32" s="1688"/>
      <c r="VYN32" s="1688"/>
      <c r="VYO32" s="1688"/>
      <c r="VYP32" s="1688"/>
      <c r="VYQ32" s="1688"/>
      <c r="VYR32" s="1688"/>
      <c r="VYS32" s="1688"/>
      <c r="VYT32" s="1688"/>
      <c r="VYU32" s="1688"/>
      <c r="VYV32" s="1688"/>
      <c r="VYW32" s="1688"/>
      <c r="VYX32" s="1688"/>
      <c r="VYY32" s="1688"/>
      <c r="VYZ32" s="1688"/>
      <c r="VZA32" s="1688"/>
      <c r="VZB32" s="1688"/>
      <c r="VZC32" s="1688"/>
      <c r="VZD32" s="1688"/>
      <c r="VZE32" s="1688"/>
      <c r="VZF32" s="1688"/>
      <c r="VZG32" s="1688"/>
      <c r="VZH32" s="1688"/>
      <c r="VZI32" s="1688"/>
      <c r="VZJ32" s="1688"/>
      <c r="VZK32" s="1688"/>
      <c r="VZL32" s="1688"/>
      <c r="VZM32" s="1688"/>
      <c r="VZN32" s="1688"/>
      <c r="VZO32" s="1688"/>
      <c r="VZP32" s="1688"/>
      <c r="VZQ32" s="1688"/>
      <c r="VZR32" s="1688"/>
      <c r="VZS32" s="1688"/>
      <c r="VZT32" s="1688"/>
      <c r="VZU32" s="1688"/>
      <c r="VZV32" s="1688"/>
      <c r="VZW32" s="1688"/>
      <c r="VZX32" s="1688"/>
      <c r="VZY32" s="1688"/>
      <c r="VZZ32" s="1688"/>
      <c r="WAA32" s="1688"/>
      <c r="WAB32" s="1688"/>
      <c r="WAC32" s="1688"/>
      <c r="WAD32" s="1688"/>
      <c r="WAE32" s="1688"/>
      <c r="WAF32" s="1688"/>
      <c r="WAG32" s="1688"/>
      <c r="WAH32" s="1688"/>
      <c r="WAI32" s="1688"/>
      <c r="WAJ32" s="1688"/>
      <c r="WAK32" s="1688"/>
      <c r="WAL32" s="1688"/>
      <c r="WAM32" s="1688"/>
      <c r="WAN32" s="1688"/>
      <c r="WAO32" s="1688"/>
      <c r="WAP32" s="1688"/>
      <c r="WAQ32" s="1688"/>
      <c r="WAR32" s="1688"/>
      <c r="WAS32" s="1688"/>
      <c r="WAT32" s="1688"/>
      <c r="WAU32" s="1688"/>
      <c r="WAV32" s="1688"/>
      <c r="WAW32" s="1688"/>
      <c r="WAX32" s="1688"/>
      <c r="WAY32" s="1688"/>
      <c r="WAZ32" s="1688"/>
      <c r="WBA32" s="1688"/>
      <c r="WBB32" s="1688"/>
      <c r="WBC32" s="1688"/>
      <c r="WBD32" s="1688"/>
      <c r="WBE32" s="1688"/>
      <c r="WBF32" s="1688"/>
      <c r="WBG32" s="1688"/>
      <c r="WBH32" s="1688"/>
      <c r="WBI32" s="1688"/>
      <c r="WBJ32" s="1688"/>
      <c r="WBK32" s="1688"/>
      <c r="WBL32" s="1688"/>
      <c r="WBM32" s="1688"/>
      <c r="WBN32" s="1688"/>
      <c r="WBO32" s="1688"/>
      <c r="WBP32" s="1688"/>
      <c r="WBQ32" s="1688"/>
      <c r="WBR32" s="1688"/>
      <c r="WBS32" s="1688"/>
      <c r="WBT32" s="1688"/>
      <c r="WBU32" s="1688"/>
      <c r="WBV32" s="1688"/>
      <c r="WBW32" s="1688"/>
      <c r="WBX32" s="1688"/>
      <c r="WBY32" s="1688"/>
      <c r="WBZ32" s="1688"/>
      <c r="WCA32" s="1688"/>
      <c r="WCB32" s="1688"/>
      <c r="WCC32" s="1688"/>
      <c r="WCD32" s="1688"/>
      <c r="WCE32" s="1688"/>
      <c r="WCF32" s="1688"/>
      <c r="WCG32" s="1688"/>
      <c r="WCH32" s="1688"/>
      <c r="WCI32" s="1688"/>
      <c r="WCJ32" s="1688"/>
      <c r="WCK32" s="1688"/>
      <c r="WCL32" s="1688"/>
      <c r="WCM32" s="1688"/>
      <c r="WCN32" s="1688"/>
      <c r="WCO32" s="1688"/>
      <c r="WCP32" s="1688"/>
      <c r="WCQ32" s="1688"/>
      <c r="WCR32" s="1688"/>
      <c r="WCS32" s="1688"/>
      <c r="WCT32" s="1688"/>
      <c r="WCU32" s="1688"/>
      <c r="WCV32" s="1688"/>
      <c r="WCW32" s="1688"/>
      <c r="WCX32" s="1688"/>
      <c r="WCY32" s="1688"/>
      <c r="WCZ32" s="1688"/>
      <c r="WDA32" s="1688"/>
      <c r="WDB32" s="1688"/>
      <c r="WDC32" s="1688"/>
      <c r="WDD32" s="1688"/>
      <c r="WDE32" s="1688"/>
      <c r="WDF32" s="1688"/>
      <c r="WDG32" s="1688"/>
      <c r="WDH32" s="1688"/>
      <c r="WDI32" s="1688"/>
      <c r="WDJ32" s="1688"/>
      <c r="WDK32" s="1688"/>
      <c r="WDL32" s="1688"/>
      <c r="WDM32" s="1688"/>
      <c r="WDN32" s="1688"/>
      <c r="WDO32" s="1688"/>
      <c r="WDP32" s="1688"/>
      <c r="WDQ32" s="1688"/>
      <c r="WDR32" s="1688"/>
      <c r="WDS32" s="1688"/>
      <c r="WDT32" s="1688"/>
      <c r="WDU32" s="1688"/>
      <c r="WDV32" s="1688"/>
      <c r="WDW32" s="1688"/>
      <c r="WDX32" s="1688"/>
      <c r="WDY32" s="1688"/>
      <c r="WDZ32" s="1688"/>
      <c r="WEA32" s="1688"/>
      <c r="WEB32" s="1688"/>
      <c r="WEC32" s="1688"/>
      <c r="WED32" s="1688"/>
      <c r="WEE32" s="1688"/>
      <c r="WEF32" s="1688"/>
      <c r="WEG32" s="1688"/>
      <c r="WEH32" s="1688"/>
      <c r="WEI32" s="1688"/>
      <c r="WEJ32" s="1688"/>
      <c r="WEK32" s="1688"/>
      <c r="WEL32" s="1688"/>
      <c r="WEM32" s="1688"/>
      <c r="WEN32" s="1688"/>
      <c r="WEO32" s="1688"/>
      <c r="WEP32" s="1688"/>
      <c r="WEQ32" s="1688"/>
      <c r="WER32" s="1688"/>
      <c r="WES32" s="1688"/>
      <c r="WET32" s="1688"/>
      <c r="WEU32" s="1688"/>
      <c r="WEV32" s="1688"/>
      <c r="WEW32" s="1688"/>
      <c r="WEX32" s="1688"/>
      <c r="WEY32" s="1688"/>
      <c r="WEZ32" s="1688"/>
      <c r="WFA32" s="1688"/>
      <c r="WFB32" s="1688"/>
      <c r="WFC32" s="1688"/>
      <c r="WFD32" s="1688"/>
      <c r="WFE32" s="1688"/>
      <c r="WFF32" s="1688"/>
      <c r="WFG32" s="1688"/>
      <c r="WFH32" s="1688"/>
      <c r="WFI32" s="1688"/>
      <c r="WFJ32" s="1688"/>
      <c r="WFK32" s="1688"/>
      <c r="WFL32" s="1688"/>
      <c r="WFM32" s="1688"/>
      <c r="WFN32" s="1688"/>
      <c r="WFO32" s="1688"/>
      <c r="WFP32" s="1688"/>
      <c r="WFQ32" s="1688"/>
      <c r="WFR32" s="1688"/>
      <c r="WFS32" s="1688"/>
      <c r="WFT32" s="1688"/>
      <c r="WFU32" s="1688"/>
      <c r="WFV32" s="1688"/>
      <c r="WFW32" s="1688"/>
      <c r="WFX32" s="1688"/>
      <c r="WFY32" s="1688"/>
      <c r="WFZ32" s="1688"/>
      <c r="WGA32" s="1688"/>
      <c r="WGB32" s="1688"/>
      <c r="WGC32" s="1688"/>
      <c r="WGD32" s="1688"/>
      <c r="WGE32" s="1688"/>
      <c r="WGF32" s="1688"/>
      <c r="WGG32" s="1688"/>
      <c r="WGH32" s="1688"/>
      <c r="WGI32" s="1688"/>
      <c r="WGJ32" s="1688"/>
      <c r="WGK32" s="1688"/>
      <c r="WGL32" s="1688"/>
      <c r="WGM32" s="1688"/>
      <c r="WGN32" s="1688"/>
      <c r="WGO32" s="1688"/>
      <c r="WGP32" s="1688"/>
      <c r="WGQ32" s="1688"/>
      <c r="WGR32" s="1688"/>
      <c r="WGS32" s="1688"/>
      <c r="WGT32" s="1688"/>
      <c r="WGU32" s="1688"/>
      <c r="WGV32" s="1688"/>
      <c r="WGW32" s="1688"/>
      <c r="WGX32" s="1688"/>
      <c r="WGY32" s="1688"/>
      <c r="WGZ32" s="1688"/>
      <c r="WHA32" s="1688"/>
      <c r="WHB32" s="1688"/>
      <c r="WHC32" s="1688"/>
      <c r="WHD32" s="1688"/>
      <c r="WHE32" s="1688"/>
      <c r="WHF32" s="1688"/>
      <c r="WHG32" s="1688"/>
      <c r="WHH32" s="1688"/>
      <c r="WHI32" s="1688"/>
      <c r="WHJ32" s="1688"/>
      <c r="WHK32" s="1688"/>
      <c r="WHL32" s="1688"/>
      <c r="WHM32" s="1688"/>
      <c r="WHN32" s="1688"/>
      <c r="WHO32" s="1688"/>
      <c r="WHP32" s="1688"/>
      <c r="WHQ32" s="1688"/>
      <c r="WHR32" s="1688"/>
      <c r="WHS32" s="1688"/>
      <c r="WHT32" s="1688"/>
      <c r="WHU32" s="1688"/>
      <c r="WHV32" s="1688"/>
      <c r="WHW32" s="1688"/>
      <c r="WHX32" s="1688"/>
      <c r="WHY32" s="1688"/>
      <c r="WHZ32" s="1688"/>
      <c r="WIA32" s="1688"/>
      <c r="WIB32" s="1688"/>
      <c r="WIC32" s="1688"/>
      <c r="WID32" s="1688"/>
      <c r="WIE32" s="1688"/>
      <c r="WIF32" s="1688"/>
      <c r="WIG32" s="1688"/>
      <c r="WIH32" s="1688"/>
      <c r="WII32" s="1688"/>
      <c r="WIJ32" s="1688"/>
      <c r="WIK32" s="1688"/>
      <c r="WIL32" s="1688"/>
      <c r="WIM32" s="1688"/>
      <c r="WIN32" s="1688"/>
      <c r="WIO32" s="1688"/>
      <c r="WIP32" s="1688"/>
      <c r="WIQ32" s="1688"/>
      <c r="WIR32" s="1688"/>
      <c r="WIS32" s="1688"/>
      <c r="WIT32" s="1688"/>
      <c r="WIU32" s="1688"/>
      <c r="WIV32" s="1688"/>
      <c r="WIW32" s="1688"/>
      <c r="WIX32" s="1688"/>
      <c r="WIY32" s="1688"/>
      <c r="WIZ32" s="1688"/>
      <c r="WJA32" s="1688"/>
      <c r="WJB32" s="1688"/>
      <c r="WJC32" s="1688"/>
      <c r="WJD32" s="1688"/>
      <c r="WJE32" s="1688"/>
      <c r="WJF32" s="1688"/>
      <c r="WJG32" s="1688"/>
      <c r="WJH32" s="1688"/>
      <c r="WJI32" s="1688"/>
      <c r="WJJ32" s="1688"/>
      <c r="WJK32" s="1688"/>
      <c r="WJL32" s="1688"/>
      <c r="WJM32" s="1688"/>
      <c r="WJN32" s="1688"/>
      <c r="WJO32" s="1688"/>
      <c r="WJP32" s="1688"/>
      <c r="WJQ32" s="1688"/>
      <c r="WJR32" s="1688"/>
      <c r="WJS32" s="1688"/>
      <c r="WJT32" s="1688"/>
      <c r="WJU32" s="1688"/>
      <c r="WJV32" s="1688"/>
      <c r="WJW32" s="1688"/>
      <c r="WJX32" s="1688"/>
      <c r="WJY32" s="1688"/>
      <c r="WJZ32" s="1688"/>
      <c r="WKA32" s="1688"/>
      <c r="WKB32" s="1688"/>
      <c r="WKC32" s="1688"/>
      <c r="WKD32" s="1688"/>
      <c r="WKE32" s="1688"/>
      <c r="WKF32" s="1688"/>
      <c r="WKG32" s="1688"/>
      <c r="WKH32" s="1688"/>
      <c r="WKI32" s="1688"/>
      <c r="WKJ32" s="1688"/>
      <c r="WKK32" s="1688"/>
      <c r="WKL32" s="1688"/>
      <c r="WKM32" s="1688"/>
      <c r="WKN32" s="1688"/>
      <c r="WKO32" s="1688"/>
      <c r="WKP32" s="1688"/>
      <c r="WKQ32" s="1688"/>
      <c r="WKR32" s="1688"/>
      <c r="WKS32" s="1688"/>
      <c r="WKT32" s="1688"/>
      <c r="WKU32" s="1688"/>
      <c r="WKV32" s="1688"/>
      <c r="WKW32" s="1688"/>
      <c r="WKX32" s="1688"/>
      <c r="WKY32" s="1688"/>
      <c r="WKZ32" s="1688"/>
      <c r="WLA32" s="1688"/>
      <c r="WLB32" s="1688"/>
      <c r="WLC32" s="1688"/>
      <c r="WLD32" s="1688"/>
      <c r="WLE32" s="1688"/>
      <c r="WLF32" s="1688"/>
      <c r="WLG32" s="1688"/>
      <c r="WLH32" s="1688"/>
      <c r="WLI32" s="1688"/>
      <c r="WLJ32" s="1688"/>
      <c r="WLK32" s="1688"/>
      <c r="WLL32" s="1688"/>
      <c r="WLM32" s="1688"/>
      <c r="WLN32" s="1688"/>
      <c r="WLO32" s="1688"/>
      <c r="WLP32" s="1688"/>
      <c r="WLQ32" s="1688"/>
      <c r="WLR32" s="1688"/>
      <c r="WLS32" s="1688"/>
      <c r="WLT32" s="1688"/>
      <c r="WLU32" s="1688"/>
      <c r="WLV32" s="1688"/>
      <c r="WLW32" s="1688"/>
      <c r="WLX32" s="1688"/>
      <c r="WLY32" s="1688"/>
      <c r="WLZ32" s="1688"/>
      <c r="WMA32" s="1688"/>
      <c r="WMB32" s="1688"/>
      <c r="WMC32" s="1688"/>
      <c r="WMD32" s="1688"/>
      <c r="WME32" s="1688"/>
      <c r="WMF32" s="1688"/>
      <c r="WMG32" s="1688"/>
      <c r="WMH32" s="1688"/>
      <c r="WMI32" s="1688"/>
      <c r="WMJ32" s="1688"/>
      <c r="WMK32" s="1688"/>
      <c r="WML32" s="1688"/>
      <c r="WMM32" s="1688"/>
      <c r="WMN32" s="1688"/>
      <c r="WMO32" s="1688"/>
      <c r="WMP32" s="1688"/>
      <c r="WMQ32" s="1688"/>
      <c r="WMR32" s="1688"/>
      <c r="WMS32" s="1688"/>
      <c r="WMT32" s="1688"/>
      <c r="WMU32" s="1688"/>
      <c r="WMV32" s="1688"/>
      <c r="WMW32" s="1688"/>
      <c r="WMX32" s="1688"/>
      <c r="WMY32" s="1688"/>
      <c r="WMZ32" s="1688"/>
      <c r="WNA32" s="1688"/>
      <c r="WNB32" s="1688"/>
      <c r="WNC32" s="1688"/>
      <c r="WND32" s="1688"/>
      <c r="WNE32" s="1688"/>
      <c r="WNF32" s="1688"/>
      <c r="WNG32" s="1688"/>
      <c r="WNH32" s="1688"/>
      <c r="WNI32" s="1688"/>
      <c r="WNJ32" s="1688"/>
      <c r="WNK32" s="1688"/>
      <c r="WNL32" s="1688"/>
      <c r="WNM32" s="1688"/>
      <c r="WNN32" s="1688"/>
      <c r="WNO32" s="1688"/>
      <c r="WNP32" s="1688"/>
      <c r="WNQ32" s="1688"/>
      <c r="WNR32" s="1688"/>
      <c r="WNS32" s="1688"/>
      <c r="WNT32" s="1688"/>
      <c r="WNU32" s="1688"/>
      <c r="WNV32" s="1688"/>
      <c r="WNW32" s="1688"/>
      <c r="WNX32" s="1688"/>
      <c r="WNY32" s="1688"/>
      <c r="WNZ32" s="1688"/>
      <c r="WOA32" s="1688"/>
      <c r="WOB32" s="1688"/>
      <c r="WOC32" s="1688"/>
      <c r="WOD32" s="1688"/>
      <c r="WOE32" s="1688"/>
      <c r="WOF32" s="1688"/>
      <c r="WOG32" s="1688"/>
      <c r="WOH32" s="1688"/>
      <c r="WOI32" s="1688"/>
      <c r="WOJ32" s="1688"/>
      <c r="WOK32" s="1688"/>
      <c r="WOL32" s="1688"/>
      <c r="WOM32" s="1688"/>
      <c r="WON32" s="1688"/>
      <c r="WOO32" s="1688"/>
      <c r="WOP32" s="1688"/>
      <c r="WOQ32" s="1688"/>
      <c r="WOR32" s="1688"/>
      <c r="WOS32" s="1688"/>
      <c r="WOT32" s="1688"/>
      <c r="WOU32" s="1688"/>
      <c r="WOV32" s="1688"/>
      <c r="WOW32" s="1688"/>
      <c r="WOX32" s="1688"/>
      <c r="WOY32" s="1688"/>
      <c r="WOZ32" s="1688"/>
      <c r="WPA32" s="1688"/>
      <c r="WPB32" s="1688"/>
      <c r="WPC32" s="1688"/>
      <c r="WPD32" s="1688"/>
      <c r="WPE32" s="1688"/>
      <c r="WPF32" s="1688"/>
      <c r="WPG32" s="1688"/>
      <c r="WPH32" s="1688"/>
      <c r="WPI32" s="1688"/>
      <c r="WPJ32" s="1688"/>
      <c r="WPK32" s="1688"/>
      <c r="WPL32" s="1688"/>
      <c r="WPM32" s="1688"/>
      <c r="WPN32" s="1688"/>
      <c r="WPO32" s="1688"/>
      <c r="WPP32" s="1688"/>
      <c r="WPQ32" s="1688"/>
      <c r="WPR32" s="1688"/>
      <c r="WPS32" s="1688"/>
      <c r="WPT32" s="1688"/>
      <c r="WPU32" s="1688"/>
      <c r="WPV32" s="1688"/>
      <c r="WPW32" s="1688"/>
      <c r="WPX32" s="1688"/>
      <c r="WPY32" s="1688"/>
      <c r="WPZ32" s="1688"/>
      <c r="WQA32" s="1688"/>
      <c r="WQB32" s="1688"/>
      <c r="WQC32" s="1688"/>
      <c r="WQD32" s="1688"/>
      <c r="WQE32" s="1688"/>
      <c r="WQF32" s="1688"/>
      <c r="WQG32" s="1688"/>
      <c r="WQH32" s="1688"/>
      <c r="WQI32" s="1688"/>
      <c r="WQJ32" s="1688"/>
      <c r="WQK32" s="1688"/>
      <c r="WQL32" s="1688"/>
      <c r="WQM32" s="1688"/>
      <c r="WQN32" s="1688"/>
      <c r="WQO32" s="1688"/>
      <c r="WQP32" s="1688"/>
      <c r="WQQ32" s="1688"/>
      <c r="WQR32" s="1688"/>
      <c r="WQS32" s="1688"/>
      <c r="WQT32" s="1688"/>
      <c r="WQU32" s="1688"/>
      <c r="WQV32" s="1688"/>
      <c r="WQW32" s="1688"/>
      <c r="WQX32" s="1688"/>
      <c r="WQY32" s="1688"/>
      <c r="WQZ32" s="1688"/>
      <c r="WRA32" s="1688"/>
      <c r="WRB32" s="1688"/>
      <c r="WRC32" s="1688"/>
      <c r="WRD32" s="1688"/>
      <c r="WRE32" s="1688"/>
      <c r="WRF32" s="1688"/>
      <c r="WRG32" s="1688"/>
      <c r="WRH32" s="1688"/>
      <c r="WRI32" s="1688"/>
      <c r="WRJ32" s="1688"/>
      <c r="WRK32" s="1688"/>
      <c r="WRL32" s="1688"/>
      <c r="WRM32" s="1688"/>
      <c r="WRN32" s="1688"/>
      <c r="WRO32" s="1688"/>
      <c r="WRP32" s="1688"/>
      <c r="WRQ32" s="1688"/>
      <c r="WRR32" s="1688"/>
      <c r="WRS32" s="1688"/>
      <c r="WRT32" s="1688"/>
      <c r="WRU32" s="1688"/>
      <c r="WRV32" s="1688"/>
      <c r="WRW32" s="1688"/>
      <c r="WRX32" s="1688"/>
      <c r="WRY32" s="1688"/>
      <c r="WRZ32" s="1688"/>
      <c r="WSA32" s="1688"/>
      <c r="WSB32" s="1688"/>
      <c r="WSC32" s="1688"/>
      <c r="WSD32" s="1688"/>
      <c r="WSE32" s="1688"/>
      <c r="WSF32" s="1688"/>
      <c r="WSG32" s="1688"/>
      <c r="WSH32" s="1688"/>
      <c r="WSI32" s="1688"/>
      <c r="WSJ32" s="1688"/>
      <c r="WSK32" s="1688"/>
      <c r="WSL32" s="1688"/>
      <c r="WSM32" s="1688"/>
      <c r="WSN32" s="1688"/>
      <c r="WSO32" s="1688"/>
      <c r="WSP32" s="1688"/>
      <c r="WSQ32" s="1688"/>
      <c r="WSR32" s="1688"/>
      <c r="WSS32" s="1688"/>
      <c r="WST32" s="1688"/>
      <c r="WSU32" s="1688"/>
      <c r="WSV32" s="1688"/>
      <c r="WSW32" s="1688"/>
      <c r="WSX32" s="1688"/>
      <c r="WSY32" s="1688"/>
      <c r="WSZ32" s="1688"/>
      <c r="WTA32" s="1688"/>
      <c r="WTB32" s="1688"/>
      <c r="WTC32" s="1688"/>
      <c r="WTD32" s="1688"/>
      <c r="WTE32" s="1688"/>
      <c r="WTF32" s="1688"/>
      <c r="WTG32" s="1688"/>
      <c r="WTH32" s="1688"/>
      <c r="WTI32" s="1688"/>
      <c r="WTJ32" s="1688"/>
      <c r="WTK32" s="1688"/>
      <c r="WTL32" s="1688"/>
      <c r="WTM32" s="1688"/>
      <c r="WTN32" s="1688"/>
      <c r="WTO32" s="1688"/>
      <c r="WTP32" s="1688"/>
      <c r="WTQ32" s="1688"/>
      <c r="WTR32" s="1688"/>
      <c r="WTS32" s="1688"/>
      <c r="WTT32" s="1688"/>
      <c r="WTU32" s="1688"/>
      <c r="WTV32" s="1688"/>
      <c r="WTW32" s="1688"/>
      <c r="WTX32" s="1688"/>
      <c r="WTY32" s="1688"/>
      <c r="WTZ32" s="1688"/>
      <c r="WUA32" s="1688"/>
      <c r="WUB32" s="1688"/>
      <c r="WUC32" s="1688"/>
      <c r="WUD32" s="1688"/>
      <c r="WUE32" s="1688"/>
      <c r="WUF32" s="1688"/>
      <c r="WUG32" s="1688"/>
      <c r="WUH32" s="1688"/>
      <c r="WUI32" s="1688"/>
      <c r="WUJ32" s="1688"/>
      <c r="WUK32" s="1688"/>
      <c r="WUL32" s="1688"/>
      <c r="WUM32" s="1688"/>
      <c r="WUN32" s="1688"/>
      <c r="WUO32" s="1688"/>
      <c r="WUP32" s="1688"/>
      <c r="WUQ32" s="1688"/>
      <c r="WUR32" s="1688"/>
      <c r="WUS32" s="1688"/>
      <c r="WUT32" s="1688"/>
      <c r="WUU32" s="1688"/>
      <c r="WUV32" s="1688"/>
      <c r="WUW32" s="1688"/>
      <c r="WUX32" s="1688"/>
      <c r="WUY32" s="1688"/>
      <c r="WUZ32" s="1688"/>
      <c r="WVA32" s="1688"/>
      <c r="WVB32" s="1688"/>
      <c r="WVC32" s="1688"/>
      <c r="WVD32" s="1688"/>
      <c r="WVE32" s="1688"/>
      <c r="WVF32" s="1688"/>
      <c r="WVG32" s="1688"/>
      <c r="WVH32" s="1688"/>
      <c r="WVI32" s="1688"/>
      <c r="WVJ32" s="1688"/>
      <c r="WVK32" s="1688"/>
      <c r="WVL32" s="1688"/>
      <c r="WVM32" s="1688"/>
      <c r="WVN32" s="1688"/>
      <c r="WVO32" s="1688"/>
      <c r="WVP32" s="1688"/>
      <c r="WVQ32" s="1688"/>
      <c r="WVR32" s="1688"/>
      <c r="WVS32" s="1688"/>
      <c r="WVT32" s="1688"/>
      <c r="WVU32" s="1688"/>
      <c r="WVV32" s="1688"/>
      <c r="WVW32" s="1688"/>
      <c r="WVX32" s="1688"/>
      <c r="WVY32" s="1688"/>
      <c r="WVZ32" s="1688"/>
      <c r="WWA32" s="1688"/>
      <c r="WWB32" s="1688"/>
      <c r="WWC32" s="1688"/>
      <c r="WWD32" s="1688"/>
      <c r="WWE32" s="1688"/>
      <c r="WWF32" s="1688"/>
      <c r="WWG32" s="1688"/>
      <c r="WWH32" s="1688"/>
      <c r="WWI32" s="1688"/>
      <c r="WWJ32" s="1688"/>
      <c r="WWK32" s="1688"/>
      <c r="WWL32" s="1688"/>
      <c r="WWM32" s="1688"/>
      <c r="WWN32" s="1688"/>
      <c r="WWO32" s="1688"/>
      <c r="WWP32" s="1688"/>
      <c r="WWQ32" s="1688"/>
      <c r="WWR32" s="1688"/>
      <c r="WWS32" s="1688"/>
      <c r="WWT32" s="1688"/>
      <c r="WWU32" s="1688"/>
      <c r="WWV32" s="1688"/>
      <c r="WWW32" s="1688"/>
      <c r="WWX32" s="1688"/>
      <c r="WWY32" s="1688"/>
      <c r="WWZ32" s="1688"/>
      <c r="WXA32" s="1688"/>
      <c r="WXB32" s="1688"/>
      <c r="WXC32" s="1688"/>
      <c r="WXD32" s="1688"/>
      <c r="WXE32" s="1688"/>
      <c r="WXF32" s="1688"/>
      <c r="WXG32" s="1688"/>
      <c r="WXH32" s="1688"/>
      <c r="WXI32" s="1688"/>
      <c r="WXJ32" s="1688"/>
      <c r="WXK32" s="1688"/>
      <c r="WXL32" s="1688"/>
      <c r="WXM32" s="1688"/>
      <c r="WXN32" s="1688"/>
      <c r="WXO32" s="1688"/>
      <c r="WXP32" s="1688"/>
      <c r="WXQ32" s="1688"/>
      <c r="WXR32" s="1688"/>
      <c r="WXS32" s="1688"/>
      <c r="WXT32" s="1688"/>
      <c r="WXU32" s="1688"/>
      <c r="WXV32" s="1688"/>
      <c r="WXW32" s="1688"/>
      <c r="WXX32" s="1688"/>
      <c r="WXY32" s="1688"/>
      <c r="WXZ32" s="1688"/>
      <c r="WYA32" s="1688"/>
      <c r="WYB32" s="1688"/>
      <c r="WYC32" s="1688"/>
      <c r="WYD32" s="1688"/>
      <c r="WYE32" s="1688"/>
      <c r="WYF32" s="1688"/>
      <c r="WYG32" s="1688"/>
      <c r="WYH32" s="1688"/>
      <c r="WYI32" s="1688"/>
      <c r="WYJ32" s="1688"/>
      <c r="WYK32" s="1688"/>
      <c r="WYL32" s="1688"/>
      <c r="WYM32" s="1688"/>
      <c r="WYN32" s="1688"/>
      <c r="WYO32" s="1688"/>
      <c r="WYP32" s="1688"/>
      <c r="WYQ32" s="1688"/>
      <c r="WYR32" s="1688"/>
      <c r="WYS32" s="1688"/>
      <c r="WYT32" s="1688"/>
      <c r="WYU32" s="1688"/>
      <c r="WYV32" s="1688"/>
      <c r="WYW32" s="1688"/>
      <c r="WYX32" s="1688"/>
      <c r="WYY32" s="1688"/>
      <c r="WYZ32" s="1688"/>
      <c r="WZA32" s="1688"/>
      <c r="WZB32" s="1688"/>
      <c r="WZC32" s="1688"/>
      <c r="WZD32" s="1688"/>
      <c r="WZE32" s="1688"/>
      <c r="WZF32" s="1688"/>
      <c r="WZG32" s="1688"/>
      <c r="WZH32" s="1688"/>
      <c r="WZI32" s="1688"/>
      <c r="WZJ32" s="1688"/>
      <c r="WZK32" s="1688"/>
      <c r="WZL32" s="1688"/>
      <c r="WZM32" s="1688"/>
      <c r="WZN32" s="1688"/>
      <c r="WZO32" s="1688"/>
      <c r="WZP32" s="1688"/>
      <c r="WZQ32" s="1688"/>
      <c r="WZR32" s="1688"/>
      <c r="WZS32" s="1688"/>
      <c r="WZT32" s="1688"/>
      <c r="WZU32" s="1688"/>
      <c r="WZV32" s="1688"/>
      <c r="WZW32" s="1688"/>
      <c r="WZX32" s="1688"/>
      <c r="WZY32" s="1688"/>
      <c r="WZZ32" s="1688"/>
      <c r="XAA32" s="1688"/>
      <c r="XAB32" s="1688"/>
      <c r="XAC32" s="1688"/>
      <c r="XAD32" s="1688"/>
      <c r="XAE32" s="1688"/>
      <c r="XAF32" s="1688"/>
      <c r="XAG32" s="1688"/>
      <c r="XAH32" s="1688"/>
      <c r="XAI32" s="1688"/>
      <c r="XAJ32" s="1688"/>
      <c r="XAK32" s="1688"/>
      <c r="XAL32" s="1688"/>
      <c r="XAM32" s="1688"/>
      <c r="XAN32" s="1688"/>
      <c r="XAO32" s="1688"/>
      <c r="XAP32" s="1688"/>
      <c r="XAQ32" s="1688"/>
      <c r="XAR32" s="1688"/>
      <c r="XAS32" s="1688"/>
      <c r="XAT32" s="1688"/>
      <c r="XAU32" s="1688"/>
      <c r="XAV32" s="1688"/>
      <c r="XAW32" s="1688"/>
      <c r="XAX32" s="1688"/>
      <c r="XAY32" s="1688"/>
      <c r="XAZ32" s="1688"/>
      <c r="XBA32" s="1688"/>
      <c r="XBB32" s="1688"/>
      <c r="XBC32" s="1688"/>
      <c r="XBD32" s="1688"/>
      <c r="XBE32" s="1688"/>
      <c r="XBF32" s="1688"/>
      <c r="XBG32" s="1688"/>
      <c r="XBH32" s="1688"/>
      <c r="XBI32" s="1688"/>
      <c r="XBJ32" s="1688"/>
      <c r="XBK32" s="1688"/>
      <c r="XBL32" s="1688"/>
      <c r="XBM32" s="1688"/>
      <c r="XBN32" s="1688"/>
      <c r="XBO32" s="1688"/>
      <c r="XBP32" s="1688"/>
      <c r="XBQ32" s="1688"/>
      <c r="XBR32" s="1688"/>
      <c r="XBS32" s="1688"/>
      <c r="XBT32" s="1688"/>
      <c r="XBU32" s="1688"/>
      <c r="XBV32" s="1688"/>
      <c r="XBW32" s="1688"/>
      <c r="XBX32" s="1688"/>
      <c r="XBY32" s="1688"/>
      <c r="XBZ32" s="1688"/>
      <c r="XCA32" s="1688"/>
      <c r="XCB32" s="1688"/>
      <c r="XCC32" s="1688"/>
      <c r="XCD32" s="1688"/>
      <c r="XCE32" s="1688"/>
      <c r="XCF32" s="1688"/>
      <c r="XCG32" s="1688"/>
      <c r="XCH32" s="1688"/>
      <c r="XCI32" s="1688"/>
      <c r="XCJ32" s="1688"/>
      <c r="XCK32" s="1688"/>
      <c r="XCL32" s="1688"/>
      <c r="XCM32" s="1688"/>
      <c r="XCN32" s="1688"/>
      <c r="XCO32" s="1688"/>
      <c r="XCP32" s="1688"/>
      <c r="XCQ32" s="1688"/>
      <c r="XCR32" s="1688"/>
      <c r="XCS32" s="1688"/>
      <c r="XCT32" s="1688"/>
      <c r="XCU32" s="1688"/>
      <c r="XCV32" s="1688"/>
      <c r="XCW32" s="1688"/>
      <c r="XCX32" s="1688"/>
      <c r="XCY32" s="1688"/>
      <c r="XCZ32" s="1688"/>
      <c r="XDA32" s="1688"/>
      <c r="XDB32" s="1688"/>
      <c r="XDC32" s="1688"/>
      <c r="XDD32" s="1688"/>
      <c r="XDE32" s="1688"/>
      <c r="XDF32" s="1688"/>
      <c r="XDG32" s="1688"/>
      <c r="XDH32" s="1688"/>
      <c r="XDI32" s="1688"/>
      <c r="XDJ32" s="1688"/>
      <c r="XDK32" s="1688"/>
      <c r="XDL32" s="1688"/>
      <c r="XDM32" s="1688"/>
      <c r="XDN32" s="1688"/>
      <c r="XDO32" s="1688"/>
      <c r="XDP32" s="1688"/>
      <c r="XDQ32" s="1688"/>
      <c r="XDR32" s="1688"/>
      <c r="XDS32" s="1688"/>
      <c r="XDT32" s="1688"/>
      <c r="XDU32" s="1688"/>
      <c r="XDV32" s="1688"/>
      <c r="XDW32" s="1688"/>
      <c r="XDX32" s="1688"/>
      <c r="XDY32" s="1688"/>
      <c r="XDZ32" s="1688"/>
      <c r="XEA32" s="1688"/>
      <c r="XEB32" s="1688"/>
      <c r="XEC32" s="1688"/>
      <c r="XED32" s="1688"/>
      <c r="XEE32" s="1688"/>
      <c r="XEF32" s="1688"/>
      <c r="XEG32" s="1688"/>
      <c r="XEH32" s="1688"/>
      <c r="XEI32" s="1688"/>
      <c r="XEJ32" s="1688"/>
      <c r="XEK32" s="1688"/>
      <c r="XEL32" s="1688"/>
      <c r="XEM32" s="1688"/>
      <c r="XEN32" s="1688"/>
      <c r="XEO32" s="1688"/>
      <c r="XEP32" s="1688"/>
      <c r="XEQ32" s="1688"/>
      <c r="XER32" s="1688"/>
      <c r="XES32" s="1688"/>
      <c r="XET32" s="1688"/>
      <c r="XEU32" s="1688"/>
      <c r="XEV32" s="1688"/>
      <c r="XEW32" s="1688"/>
      <c r="XEX32" s="1688"/>
      <c r="XEY32" s="1688"/>
      <c r="XEZ32" s="1688"/>
      <c r="XFA32" s="1688"/>
      <c r="XFB32" s="1688"/>
      <c r="XFC32" s="1688"/>
      <c r="XFD32" s="1688"/>
    </row>
    <row r="33" spans="1:16384" s="224" customFormat="1" ht="45" customHeight="1">
      <c r="A33" s="1688" t="s">
        <v>2650</v>
      </c>
      <c r="B33" s="1688"/>
      <c r="C33" s="1688"/>
      <c r="D33" s="1688"/>
      <c r="E33" s="1688"/>
      <c r="F33" s="1688"/>
      <c r="G33" s="1688"/>
      <c r="H33" s="1688"/>
      <c r="I33" s="1688"/>
      <c r="J33" s="1688"/>
      <c r="K33" s="1688"/>
      <c r="L33" s="1688"/>
      <c r="M33" s="1688"/>
      <c r="N33" s="1688"/>
      <c r="O33" s="1688"/>
      <c r="P33" s="1688"/>
      <c r="Q33" s="1688"/>
      <c r="R33" s="1688"/>
      <c r="S33" s="1688"/>
      <c r="T33" s="1688"/>
      <c r="U33" s="1688"/>
      <c r="V33" s="1688"/>
      <c r="W33" s="1688"/>
      <c r="X33" s="1688"/>
      <c r="Y33" s="1688"/>
      <c r="Z33" s="1688"/>
      <c r="AA33" s="1688"/>
      <c r="AB33" s="1688"/>
      <c r="AC33" s="1688"/>
      <c r="AD33" s="1688"/>
      <c r="AE33" s="1688"/>
      <c r="AF33" s="1688"/>
      <c r="AG33" s="1688"/>
      <c r="AH33" s="1688"/>
      <c r="AI33" s="1688"/>
      <c r="AJ33" s="1688"/>
      <c r="AK33" s="1688"/>
      <c r="AL33" s="1688"/>
      <c r="AM33" s="1688"/>
      <c r="AN33" s="1688"/>
      <c r="AO33" s="1688"/>
      <c r="AP33" s="1688"/>
      <c r="AQ33" s="1688"/>
      <c r="AR33" s="1688"/>
      <c r="AS33" s="1688"/>
      <c r="AT33" s="1688"/>
      <c r="AU33" s="1688"/>
      <c r="AV33" s="1688"/>
      <c r="AW33" s="1688"/>
      <c r="AX33" s="1688"/>
      <c r="AY33" s="1688"/>
      <c r="AZ33" s="1688"/>
      <c r="BA33" s="1688"/>
      <c r="BB33" s="1688"/>
      <c r="BC33" s="1688"/>
      <c r="BD33" s="1688"/>
      <c r="BE33" s="1688"/>
      <c r="BF33" s="1688"/>
      <c r="BG33" s="1688"/>
      <c r="BH33" s="1688"/>
      <c r="BI33" s="1688"/>
      <c r="BJ33" s="1688"/>
      <c r="BK33" s="1688"/>
      <c r="BL33" s="1688"/>
      <c r="BM33" s="1688"/>
      <c r="BN33" s="1688"/>
      <c r="BO33" s="1688"/>
      <c r="BP33" s="1688"/>
      <c r="BQ33" s="1688"/>
      <c r="BR33" s="1688"/>
      <c r="BS33" s="1688"/>
      <c r="BT33" s="1688"/>
      <c r="BU33" s="1688"/>
      <c r="BV33" s="1688"/>
      <c r="BW33" s="1688"/>
      <c r="BX33" s="1688"/>
      <c r="BY33" s="1688"/>
      <c r="BZ33" s="1688"/>
      <c r="CA33" s="1688"/>
      <c r="CB33" s="1688"/>
      <c r="CC33" s="1688"/>
      <c r="CD33" s="1688"/>
      <c r="CE33" s="1688"/>
      <c r="CF33" s="1688"/>
      <c r="CG33" s="1688"/>
      <c r="CH33" s="1688"/>
      <c r="CI33" s="1688"/>
      <c r="CJ33" s="1688"/>
      <c r="CK33" s="1688"/>
      <c r="CL33" s="1688"/>
      <c r="CM33" s="1688"/>
      <c r="CN33" s="1688"/>
      <c r="CO33" s="1688"/>
      <c r="CP33" s="1688"/>
      <c r="CQ33" s="1688"/>
      <c r="CR33" s="1688"/>
      <c r="CS33" s="1688"/>
      <c r="CT33" s="1688"/>
      <c r="CU33" s="1688"/>
      <c r="CV33" s="1688"/>
      <c r="CW33" s="1688"/>
      <c r="CX33" s="1688"/>
      <c r="CY33" s="1688"/>
      <c r="CZ33" s="1688"/>
      <c r="DA33" s="1688"/>
      <c r="DB33" s="1688"/>
      <c r="DC33" s="1688"/>
      <c r="DD33" s="1688"/>
      <c r="DE33" s="1688"/>
      <c r="DF33" s="1688"/>
      <c r="DG33" s="1688"/>
      <c r="DH33" s="1688"/>
      <c r="DI33" s="1688"/>
      <c r="DJ33" s="1688"/>
      <c r="DK33" s="1688"/>
      <c r="DL33" s="1688"/>
      <c r="DM33" s="1688"/>
      <c r="DN33" s="1688"/>
      <c r="DO33" s="1688"/>
      <c r="DP33" s="1688"/>
      <c r="DQ33" s="1688"/>
      <c r="DR33" s="1688"/>
      <c r="DS33" s="1688"/>
      <c r="DT33" s="1688"/>
      <c r="DU33" s="1688"/>
      <c r="DV33" s="1688"/>
      <c r="DW33" s="1688"/>
      <c r="DX33" s="1688"/>
      <c r="DY33" s="1688"/>
      <c r="DZ33" s="1688"/>
      <c r="EA33" s="1688"/>
      <c r="EB33" s="1688"/>
      <c r="EC33" s="1688"/>
      <c r="ED33" s="1688"/>
      <c r="EE33" s="1688"/>
      <c r="EF33" s="1688"/>
      <c r="EG33" s="1688"/>
      <c r="EH33" s="1688"/>
      <c r="EI33" s="1688"/>
      <c r="EJ33" s="1688"/>
      <c r="EK33" s="1688"/>
      <c r="EL33" s="1688"/>
      <c r="EM33" s="1688"/>
      <c r="EN33" s="1688"/>
      <c r="EO33" s="1688"/>
      <c r="EP33" s="1688"/>
      <c r="EQ33" s="1688"/>
      <c r="ER33" s="1688"/>
      <c r="ES33" s="1688"/>
      <c r="ET33" s="1688"/>
      <c r="EU33" s="1688"/>
      <c r="EV33" s="1688"/>
      <c r="EW33" s="1688"/>
      <c r="EX33" s="1688"/>
      <c r="EY33" s="1688"/>
      <c r="EZ33" s="1688"/>
      <c r="FA33" s="1688"/>
      <c r="FB33" s="1688"/>
      <c r="FC33" s="1688"/>
      <c r="FD33" s="1688"/>
      <c r="FE33" s="1688"/>
      <c r="FF33" s="1688"/>
      <c r="FG33" s="1688"/>
      <c r="FH33" s="1688"/>
      <c r="FI33" s="1688"/>
      <c r="FJ33" s="1688"/>
      <c r="FK33" s="1688"/>
      <c r="FL33" s="1688"/>
      <c r="FM33" s="1688"/>
      <c r="FN33" s="1688"/>
      <c r="FO33" s="1688"/>
      <c r="FP33" s="1688"/>
      <c r="FQ33" s="1688"/>
      <c r="FR33" s="1688"/>
      <c r="FS33" s="1688"/>
      <c r="FT33" s="1688"/>
      <c r="FU33" s="1688"/>
      <c r="FV33" s="1688"/>
      <c r="FW33" s="1688"/>
      <c r="FX33" s="1688"/>
      <c r="FY33" s="1688"/>
      <c r="FZ33" s="1688"/>
      <c r="GA33" s="1688"/>
      <c r="GB33" s="1688"/>
      <c r="GC33" s="1688"/>
      <c r="GD33" s="1688"/>
      <c r="GE33" s="1688"/>
      <c r="GF33" s="1688"/>
      <c r="GG33" s="1688"/>
      <c r="GH33" s="1688"/>
      <c r="GI33" s="1688"/>
      <c r="GJ33" s="1688"/>
      <c r="GK33" s="1688"/>
      <c r="GL33" s="1688"/>
      <c r="GM33" s="1688"/>
      <c r="GN33" s="1688"/>
      <c r="GO33" s="1688"/>
      <c r="GP33" s="1688"/>
      <c r="GQ33" s="1688"/>
      <c r="GR33" s="1688"/>
      <c r="GS33" s="1688"/>
      <c r="GT33" s="1688"/>
      <c r="GU33" s="1688"/>
      <c r="GV33" s="1688"/>
      <c r="GW33" s="1688"/>
      <c r="GX33" s="1688"/>
      <c r="GY33" s="1688"/>
      <c r="GZ33" s="1688"/>
      <c r="HA33" s="1688"/>
      <c r="HB33" s="1688"/>
      <c r="HC33" s="1688"/>
      <c r="HD33" s="1688"/>
      <c r="HE33" s="1688"/>
      <c r="HF33" s="1688"/>
      <c r="HG33" s="1688"/>
      <c r="HH33" s="1688"/>
      <c r="HI33" s="1688"/>
      <c r="HJ33" s="1688"/>
      <c r="HK33" s="1688"/>
      <c r="HL33" s="1688"/>
      <c r="HM33" s="1688"/>
      <c r="HN33" s="1688"/>
      <c r="HO33" s="1688"/>
      <c r="HP33" s="1688"/>
      <c r="HQ33" s="1688"/>
      <c r="HR33" s="1688"/>
      <c r="HS33" s="1688"/>
      <c r="HT33" s="1688"/>
      <c r="HU33" s="1688"/>
      <c r="HV33" s="1688"/>
      <c r="HW33" s="1688"/>
      <c r="HX33" s="1688"/>
      <c r="HY33" s="1688"/>
      <c r="HZ33" s="1688"/>
      <c r="IA33" s="1688"/>
      <c r="IB33" s="1688"/>
      <c r="IC33" s="1688"/>
      <c r="ID33" s="1688"/>
      <c r="IE33" s="1688"/>
      <c r="IF33" s="1688"/>
      <c r="IG33" s="1688"/>
      <c r="IH33" s="1688"/>
      <c r="II33" s="1688"/>
      <c r="IJ33" s="1688"/>
      <c r="IK33" s="1688"/>
      <c r="IL33" s="1688"/>
      <c r="IM33" s="1688"/>
      <c r="IN33" s="1688"/>
      <c r="IO33" s="1688"/>
      <c r="IP33" s="1688"/>
      <c r="IQ33" s="1688"/>
      <c r="IR33" s="1688"/>
      <c r="IS33" s="1688"/>
      <c r="IT33" s="1688"/>
      <c r="IU33" s="1688"/>
      <c r="IV33" s="1688"/>
      <c r="IW33" s="1688"/>
      <c r="IX33" s="1688"/>
      <c r="IY33" s="1688"/>
      <c r="IZ33" s="1688"/>
      <c r="JA33" s="1688"/>
      <c r="JB33" s="1688"/>
      <c r="JC33" s="1688"/>
      <c r="JD33" s="1688"/>
      <c r="JE33" s="1688"/>
      <c r="JF33" s="1688"/>
      <c r="JG33" s="1688"/>
      <c r="JH33" s="1688"/>
      <c r="JI33" s="1688"/>
      <c r="JJ33" s="1688"/>
      <c r="JK33" s="1688"/>
      <c r="JL33" s="1688"/>
      <c r="JM33" s="1688"/>
      <c r="JN33" s="1688"/>
      <c r="JO33" s="1688"/>
      <c r="JP33" s="1688"/>
      <c r="JQ33" s="1688"/>
      <c r="JR33" s="1688"/>
      <c r="JS33" s="1688"/>
      <c r="JT33" s="1688"/>
      <c r="JU33" s="1688"/>
      <c r="JV33" s="1688"/>
      <c r="JW33" s="1688"/>
      <c r="JX33" s="1688"/>
      <c r="JY33" s="1688"/>
      <c r="JZ33" s="1688"/>
      <c r="KA33" s="1688"/>
      <c r="KB33" s="1688"/>
      <c r="KC33" s="1688"/>
      <c r="KD33" s="1688"/>
      <c r="KE33" s="1688"/>
      <c r="KF33" s="1688"/>
      <c r="KG33" s="1688"/>
      <c r="KH33" s="1688"/>
      <c r="KI33" s="1688"/>
      <c r="KJ33" s="1688"/>
      <c r="KK33" s="1688"/>
      <c r="KL33" s="1688"/>
      <c r="KM33" s="1688"/>
      <c r="KN33" s="1688"/>
      <c r="KO33" s="1688"/>
      <c r="KP33" s="1688"/>
      <c r="KQ33" s="1688"/>
      <c r="KR33" s="1688"/>
      <c r="KS33" s="1688"/>
      <c r="KT33" s="1688"/>
      <c r="KU33" s="1688"/>
      <c r="KV33" s="1688"/>
      <c r="KW33" s="1688"/>
      <c r="KX33" s="1688"/>
      <c r="KY33" s="1688"/>
      <c r="KZ33" s="1688"/>
      <c r="LA33" s="1688"/>
      <c r="LB33" s="1688"/>
      <c r="LC33" s="1688"/>
      <c r="LD33" s="1688"/>
      <c r="LE33" s="1688"/>
      <c r="LF33" s="1688"/>
      <c r="LG33" s="1688"/>
      <c r="LH33" s="1688"/>
      <c r="LI33" s="1688"/>
      <c r="LJ33" s="1688"/>
      <c r="LK33" s="1688"/>
      <c r="LL33" s="1688"/>
      <c r="LM33" s="1688"/>
      <c r="LN33" s="1688"/>
      <c r="LO33" s="1688"/>
      <c r="LP33" s="1688"/>
      <c r="LQ33" s="1688"/>
      <c r="LR33" s="1688"/>
      <c r="LS33" s="1688"/>
      <c r="LT33" s="1688"/>
      <c r="LU33" s="1688"/>
      <c r="LV33" s="1688"/>
      <c r="LW33" s="1688"/>
      <c r="LX33" s="1688"/>
      <c r="LY33" s="1688"/>
      <c r="LZ33" s="1688"/>
      <c r="MA33" s="1688"/>
      <c r="MB33" s="1688"/>
      <c r="MC33" s="1688"/>
      <c r="MD33" s="1688"/>
      <c r="ME33" s="1688"/>
      <c r="MF33" s="1688"/>
      <c r="MG33" s="1688"/>
      <c r="MH33" s="1688"/>
      <c r="MI33" s="1688"/>
      <c r="MJ33" s="1688"/>
      <c r="MK33" s="1688"/>
      <c r="ML33" s="1688"/>
      <c r="MM33" s="1688"/>
      <c r="MN33" s="1688"/>
      <c r="MO33" s="1688"/>
      <c r="MP33" s="1688"/>
      <c r="MQ33" s="1688"/>
      <c r="MR33" s="1688"/>
      <c r="MS33" s="1688"/>
      <c r="MT33" s="1688"/>
      <c r="MU33" s="1688"/>
      <c r="MV33" s="1688"/>
      <c r="MW33" s="1688"/>
      <c r="MX33" s="1688"/>
      <c r="MY33" s="1688"/>
      <c r="MZ33" s="1688"/>
      <c r="NA33" s="1688"/>
      <c r="NB33" s="1688"/>
      <c r="NC33" s="1688"/>
      <c r="ND33" s="1688"/>
      <c r="NE33" s="1688"/>
      <c r="NF33" s="1688"/>
      <c r="NG33" s="1688"/>
      <c r="NH33" s="1688"/>
      <c r="NI33" s="1688"/>
      <c r="NJ33" s="1688"/>
      <c r="NK33" s="1688"/>
      <c r="NL33" s="1688"/>
      <c r="NM33" s="1688"/>
      <c r="NN33" s="1688"/>
      <c r="NO33" s="1688"/>
      <c r="NP33" s="1688"/>
      <c r="NQ33" s="1688"/>
      <c r="NR33" s="1688"/>
      <c r="NS33" s="1688"/>
      <c r="NT33" s="1688"/>
      <c r="NU33" s="1688"/>
      <c r="NV33" s="1688"/>
      <c r="NW33" s="1688"/>
      <c r="NX33" s="1688"/>
      <c r="NY33" s="1688"/>
      <c r="NZ33" s="1688"/>
      <c r="OA33" s="1688"/>
      <c r="OB33" s="1688"/>
      <c r="OC33" s="1688"/>
      <c r="OD33" s="1688"/>
      <c r="OE33" s="1688"/>
      <c r="OF33" s="1688"/>
      <c r="OG33" s="1688"/>
      <c r="OH33" s="1688"/>
      <c r="OI33" s="1688"/>
      <c r="OJ33" s="1688"/>
      <c r="OK33" s="1688"/>
      <c r="OL33" s="1688"/>
      <c r="OM33" s="1688"/>
      <c r="ON33" s="1688"/>
      <c r="OO33" s="1688"/>
      <c r="OP33" s="1688"/>
      <c r="OQ33" s="1688"/>
      <c r="OR33" s="1688"/>
      <c r="OS33" s="1688"/>
      <c r="OT33" s="1688"/>
      <c r="OU33" s="1688"/>
      <c r="OV33" s="1688"/>
      <c r="OW33" s="1688"/>
      <c r="OX33" s="1688"/>
      <c r="OY33" s="1688"/>
      <c r="OZ33" s="1688"/>
      <c r="PA33" s="1688"/>
      <c r="PB33" s="1688"/>
      <c r="PC33" s="1688"/>
      <c r="PD33" s="1688"/>
      <c r="PE33" s="1688"/>
      <c r="PF33" s="1688"/>
      <c r="PG33" s="1688"/>
      <c r="PH33" s="1688"/>
      <c r="PI33" s="1688"/>
      <c r="PJ33" s="1688"/>
      <c r="PK33" s="1688"/>
      <c r="PL33" s="1688"/>
      <c r="PM33" s="1688"/>
      <c r="PN33" s="1688"/>
      <c r="PO33" s="1688"/>
      <c r="PP33" s="1688"/>
      <c r="PQ33" s="1688"/>
      <c r="PR33" s="1688"/>
      <c r="PS33" s="1688"/>
      <c r="PT33" s="1688"/>
      <c r="PU33" s="1688"/>
      <c r="PV33" s="1688"/>
      <c r="PW33" s="1688"/>
      <c r="PX33" s="1688"/>
      <c r="PY33" s="1688"/>
      <c r="PZ33" s="1688"/>
      <c r="QA33" s="1688"/>
      <c r="QB33" s="1688"/>
      <c r="QC33" s="1688"/>
      <c r="QD33" s="1688"/>
      <c r="QE33" s="1688"/>
      <c r="QF33" s="1688"/>
      <c r="QG33" s="1688"/>
      <c r="QH33" s="1688"/>
      <c r="QI33" s="1688"/>
      <c r="QJ33" s="1688"/>
      <c r="QK33" s="1688"/>
      <c r="QL33" s="1688"/>
      <c r="QM33" s="1688"/>
      <c r="QN33" s="1688"/>
      <c r="QO33" s="1688"/>
      <c r="QP33" s="1688"/>
      <c r="QQ33" s="1688"/>
      <c r="QR33" s="1688"/>
      <c r="QS33" s="1688"/>
      <c r="QT33" s="1688"/>
      <c r="QU33" s="1688"/>
      <c r="QV33" s="1688"/>
      <c r="QW33" s="1688"/>
      <c r="QX33" s="1688"/>
      <c r="QY33" s="1688"/>
      <c r="QZ33" s="1688"/>
      <c r="RA33" s="1688"/>
      <c r="RB33" s="1688"/>
      <c r="RC33" s="1688"/>
      <c r="RD33" s="1688"/>
      <c r="RE33" s="1688"/>
      <c r="RF33" s="1688"/>
      <c r="RG33" s="1688"/>
      <c r="RH33" s="1688"/>
      <c r="RI33" s="1688"/>
      <c r="RJ33" s="1688"/>
      <c r="RK33" s="1688"/>
      <c r="RL33" s="1688"/>
      <c r="RM33" s="1688"/>
      <c r="RN33" s="1688"/>
      <c r="RO33" s="1688"/>
      <c r="RP33" s="1688"/>
      <c r="RQ33" s="1688"/>
      <c r="RR33" s="1688"/>
      <c r="RS33" s="1688"/>
      <c r="RT33" s="1688"/>
      <c r="RU33" s="1688"/>
      <c r="RV33" s="1688"/>
      <c r="RW33" s="1688"/>
      <c r="RX33" s="1688"/>
      <c r="RY33" s="1688"/>
      <c r="RZ33" s="1688"/>
      <c r="SA33" s="1688"/>
      <c r="SB33" s="1688"/>
      <c r="SC33" s="1688"/>
      <c r="SD33" s="1688"/>
      <c r="SE33" s="1688"/>
      <c r="SF33" s="1688"/>
      <c r="SG33" s="1688"/>
      <c r="SH33" s="1688"/>
      <c r="SI33" s="1688"/>
      <c r="SJ33" s="1688"/>
      <c r="SK33" s="1688"/>
      <c r="SL33" s="1688"/>
      <c r="SM33" s="1688"/>
      <c r="SN33" s="1688"/>
      <c r="SO33" s="1688"/>
      <c r="SP33" s="1688"/>
      <c r="SQ33" s="1688"/>
      <c r="SR33" s="1688"/>
      <c r="SS33" s="1688"/>
      <c r="ST33" s="1688"/>
      <c r="SU33" s="1688"/>
      <c r="SV33" s="1688"/>
      <c r="SW33" s="1688"/>
      <c r="SX33" s="1688"/>
      <c r="SY33" s="1688"/>
      <c r="SZ33" s="1688"/>
      <c r="TA33" s="1688"/>
      <c r="TB33" s="1688"/>
      <c r="TC33" s="1688"/>
      <c r="TD33" s="1688"/>
      <c r="TE33" s="1688"/>
      <c r="TF33" s="1688"/>
      <c r="TG33" s="1688"/>
      <c r="TH33" s="1688"/>
      <c r="TI33" s="1688"/>
      <c r="TJ33" s="1688"/>
      <c r="TK33" s="1688"/>
      <c r="TL33" s="1688"/>
      <c r="TM33" s="1688"/>
      <c r="TN33" s="1688"/>
      <c r="TO33" s="1688"/>
      <c r="TP33" s="1688"/>
      <c r="TQ33" s="1688"/>
      <c r="TR33" s="1688"/>
      <c r="TS33" s="1688"/>
      <c r="TT33" s="1688"/>
      <c r="TU33" s="1688"/>
      <c r="TV33" s="1688"/>
      <c r="TW33" s="1688"/>
      <c r="TX33" s="1688"/>
      <c r="TY33" s="1688"/>
      <c r="TZ33" s="1688"/>
      <c r="UA33" s="1688"/>
      <c r="UB33" s="1688"/>
      <c r="UC33" s="1688"/>
      <c r="UD33" s="1688"/>
      <c r="UE33" s="1688"/>
      <c r="UF33" s="1688"/>
      <c r="UG33" s="1688"/>
      <c r="UH33" s="1688"/>
      <c r="UI33" s="1688"/>
      <c r="UJ33" s="1688"/>
      <c r="UK33" s="1688"/>
      <c r="UL33" s="1688"/>
      <c r="UM33" s="1688"/>
      <c r="UN33" s="1688"/>
      <c r="UO33" s="1688"/>
      <c r="UP33" s="1688"/>
      <c r="UQ33" s="1688"/>
      <c r="UR33" s="1688"/>
      <c r="US33" s="1688"/>
      <c r="UT33" s="1688"/>
      <c r="UU33" s="1688"/>
      <c r="UV33" s="1688"/>
      <c r="UW33" s="1688"/>
      <c r="UX33" s="1688"/>
      <c r="UY33" s="1688"/>
      <c r="UZ33" s="1688"/>
      <c r="VA33" s="1688"/>
      <c r="VB33" s="1688"/>
      <c r="VC33" s="1688"/>
      <c r="VD33" s="1688"/>
      <c r="VE33" s="1688"/>
      <c r="VF33" s="1688"/>
      <c r="VG33" s="1688"/>
      <c r="VH33" s="1688"/>
      <c r="VI33" s="1688"/>
      <c r="VJ33" s="1688"/>
      <c r="VK33" s="1688"/>
      <c r="VL33" s="1688"/>
      <c r="VM33" s="1688"/>
      <c r="VN33" s="1688"/>
      <c r="VO33" s="1688"/>
      <c r="VP33" s="1688"/>
      <c r="VQ33" s="1688"/>
      <c r="VR33" s="1688"/>
      <c r="VS33" s="1688"/>
      <c r="VT33" s="1688"/>
      <c r="VU33" s="1688"/>
      <c r="VV33" s="1688"/>
      <c r="VW33" s="1688"/>
      <c r="VX33" s="1688"/>
      <c r="VY33" s="1688"/>
      <c r="VZ33" s="1688"/>
      <c r="WA33" s="1688"/>
      <c r="WB33" s="1688"/>
      <c r="WC33" s="1688"/>
      <c r="WD33" s="1688"/>
      <c r="WE33" s="1688"/>
      <c r="WF33" s="1688"/>
      <c r="WG33" s="1688"/>
      <c r="WH33" s="1688"/>
      <c r="WI33" s="1688"/>
      <c r="WJ33" s="1688"/>
      <c r="WK33" s="1688"/>
      <c r="WL33" s="1688"/>
      <c r="WM33" s="1688"/>
      <c r="WN33" s="1688"/>
      <c r="WO33" s="1688"/>
      <c r="WP33" s="1688"/>
      <c r="WQ33" s="1688"/>
      <c r="WR33" s="1688"/>
      <c r="WS33" s="1688"/>
      <c r="WT33" s="1688"/>
      <c r="WU33" s="1688"/>
      <c r="WV33" s="1688"/>
      <c r="WW33" s="1688"/>
      <c r="WX33" s="1688"/>
      <c r="WY33" s="1688"/>
      <c r="WZ33" s="1688"/>
      <c r="XA33" s="1688"/>
      <c r="XB33" s="1688"/>
      <c r="XC33" s="1688"/>
      <c r="XD33" s="1688"/>
      <c r="XE33" s="1688"/>
      <c r="XF33" s="1688"/>
      <c r="XG33" s="1688"/>
      <c r="XH33" s="1688"/>
      <c r="XI33" s="1688"/>
      <c r="XJ33" s="1688"/>
      <c r="XK33" s="1688"/>
      <c r="XL33" s="1688"/>
      <c r="XM33" s="1688"/>
      <c r="XN33" s="1688"/>
      <c r="XO33" s="1688"/>
      <c r="XP33" s="1688"/>
      <c r="XQ33" s="1688"/>
      <c r="XR33" s="1688"/>
      <c r="XS33" s="1688"/>
      <c r="XT33" s="1688"/>
      <c r="XU33" s="1688"/>
      <c r="XV33" s="1688"/>
      <c r="XW33" s="1688"/>
      <c r="XX33" s="1688"/>
      <c r="XY33" s="1688"/>
      <c r="XZ33" s="1688"/>
      <c r="YA33" s="1688"/>
      <c r="YB33" s="1688"/>
      <c r="YC33" s="1688"/>
      <c r="YD33" s="1688"/>
      <c r="YE33" s="1688"/>
      <c r="YF33" s="1688"/>
      <c r="YG33" s="1688"/>
      <c r="YH33" s="1688"/>
      <c r="YI33" s="1688"/>
      <c r="YJ33" s="1688"/>
      <c r="YK33" s="1688"/>
      <c r="YL33" s="1688"/>
      <c r="YM33" s="1688"/>
      <c r="YN33" s="1688"/>
      <c r="YO33" s="1688"/>
      <c r="YP33" s="1688"/>
      <c r="YQ33" s="1688"/>
      <c r="YR33" s="1688"/>
      <c r="YS33" s="1688"/>
      <c r="YT33" s="1688"/>
      <c r="YU33" s="1688"/>
      <c r="YV33" s="1688"/>
      <c r="YW33" s="1688"/>
      <c r="YX33" s="1688"/>
      <c r="YY33" s="1688"/>
      <c r="YZ33" s="1688"/>
      <c r="ZA33" s="1688"/>
      <c r="ZB33" s="1688"/>
      <c r="ZC33" s="1688"/>
      <c r="ZD33" s="1688"/>
      <c r="ZE33" s="1688"/>
      <c r="ZF33" s="1688"/>
      <c r="ZG33" s="1688"/>
      <c r="ZH33" s="1688"/>
      <c r="ZI33" s="1688"/>
      <c r="ZJ33" s="1688"/>
      <c r="ZK33" s="1688"/>
      <c r="ZL33" s="1688"/>
      <c r="ZM33" s="1688"/>
      <c r="ZN33" s="1688"/>
      <c r="ZO33" s="1688"/>
      <c r="ZP33" s="1688"/>
      <c r="ZQ33" s="1688"/>
      <c r="ZR33" s="1688"/>
      <c r="ZS33" s="1688"/>
      <c r="ZT33" s="1688"/>
      <c r="ZU33" s="1688"/>
      <c r="ZV33" s="1688"/>
      <c r="ZW33" s="1688"/>
      <c r="ZX33" s="1688"/>
      <c r="ZY33" s="1688"/>
      <c r="ZZ33" s="1688"/>
      <c r="AAA33" s="1688"/>
      <c r="AAB33" s="1688"/>
      <c r="AAC33" s="1688"/>
      <c r="AAD33" s="1688"/>
      <c r="AAE33" s="1688"/>
      <c r="AAF33" s="1688"/>
      <c r="AAG33" s="1688"/>
      <c r="AAH33" s="1688"/>
      <c r="AAI33" s="1688"/>
      <c r="AAJ33" s="1688"/>
      <c r="AAK33" s="1688"/>
      <c r="AAL33" s="1688"/>
      <c r="AAM33" s="1688"/>
      <c r="AAN33" s="1688"/>
      <c r="AAO33" s="1688"/>
      <c r="AAP33" s="1688"/>
      <c r="AAQ33" s="1688"/>
      <c r="AAR33" s="1688"/>
      <c r="AAS33" s="1688"/>
      <c r="AAT33" s="1688"/>
      <c r="AAU33" s="1688"/>
      <c r="AAV33" s="1688"/>
      <c r="AAW33" s="1688"/>
      <c r="AAX33" s="1688"/>
      <c r="AAY33" s="1688"/>
      <c r="AAZ33" s="1688"/>
      <c r="ABA33" s="1688"/>
      <c r="ABB33" s="1688"/>
      <c r="ABC33" s="1688"/>
      <c r="ABD33" s="1688"/>
      <c r="ABE33" s="1688"/>
      <c r="ABF33" s="1688"/>
      <c r="ABG33" s="1688"/>
      <c r="ABH33" s="1688"/>
      <c r="ABI33" s="1688"/>
      <c r="ABJ33" s="1688"/>
      <c r="ABK33" s="1688"/>
      <c r="ABL33" s="1688"/>
      <c r="ABM33" s="1688"/>
      <c r="ABN33" s="1688"/>
      <c r="ABO33" s="1688"/>
      <c r="ABP33" s="1688"/>
      <c r="ABQ33" s="1688"/>
      <c r="ABR33" s="1688"/>
      <c r="ABS33" s="1688"/>
      <c r="ABT33" s="1688"/>
      <c r="ABU33" s="1688"/>
      <c r="ABV33" s="1688"/>
      <c r="ABW33" s="1688"/>
      <c r="ABX33" s="1688"/>
      <c r="ABY33" s="1688"/>
      <c r="ABZ33" s="1688"/>
      <c r="ACA33" s="1688"/>
      <c r="ACB33" s="1688"/>
      <c r="ACC33" s="1688"/>
      <c r="ACD33" s="1688"/>
      <c r="ACE33" s="1688"/>
      <c r="ACF33" s="1688"/>
      <c r="ACG33" s="1688"/>
      <c r="ACH33" s="1688"/>
      <c r="ACI33" s="1688"/>
      <c r="ACJ33" s="1688"/>
      <c r="ACK33" s="1688"/>
      <c r="ACL33" s="1688"/>
      <c r="ACM33" s="1688"/>
      <c r="ACN33" s="1688"/>
      <c r="ACO33" s="1688"/>
      <c r="ACP33" s="1688"/>
      <c r="ACQ33" s="1688"/>
      <c r="ACR33" s="1688"/>
      <c r="ACS33" s="1688"/>
      <c r="ACT33" s="1688"/>
      <c r="ACU33" s="1688"/>
      <c r="ACV33" s="1688"/>
      <c r="ACW33" s="1688"/>
      <c r="ACX33" s="1688"/>
      <c r="ACY33" s="1688"/>
      <c r="ACZ33" s="1688"/>
      <c r="ADA33" s="1688"/>
      <c r="ADB33" s="1688"/>
      <c r="ADC33" s="1688"/>
      <c r="ADD33" s="1688"/>
      <c r="ADE33" s="1688"/>
      <c r="ADF33" s="1688"/>
      <c r="ADG33" s="1688"/>
      <c r="ADH33" s="1688"/>
      <c r="ADI33" s="1688"/>
      <c r="ADJ33" s="1688"/>
      <c r="ADK33" s="1688"/>
      <c r="ADL33" s="1688"/>
      <c r="ADM33" s="1688"/>
      <c r="ADN33" s="1688"/>
      <c r="ADO33" s="1688"/>
      <c r="ADP33" s="1688"/>
      <c r="ADQ33" s="1688"/>
      <c r="ADR33" s="1688"/>
      <c r="ADS33" s="1688"/>
      <c r="ADT33" s="1688"/>
      <c r="ADU33" s="1688"/>
      <c r="ADV33" s="1688"/>
      <c r="ADW33" s="1688"/>
      <c r="ADX33" s="1688"/>
      <c r="ADY33" s="1688"/>
      <c r="ADZ33" s="1688"/>
      <c r="AEA33" s="1688"/>
      <c r="AEB33" s="1688"/>
      <c r="AEC33" s="1688"/>
      <c r="AED33" s="1688"/>
      <c r="AEE33" s="1688"/>
      <c r="AEF33" s="1688"/>
      <c r="AEG33" s="1688"/>
      <c r="AEH33" s="1688"/>
      <c r="AEI33" s="1688"/>
      <c r="AEJ33" s="1688"/>
      <c r="AEK33" s="1688"/>
      <c r="AEL33" s="1688"/>
      <c r="AEM33" s="1688"/>
      <c r="AEN33" s="1688"/>
      <c r="AEO33" s="1688"/>
      <c r="AEP33" s="1688"/>
      <c r="AEQ33" s="1688"/>
      <c r="AER33" s="1688"/>
      <c r="AES33" s="1688"/>
      <c r="AET33" s="1688"/>
      <c r="AEU33" s="1688"/>
      <c r="AEV33" s="1688"/>
      <c r="AEW33" s="1688"/>
      <c r="AEX33" s="1688"/>
      <c r="AEY33" s="1688"/>
      <c r="AEZ33" s="1688"/>
      <c r="AFA33" s="1688"/>
      <c r="AFB33" s="1688"/>
      <c r="AFC33" s="1688"/>
      <c r="AFD33" s="1688"/>
      <c r="AFE33" s="1688"/>
      <c r="AFF33" s="1688"/>
      <c r="AFG33" s="1688"/>
      <c r="AFH33" s="1688"/>
      <c r="AFI33" s="1688"/>
      <c r="AFJ33" s="1688"/>
      <c r="AFK33" s="1688"/>
      <c r="AFL33" s="1688"/>
      <c r="AFM33" s="1688"/>
      <c r="AFN33" s="1688"/>
      <c r="AFO33" s="1688"/>
      <c r="AFP33" s="1688"/>
      <c r="AFQ33" s="1688"/>
      <c r="AFR33" s="1688"/>
      <c r="AFS33" s="1688"/>
      <c r="AFT33" s="1688"/>
      <c r="AFU33" s="1688"/>
      <c r="AFV33" s="1688"/>
      <c r="AFW33" s="1688"/>
      <c r="AFX33" s="1688"/>
      <c r="AFY33" s="1688"/>
      <c r="AFZ33" s="1688"/>
      <c r="AGA33" s="1688"/>
      <c r="AGB33" s="1688"/>
      <c r="AGC33" s="1688"/>
      <c r="AGD33" s="1688"/>
      <c r="AGE33" s="1688"/>
      <c r="AGF33" s="1688"/>
      <c r="AGG33" s="1688"/>
      <c r="AGH33" s="1688"/>
      <c r="AGI33" s="1688"/>
      <c r="AGJ33" s="1688"/>
      <c r="AGK33" s="1688"/>
      <c r="AGL33" s="1688"/>
      <c r="AGM33" s="1688"/>
      <c r="AGN33" s="1688"/>
      <c r="AGO33" s="1688"/>
      <c r="AGP33" s="1688"/>
      <c r="AGQ33" s="1688"/>
      <c r="AGR33" s="1688"/>
      <c r="AGS33" s="1688"/>
      <c r="AGT33" s="1688"/>
      <c r="AGU33" s="1688"/>
      <c r="AGV33" s="1688"/>
      <c r="AGW33" s="1688"/>
      <c r="AGX33" s="1688"/>
      <c r="AGY33" s="1688"/>
      <c r="AGZ33" s="1688"/>
      <c r="AHA33" s="1688"/>
      <c r="AHB33" s="1688"/>
      <c r="AHC33" s="1688"/>
      <c r="AHD33" s="1688"/>
      <c r="AHE33" s="1688"/>
      <c r="AHF33" s="1688"/>
      <c r="AHG33" s="1688"/>
      <c r="AHH33" s="1688"/>
      <c r="AHI33" s="1688"/>
      <c r="AHJ33" s="1688"/>
      <c r="AHK33" s="1688"/>
      <c r="AHL33" s="1688"/>
      <c r="AHM33" s="1688"/>
      <c r="AHN33" s="1688"/>
      <c r="AHO33" s="1688"/>
      <c r="AHP33" s="1688"/>
      <c r="AHQ33" s="1688"/>
      <c r="AHR33" s="1688"/>
      <c r="AHS33" s="1688"/>
      <c r="AHT33" s="1688"/>
      <c r="AHU33" s="1688"/>
      <c r="AHV33" s="1688"/>
      <c r="AHW33" s="1688"/>
      <c r="AHX33" s="1688"/>
      <c r="AHY33" s="1688"/>
      <c r="AHZ33" s="1688"/>
      <c r="AIA33" s="1688"/>
      <c r="AIB33" s="1688"/>
      <c r="AIC33" s="1688"/>
      <c r="AID33" s="1688"/>
      <c r="AIE33" s="1688"/>
      <c r="AIF33" s="1688"/>
      <c r="AIG33" s="1688"/>
      <c r="AIH33" s="1688"/>
      <c r="AII33" s="1688"/>
      <c r="AIJ33" s="1688"/>
      <c r="AIK33" s="1688"/>
      <c r="AIL33" s="1688"/>
      <c r="AIM33" s="1688"/>
      <c r="AIN33" s="1688"/>
      <c r="AIO33" s="1688"/>
      <c r="AIP33" s="1688"/>
      <c r="AIQ33" s="1688"/>
      <c r="AIR33" s="1688"/>
      <c r="AIS33" s="1688"/>
      <c r="AIT33" s="1688"/>
      <c r="AIU33" s="1688"/>
      <c r="AIV33" s="1688"/>
      <c r="AIW33" s="1688"/>
      <c r="AIX33" s="1688"/>
      <c r="AIY33" s="1688"/>
      <c r="AIZ33" s="1688"/>
      <c r="AJA33" s="1688"/>
      <c r="AJB33" s="1688"/>
      <c r="AJC33" s="1688"/>
      <c r="AJD33" s="1688"/>
      <c r="AJE33" s="1688"/>
      <c r="AJF33" s="1688"/>
      <c r="AJG33" s="1688"/>
      <c r="AJH33" s="1688"/>
      <c r="AJI33" s="1688"/>
      <c r="AJJ33" s="1688"/>
      <c r="AJK33" s="1688"/>
      <c r="AJL33" s="1688"/>
      <c r="AJM33" s="1688"/>
      <c r="AJN33" s="1688"/>
      <c r="AJO33" s="1688"/>
      <c r="AJP33" s="1688"/>
      <c r="AJQ33" s="1688"/>
      <c r="AJR33" s="1688"/>
      <c r="AJS33" s="1688"/>
      <c r="AJT33" s="1688"/>
      <c r="AJU33" s="1688"/>
      <c r="AJV33" s="1688"/>
      <c r="AJW33" s="1688"/>
      <c r="AJX33" s="1688"/>
      <c r="AJY33" s="1688"/>
      <c r="AJZ33" s="1688"/>
      <c r="AKA33" s="1688"/>
      <c r="AKB33" s="1688"/>
      <c r="AKC33" s="1688"/>
      <c r="AKD33" s="1688"/>
      <c r="AKE33" s="1688"/>
      <c r="AKF33" s="1688"/>
      <c r="AKG33" s="1688"/>
      <c r="AKH33" s="1688"/>
      <c r="AKI33" s="1688"/>
      <c r="AKJ33" s="1688"/>
      <c r="AKK33" s="1688"/>
      <c r="AKL33" s="1688"/>
      <c r="AKM33" s="1688"/>
      <c r="AKN33" s="1688"/>
      <c r="AKO33" s="1688"/>
      <c r="AKP33" s="1688"/>
      <c r="AKQ33" s="1688"/>
      <c r="AKR33" s="1688"/>
      <c r="AKS33" s="1688"/>
      <c r="AKT33" s="1688"/>
      <c r="AKU33" s="1688"/>
      <c r="AKV33" s="1688"/>
      <c r="AKW33" s="1688"/>
      <c r="AKX33" s="1688"/>
      <c r="AKY33" s="1688"/>
      <c r="AKZ33" s="1688"/>
      <c r="ALA33" s="1688"/>
      <c r="ALB33" s="1688"/>
      <c r="ALC33" s="1688"/>
      <c r="ALD33" s="1688"/>
      <c r="ALE33" s="1688"/>
      <c r="ALF33" s="1688"/>
      <c r="ALG33" s="1688"/>
      <c r="ALH33" s="1688"/>
      <c r="ALI33" s="1688"/>
      <c r="ALJ33" s="1688"/>
      <c r="ALK33" s="1688"/>
      <c r="ALL33" s="1688"/>
      <c r="ALM33" s="1688"/>
      <c r="ALN33" s="1688"/>
      <c r="ALO33" s="1688"/>
      <c r="ALP33" s="1688"/>
      <c r="ALQ33" s="1688"/>
      <c r="ALR33" s="1688"/>
      <c r="ALS33" s="1688"/>
      <c r="ALT33" s="1688"/>
      <c r="ALU33" s="1688"/>
      <c r="ALV33" s="1688"/>
      <c r="ALW33" s="1688"/>
      <c r="ALX33" s="1688"/>
      <c r="ALY33" s="1688"/>
      <c r="ALZ33" s="1688"/>
      <c r="AMA33" s="1688"/>
      <c r="AMB33" s="1688"/>
      <c r="AMC33" s="1688"/>
      <c r="AMD33" s="1688"/>
      <c r="AME33" s="1688"/>
      <c r="AMF33" s="1688"/>
      <c r="AMG33" s="1688"/>
      <c r="AMH33" s="1688"/>
      <c r="AMI33" s="1688"/>
      <c r="AMJ33" s="1688"/>
      <c r="AMK33" s="1688"/>
      <c r="AML33" s="1688"/>
      <c r="AMM33" s="1688"/>
      <c r="AMN33" s="1688"/>
      <c r="AMO33" s="1688"/>
      <c r="AMP33" s="1688"/>
      <c r="AMQ33" s="1688"/>
      <c r="AMR33" s="1688"/>
      <c r="AMS33" s="1688"/>
      <c r="AMT33" s="1688"/>
      <c r="AMU33" s="1688"/>
      <c r="AMV33" s="1688"/>
      <c r="AMW33" s="1688"/>
      <c r="AMX33" s="1688"/>
      <c r="AMY33" s="1688"/>
      <c r="AMZ33" s="1688"/>
      <c r="ANA33" s="1688"/>
      <c r="ANB33" s="1688"/>
      <c r="ANC33" s="1688"/>
      <c r="AND33" s="1688"/>
      <c r="ANE33" s="1688"/>
      <c r="ANF33" s="1688"/>
      <c r="ANG33" s="1688"/>
      <c r="ANH33" s="1688"/>
      <c r="ANI33" s="1688"/>
      <c r="ANJ33" s="1688"/>
      <c r="ANK33" s="1688"/>
      <c r="ANL33" s="1688"/>
      <c r="ANM33" s="1688"/>
      <c r="ANN33" s="1688"/>
      <c r="ANO33" s="1688"/>
      <c r="ANP33" s="1688"/>
      <c r="ANQ33" s="1688"/>
      <c r="ANR33" s="1688"/>
      <c r="ANS33" s="1688"/>
      <c r="ANT33" s="1688"/>
      <c r="ANU33" s="1688"/>
      <c r="ANV33" s="1688"/>
      <c r="ANW33" s="1688"/>
      <c r="ANX33" s="1688"/>
      <c r="ANY33" s="1688"/>
      <c r="ANZ33" s="1688"/>
      <c r="AOA33" s="1688"/>
      <c r="AOB33" s="1688"/>
      <c r="AOC33" s="1688"/>
      <c r="AOD33" s="1688"/>
      <c r="AOE33" s="1688"/>
      <c r="AOF33" s="1688"/>
      <c r="AOG33" s="1688"/>
      <c r="AOH33" s="1688"/>
      <c r="AOI33" s="1688"/>
      <c r="AOJ33" s="1688"/>
      <c r="AOK33" s="1688"/>
      <c r="AOL33" s="1688"/>
      <c r="AOM33" s="1688"/>
      <c r="AON33" s="1688"/>
      <c r="AOO33" s="1688"/>
      <c r="AOP33" s="1688"/>
      <c r="AOQ33" s="1688"/>
      <c r="AOR33" s="1688"/>
      <c r="AOS33" s="1688"/>
      <c r="AOT33" s="1688"/>
      <c r="AOU33" s="1688"/>
      <c r="AOV33" s="1688"/>
      <c r="AOW33" s="1688"/>
      <c r="AOX33" s="1688"/>
      <c r="AOY33" s="1688"/>
      <c r="AOZ33" s="1688"/>
      <c r="APA33" s="1688"/>
      <c r="APB33" s="1688"/>
      <c r="APC33" s="1688"/>
      <c r="APD33" s="1688"/>
      <c r="APE33" s="1688"/>
      <c r="APF33" s="1688"/>
      <c r="APG33" s="1688"/>
      <c r="APH33" s="1688"/>
      <c r="API33" s="1688"/>
      <c r="APJ33" s="1688"/>
      <c r="APK33" s="1688"/>
      <c r="APL33" s="1688"/>
      <c r="APM33" s="1688"/>
      <c r="APN33" s="1688"/>
      <c r="APO33" s="1688"/>
      <c r="APP33" s="1688"/>
      <c r="APQ33" s="1688"/>
      <c r="APR33" s="1688"/>
      <c r="APS33" s="1688"/>
      <c r="APT33" s="1688"/>
      <c r="APU33" s="1688"/>
      <c r="APV33" s="1688"/>
      <c r="APW33" s="1688"/>
      <c r="APX33" s="1688"/>
      <c r="APY33" s="1688"/>
      <c r="APZ33" s="1688"/>
      <c r="AQA33" s="1688"/>
      <c r="AQB33" s="1688"/>
      <c r="AQC33" s="1688"/>
      <c r="AQD33" s="1688"/>
      <c r="AQE33" s="1688"/>
      <c r="AQF33" s="1688"/>
      <c r="AQG33" s="1688"/>
      <c r="AQH33" s="1688"/>
      <c r="AQI33" s="1688"/>
      <c r="AQJ33" s="1688"/>
      <c r="AQK33" s="1688"/>
      <c r="AQL33" s="1688"/>
      <c r="AQM33" s="1688"/>
      <c r="AQN33" s="1688"/>
      <c r="AQO33" s="1688"/>
      <c r="AQP33" s="1688"/>
      <c r="AQQ33" s="1688"/>
      <c r="AQR33" s="1688"/>
      <c r="AQS33" s="1688"/>
      <c r="AQT33" s="1688"/>
      <c r="AQU33" s="1688"/>
      <c r="AQV33" s="1688"/>
      <c r="AQW33" s="1688"/>
      <c r="AQX33" s="1688"/>
      <c r="AQY33" s="1688"/>
      <c r="AQZ33" s="1688"/>
      <c r="ARA33" s="1688"/>
      <c r="ARB33" s="1688"/>
      <c r="ARC33" s="1688"/>
      <c r="ARD33" s="1688"/>
      <c r="ARE33" s="1688"/>
      <c r="ARF33" s="1688"/>
      <c r="ARG33" s="1688"/>
      <c r="ARH33" s="1688"/>
      <c r="ARI33" s="1688"/>
      <c r="ARJ33" s="1688"/>
      <c r="ARK33" s="1688"/>
      <c r="ARL33" s="1688"/>
      <c r="ARM33" s="1688"/>
      <c r="ARN33" s="1688"/>
      <c r="ARO33" s="1688"/>
      <c r="ARP33" s="1688"/>
      <c r="ARQ33" s="1688"/>
      <c r="ARR33" s="1688"/>
      <c r="ARS33" s="1688"/>
      <c r="ART33" s="1688"/>
      <c r="ARU33" s="1688"/>
      <c r="ARV33" s="1688"/>
      <c r="ARW33" s="1688"/>
      <c r="ARX33" s="1688"/>
      <c r="ARY33" s="1688"/>
      <c r="ARZ33" s="1688"/>
      <c r="ASA33" s="1688"/>
      <c r="ASB33" s="1688"/>
      <c r="ASC33" s="1688"/>
      <c r="ASD33" s="1688"/>
      <c r="ASE33" s="1688"/>
      <c r="ASF33" s="1688"/>
      <c r="ASG33" s="1688"/>
      <c r="ASH33" s="1688"/>
      <c r="ASI33" s="1688"/>
      <c r="ASJ33" s="1688"/>
      <c r="ASK33" s="1688"/>
      <c r="ASL33" s="1688"/>
      <c r="ASM33" s="1688"/>
      <c r="ASN33" s="1688"/>
      <c r="ASO33" s="1688"/>
      <c r="ASP33" s="1688"/>
      <c r="ASQ33" s="1688"/>
      <c r="ASR33" s="1688"/>
      <c r="ASS33" s="1688"/>
      <c r="AST33" s="1688"/>
      <c r="ASU33" s="1688"/>
      <c r="ASV33" s="1688"/>
      <c r="ASW33" s="1688"/>
      <c r="ASX33" s="1688"/>
      <c r="ASY33" s="1688"/>
      <c r="ASZ33" s="1688"/>
      <c r="ATA33" s="1688"/>
      <c r="ATB33" s="1688"/>
      <c r="ATC33" s="1688"/>
      <c r="ATD33" s="1688"/>
      <c r="ATE33" s="1688"/>
      <c r="ATF33" s="1688"/>
      <c r="ATG33" s="1688"/>
      <c r="ATH33" s="1688"/>
      <c r="ATI33" s="1688"/>
      <c r="ATJ33" s="1688"/>
      <c r="ATK33" s="1688"/>
      <c r="ATL33" s="1688"/>
      <c r="ATM33" s="1688"/>
      <c r="ATN33" s="1688"/>
      <c r="ATO33" s="1688"/>
      <c r="ATP33" s="1688"/>
      <c r="ATQ33" s="1688"/>
      <c r="ATR33" s="1688"/>
      <c r="ATS33" s="1688"/>
      <c r="ATT33" s="1688"/>
      <c r="ATU33" s="1688"/>
      <c r="ATV33" s="1688"/>
      <c r="ATW33" s="1688"/>
      <c r="ATX33" s="1688"/>
      <c r="ATY33" s="1688"/>
      <c r="ATZ33" s="1688"/>
      <c r="AUA33" s="1688"/>
      <c r="AUB33" s="1688"/>
      <c r="AUC33" s="1688"/>
      <c r="AUD33" s="1688"/>
      <c r="AUE33" s="1688"/>
      <c r="AUF33" s="1688"/>
      <c r="AUG33" s="1688"/>
      <c r="AUH33" s="1688"/>
      <c r="AUI33" s="1688"/>
      <c r="AUJ33" s="1688"/>
      <c r="AUK33" s="1688"/>
      <c r="AUL33" s="1688"/>
      <c r="AUM33" s="1688"/>
      <c r="AUN33" s="1688"/>
      <c r="AUO33" s="1688"/>
      <c r="AUP33" s="1688"/>
      <c r="AUQ33" s="1688"/>
      <c r="AUR33" s="1688"/>
      <c r="AUS33" s="1688"/>
      <c r="AUT33" s="1688"/>
      <c r="AUU33" s="1688"/>
      <c r="AUV33" s="1688"/>
      <c r="AUW33" s="1688"/>
      <c r="AUX33" s="1688"/>
      <c r="AUY33" s="1688"/>
      <c r="AUZ33" s="1688"/>
      <c r="AVA33" s="1688"/>
      <c r="AVB33" s="1688"/>
      <c r="AVC33" s="1688"/>
      <c r="AVD33" s="1688"/>
      <c r="AVE33" s="1688"/>
      <c r="AVF33" s="1688"/>
      <c r="AVG33" s="1688"/>
      <c r="AVH33" s="1688"/>
      <c r="AVI33" s="1688"/>
      <c r="AVJ33" s="1688"/>
      <c r="AVK33" s="1688"/>
      <c r="AVL33" s="1688"/>
      <c r="AVM33" s="1688"/>
      <c r="AVN33" s="1688"/>
      <c r="AVO33" s="1688"/>
      <c r="AVP33" s="1688"/>
      <c r="AVQ33" s="1688"/>
      <c r="AVR33" s="1688"/>
      <c r="AVS33" s="1688"/>
      <c r="AVT33" s="1688"/>
      <c r="AVU33" s="1688"/>
      <c r="AVV33" s="1688"/>
      <c r="AVW33" s="1688"/>
      <c r="AVX33" s="1688"/>
      <c r="AVY33" s="1688"/>
      <c r="AVZ33" s="1688"/>
      <c r="AWA33" s="1688"/>
      <c r="AWB33" s="1688"/>
      <c r="AWC33" s="1688"/>
      <c r="AWD33" s="1688"/>
      <c r="AWE33" s="1688"/>
      <c r="AWF33" s="1688"/>
      <c r="AWG33" s="1688"/>
      <c r="AWH33" s="1688"/>
      <c r="AWI33" s="1688"/>
      <c r="AWJ33" s="1688"/>
      <c r="AWK33" s="1688"/>
      <c r="AWL33" s="1688"/>
      <c r="AWM33" s="1688"/>
      <c r="AWN33" s="1688"/>
      <c r="AWO33" s="1688"/>
      <c r="AWP33" s="1688"/>
      <c r="AWQ33" s="1688"/>
      <c r="AWR33" s="1688"/>
      <c r="AWS33" s="1688"/>
      <c r="AWT33" s="1688"/>
      <c r="AWU33" s="1688"/>
      <c r="AWV33" s="1688"/>
      <c r="AWW33" s="1688"/>
      <c r="AWX33" s="1688"/>
      <c r="AWY33" s="1688"/>
      <c r="AWZ33" s="1688"/>
      <c r="AXA33" s="1688"/>
      <c r="AXB33" s="1688"/>
      <c r="AXC33" s="1688"/>
      <c r="AXD33" s="1688"/>
      <c r="AXE33" s="1688"/>
      <c r="AXF33" s="1688"/>
      <c r="AXG33" s="1688"/>
      <c r="AXH33" s="1688"/>
      <c r="AXI33" s="1688"/>
      <c r="AXJ33" s="1688"/>
      <c r="AXK33" s="1688"/>
      <c r="AXL33" s="1688"/>
      <c r="AXM33" s="1688"/>
      <c r="AXN33" s="1688"/>
      <c r="AXO33" s="1688"/>
      <c r="AXP33" s="1688"/>
      <c r="AXQ33" s="1688"/>
      <c r="AXR33" s="1688"/>
      <c r="AXS33" s="1688"/>
      <c r="AXT33" s="1688"/>
      <c r="AXU33" s="1688"/>
      <c r="AXV33" s="1688"/>
      <c r="AXW33" s="1688"/>
      <c r="AXX33" s="1688"/>
      <c r="AXY33" s="1688"/>
      <c r="AXZ33" s="1688"/>
      <c r="AYA33" s="1688"/>
      <c r="AYB33" s="1688"/>
      <c r="AYC33" s="1688"/>
      <c r="AYD33" s="1688"/>
      <c r="AYE33" s="1688"/>
      <c r="AYF33" s="1688"/>
      <c r="AYG33" s="1688"/>
      <c r="AYH33" s="1688"/>
      <c r="AYI33" s="1688"/>
      <c r="AYJ33" s="1688"/>
      <c r="AYK33" s="1688"/>
      <c r="AYL33" s="1688"/>
      <c r="AYM33" s="1688"/>
      <c r="AYN33" s="1688"/>
      <c r="AYO33" s="1688"/>
      <c r="AYP33" s="1688"/>
      <c r="AYQ33" s="1688"/>
      <c r="AYR33" s="1688"/>
      <c r="AYS33" s="1688"/>
      <c r="AYT33" s="1688"/>
      <c r="AYU33" s="1688"/>
      <c r="AYV33" s="1688"/>
      <c r="AYW33" s="1688"/>
      <c r="AYX33" s="1688"/>
      <c r="AYY33" s="1688"/>
      <c r="AYZ33" s="1688"/>
      <c r="AZA33" s="1688"/>
      <c r="AZB33" s="1688"/>
      <c r="AZC33" s="1688"/>
      <c r="AZD33" s="1688"/>
      <c r="AZE33" s="1688"/>
      <c r="AZF33" s="1688"/>
      <c r="AZG33" s="1688"/>
      <c r="AZH33" s="1688"/>
      <c r="AZI33" s="1688"/>
      <c r="AZJ33" s="1688"/>
      <c r="AZK33" s="1688"/>
      <c r="AZL33" s="1688"/>
      <c r="AZM33" s="1688"/>
      <c r="AZN33" s="1688"/>
      <c r="AZO33" s="1688"/>
      <c r="AZP33" s="1688"/>
      <c r="AZQ33" s="1688"/>
      <c r="AZR33" s="1688"/>
      <c r="AZS33" s="1688"/>
      <c r="AZT33" s="1688"/>
      <c r="AZU33" s="1688"/>
      <c r="AZV33" s="1688"/>
      <c r="AZW33" s="1688"/>
      <c r="AZX33" s="1688"/>
      <c r="AZY33" s="1688"/>
      <c r="AZZ33" s="1688"/>
      <c r="BAA33" s="1688"/>
      <c r="BAB33" s="1688"/>
      <c r="BAC33" s="1688"/>
      <c r="BAD33" s="1688"/>
      <c r="BAE33" s="1688"/>
      <c r="BAF33" s="1688"/>
      <c r="BAG33" s="1688"/>
      <c r="BAH33" s="1688"/>
      <c r="BAI33" s="1688"/>
      <c r="BAJ33" s="1688"/>
      <c r="BAK33" s="1688"/>
      <c r="BAL33" s="1688"/>
      <c r="BAM33" s="1688"/>
      <c r="BAN33" s="1688"/>
      <c r="BAO33" s="1688"/>
      <c r="BAP33" s="1688"/>
      <c r="BAQ33" s="1688"/>
      <c r="BAR33" s="1688"/>
      <c r="BAS33" s="1688"/>
      <c r="BAT33" s="1688"/>
      <c r="BAU33" s="1688"/>
      <c r="BAV33" s="1688"/>
      <c r="BAW33" s="1688"/>
      <c r="BAX33" s="1688"/>
      <c r="BAY33" s="1688"/>
      <c r="BAZ33" s="1688"/>
      <c r="BBA33" s="1688"/>
      <c r="BBB33" s="1688"/>
      <c r="BBC33" s="1688"/>
      <c r="BBD33" s="1688"/>
      <c r="BBE33" s="1688"/>
      <c r="BBF33" s="1688"/>
      <c r="BBG33" s="1688"/>
      <c r="BBH33" s="1688"/>
      <c r="BBI33" s="1688"/>
      <c r="BBJ33" s="1688"/>
      <c r="BBK33" s="1688"/>
      <c r="BBL33" s="1688"/>
      <c r="BBM33" s="1688"/>
      <c r="BBN33" s="1688"/>
      <c r="BBO33" s="1688"/>
      <c r="BBP33" s="1688"/>
      <c r="BBQ33" s="1688"/>
      <c r="BBR33" s="1688"/>
      <c r="BBS33" s="1688"/>
      <c r="BBT33" s="1688"/>
      <c r="BBU33" s="1688"/>
      <c r="BBV33" s="1688"/>
      <c r="BBW33" s="1688"/>
      <c r="BBX33" s="1688"/>
      <c r="BBY33" s="1688"/>
      <c r="BBZ33" s="1688"/>
      <c r="BCA33" s="1688"/>
      <c r="BCB33" s="1688"/>
      <c r="BCC33" s="1688"/>
      <c r="BCD33" s="1688"/>
      <c r="BCE33" s="1688"/>
      <c r="BCF33" s="1688"/>
      <c r="BCG33" s="1688"/>
      <c r="BCH33" s="1688"/>
      <c r="BCI33" s="1688"/>
      <c r="BCJ33" s="1688"/>
      <c r="BCK33" s="1688"/>
      <c r="BCL33" s="1688"/>
      <c r="BCM33" s="1688"/>
      <c r="BCN33" s="1688"/>
      <c r="BCO33" s="1688"/>
      <c r="BCP33" s="1688"/>
      <c r="BCQ33" s="1688"/>
      <c r="BCR33" s="1688"/>
      <c r="BCS33" s="1688"/>
      <c r="BCT33" s="1688"/>
      <c r="BCU33" s="1688"/>
      <c r="BCV33" s="1688"/>
      <c r="BCW33" s="1688"/>
      <c r="BCX33" s="1688"/>
      <c r="BCY33" s="1688"/>
      <c r="BCZ33" s="1688"/>
      <c r="BDA33" s="1688"/>
      <c r="BDB33" s="1688"/>
      <c r="BDC33" s="1688"/>
      <c r="BDD33" s="1688"/>
      <c r="BDE33" s="1688"/>
      <c r="BDF33" s="1688"/>
      <c r="BDG33" s="1688"/>
      <c r="BDH33" s="1688"/>
      <c r="BDI33" s="1688"/>
      <c r="BDJ33" s="1688"/>
      <c r="BDK33" s="1688"/>
      <c r="BDL33" s="1688"/>
      <c r="BDM33" s="1688"/>
      <c r="BDN33" s="1688"/>
      <c r="BDO33" s="1688"/>
      <c r="BDP33" s="1688"/>
      <c r="BDQ33" s="1688"/>
      <c r="BDR33" s="1688"/>
      <c r="BDS33" s="1688"/>
      <c r="BDT33" s="1688"/>
      <c r="BDU33" s="1688"/>
      <c r="BDV33" s="1688"/>
      <c r="BDW33" s="1688"/>
      <c r="BDX33" s="1688"/>
      <c r="BDY33" s="1688"/>
      <c r="BDZ33" s="1688"/>
      <c r="BEA33" s="1688"/>
      <c r="BEB33" s="1688"/>
      <c r="BEC33" s="1688"/>
      <c r="BED33" s="1688"/>
      <c r="BEE33" s="1688"/>
      <c r="BEF33" s="1688"/>
      <c r="BEG33" s="1688"/>
      <c r="BEH33" s="1688"/>
      <c r="BEI33" s="1688"/>
      <c r="BEJ33" s="1688"/>
      <c r="BEK33" s="1688"/>
      <c r="BEL33" s="1688"/>
      <c r="BEM33" s="1688"/>
      <c r="BEN33" s="1688"/>
      <c r="BEO33" s="1688"/>
      <c r="BEP33" s="1688"/>
      <c r="BEQ33" s="1688"/>
      <c r="BER33" s="1688"/>
      <c r="BES33" s="1688"/>
      <c r="BET33" s="1688"/>
      <c r="BEU33" s="1688"/>
      <c r="BEV33" s="1688"/>
      <c r="BEW33" s="1688"/>
      <c r="BEX33" s="1688"/>
      <c r="BEY33" s="1688"/>
      <c r="BEZ33" s="1688"/>
      <c r="BFA33" s="1688"/>
      <c r="BFB33" s="1688"/>
      <c r="BFC33" s="1688"/>
      <c r="BFD33" s="1688"/>
      <c r="BFE33" s="1688"/>
      <c r="BFF33" s="1688"/>
      <c r="BFG33" s="1688"/>
      <c r="BFH33" s="1688"/>
      <c r="BFI33" s="1688"/>
      <c r="BFJ33" s="1688"/>
      <c r="BFK33" s="1688"/>
      <c r="BFL33" s="1688"/>
      <c r="BFM33" s="1688"/>
      <c r="BFN33" s="1688"/>
      <c r="BFO33" s="1688"/>
      <c r="BFP33" s="1688"/>
      <c r="BFQ33" s="1688"/>
      <c r="BFR33" s="1688"/>
      <c r="BFS33" s="1688"/>
      <c r="BFT33" s="1688"/>
      <c r="BFU33" s="1688"/>
      <c r="BFV33" s="1688"/>
      <c r="BFW33" s="1688"/>
      <c r="BFX33" s="1688"/>
      <c r="BFY33" s="1688"/>
      <c r="BFZ33" s="1688"/>
      <c r="BGA33" s="1688"/>
      <c r="BGB33" s="1688"/>
      <c r="BGC33" s="1688"/>
      <c r="BGD33" s="1688"/>
      <c r="BGE33" s="1688"/>
      <c r="BGF33" s="1688"/>
      <c r="BGG33" s="1688"/>
      <c r="BGH33" s="1688"/>
      <c r="BGI33" s="1688"/>
      <c r="BGJ33" s="1688"/>
      <c r="BGK33" s="1688"/>
      <c r="BGL33" s="1688"/>
      <c r="BGM33" s="1688"/>
      <c r="BGN33" s="1688"/>
      <c r="BGO33" s="1688"/>
      <c r="BGP33" s="1688"/>
      <c r="BGQ33" s="1688"/>
      <c r="BGR33" s="1688"/>
      <c r="BGS33" s="1688"/>
      <c r="BGT33" s="1688"/>
      <c r="BGU33" s="1688"/>
      <c r="BGV33" s="1688"/>
      <c r="BGW33" s="1688"/>
      <c r="BGX33" s="1688"/>
      <c r="BGY33" s="1688"/>
      <c r="BGZ33" s="1688"/>
      <c r="BHA33" s="1688"/>
      <c r="BHB33" s="1688"/>
      <c r="BHC33" s="1688"/>
      <c r="BHD33" s="1688"/>
      <c r="BHE33" s="1688"/>
      <c r="BHF33" s="1688"/>
      <c r="BHG33" s="1688"/>
      <c r="BHH33" s="1688"/>
      <c r="BHI33" s="1688"/>
      <c r="BHJ33" s="1688"/>
      <c r="BHK33" s="1688"/>
      <c r="BHL33" s="1688"/>
      <c r="BHM33" s="1688"/>
      <c r="BHN33" s="1688"/>
      <c r="BHO33" s="1688"/>
      <c r="BHP33" s="1688"/>
      <c r="BHQ33" s="1688"/>
      <c r="BHR33" s="1688"/>
      <c r="BHS33" s="1688"/>
      <c r="BHT33" s="1688"/>
      <c r="BHU33" s="1688"/>
      <c r="BHV33" s="1688"/>
      <c r="BHW33" s="1688"/>
      <c r="BHX33" s="1688"/>
      <c r="BHY33" s="1688"/>
      <c r="BHZ33" s="1688"/>
      <c r="BIA33" s="1688"/>
      <c r="BIB33" s="1688"/>
      <c r="BIC33" s="1688"/>
      <c r="BID33" s="1688"/>
      <c r="BIE33" s="1688"/>
      <c r="BIF33" s="1688"/>
      <c r="BIG33" s="1688"/>
      <c r="BIH33" s="1688"/>
      <c r="BII33" s="1688"/>
      <c r="BIJ33" s="1688"/>
      <c r="BIK33" s="1688"/>
      <c r="BIL33" s="1688"/>
      <c r="BIM33" s="1688"/>
      <c r="BIN33" s="1688"/>
      <c r="BIO33" s="1688"/>
      <c r="BIP33" s="1688"/>
      <c r="BIQ33" s="1688"/>
      <c r="BIR33" s="1688"/>
      <c r="BIS33" s="1688"/>
      <c r="BIT33" s="1688"/>
      <c r="BIU33" s="1688"/>
      <c r="BIV33" s="1688"/>
      <c r="BIW33" s="1688"/>
      <c r="BIX33" s="1688"/>
      <c r="BIY33" s="1688"/>
      <c r="BIZ33" s="1688"/>
      <c r="BJA33" s="1688"/>
      <c r="BJB33" s="1688"/>
      <c r="BJC33" s="1688"/>
      <c r="BJD33" s="1688"/>
      <c r="BJE33" s="1688"/>
      <c r="BJF33" s="1688"/>
      <c r="BJG33" s="1688"/>
      <c r="BJH33" s="1688"/>
      <c r="BJI33" s="1688"/>
      <c r="BJJ33" s="1688"/>
      <c r="BJK33" s="1688"/>
      <c r="BJL33" s="1688"/>
      <c r="BJM33" s="1688"/>
      <c r="BJN33" s="1688"/>
      <c r="BJO33" s="1688"/>
      <c r="BJP33" s="1688"/>
      <c r="BJQ33" s="1688"/>
      <c r="BJR33" s="1688"/>
      <c r="BJS33" s="1688"/>
      <c r="BJT33" s="1688"/>
      <c r="BJU33" s="1688"/>
      <c r="BJV33" s="1688"/>
      <c r="BJW33" s="1688"/>
      <c r="BJX33" s="1688"/>
      <c r="BJY33" s="1688"/>
      <c r="BJZ33" s="1688"/>
      <c r="BKA33" s="1688"/>
      <c r="BKB33" s="1688"/>
      <c r="BKC33" s="1688"/>
      <c r="BKD33" s="1688"/>
      <c r="BKE33" s="1688"/>
      <c r="BKF33" s="1688"/>
      <c r="BKG33" s="1688"/>
      <c r="BKH33" s="1688"/>
      <c r="BKI33" s="1688"/>
      <c r="BKJ33" s="1688"/>
      <c r="BKK33" s="1688"/>
      <c r="BKL33" s="1688"/>
      <c r="BKM33" s="1688"/>
      <c r="BKN33" s="1688"/>
      <c r="BKO33" s="1688"/>
      <c r="BKP33" s="1688"/>
      <c r="BKQ33" s="1688"/>
      <c r="BKR33" s="1688"/>
      <c r="BKS33" s="1688"/>
      <c r="BKT33" s="1688"/>
      <c r="BKU33" s="1688"/>
      <c r="BKV33" s="1688"/>
      <c r="BKW33" s="1688"/>
      <c r="BKX33" s="1688"/>
      <c r="BKY33" s="1688"/>
      <c r="BKZ33" s="1688"/>
      <c r="BLA33" s="1688"/>
      <c r="BLB33" s="1688"/>
      <c r="BLC33" s="1688"/>
      <c r="BLD33" s="1688"/>
      <c r="BLE33" s="1688"/>
      <c r="BLF33" s="1688"/>
      <c r="BLG33" s="1688"/>
      <c r="BLH33" s="1688"/>
      <c r="BLI33" s="1688"/>
      <c r="BLJ33" s="1688"/>
      <c r="BLK33" s="1688"/>
      <c r="BLL33" s="1688"/>
      <c r="BLM33" s="1688"/>
      <c r="BLN33" s="1688"/>
      <c r="BLO33" s="1688"/>
      <c r="BLP33" s="1688"/>
      <c r="BLQ33" s="1688"/>
      <c r="BLR33" s="1688"/>
      <c r="BLS33" s="1688"/>
      <c r="BLT33" s="1688"/>
      <c r="BLU33" s="1688"/>
      <c r="BLV33" s="1688"/>
      <c r="BLW33" s="1688"/>
      <c r="BLX33" s="1688"/>
      <c r="BLY33" s="1688"/>
      <c r="BLZ33" s="1688"/>
      <c r="BMA33" s="1688"/>
      <c r="BMB33" s="1688"/>
      <c r="BMC33" s="1688"/>
      <c r="BMD33" s="1688"/>
      <c r="BME33" s="1688"/>
      <c r="BMF33" s="1688"/>
      <c r="BMG33" s="1688"/>
      <c r="BMH33" s="1688"/>
      <c r="BMI33" s="1688"/>
      <c r="BMJ33" s="1688"/>
      <c r="BMK33" s="1688"/>
      <c r="BML33" s="1688"/>
      <c r="BMM33" s="1688"/>
      <c r="BMN33" s="1688"/>
      <c r="BMO33" s="1688"/>
      <c r="BMP33" s="1688"/>
      <c r="BMQ33" s="1688"/>
      <c r="BMR33" s="1688"/>
      <c r="BMS33" s="1688"/>
      <c r="BMT33" s="1688"/>
      <c r="BMU33" s="1688"/>
      <c r="BMV33" s="1688"/>
      <c r="BMW33" s="1688"/>
      <c r="BMX33" s="1688"/>
      <c r="BMY33" s="1688"/>
      <c r="BMZ33" s="1688"/>
      <c r="BNA33" s="1688"/>
      <c r="BNB33" s="1688"/>
      <c r="BNC33" s="1688"/>
      <c r="BND33" s="1688"/>
      <c r="BNE33" s="1688"/>
      <c r="BNF33" s="1688"/>
      <c r="BNG33" s="1688"/>
      <c r="BNH33" s="1688"/>
      <c r="BNI33" s="1688"/>
      <c r="BNJ33" s="1688"/>
      <c r="BNK33" s="1688"/>
      <c r="BNL33" s="1688"/>
      <c r="BNM33" s="1688"/>
      <c r="BNN33" s="1688"/>
      <c r="BNO33" s="1688"/>
      <c r="BNP33" s="1688"/>
      <c r="BNQ33" s="1688"/>
      <c r="BNR33" s="1688"/>
      <c r="BNS33" s="1688"/>
      <c r="BNT33" s="1688"/>
      <c r="BNU33" s="1688"/>
      <c r="BNV33" s="1688"/>
      <c r="BNW33" s="1688"/>
      <c r="BNX33" s="1688"/>
      <c r="BNY33" s="1688"/>
      <c r="BNZ33" s="1688"/>
      <c r="BOA33" s="1688"/>
      <c r="BOB33" s="1688"/>
      <c r="BOC33" s="1688"/>
      <c r="BOD33" s="1688"/>
      <c r="BOE33" s="1688"/>
      <c r="BOF33" s="1688"/>
      <c r="BOG33" s="1688"/>
      <c r="BOH33" s="1688"/>
      <c r="BOI33" s="1688"/>
      <c r="BOJ33" s="1688"/>
      <c r="BOK33" s="1688"/>
      <c r="BOL33" s="1688"/>
      <c r="BOM33" s="1688"/>
      <c r="BON33" s="1688"/>
      <c r="BOO33" s="1688"/>
      <c r="BOP33" s="1688"/>
      <c r="BOQ33" s="1688"/>
      <c r="BOR33" s="1688"/>
      <c r="BOS33" s="1688"/>
      <c r="BOT33" s="1688"/>
      <c r="BOU33" s="1688"/>
      <c r="BOV33" s="1688"/>
      <c r="BOW33" s="1688"/>
      <c r="BOX33" s="1688"/>
      <c r="BOY33" s="1688"/>
      <c r="BOZ33" s="1688"/>
      <c r="BPA33" s="1688"/>
      <c r="BPB33" s="1688"/>
      <c r="BPC33" s="1688"/>
      <c r="BPD33" s="1688"/>
      <c r="BPE33" s="1688"/>
      <c r="BPF33" s="1688"/>
      <c r="BPG33" s="1688"/>
      <c r="BPH33" s="1688"/>
      <c r="BPI33" s="1688"/>
      <c r="BPJ33" s="1688"/>
      <c r="BPK33" s="1688"/>
      <c r="BPL33" s="1688"/>
      <c r="BPM33" s="1688"/>
      <c r="BPN33" s="1688"/>
      <c r="BPO33" s="1688"/>
      <c r="BPP33" s="1688"/>
      <c r="BPQ33" s="1688"/>
      <c r="BPR33" s="1688"/>
      <c r="BPS33" s="1688"/>
      <c r="BPT33" s="1688"/>
      <c r="BPU33" s="1688"/>
      <c r="BPV33" s="1688"/>
      <c r="BPW33" s="1688"/>
      <c r="BPX33" s="1688"/>
      <c r="BPY33" s="1688"/>
      <c r="BPZ33" s="1688"/>
      <c r="BQA33" s="1688"/>
      <c r="BQB33" s="1688"/>
      <c r="BQC33" s="1688"/>
      <c r="BQD33" s="1688"/>
      <c r="BQE33" s="1688"/>
      <c r="BQF33" s="1688"/>
      <c r="BQG33" s="1688"/>
      <c r="BQH33" s="1688"/>
      <c r="BQI33" s="1688"/>
      <c r="BQJ33" s="1688"/>
      <c r="BQK33" s="1688"/>
      <c r="BQL33" s="1688"/>
      <c r="BQM33" s="1688"/>
      <c r="BQN33" s="1688"/>
      <c r="BQO33" s="1688"/>
      <c r="BQP33" s="1688"/>
      <c r="BQQ33" s="1688"/>
      <c r="BQR33" s="1688"/>
      <c r="BQS33" s="1688"/>
      <c r="BQT33" s="1688"/>
      <c r="BQU33" s="1688"/>
      <c r="BQV33" s="1688"/>
      <c r="BQW33" s="1688"/>
      <c r="BQX33" s="1688"/>
      <c r="BQY33" s="1688"/>
      <c r="BQZ33" s="1688"/>
      <c r="BRA33" s="1688"/>
      <c r="BRB33" s="1688"/>
      <c r="BRC33" s="1688"/>
      <c r="BRD33" s="1688"/>
      <c r="BRE33" s="1688"/>
      <c r="BRF33" s="1688"/>
      <c r="BRG33" s="1688"/>
      <c r="BRH33" s="1688"/>
      <c r="BRI33" s="1688"/>
      <c r="BRJ33" s="1688"/>
      <c r="BRK33" s="1688"/>
      <c r="BRL33" s="1688"/>
      <c r="BRM33" s="1688"/>
      <c r="BRN33" s="1688"/>
      <c r="BRO33" s="1688"/>
      <c r="BRP33" s="1688"/>
      <c r="BRQ33" s="1688"/>
      <c r="BRR33" s="1688"/>
      <c r="BRS33" s="1688"/>
      <c r="BRT33" s="1688"/>
      <c r="BRU33" s="1688"/>
      <c r="BRV33" s="1688"/>
      <c r="BRW33" s="1688"/>
      <c r="BRX33" s="1688"/>
      <c r="BRY33" s="1688"/>
      <c r="BRZ33" s="1688"/>
      <c r="BSA33" s="1688"/>
      <c r="BSB33" s="1688"/>
      <c r="BSC33" s="1688"/>
      <c r="BSD33" s="1688"/>
      <c r="BSE33" s="1688"/>
      <c r="BSF33" s="1688"/>
      <c r="BSG33" s="1688"/>
      <c r="BSH33" s="1688"/>
      <c r="BSI33" s="1688"/>
      <c r="BSJ33" s="1688"/>
      <c r="BSK33" s="1688"/>
      <c r="BSL33" s="1688"/>
      <c r="BSM33" s="1688"/>
      <c r="BSN33" s="1688"/>
      <c r="BSO33" s="1688"/>
      <c r="BSP33" s="1688"/>
      <c r="BSQ33" s="1688"/>
      <c r="BSR33" s="1688"/>
      <c r="BSS33" s="1688"/>
      <c r="BST33" s="1688"/>
      <c r="BSU33" s="1688"/>
      <c r="BSV33" s="1688"/>
      <c r="BSW33" s="1688"/>
      <c r="BSX33" s="1688"/>
      <c r="BSY33" s="1688"/>
      <c r="BSZ33" s="1688"/>
      <c r="BTA33" s="1688"/>
      <c r="BTB33" s="1688"/>
      <c r="BTC33" s="1688"/>
      <c r="BTD33" s="1688"/>
      <c r="BTE33" s="1688"/>
      <c r="BTF33" s="1688"/>
      <c r="BTG33" s="1688"/>
      <c r="BTH33" s="1688"/>
      <c r="BTI33" s="1688"/>
      <c r="BTJ33" s="1688"/>
      <c r="BTK33" s="1688"/>
      <c r="BTL33" s="1688"/>
      <c r="BTM33" s="1688"/>
      <c r="BTN33" s="1688"/>
      <c r="BTO33" s="1688"/>
      <c r="BTP33" s="1688"/>
      <c r="BTQ33" s="1688"/>
      <c r="BTR33" s="1688"/>
      <c r="BTS33" s="1688"/>
      <c r="BTT33" s="1688"/>
      <c r="BTU33" s="1688"/>
      <c r="BTV33" s="1688"/>
      <c r="BTW33" s="1688"/>
      <c r="BTX33" s="1688"/>
      <c r="BTY33" s="1688"/>
      <c r="BTZ33" s="1688"/>
      <c r="BUA33" s="1688"/>
      <c r="BUB33" s="1688"/>
      <c r="BUC33" s="1688"/>
      <c r="BUD33" s="1688"/>
      <c r="BUE33" s="1688"/>
      <c r="BUF33" s="1688"/>
      <c r="BUG33" s="1688"/>
      <c r="BUH33" s="1688"/>
      <c r="BUI33" s="1688"/>
      <c r="BUJ33" s="1688"/>
      <c r="BUK33" s="1688"/>
      <c r="BUL33" s="1688"/>
      <c r="BUM33" s="1688"/>
      <c r="BUN33" s="1688"/>
      <c r="BUO33" s="1688"/>
      <c r="BUP33" s="1688"/>
      <c r="BUQ33" s="1688"/>
      <c r="BUR33" s="1688"/>
      <c r="BUS33" s="1688"/>
      <c r="BUT33" s="1688"/>
      <c r="BUU33" s="1688"/>
      <c r="BUV33" s="1688"/>
      <c r="BUW33" s="1688"/>
      <c r="BUX33" s="1688"/>
      <c r="BUY33" s="1688"/>
      <c r="BUZ33" s="1688"/>
      <c r="BVA33" s="1688"/>
      <c r="BVB33" s="1688"/>
      <c r="BVC33" s="1688"/>
      <c r="BVD33" s="1688"/>
      <c r="BVE33" s="1688"/>
      <c r="BVF33" s="1688"/>
      <c r="BVG33" s="1688"/>
      <c r="BVH33" s="1688"/>
      <c r="BVI33" s="1688"/>
      <c r="BVJ33" s="1688"/>
      <c r="BVK33" s="1688"/>
      <c r="BVL33" s="1688"/>
      <c r="BVM33" s="1688"/>
      <c r="BVN33" s="1688"/>
      <c r="BVO33" s="1688"/>
      <c r="BVP33" s="1688"/>
      <c r="BVQ33" s="1688"/>
      <c r="BVR33" s="1688"/>
      <c r="BVS33" s="1688"/>
      <c r="BVT33" s="1688"/>
      <c r="BVU33" s="1688"/>
      <c r="BVV33" s="1688"/>
      <c r="BVW33" s="1688"/>
      <c r="BVX33" s="1688"/>
      <c r="BVY33" s="1688"/>
      <c r="BVZ33" s="1688"/>
      <c r="BWA33" s="1688"/>
      <c r="BWB33" s="1688"/>
      <c r="BWC33" s="1688"/>
      <c r="BWD33" s="1688"/>
      <c r="BWE33" s="1688"/>
      <c r="BWF33" s="1688"/>
      <c r="BWG33" s="1688"/>
      <c r="BWH33" s="1688"/>
      <c r="BWI33" s="1688"/>
      <c r="BWJ33" s="1688"/>
      <c r="BWK33" s="1688"/>
      <c r="BWL33" s="1688"/>
      <c r="BWM33" s="1688"/>
      <c r="BWN33" s="1688"/>
      <c r="BWO33" s="1688"/>
      <c r="BWP33" s="1688"/>
      <c r="BWQ33" s="1688"/>
      <c r="BWR33" s="1688"/>
      <c r="BWS33" s="1688"/>
      <c r="BWT33" s="1688"/>
      <c r="BWU33" s="1688"/>
      <c r="BWV33" s="1688"/>
      <c r="BWW33" s="1688"/>
      <c r="BWX33" s="1688"/>
      <c r="BWY33" s="1688"/>
      <c r="BWZ33" s="1688"/>
      <c r="BXA33" s="1688"/>
      <c r="BXB33" s="1688"/>
      <c r="BXC33" s="1688"/>
      <c r="BXD33" s="1688"/>
      <c r="BXE33" s="1688"/>
      <c r="BXF33" s="1688"/>
      <c r="BXG33" s="1688"/>
      <c r="BXH33" s="1688"/>
      <c r="BXI33" s="1688"/>
      <c r="BXJ33" s="1688"/>
      <c r="BXK33" s="1688"/>
      <c r="BXL33" s="1688"/>
      <c r="BXM33" s="1688"/>
      <c r="BXN33" s="1688"/>
      <c r="BXO33" s="1688"/>
      <c r="BXP33" s="1688"/>
      <c r="BXQ33" s="1688"/>
      <c r="BXR33" s="1688"/>
      <c r="BXS33" s="1688"/>
      <c r="BXT33" s="1688"/>
      <c r="BXU33" s="1688"/>
      <c r="BXV33" s="1688"/>
      <c r="BXW33" s="1688"/>
      <c r="BXX33" s="1688"/>
      <c r="BXY33" s="1688"/>
      <c r="BXZ33" s="1688"/>
      <c r="BYA33" s="1688"/>
      <c r="BYB33" s="1688"/>
      <c r="BYC33" s="1688"/>
      <c r="BYD33" s="1688"/>
      <c r="BYE33" s="1688"/>
      <c r="BYF33" s="1688"/>
      <c r="BYG33" s="1688"/>
      <c r="BYH33" s="1688"/>
      <c r="BYI33" s="1688"/>
      <c r="BYJ33" s="1688"/>
      <c r="BYK33" s="1688"/>
      <c r="BYL33" s="1688"/>
      <c r="BYM33" s="1688"/>
      <c r="BYN33" s="1688"/>
      <c r="BYO33" s="1688"/>
      <c r="BYP33" s="1688"/>
      <c r="BYQ33" s="1688"/>
      <c r="BYR33" s="1688"/>
      <c r="BYS33" s="1688"/>
      <c r="BYT33" s="1688"/>
      <c r="BYU33" s="1688"/>
      <c r="BYV33" s="1688"/>
      <c r="BYW33" s="1688"/>
      <c r="BYX33" s="1688"/>
      <c r="BYY33" s="1688"/>
      <c r="BYZ33" s="1688"/>
      <c r="BZA33" s="1688"/>
      <c r="BZB33" s="1688"/>
      <c r="BZC33" s="1688"/>
      <c r="BZD33" s="1688"/>
      <c r="BZE33" s="1688"/>
      <c r="BZF33" s="1688"/>
      <c r="BZG33" s="1688"/>
      <c r="BZH33" s="1688"/>
      <c r="BZI33" s="1688"/>
      <c r="BZJ33" s="1688"/>
      <c r="BZK33" s="1688"/>
      <c r="BZL33" s="1688"/>
      <c r="BZM33" s="1688"/>
      <c r="BZN33" s="1688"/>
      <c r="BZO33" s="1688"/>
      <c r="BZP33" s="1688"/>
      <c r="BZQ33" s="1688"/>
      <c r="BZR33" s="1688"/>
      <c r="BZS33" s="1688"/>
      <c r="BZT33" s="1688"/>
      <c r="BZU33" s="1688"/>
      <c r="BZV33" s="1688"/>
      <c r="BZW33" s="1688"/>
      <c r="BZX33" s="1688"/>
      <c r="BZY33" s="1688"/>
      <c r="BZZ33" s="1688"/>
      <c r="CAA33" s="1688"/>
      <c r="CAB33" s="1688"/>
      <c r="CAC33" s="1688"/>
      <c r="CAD33" s="1688"/>
      <c r="CAE33" s="1688"/>
      <c r="CAF33" s="1688"/>
      <c r="CAG33" s="1688"/>
      <c r="CAH33" s="1688"/>
      <c r="CAI33" s="1688"/>
      <c r="CAJ33" s="1688"/>
      <c r="CAK33" s="1688"/>
      <c r="CAL33" s="1688"/>
      <c r="CAM33" s="1688"/>
      <c r="CAN33" s="1688"/>
      <c r="CAO33" s="1688"/>
      <c r="CAP33" s="1688"/>
      <c r="CAQ33" s="1688"/>
      <c r="CAR33" s="1688"/>
      <c r="CAS33" s="1688"/>
      <c r="CAT33" s="1688"/>
      <c r="CAU33" s="1688"/>
      <c r="CAV33" s="1688"/>
      <c r="CAW33" s="1688"/>
      <c r="CAX33" s="1688"/>
      <c r="CAY33" s="1688"/>
      <c r="CAZ33" s="1688"/>
      <c r="CBA33" s="1688"/>
      <c r="CBB33" s="1688"/>
      <c r="CBC33" s="1688"/>
      <c r="CBD33" s="1688"/>
      <c r="CBE33" s="1688"/>
      <c r="CBF33" s="1688"/>
      <c r="CBG33" s="1688"/>
      <c r="CBH33" s="1688"/>
      <c r="CBI33" s="1688"/>
      <c r="CBJ33" s="1688"/>
      <c r="CBK33" s="1688"/>
      <c r="CBL33" s="1688"/>
      <c r="CBM33" s="1688"/>
      <c r="CBN33" s="1688"/>
      <c r="CBO33" s="1688"/>
      <c r="CBP33" s="1688"/>
      <c r="CBQ33" s="1688"/>
      <c r="CBR33" s="1688"/>
      <c r="CBS33" s="1688"/>
      <c r="CBT33" s="1688"/>
      <c r="CBU33" s="1688"/>
      <c r="CBV33" s="1688"/>
      <c r="CBW33" s="1688"/>
      <c r="CBX33" s="1688"/>
      <c r="CBY33" s="1688"/>
      <c r="CBZ33" s="1688"/>
      <c r="CCA33" s="1688"/>
      <c r="CCB33" s="1688"/>
      <c r="CCC33" s="1688"/>
      <c r="CCD33" s="1688"/>
      <c r="CCE33" s="1688"/>
      <c r="CCF33" s="1688"/>
      <c r="CCG33" s="1688"/>
      <c r="CCH33" s="1688"/>
      <c r="CCI33" s="1688"/>
      <c r="CCJ33" s="1688"/>
      <c r="CCK33" s="1688"/>
      <c r="CCL33" s="1688"/>
      <c r="CCM33" s="1688"/>
      <c r="CCN33" s="1688"/>
      <c r="CCO33" s="1688"/>
      <c r="CCP33" s="1688"/>
      <c r="CCQ33" s="1688"/>
      <c r="CCR33" s="1688"/>
      <c r="CCS33" s="1688"/>
      <c r="CCT33" s="1688"/>
      <c r="CCU33" s="1688"/>
      <c r="CCV33" s="1688"/>
      <c r="CCW33" s="1688"/>
      <c r="CCX33" s="1688"/>
      <c r="CCY33" s="1688"/>
      <c r="CCZ33" s="1688"/>
      <c r="CDA33" s="1688"/>
      <c r="CDB33" s="1688"/>
      <c r="CDC33" s="1688"/>
      <c r="CDD33" s="1688"/>
      <c r="CDE33" s="1688"/>
      <c r="CDF33" s="1688"/>
      <c r="CDG33" s="1688"/>
      <c r="CDH33" s="1688"/>
      <c r="CDI33" s="1688"/>
      <c r="CDJ33" s="1688"/>
      <c r="CDK33" s="1688"/>
      <c r="CDL33" s="1688"/>
      <c r="CDM33" s="1688"/>
      <c r="CDN33" s="1688"/>
      <c r="CDO33" s="1688"/>
      <c r="CDP33" s="1688"/>
      <c r="CDQ33" s="1688"/>
      <c r="CDR33" s="1688"/>
      <c r="CDS33" s="1688"/>
      <c r="CDT33" s="1688"/>
      <c r="CDU33" s="1688"/>
      <c r="CDV33" s="1688"/>
      <c r="CDW33" s="1688"/>
      <c r="CDX33" s="1688"/>
      <c r="CDY33" s="1688"/>
      <c r="CDZ33" s="1688"/>
      <c r="CEA33" s="1688"/>
      <c r="CEB33" s="1688"/>
      <c r="CEC33" s="1688"/>
      <c r="CED33" s="1688"/>
      <c r="CEE33" s="1688"/>
      <c r="CEF33" s="1688"/>
      <c r="CEG33" s="1688"/>
      <c r="CEH33" s="1688"/>
      <c r="CEI33" s="1688"/>
      <c r="CEJ33" s="1688"/>
      <c r="CEK33" s="1688"/>
      <c r="CEL33" s="1688"/>
      <c r="CEM33" s="1688"/>
      <c r="CEN33" s="1688"/>
      <c r="CEO33" s="1688"/>
      <c r="CEP33" s="1688"/>
      <c r="CEQ33" s="1688"/>
      <c r="CER33" s="1688"/>
      <c r="CES33" s="1688"/>
      <c r="CET33" s="1688"/>
      <c r="CEU33" s="1688"/>
      <c r="CEV33" s="1688"/>
      <c r="CEW33" s="1688"/>
      <c r="CEX33" s="1688"/>
      <c r="CEY33" s="1688"/>
      <c r="CEZ33" s="1688"/>
      <c r="CFA33" s="1688"/>
      <c r="CFB33" s="1688"/>
      <c r="CFC33" s="1688"/>
      <c r="CFD33" s="1688"/>
      <c r="CFE33" s="1688"/>
      <c r="CFF33" s="1688"/>
      <c r="CFG33" s="1688"/>
      <c r="CFH33" s="1688"/>
      <c r="CFI33" s="1688"/>
      <c r="CFJ33" s="1688"/>
      <c r="CFK33" s="1688"/>
      <c r="CFL33" s="1688"/>
      <c r="CFM33" s="1688"/>
      <c r="CFN33" s="1688"/>
      <c r="CFO33" s="1688"/>
      <c r="CFP33" s="1688"/>
      <c r="CFQ33" s="1688"/>
      <c r="CFR33" s="1688"/>
      <c r="CFS33" s="1688"/>
      <c r="CFT33" s="1688"/>
      <c r="CFU33" s="1688"/>
      <c r="CFV33" s="1688"/>
      <c r="CFW33" s="1688"/>
      <c r="CFX33" s="1688"/>
      <c r="CFY33" s="1688"/>
      <c r="CFZ33" s="1688"/>
      <c r="CGA33" s="1688"/>
      <c r="CGB33" s="1688"/>
      <c r="CGC33" s="1688"/>
      <c r="CGD33" s="1688"/>
      <c r="CGE33" s="1688"/>
      <c r="CGF33" s="1688"/>
      <c r="CGG33" s="1688"/>
      <c r="CGH33" s="1688"/>
      <c r="CGI33" s="1688"/>
      <c r="CGJ33" s="1688"/>
      <c r="CGK33" s="1688"/>
      <c r="CGL33" s="1688"/>
      <c r="CGM33" s="1688"/>
      <c r="CGN33" s="1688"/>
      <c r="CGO33" s="1688"/>
      <c r="CGP33" s="1688"/>
      <c r="CGQ33" s="1688"/>
      <c r="CGR33" s="1688"/>
      <c r="CGS33" s="1688"/>
      <c r="CGT33" s="1688"/>
      <c r="CGU33" s="1688"/>
      <c r="CGV33" s="1688"/>
      <c r="CGW33" s="1688"/>
      <c r="CGX33" s="1688"/>
      <c r="CGY33" s="1688"/>
      <c r="CGZ33" s="1688"/>
      <c r="CHA33" s="1688"/>
      <c r="CHB33" s="1688"/>
      <c r="CHC33" s="1688"/>
      <c r="CHD33" s="1688"/>
      <c r="CHE33" s="1688"/>
      <c r="CHF33" s="1688"/>
      <c r="CHG33" s="1688"/>
      <c r="CHH33" s="1688"/>
      <c r="CHI33" s="1688"/>
      <c r="CHJ33" s="1688"/>
      <c r="CHK33" s="1688"/>
      <c r="CHL33" s="1688"/>
      <c r="CHM33" s="1688"/>
      <c r="CHN33" s="1688"/>
      <c r="CHO33" s="1688"/>
      <c r="CHP33" s="1688"/>
      <c r="CHQ33" s="1688"/>
      <c r="CHR33" s="1688"/>
      <c r="CHS33" s="1688"/>
      <c r="CHT33" s="1688"/>
      <c r="CHU33" s="1688"/>
      <c r="CHV33" s="1688"/>
      <c r="CHW33" s="1688"/>
      <c r="CHX33" s="1688"/>
      <c r="CHY33" s="1688"/>
      <c r="CHZ33" s="1688"/>
      <c r="CIA33" s="1688"/>
      <c r="CIB33" s="1688"/>
      <c r="CIC33" s="1688"/>
      <c r="CID33" s="1688"/>
      <c r="CIE33" s="1688"/>
      <c r="CIF33" s="1688"/>
      <c r="CIG33" s="1688"/>
      <c r="CIH33" s="1688"/>
      <c r="CII33" s="1688"/>
      <c r="CIJ33" s="1688"/>
      <c r="CIK33" s="1688"/>
      <c r="CIL33" s="1688"/>
      <c r="CIM33" s="1688"/>
      <c r="CIN33" s="1688"/>
      <c r="CIO33" s="1688"/>
      <c r="CIP33" s="1688"/>
      <c r="CIQ33" s="1688"/>
      <c r="CIR33" s="1688"/>
      <c r="CIS33" s="1688"/>
      <c r="CIT33" s="1688"/>
      <c r="CIU33" s="1688"/>
      <c r="CIV33" s="1688"/>
      <c r="CIW33" s="1688"/>
      <c r="CIX33" s="1688"/>
      <c r="CIY33" s="1688"/>
      <c r="CIZ33" s="1688"/>
      <c r="CJA33" s="1688"/>
      <c r="CJB33" s="1688"/>
      <c r="CJC33" s="1688"/>
      <c r="CJD33" s="1688"/>
      <c r="CJE33" s="1688"/>
      <c r="CJF33" s="1688"/>
      <c r="CJG33" s="1688"/>
      <c r="CJH33" s="1688"/>
      <c r="CJI33" s="1688"/>
      <c r="CJJ33" s="1688"/>
      <c r="CJK33" s="1688"/>
      <c r="CJL33" s="1688"/>
      <c r="CJM33" s="1688"/>
      <c r="CJN33" s="1688"/>
      <c r="CJO33" s="1688"/>
      <c r="CJP33" s="1688"/>
      <c r="CJQ33" s="1688"/>
      <c r="CJR33" s="1688"/>
      <c r="CJS33" s="1688"/>
      <c r="CJT33" s="1688"/>
      <c r="CJU33" s="1688"/>
      <c r="CJV33" s="1688"/>
      <c r="CJW33" s="1688"/>
      <c r="CJX33" s="1688"/>
      <c r="CJY33" s="1688"/>
      <c r="CJZ33" s="1688"/>
      <c r="CKA33" s="1688"/>
      <c r="CKB33" s="1688"/>
      <c r="CKC33" s="1688"/>
      <c r="CKD33" s="1688"/>
      <c r="CKE33" s="1688"/>
      <c r="CKF33" s="1688"/>
      <c r="CKG33" s="1688"/>
      <c r="CKH33" s="1688"/>
      <c r="CKI33" s="1688"/>
      <c r="CKJ33" s="1688"/>
      <c r="CKK33" s="1688"/>
      <c r="CKL33" s="1688"/>
      <c r="CKM33" s="1688"/>
      <c r="CKN33" s="1688"/>
      <c r="CKO33" s="1688"/>
      <c r="CKP33" s="1688"/>
      <c r="CKQ33" s="1688"/>
      <c r="CKR33" s="1688"/>
      <c r="CKS33" s="1688"/>
      <c r="CKT33" s="1688"/>
      <c r="CKU33" s="1688"/>
      <c r="CKV33" s="1688"/>
      <c r="CKW33" s="1688"/>
      <c r="CKX33" s="1688"/>
      <c r="CKY33" s="1688"/>
      <c r="CKZ33" s="1688"/>
      <c r="CLA33" s="1688"/>
      <c r="CLB33" s="1688"/>
      <c r="CLC33" s="1688"/>
      <c r="CLD33" s="1688"/>
      <c r="CLE33" s="1688"/>
      <c r="CLF33" s="1688"/>
      <c r="CLG33" s="1688"/>
      <c r="CLH33" s="1688"/>
      <c r="CLI33" s="1688"/>
      <c r="CLJ33" s="1688"/>
      <c r="CLK33" s="1688"/>
      <c r="CLL33" s="1688"/>
      <c r="CLM33" s="1688"/>
      <c r="CLN33" s="1688"/>
      <c r="CLO33" s="1688"/>
      <c r="CLP33" s="1688"/>
      <c r="CLQ33" s="1688"/>
      <c r="CLR33" s="1688"/>
      <c r="CLS33" s="1688"/>
      <c r="CLT33" s="1688"/>
      <c r="CLU33" s="1688"/>
      <c r="CLV33" s="1688"/>
      <c r="CLW33" s="1688"/>
      <c r="CLX33" s="1688"/>
      <c r="CLY33" s="1688"/>
      <c r="CLZ33" s="1688"/>
      <c r="CMA33" s="1688"/>
      <c r="CMB33" s="1688"/>
      <c r="CMC33" s="1688"/>
      <c r="CMD33" s="1688"/>
      <c r="CME33" s="1688"/>
      <c r="CMF33" s="1688"/>
      <c r="CMG33" s="1688"/>
      <c r="CMH33" s="1688"/>
      <c r="CMI33" s="1688"/>
      <c r="CMJ33" s="1688"/>
      <c r="CMK33" s="1688"/>
      <c r="CML33" s="1688"/>
      <c r="CMM33" s="1688"/>
      <c r="CMN33" s="1688"/>
      <c r="CMO33" s="1688"/>
      <c r="CMP33" s="1688"/>
      <c r="CMQ33" s="1688"/>
      <c r="CMR33" s="1688"/>
      <c r="CMS33" s="1688"/>
      <c r="CMT33" s="1688"/>
      <c r="CMU33" s="1688"/>
      <c r="CMV33" s="1688"/>
      <c r="CMW33" s="1688"/>
      <c r="CMX33" s="1688"/>
      <c r="CMY33" s="1688"/>
      <c r="CMZ33" s="1688"/>
      <c r="CNA33" s="1688"/>
      <c r="CNB33" s="1688"/>
      <c r="CNC33" s="1688"/>
      <c r="CND33" s="1688"/>
      <c r="CNE33" s="1688"/>
      <c r="CNF33" s="1688"/>
      <c r="CNG33" s="1688"/>
      <c r="CNH33" s="1688"/>
      <c r="CNI33" s="1688"/>
      <c r="CNJ33" s="1688"/>
      <c r="CNK33" s="1688"/>
      <c r="CNL33" s="1688"/>
      <c r="CNM33" s="1688"/>
      <c r="CNN33" s="1688"/>
      <c r="CNO33" s="1688"/>
      <c r="CNP33" s="1688"/>
      <c r="CNQ33" s="1688"/>
      <c r="CNR33" s="1688"/>
      <c r="CNS33" s="1688"/>
      <c r="CNT33" s="1688"/>
      <c r="CNU33" s="1688"/>
      <c r="CNV33" s="1688"/>
      <c r="CNW33" s="1688"/>
      <c r="CNX33" s="1688"/>
      <c r="CNY33" s="1688"/>
      <c r="CNZ33" s="1688"/>
      <c r="COA33" s="1688"/>
      <c r="COB33" s="1688"/>
      <c r="COC33" s="1688"/>
      <c r="COD33" s="1688"/>
      <c r="COE33" s="1688"/>
      <c r="COF33" s="1688"/>
      <c r="COG33" s="1688"/>
      <c r="COH33" s="1688"/>
      <c r="COI33" s="1688"/>
      <c r="COJ33" s="1688"/>
      <c r="COK33" s="1688"/>
      <c r="COL33" s="1688"/>
      <c r="COM33" s="1688"/>
      <c r="CON33" s="1688"/>
      <c r="COO33" s="1688"/>
      <c r="COP33" s="1688"/>
      <c r="COQ33" s="1688"/>
      <c r="COR33" s="1688"/>
      <c r="COS33" s="1688"/>
      <c r="COT33" s="1688"/>
      <c r="COU33" s="1688"/>
      <c r="COV33" s="1688"/>
      <c r="COW33" s="1688"/>
      <c r="COX33" s="1688"/>
      <c r="COY33" s="1688"/>
      <c r="COZ33" s="1688"/>
      <c r="CPA33" s="1688"/>
      <c r="CPB33" s="1688"/>
      <c r="CPC33" s="1688"/>
      <c r="CPD33" s="1688"/>
      <c r="CPE33" s="1688"/>
      <c r="CPF33" s="1688"/>
      <c r="CPG33" s="1688"/>
      <c r="CPH33" s="1688"/>
      <c r="CPI33" s="1688"/>
      <c r="CPJ33" s="1688"/>
      <c r="CPK33" s="1688"/>
      <c r="CPL33" s="1688"/>
      <c r="CPM33" s="1688"/>
      <c r="CPN33" s="1688"/>
      <c r="CPO33" s="1688"/>
      <c r="CPP33" s="1688"/>
      <c r="CPQ33" s="1688"/>
      <c r="CPR33" s="1688"/>
      <c r="CPS33" s="1688"/>
      <c r="CPT33" s="1688"/>
      <c r="CPU33" s="1688"/>
      <c r="CPV33" s="1688"/>
      <c r="CPW33" s="1688"/>
      <c r="CPX33" s="1688"/>
      <c r="CPY33" s="1688"/>
      <c r="CPZ33" s="1688"/>
      <c r="CQA33" s="1688"/>
      <c r="CQB33" s="1688"/>
      <c r="CQC33" s="1688"/>
      <c r="CQD33" s="1688"/>
      <c r="CQE33" s="1688"/>
      <c r="CQF33" s="1688"/>
      <c r="CQG33" s="1688"/>
      <c r="CQH33" s="1688"/>
      <c r="CQI33" s="1688"/>
      <c r="CQJ33" s="1688"/>
      <c r="CQK33" s="1688"/>
      <c r="CQL33" s="1688"/>
      <c r="CQM33" s="1688"/>
      <c r="CQN33" s="1688"/>
      <c r="CQO33" s="1688"/>
      <c r="CQP33" s="1688"/>
      <c r="CQQ33" s="1688"/>
      <c r="CQR33" s="1688"/>
      <c r="CQS33" s="1688"/>
      <c r="CQT33" s="1688"/>
      <c r="CQU33" s="1688"/>
      <c r="CQV33" s="1688"/>
      <c r="CQW33" s="1688"/>
      <c r="CQX33" s="1688"/>
      <c r="CQY33" s="1688"/>
      <c r="CQZ33" s="1688"/>
      <c r="CRA33" s="1688"/>
      <c r="CRB33" s="1688"/>
      <c r="CRC33" s="1688"/>
      <c r="CRD33" s="1688"/>
      <c r="CRE33" s="1688"/>
      <c r="CRF33" s="1688"/>
      <c r="CRG33" s="1688"/>
      <c r="CRH33" s="1688"/>
      <c r="CRI33" s="1688"/>
      <c r="CRJ33" s="1688"/>
      <c r="CRK33" s="1688"/>
      <c r="CRL33" s="1688"/>
      <c r="CRM33" s="1688"/>
      <c r="CRN33" s="1688"/>
      <c r="CRO33" s="1688"/>
      <c r="CRP33" s="1688"/>
      <c r="CRQ33" s="1688"/>
      <c r="CRR33" s="1688"/>
      <c r="CRS33" s="1688"/>
      <c r="CRT33" s="1688"/>
      <c r="CRU33" s="1688"/>
      <c r="CRV33" s="1688"/>
      <c r="CRW33" s="1688"/>
      <c r="CRX33" s="1688"/>
      <c r="CRY33" s="1688"/>
      <c r="CRZ33" s="1688"/>
      <c r="CSA33" s="1688"/>
      <c r="CSB33" s="1688"/>
      <c r="CSC33" s="1688"/>
      <c r="CSD33" s="1688"/>
      <c r="CSE33" s="1688"/>
      <c r="CSF33" s="1688"/>
      <c r="CSG33" s="1688"/>
      <c r="CSH33" s="1688"/>
      <c r="CSI33" s="1688"/>
      <c r="CSJ33" s="1688"/>
      <c r="CSK33" s="1688"/>
      <c r="CSL33" s="1688"/>
      <c r="CSM33" s="1688"/>
      <c r="CSN33" s="1688"/>
      <c r="CSO33" s="1688"/>
      <c r="CSP33" s="1688"/>
      <c r="CSQ33" s="1688"/>
      <c r="CSR33" s="1688"/>
      <c r="CSS33" s="1688"/>
      <c r="CST33" s="1688"/>
      <c r="CSU33" s="1688"/>
      <c r="CSV33" s="1688"/>
      <c r="CSW33" s="1688"/>
      <c r="CSX33" s="1688"/>
      <c r="CSY33" s="1688"/>
      <c r="CSZ33" s="1688"/>
      <c r="CTA33" s="1688"/>
      <c r="CTB33" s="1688"/>
      <c r="CTC33" s="1688"/>
      <c r="CTD33" s="1688"/>
      <c r="CTE33" s="1688"/>
      <c r="CTF33" s="1688"/>
      <c r="CTG33" s="1688"/>
      <c r="CTH33" s="1688"/>
      <c r="CTI33" s="1688"/>
      <c r="CTJ33" s="1688"/>
      <c r="CTK33" s="1688"/>
      <c r="CTL33" s="1688"/>
      <c r="CTM33" s="1688"/>
      <c r="CTN33" s="1688"/>
      <c r="CTO33" s="1688"/>
      <c r="CTP33" s="1688"/>
      <c r="CTQ33" s="1688"/>
      <c r="CTR33" s="1688"/>
      <c r="CTS33" s="1688"/>
      <c r="CTT33" s="1688"/>
      <c r="CTU33" s="1688"/>
      <c r="CTV33" s="1688"/>
      <c r="CTW33" s="1688"/>
      <c r="CTX33" s="1688"/>
      <c r="CTY33" s="1688"/>
      <c r="CTZ33" s="1688"/>
      <c r="CUA33" s="1688"/>
      <c r="CUB33" s="1688"/>
      <c r="CUC33" s="1688"/>
      <c r="CUD33" s="1688"/>
      <c r="CUE33" s="1688"/>
      <c r="CUF33" s="1688"/>
      <c r="CUG33" s="1688"/>
      <c r="CUH33" s="1688"/>
      <c r="CUI33" s="1688"/>
      <c r="CUJ33" s="1688"/>
      <c r="CUK33" s="1688"/>
      <c r="CUL33" s="1688"/>
      <c r="CUM33" s="1688"/>
      <c r="CUN33" s="1688"/>
      <c r="CUO33" s="1688"/>
      <c r="CUP33" s="1688"/>
      <c r="CUQ33" s="1688"/>
      <c r="CUR33" s="1688"/>
      <c r="CUS33" s="1688"/>
      <c r="CUT33" s="1688"/>
      <c r="CUU33" s="1688"/>
      <c r="CUV33" s="1688"/>
      <c r="CUW33" s="1688"/>
      <c r="CUX33" s="1688"/>
      <c r="CUY33" s="1688"/>
      <c r="CUZ33" s="1688"/>
      <c r="CVA33" s="1688"/>
      <c r="CVB33" s="1688"/>
      <c r="CVC33" s="1688"/>
      <c r="CVD33" s="1688"/>
      <c r="CVE33" s="1688"/>
      <c r="CVF33" s="1688"/>
      <c r="CVG33" s="1688"/>
      <c r="CVH33" s="1688"/>
      <c r="CVI33" s="1688"/>
      <c r="CVJ33" s="1688"/>
      <c r="CVK33" s="1688"/>
      <c r="CVL33" s="1688"/>
      <c r="CVM33" s="1688"/>
      <c r="CVN33" s="1688"/>
      <c r="CVO33" s="1688"/>
      <c r="CVP33" s="1688"/>
      <c r="CVQ33" s="1688"/>
      <c r="CVR33" s="1688"/>
      <c r="CVS33" s="1688"/>
      <c r="CVT33" s="1688"/>
      <c r="CVU33" s="1688"/>
      <c r="CVV33" s="1688"/>
      <c r="CVW33" s="1688"/>
      <c r="CVX33" s="1688"/>
      <c r="CVY33" s="1688"/>
      <c r="CVZ33" s="1688"/>
      <c r="CWA33" s="1688"/>
      <c r="CWB33" s="1688"/>
      <c r="CWC33" s="1688"/>
      <c r="CWD33" s="1688"/>
      <c r="CWE33" s="1688"/>
      <c r="CWF33" s="1688"/>
      <c r="CWG33" s="1688"/>
      <c r="CWH33" s="1688"/>
      <c r="CWI33" s="1688"/>
      <c r="CWJ33" s="1688"/>
      <c r="CWK33" s="1688"/>
      <c r="CWL33" s="1688"/>
      <c r="CWM33" s="1688"/>
      <c r="CWN33" s="1688"/>
      <c r="CWO33" s="1688"/>
      <c r="CWP33" s="1688"/>
      <c r="CWQ33" s="1688"/>
      <c r="CWR33" s="1688"/>
      <c r="CWS33" s="1688"/>
      <c r="CWT33" s="1688"/>
      <c r="CWU33" s="1688"/>
      <c r="CWV33" s="1688"/>
      <c r="CWW33" s="1688"/>
      <c r="CWX33" s="1688"/>
      <c r="CWY33" s="1688"/>
      <c r="CWZ33" s="1688"/>
      <c r="CXA33" s="1688"/>
      <c r="CXB33" s="1688"/>
      <c r="CXC33" s="1688"/>
      <c r="CXD33" s="1688"/>
      <c r="CXE33" s="1688"/>
      <c r="CXF33" s="1688"/>
      <c r="CXG33" s="1688"/>
      <c r="CXH33" s="1688"/>
      <c r="CXI33" s="1688"/>
      <c r="CXJ33" s="1688"/>
      <c r="CXK33" s="1688"/>
      <c r="CXL33" s="1688"/>
      <c r="CXM33" s="1688"/>
      <c r="CXN33" s="1688"/>
      <c r="CXO33" s="1688"/>
      <c r="CXP33" s="1688"/>
      <c r="CXQ33" s="1688"/>
      <c r="CXR33" s="1688"/>
      <c r="CXS33" s="1688"/>
      <c r="CXT33" s="1688"/>
      <c r="CXU33" s="1688"/>
      <c r="CXV33" s="1688"/>
      <c r="CXW33" s="1688"/>
      <c r="CXX33" s="1688"/>
      <c r="CXY33" s="1688"/>
      <c r="CXZ33" s="1688"/>
      <c r="CYA33" s="1688"/>
      <c r="CYB33" s="1688"/>
      <c r="CYC33" s="1688"/>
      <c r="CYD33" s="1688"/>
      <c r="CYE33" s="1688"/>
      <c r="CYF33" s="1688"/>
      <c r="CYG33" s="1688"/>
      <c r="CYH33" s="1688"/>
      <c r="CYI33" s="1688"/>
      <c r="CYJ33" s="1688"/>
      <c r="CYK33" s="1688"/>
      <c r="CYL33" s="1688"/>
      <c r="CYM33" s="1688"/>
      <c r="CYN33" s="1688"/>
      <c r="CYO33" s="1688"/>
      <c r="CYP33" s="1688"/>
      <c r="CYQ33" s="1688"/>
      <c r="CYR33" s="1688"/>
      <c r="CYS33" s="1688"/>
      <c r="CYT33" s="1688"/>
      <c r="CYU33" s="1688"/>
      <c r="CYV33" s="1688"/>
      <c r="CYW33" s="1688"/>
      <c r="CYX33" s="1688"/>
      <c r="CYY33" s="1688"/>
      <c r="CYZ33" s="1688"/>
      <c r="CZA33" s="1688"/>
      <c r="CZB33" s="1688"/>
      <c r="CZC33" s="1688"/>
      <c r="CZD33" s="1688"/>
      <c r="CZE33" s="1688"/>
      <c r="CZF33" s="1688"/>
      <c r="CZG33" s="1688"/>
      <c r="CZH33" s="1688"/>
      <c r="CZI33" s="1688"/>
      <c r="CZJ33" s="1688"/>
      <c r="CZK33" s="1688"/>
      <c r="CZL33" s="1688"/>
      <c r="CZM33" s="1688"/>
      <c r="CZN33" s="1688"/>
      <c r="CZO33" s="1688"/>
      <c r="CZP33" s="1688"/>
      <c r="CZQ33" s="1688"/>
      <c r="CZR33" s="1688"/>
      <c r="CZS33" s="1688"/>
      <c r="CZT33" s="1688"/>
      <c r="CZU33" s="1688"/>
      <c r="CZV33" s="1688"/>
      <c r="CZW33" s="1688"/>
      <c r="CZX33" s="1688"/>
      <c r="CZY33" s="1688"/>
      <c r="CZZ33" s="1688"/>
      <c r="DAA33" s="1688"/>
      <c r="DAB33" s="1688"/>
      <c r="DAC33" s="1688"/>
      <c r="DAD33" s="1688"/>
      <c r="DAE33" s="1688"/>
      <c r="DAF33" s="1688"/>
      <c r="DAG33" s="1688"/>
      <c r="DAH33" s="1688"/>
      <c r="DAI33" s="1688"/>
      <c r="DAJ33" s="1688"/>
      <c r="DAK33" s="1688"/>
      <c r="DAL33" s="1688"/>
      <c r="DAM33" s="1688"/>
      <c r="DAN33" s="1688"/>
      <c r="DAO33" s="1688"/>
      <c r="DAP33" s="1688"/>
      <c r="DAQ33" s="1688"/>
      <c r="DAR33" s="1688"/>
      <c r="DAS33" s="1688"/>
      <c r="DAT33" s="1688"/>
      <c r="DAU33" s="1688"/>
      <c r="DAV33" s="1688"/>
      <c r="DAW33" s="1688"/>
      <c r="DAX33" s="1688"/>
      <c r="DAY33" s="1688"/>
      <c r="DAZ33" s="1688"/>
      <c r="DBA33" s="1688"/>
      <c r="DBB33" s="1688"/>
      <c r="DBC33" s="1688"/>
      <c r="DBD33" s="1688"/>
      <c r="DBE33" s="1688"/>
      <c r="DBF33" s="1688"/>
      <c r="DBG33" s="1688"/>
      <c r="DBH33" s="1688"/>
      <c r="DBI33" s="1688"/>
      <c r="DBJ33" s="1688"/>
      <c r="DBK33" s="1688"/>
      <c r="DBL33" s="1688"/>
      <c r="DBM33" s="1688"/>
      <c r="DBN33" s="1688"/>
      <c r="DBO33" s="1688"/>
      <c r="DBP33" s="1688"/>
      <c r="DBQ33" s="1688"/>
      <c r="DBR33" s="1688"/>
      <c r="DBS33" s="1688"/>
      <c r="DBT33" s="1688"/>
      <c r="DBU33" s="1688"/>
      <c r="DBV33" s="1688"/>
      <c r="DBW33" s="1688"/>
      <c r="DBX33" s="1688"/>
      <c r="DBY33" s="1688"/>
      <c r="DBZ33" s="1688"/>
      <c r="DCA33" s="1688"/>
      <c r="DCB33" s="1688"/>
      <c r="DCC33" s="1688"/>
      <c r="DCD33" s="1688"/>
      <c r="DCE33" s="1688"/>
      <c r="DCF33" s="1688"/>
      <c r="DCG33" s="1688"/>
      <c r="DCH33" s="1688"/>
      <c r="DCI33" s="1688"/>
      <c r="DCJ33" s="1688"/>
      <c r="DCK33" s="1688"/>
      <c r="DCL33" s="1688"/>
      <c r="DCM33" s="1688"/>
      <c r="DCN33" s="1688"/>
      <c r="DCO33" s="1688"/>
      <c r="DCP33" s="1688"/>
      <c r="DCQ33" s="1688"/>
      <c r="DCR33" s="1688"/>
      <c r="DCS33" s="1688"/>
      <c r="DCT33" s="1688"/>
      <c r="DCU33" s="1688"/>
      <c r="DCV33" s="1688"/>
      <c r="DCW33" s="1688"/>
      <c r="DCX33" s="1688"/>
      <c r="DCY33" s="1688"/>
      <c r="DCZ33" s="1688"/>
      <c r="DDA33" s="1688"/>
      <c r="DDB33" s="1688"/>
      <c r="DDC33" s="1688"/>
      <c r="DDD33" s="1688"/>
      <c r="DDE33" s="1688"/>
      <c r="DDF33" s="1688"/>
      <c r="DDG33" s="1688"/>
      <c r="DDH33" s="1688"/>
      <c r="DDI33" s="1688"/>
      <c r="DDJ33" s="1688"/>
      <c r="DDK33" s="1688"/>
      <c r="DDL33" s="1688"/>
      <c r="DDM33" s="1688"/>
      <c r="DDN33" s="1688"/>
      <c r="DDO33" s="1688"/>
      <c r="DDP33" s="1688"/>
      <c r="DDQ33" s="1688"/>
      <c r="DDR33" s="1688"/>
      <c r="DDS33" s="1688"/>
      <c r="DDT33" s="1688"/>
      <c r="DDU33" s="1688"/>
      <c r="DDV33" s="1688"/>
      <c r="DDW33" s="1688"/>
      <c r="DDX33" s="1688"/>
      <c r="DDY33" s="1688"/>
      <c r="DDZ33" s="1688"/>
      <c r="DEA33" s="1688"/>
      <c r="DEB33" s="1688"/>
      <c r="DEC33" s="1688"/>
      <c r="DED33" s="1688"/>
      <c r="DEE33" s="1688"/>
      <c r="DEF33" s="1688"/>
      <c r="DEG33" s="1688"/>
      <c r="DEH33" s="1688"/>
      <c r="DEI33" s="1688"/>
      <c r="DEJ33" s="1688"/>
      <c r="DEK33" s="1688"/>
      <c r="DEL33" s="1688"/>
      <c r="DEM33" s="1688"/>
      <c r="DEN33" s="1688"/>
      <c r="DEO33" s="1688"/>
      <c r="DEP33" s="1688"/>
      <c r="DEQ33" s="1688"/>
      <c r="DER33" s="1688"/>
      <c r="DES33" s="1688"/>
      <c r="DET33" s="1688"/>
      <c r="DEU33" s="1688"/>
      <c r="DEV33" s="1688"/>
      <c r="DEW33" s="1688"/>
      <c r="DEX33" s="1688"/>
      <c r="DEY33" s="1688"/>
      <c r="DEZ33" s="1688"/>
      <c r="DFA33" s="1688"/>
      <c r="DFB33" s="1688"/>
      <c r="DFC33" s="1688"/>
      <c r="DFD33" s="1688"/>
      <c r="DFE33" s="1688"/>
      <c r="DFF33" s="1688"/>
      <c r="DFG33" s="1688"/>
      <c r="DFH33" s="1688"/>
      <c r="DFI33" s="1688"/>
      <c r="DFJ33" s="1688"/>
      <c r="DFK33" s="1688"/>
      <c r="DFL33" s="1688"/>
      <c r="DFM33" s="1688"/>
      <c r="DFN33" s="1688"/>
      <c r="DFO33" s="1688"/>
      <c r="DFP33" s="1688"/>
      <c r="DFQ33" s="1688"/>
      <c r="DFR33" s="1688"/>
      <c r="DFS33" s="1688"/>
      <c r="DFT33" s="1688"/>
      <c r="DFU33" s="1688"/>
      <c r="DFV33" s="1688"/>
      <c r="DFW33" s="1688"/>
      <c r="DFX33" s="1688"/>
      <c r="DFY33" s="1688"/>
      <c r="DFZ33" s="1688"/>
      <c r="DGA33" s="1688"/>
      <c r="DGB33" s="1688"/>
      <c r="DGC33" s="1688"/>
      <c r="DGD33" s="1688"/>
      <c r="DGE33" s="1688"/>
      <c r="DGF33" s="1688"/>
      <c r="DGG33" s="1688"/>
      <c r="DGH33" s="1688"/>
      <c r="DGI33" s="1688"/>
      <c r="DGJ33" s="1688"/>
      <c r="DGK33" s="1688"/>
      <c r="DGL33" s="1688"/>
      <c r="DGM33" s="1688"/>
      <c r="DGN33" s="1688"/>
      <c r="DGO33" s="1688"/>
      <c r="DGP33" s="1688"/>
      <c r="DGQ33" s="1688"/>
      <c r="DGR33" s="1688"/>
      <c r="DGS33" s="1688"/>
      <c r="DGT33" s="1688"/>
      <c r="DGU33" s="1688"/>
      <c r="DGV33" s="1688"/>
      <c r="DGW33" s="1688"/>
      <c r="DGX33" s="1688"/>
      <c r="DGY33" s="1688"/>
      <c r="DGZ33" s="1688"/>
      <c r="DHA33" s="1688"/>
      <c r="DHB33" s="1688"/>
      <c r="DHC33" s="1688"/>
      <c r="DHD33" s="1688"/>
      <c r="DHE33" s="1688"/>
      <c r="DHF33" s="1688"/>
      <c r="DHG33" s="1688"/>
      <c r="DHH33" s="1688"/>
      <c r="DHI33" s="1688"/>
      <c r="DHJ33" s="1688"/>
      <c r="DHK33" s="1688"/>
      <c r="DHL33" s="1688"/>
      <c r="DHM33" s="1688"/>
      <c r="DHN33" s="1688"/>
      <c r="DHO33" s="1688"/>
      <c r="DHP33" s="1688"/>
      <c r="DHQ33" s="1688"/>
      <c r="DHR33" s="1688"/>
      <c r="DHS33" s="1688"/>
      <c r="DHT33" s="1688"/>
      <c r="DHU33" s="1688"/>
      <c r="DHV33" s="1688"/>
      <c r="DHW33" s="1688"/>
      <c r="DHX33" s="1688"/>
      <c r="DHY33" s="1688"/>
      <c r="DHZ33" s="1688"/>
      <c r="DIA33" s="1688"/>
      <c r="DIB33" s="1688"/>
      <c r="DIC33" s="1688"/>
      <c r="DID33" s="1688"/>
      <c r="DIE33" s="1688"/>
      <c r="DIF33" s="1688"/>
      <c r="DIG33" s="1688"/>
      <c r="DIH33" s="1688"/>
      <c r="DII33" s="1688"/>
      <c r="DIJ33" s="1688"/>
      <c r="DIK33" s="1688"/>
      <c r="DIL33" s="1688"/>
      <c r="DIM33" s="1688"/>
      <c r="DIN33" s="1688"/>
      <c r="DIO33" s="1688"/>
      <c r="DIP33" s="1688"/>
      <c r="DIQ33" s="1688"/>
      <c r="DIR33" s="1688"/>
      <c r="DIS33" s="1688"/>
      <c r="DIT33" s="1688"/>
      <c r="DIU33" s="1688"/>
      <c r="DIV33" s="1688"/>
      <c r="DIW33" s="1688"/>
      <c r="DIX33" s="1688"/>
      <c r="DIY33" s="1688"/>
      <c r="DIZ33" s="1688"/>
      <c r="DJA33" s="1688"/>
      <c r="DJB33" s="1688"/>
      <c r="DJC33" s="1688"/>
      <c r="DJD33" s="1688"/>
      <c r="DJE33" s="1688"/>
      <c r="DJF33" s="1688"/>
      <c r="DJG33" s="1688"/>
      <c r="DJH33" s="1688"/>
      <c r="DJI33" s="1688"/>
      <c r="DJJ33" s="1688"/>
      <c r="DJK33" s="1688"/>
      <c r="DJL33" s="1688"/>
      <c r="DJM33" s="1688"/>
      <c r="DJN33" s="1688"/>
      <c r="DJO33" s="1688"/>
      <c r="DJP33" s="1688"/>
      <c r="DJQ33" s="1688"/>
      <c r="DJR33" s="1688"/>
      <c r="DJS33" s="1688"/>
      <c r="DJT33" s="1688"/>
      <c r="DJU33" s="1688"/>
      <c r="DJV33" s="1688"/>
      <c r="DJW33" s="1688"/>
      <c r="DJX33" s="1688"/>
      <c r="DJY33" s="1688"/>
      <c r="DJZ33" s="1688"/>
      <c r="DKA33" s="1688"/>
      <c r="DKB33" s="1688"/>
      <c r="DKC33" s="1688"/>
      <c r="DKD33" s="1688"/>
      <c r="DKE33" s="1688"/>
      <c r="DKF33" s="1688"/>
      <c r="DKG33" s="1688"/>
      <c r="DKH33" s="1688"/>
      <c r="DKI33" s="1688"/>
      <c r="DKJ33" s="1688"/>
      <c r="DKK33" s="1688"/>
      <c r="DKL33" s="1688"/>
      <c r="DKM33" s="1688"/>
      <c r="DKN33" s="1688"/>
      <c r="DKO33" s="1688"/>
      <c r="DKP33" s="1688"/>
      <c r="DKQ33" s="1688"/>
      <c r="DKR33" s="1688"/>
      <c r="DKS33" s="1688"/>
      <c r="DKT33" s="1688"/>
      <c r="DKU33" s="1688"/>
      <c r="DKV33" s="1688"/>
      <c r="DKW33" s="1688"/>
      <c r="DKX33" s="1688"/>
      <c r="DKY33" s="1688"/>
      <c r="DKZ33" s="1688"/>
      <c r="DLA33" s="1688"/>
      <c r="DLB33" s="1688"/>
      <c r="DLC33" s="1688"/>
      <c r="DLD33" s="1688"/>
      <c r="DLE33" s="1688"/>
      <c r="DLF33" s="1688"/>
      <c r="DLG33" s="1688"/>
      <c r="DLH33" s="1688"/>
      <c r="DLI33" s="1688"/>
      <c r="DLJ33" s="1688"/>
      <c r="DLK33" s="1688"/>
      <c r="DLL33" s="1688"/>
      <c r="DLM33" s="1688"/>
      <c r="DLN33" s="1688"/>
      <c r="DLO33" s="1688"/>
      <c r="DLP33" s="1688"/>
      <c r="DLQ33" s="1688"/>
      <c r="DLR33" s="1688"/>
      <c r="DLS33" s="1688"/>
      <c r="DLT33" s="1688"/>
      <c r="DLU33" s="1688"/>
      <c r="DLV33" s="1688"/>
      <c r="DLW33" s="1688"/>
      <c r="DLX33" s="1688"/>
      <c r="DLY33" s="1688"/>
      <c r="DLZ33" s="1688"/>
      <c r="DMA33" s="1688"/>
      <c r="DMB33" s="1688"/>
      <c r="DMC33" s="1688"/>
      <c r="DMD33" s="1688"/>
      <c r="DME33" s="1688"/>
      <c r="DMF33" s="1688"/>
      <c r="DMG33" s="1688"/>
      <c r="DMH33" s="1688"/>
      <c r="DMI33" s="1688"/>
      <c r="DMJ33" s="1688"/>
      <c r="DMK33" s="1688"/>
      <c r="DML33" s="1688"/>
      <c r="DMM33" s="1688"/>
      <c r="DMN33" s="1688"/>
      <c r="DMO33" s="1688"/>
      <c r="DMP33" s="1688"/>
      <c r="DMQ33" s="1688"/>
      <c r="DMR33" s="1688"/>
      <c r="DMS33" s="1688"/>
      <c r="DMT33" s="1688"/>
      <c r="DMU33" s="1688"/>
      <c r="DMV33" s="1688"/>
      <c r="DMW33" s="1688"/>
      <c r="DMX33" s="1688"/>
      <c r="DMY33" s="1688"/>
      <c r="DMZ33" s="1688"/>
      <c r="DNA33" s="1688"/>
      <c r="DNB33" s="1688"/>
      <c r="DNC33" s="1688"/>
      <c r="DND33" s="1688"/>
      <c r="DNE33" s="1688"/>
      <c r="DNF33" s="1688"/>
      <c r="DNG33" s="1688"/>
      <c r="DNH33" s="1688"/>
      <c r="DNI33" s="1688"/>
      <c r="DNJ33" s="1688"/>
      <c r="DNK33" s="1688"/>
      <c r="DNL33" s="1688"/>
      <c r="DNM33" s="1688"/>
      <c r="DNN33" s="1688"/>
      <c r="DNO33" s="1688"/>
      <c r="DNP33" s="1688"/>
      <c r="DNQ33" s="1688"/>
      <c r="DNR33" s="1688"/>
      <c r="DNS33" s="1688"/>
      <c r="DNT33" s="1688"/>
      <c r="DNU33" s="1688"/>
      <c r="DNV33" s="1688"/>
      <c r="DNW33" s="1688"/>
      <c r="DNX33" s="1688"/>
      <c r="DNY33" s="1688"/>
      <c r="DNZ33" s="1688"/>
      <c r="DOA33" s="1688"/>
      <c r="DOB33" s="1688"/>
      <c r="DOC33" s="1688"/>
      <c r="DOD33" s="1688"/>
      <c r="DOE33" s="1688"/>
      <c r="DOF33" s="1688"/>
      <c r="DOG33" s="1688"/>
      <c r="DOH33" s="1688"/>
      <c r="DOI33" s="1688"/>
      <c r="DOJ33" s="1688"/>
      <c r="DOK33" s="1688"/>
      <c r="DOL33" s="1688"/>
      <c r="DOM33" s="1688"/>
      <c r="DON33" s="1688"/>
      <c r="DOO33" s="1688"/>
      <c r="DOP33" s="1688"/>
      <c r="DOQ33" s="1688"/>
      <c r="DOR33" s="1688"/>
      <c r="DOS33" s="1688"/>
      <c r="DOT33" s="1688"/>
      <c r="DOU33" s="1688"/>
      <c r="DOV33" s="1688"/>
      <c r="DOW33" s="1688"/>
      <c r="DOX33" s="1688"/>
      <c r="DOY33" s="1688"/>
      <c r="DOZ33" s="1688"/>
      <c r="DPA33" s="1688"/>
      <c r="DPB33" s="1688"/>
      <c r="DPC33" s="1688"/>
      <c r="DPD33" s="1688"/>
      <c r="DPE33" s="1688"/>
      <c r="DPF33" s="1688"/>
      <c r="DPG33" s="1688"/>
      <c r="DPH33" s="1688"/>
      <c r="DPI33" s="1688"/>
      <c r="DPJ33" s="1688"/>
      <c r="DPK33" s="1688"/>
      <c r="DPL33" s="1688"/>
      <c r="DPM33" s="1688"/>
      <c r="DPN33" s="1688"/>
      <c r="DPO33" s="1688"/>
      <c r="DPP33" s="1688"/>
      <c r="DPQ33" s="1688"/>
      <c r="DPR33" s="1688"/>
      <c r="DPS33" s="1688"/>
      <c r="DPT33" s="1688"/>
      <c r="DPU33" s="1688"/>
      <c r="DPV33" s="1688"/>
      <c r="DPW33" s="1688"/>
      <c r="DPX33" s="1688"/>
      <c r="DPY33" s="1688"/>
      <c r="DPZ33" s="1688"/>
      <c r="DQA33" s="1688"/>
      <c r="DQB33" s="1688"/>
      <c r="DQC33" s="1688"/>
      <c r="DQD33" s="1688"/>
      <c r="DQE33" s="1688"/>
      <c r="DQF33" s="1688"/>
      <c r="DQG33" s="1688"/>
      <c r="DQH33" s="1688"/>
      <c r="DQI33" s="1688"/>
      <c r="DQJ33" s="1688"/>
      <c r="DQK33" s="1688"/>
      <c r="DQL33" s="1688"/>
      <c r="DQM33" s="1688"/>
      <c r="DQN33" s="1688"/>
      <c r="DQO33" s="1688"/>
      <c r="DQP33" s="1688"/>
      <c r="DQQ33" s="1688"/>
      <c r="DQR33" s="1688"/>
      <c r="DQS33" s="1688"/>
      <c r="DQT33" s="1688"/>
      <c r="DQU33" s="1688"/>
      <c r="DQV33" s="1688"/>
      <c r="DQW33" s="1688"/>
      <c r="DQX33" s="1688"/>
      <c r="DQY33" s="1688"/>
      <c r="DQZ33" s="1688"/>
      <c r="DRA33" s="1688"/>
      <c r="DRB33" s="1688"/>
      <c r="DRC33" s="1688"/>
      <c r="DRD33" s="1688"/>
      <c r="DRE33" s="1688"/>
      <c r="DRF33" s="1688"/>
      <c r="DRG33" s="1688"/>
      <c r="DRH33" s="1688"/>
      <c r="DRI33" s="1688"/>
      <c r="DRJ33" s="1688"/>
      <c r="DRK33" s="1688"/>
      <c r="DRL33" s="1688"/>
      <c r="DRM33" s="1688"/>
      <c r="DRN33" s="1688"/>
      <c r="DRO33" s="1688"/>
      <c r="DRP33" s="1688"/>
      <c r="DRQ33" s="1688"/>
      <c r="DRR33" s="1688"/>
      <c r="DRS33" s="1688"/>
      <c r="DRT33" s="1688"/>
      <c r="DRU33" s="1688"/>
      <c r="DRV33" s="1688"/>
      <c r="DRW33" s="1688"/>
      <c r="DRX33" s="1688"/>
      <c r="DRY33" s="1688"/>
      <c r="DRZ33" s="1688"/>
      <c r="DSA33" s="1688"/>
      <c r="DSB33" s="1688"/>
      <c r="DSC33" s="1688"/>
      <c r="DSD33" s="1688"/>
      <c r="DSE33" s="1688"/>
      <c r="DSF33" s="1688"/>
      <c r="DSG33" s="1688"/>
      <c r="DSH33" s="1688"/>
      <c r="DSI33" s="1688"/>
      <c r="DSJ33" s="1688"/>
      <c r="DSK33" s="1688"/>
      <c r="DSL33" s="1688"/>
      <c r="DSM33" s="1688"/>
      <c r="DSN33" s="1688"/>
      <c r="DSO33" s="1688"/>
      <c r="DSP33" s="1688"/>
      <c r="DSQ33" s="1688"/>
      <c r="DSR33" s="1688"/>
      <c r="DSS33" s="1688"/>
      <c r="DST33" s="1688"/>
      <c r="DSU33" s="1688"/>
      <c r="DSV33" s="1688"/>
      <c r="DSW33" s="1688"/>
      <c r="DSX33" s="1688"/>
      <c r="DSY33" s="1688"/>
      <c r="DSZ33" s="1688"/>
      <c r="DTA33" s="1688"/>
      <c r="DTB33" s="1688"/>
      <c r="DTC33" s="1688"/>
      <c r="DTD33" s="1688"/>
      <c r="DTE33" s="1688"/>
      <c r="DTF33" s="1688"/>
      <c r="DTG33" s="1688"/>
      <c r="DTH33" s="1688"/>
      <c r="DTI33" s="1688"/>
      <c r="DTJ33" s="1688"/>
      <c r="DTK33" s="1688"/>
      <c r="DTL33" s="1688"/>
      <c r="DTM33" s="1688"/>
      <c r="DTN33" s="1688"/>
      <c r="DTO33" s="1688"/>
      <c r="DTP33" s="1688"/>
      <c r="DTQ33" s="1688"/>
      <c r="DTR33" s="1688"/>
      <c r="DTS33" s="1688"/>
      <c r="DTT33" s="1688"/>
      <c r="DTU33" s="1688"/>
      <c r="DTV33" s="1688"/>
      <c r="DTW33" s="1688"/>
      <c r="DTX33" s="1688"/>
      <c r="DTY33" s="1688"/>
      <c r="DTZ33" s="1688"/>
      <c r="DUA33" s="1688"/>
      <c r="DUB33" s="1688"/>
      <c r="DUC33" s="1688"/>
      <c r="DUD33" s="1688"/>
      <c r="DUE33" s="1688"/>
      <c r="DUF33" s="1688"/>
      <c r="DUG33" s="1688"/>
      <c r="DUH33" s="1688"/>
      <c r="DUI33" s="1688"/>
      <c r="DUJ33" s="1688"/>
      <c r="DUK33" s="1688"/>
      <c r="DUL33" s="1688"/>
      <c r="DUM33" s="1688"/>
      <c r="DUN33" s="1688"/>
      <c r="DUO33" s="1688"/>
      <c r="DUP33" s="1688"/>
      <c r="DUQ33" s="1688"/>
      <c r="DUR33" s="1688"/>
      <c r="DUS33" s="1688"/>
      <c r="DUT33" s="1688"/>
      <c r="DUU33" s="1688"/>
      <c r="DUV33" s="1688"/>
      <c r="DUW33" s="1688"/>
      <c r="DUX33" s="1688"/>
      <c r="DUY33" s="1688"/>
      <c r="DUZ33" s="1688"/>
      <c r="DVA33" s="1688"/>
      <c r="DVB33" s="1688"/>
      <c r="DVC33" s="1688"/>
      <c r="DVD33" s="1688"/>
      <c r="DVE33" s="1688"/>
      <c r="DVF33" s="1688"/>
      <c r="DVG33" s="1688"/>
      <c r="DVH33" s="1688"/>
      <c r="DVI33" s="1688"/>
      <c r="DVJ33" s="1688"/>
      <c r="DVK33" s="1688"/>
      <c r="DVL33" s="1688"/>
      <c r="DVM33" s="1688"/>
      <c r="DVN33" s="1688"/>
      <c r="DVO33" s="1688"/>
      <c r="DVP33" s="1688"/>
      <c r="DVQ33" s="1688"/>
      <c r="DVR33" s="1688"/>
      <c r="DVS33" s="1688"/>
      <c r="DVT33" s="1688"/>
      <c r="DVU33" s="1688"/>
      <c r="DVV33" s="1688"/>
      <c r="DVW33" s="1688"/>
      <c r="DVX33" s="1688"/>
      <c r="DVY33" s="1688"/>
      <c r="DVZ33" s="1688"/>
      <c r="DWA33" s="1688"/>
      <c r="DWB33" s="1688"/>
      <c r="DWC33" s="1688"/>
      <c r="DWD33" s="1688"/>
      <c r="DWE33" s="1688"/>
      <c r="DWF33" s="1688"/>
      <c r="DWG33" s="1688"/>
      <c r="DWH33" s="1688"/>
      <c r="DWI33" s="1688"/>
      <c r="DWJ33" s="1688"/>
      <c r="DWK33" s="1688"/>
      <c r="DWL33" s="1688"/>
      <c r="DWM33" s="1688"/>
      <c r="DWN33" s="1688"/>
      <c r="DWO33" s="1688"/>
      <c r="DWP33" s="1688"/>
      <c r="DWQ33" s="1688"/>
      <c r="DWR33" s="1688"/>
      <c r="DWS33" s="1688"/>
      <c r="DWT33" s="1688"/>
      <c r="DWU33" s="1688"/>
      <c r="DWV33" s="1688"/>
      <c r="DWW33" s="1688"/>
      <c r="DWX33" s="1688"/>
      <c r="DWY33" s="1688"/>
      <c r="DWZ33" s="1688"/>
      <c r="DXA33" s="1688"/>
      <c r="DXB33" s="1688"/>
      <c r="DXC33" s="1688"/>
      <c r="DXD33" s="1688"/>
      <c r="DXE33" s="1688"/>
      <c r="DXF33" s="1688"/>
      <c r="DXG33" s="1688"/>
      <c r="DXH33" s="1688"/>
      <c r="DXI33" s="1688"/>
      <c r="DXJ33" s="1688"/>
      <c r="DXK33" s="1688"/>
      <c r="DXL33" s="1688"/>
      <c r="DXM33" s="1688"/>
      <c r="DXN33" s="1688"/>
      <c r="DXO33" s="1688"/>
      <c r="DXP33" s="1688"/>
      <c r="DXQ33" s="1688"/>
      <c r="DXR33" s="1688"/>
      <c r="DXS33" s="1688"/>
      <c r="DXT33" s="1688"/>
      <c r="DXU33" s="1688"/>
      <c r="DXV33" s="1688"/>
      <c r="DXW33" s="1688"/>
      <c r="DXX33" s="1688"/>
      <c r="DXY33" s="1688"/>
      <c r="DXZ33" s="1688"/>
      <c r="DYA33" s="1688"/>
      <c r="DYB33" s="1688"/>
      <c r="DYC33" s="1688"/>
      <c r="DYD33" s="1688"/>
      <c r="DYE33" s="1688"/>
      <c r="DYF33" s="1688"/>
      <c r="DYG33" s="1688"/>
      <c r="DYH33" s="1688"/>
      <c r="DYI33" s="1688"/>
      <c r="DYJ33" s="1688"/>
      <c r="DYK33" s="1688"/>
      <c r="DYL33" s="1688"/>
      <c r="DYM33" s="1688"/>
      <c r="DYN33" s="1688"/>
      <c r="DYO33" s="1688"/>
      <c r="DYP33" s="1688"/>
      <c r="DYQ33" s="1688"/>
      <c r="DYR33" s="1688"/>
      <c r="DYS33" s="1688"/>
      <c r="DYT33" s="1688"/>
      <c r="DYU33" s="1688"/>
      <c r="DYV33" s="1688"/>
      <c r="DYW33" s="1688"/>
      <c r="DYX33" s="1688"/>
      <c r="DYY33" s="1688"/>
      <c r="DYZ33" s="1688"/>
      <c r="DZA33" s="1688"/>
      <c r="DZB33" s="1688"/>
      <c r="DZC33" s="1688"/>
      <c r="DZD33" s="1688"/>
      <c r="DZE33" s="1688"/>
      <c r="DZF33" s="1688"/>
      <c r="DZG33" s="1688"/>
      <c r="DZH33" s="1688"/>
      <c r="DZI33" s="1688"/>
      <c r="DZJ33" s="1688"/>
      <c r="DZK33" s="1688"/>
      <c r="DZL33" s="1688"/>
      <c r="DZM33" s="1688"/>
      <c r="DZN33" s="1688"/>
      <c r="DZO33" s="1688"/>
      <c r="DZP33" s="1688"/>
      <c r="DZQ33" s="1688"/>
      <c r="DZR33" s="1688"/>
      <c r="DZS33" s="1688"/>
      <c r="DZT33" s="1688"/>
      <c r="DZU33" s="1688"/>
      <c r="DZV33" s="1688"/>
      <c r="DZW33" s="1688"/>
      <c r="DZX33" s="1688"/>
      <c r="DZY33" s="1688"/>
      <c r="DZZ33" s="1688"/>
      <c r="EAA33" s="1688"/>
      <c r="EAB33" s="1688"/>
      <c r="EAC33" s="1688"/>
      <c r="EAD33" s="1688"/>
      <c r="EAE33" s="1688"/>
      <c r="EAF33" s="1688"/>
      <c r="EAG33" s="1688"/>
      <c r="EAH33" s="1688"/>
      <c r="EAI33" s="1688"/>
      <c r="EAJ33" s="1688"/>
      <c r="EAK33" s="1688"/>
      <c r="EAL33" s="1688"/>
      <c r="EAM33" s="1688"/>
      <c r="EAN33" s="1688"/>
      <c r="EAO33" s="1688"/>
      <c r="EAP33" s="1688"/>
      <c r="EAQ33" s="1688"/>
      <c r="EAR33" s="1688"/>
      <c r="EAS33" s="1688"/>
      <c r="EAT33" s="1688"/>
      <c r="EAU33" s="1688"/>
      <c r="EAV33" s="1688"/>
      <c r="EAW33" s="1688"/>
      <c r="EAX33" s="1688"/>
      <c r="EAY33" s="1688"/>
      <c r="EAZ33" s="1688"/>
      <c r="EBA33" s="1688"/>
      <c r="EBB33" s="1688"/>
      <c r="EBC33" s="1688"/>
      <c r="EBD33" s="1688"/>
      <c r="EBE33" s="1688"/>
      <c r="EBF33" s="1688"/>
      <c r="EBG33" s="1688"/>
      <c r="EBH33" s="1688"/>
      <c r="EBI33" s="1688"/>
      <c r="EBJ33" s="1688"/>
      <c r="EBK33" s="1688"/>
      <c r="EBL33" s="1688"/>
      <c r="EBM33" s="1688"/>
      <c r="EBN33" s="1688"/>
      <c r="EBO33" s="1688"/>
      <c r="EBP33" s="1688"/>
      <c r="EBQ33" s="1688"/>
      <c r="EBR33" s="1688"/>
      <c r="EBS33" s="1688"/>
      <c r="EBT33" s="1688"/>
      <c r="EBU33" s="1688"/>
      <c r="EBV33" s="1688"/>
      <c r="EBW33" s="1688"/>
      <c r="EBX33" s="1688"/>
      <c r="EBY33" s="1688"/>
      <c r="EBZ33" s="1688"/>
      <c r="ECA33" s="1688"/>
      <c r="ECB33" s="1688"/>
      <c r="ECC33" s="1688"/>
      <c r="ECD33" s="1688"/>
      <c r="ECE33" s="1688"/>
      <c r="ECF33" s="1688"/>
      <c r="ECG33" s="1688"/>
      <c r="ECH33" s="1688"/>
      <c r="ECI33" s="1688"/>
      <c r="ECJ33" s="1688"/>
      <c r="ECK33" s="1688"/>
      <c r="ECL33" s="1688"/>
      <c r="ECM33" s="1688"/>
      <c r="ECN33" s="1688"/>
      <c r="ECO33" s="1688"/>
      <c r="ECP33" s="1688"/>
      <c r="ECQ33" s="1688"/>
      <c r="ECR33" s="1688"/>
      <c r="ECS33" s="1688"/>
      <c r="ECT33" s="1688"/>
      <c r="ECU33" s="1688"/>
      <c r="ECV33" s="1688"/>
      <c r="ECW33" s="1688"/>
      <c r="ECX33" s="1688"/>
      <c r="ECY33" s="1688"/>
      <c r="ECZ33" s="1688"/>
      <c r="EDA33" s="1688"/>
      <c r="EDB33" s="1688"/>
      <c r="EDC33" s="1688"/>
      <c r="EDD33" s="1688"/>
      <c r="EDE33" s="1688"/>
      <c r="EDF33" s="1688"/>
      <c r="EDG33" s="1688"/>
      <c r="EDH33" s="1688"/>
      <c r="EDI33" s="1688"/>
      <c r="EDJ33" s="1688"/>
      <c r="EDK33" s="1688"/>
      <c r="EDL33" s="1688"/>
      <c r="EDM33" s="1688"/>
      <c r="EDN33" s="1688"/>
      <c r="EDO33" s="1688"/>
      <c r="EDP33" s="1688"/>
      <c r="EDQ33" s="1688"/>
      <c r="EDR33" s="1688"/>
      <c r="EDS33" s="1688"/>
      <c r="EDT33" s="1688"/>
      <c r="EDU33" s="1688"/>
      <c r="EDV33" s="1688"/>
      <c r="EDW33" s="1688"/>
      <c r="EDX33" s="1688"/>
      <c r="EDY33" s="1688"/>
      <c r="EDZ33" s="1688"/>
      <c r="EEA33" s="1688"/>
      <c r="EEB33" s="1688"/>
      <c r="EEC33" s="1688"/>
      <c r="EED33" s="1688"/>
      <c r="EEE33" s="1688"/>
      <c r="EEF33" s="1688"/>
      <c r="EEG33" s="1688"/>
      <c r="EEH33" s="1688"/>
      <c r="EEI33" s="1688"/>
      <c r="EEJ33" s="1688"/>
      <c r="EEK33" s="1688"/>
      <c r="EEL33" s="1688"/>
      <c r="EEM33" s="1688"/>
      <c r="EEN33" s="1688"/>
      <c r="EEO33" s="1688"/>
      <c r="EEP33" s="1688"/>
      <c r="EEQ33" s="1688"/>
      <c r="EER33" s="1688"/>
      <c r="EES33" s="1688"/>
      <c r="EET33" s="1688"/>
      <c r="EEU33" s="1688"/>
      <c r="EEV33" s="1688"/>
      <c r="EEW33" s="1688"/>
      <c r="EEX33" s="1688"/>
      <c r="EEY33" s="1688"/>
      <c r="EEZ33" s="1688"/>
      <c r="EFA33" s="1688"/>
      <c r="EFB33" s="1688"/>
      <c r="EFC33" s="1688"/>
      <c r="EFD33" s="1688"/>
      <c r="EFE33" s="1688"/>
      <c r="EFF33" s="1688"/>
      <c r="EFG33" s="1688"/>
      <c r="EFH33" s="1688"/>
      <c r="EFI33" s="1688"/>
      <c r="EFJ33" s="1688"/>
      <c r="EFK33" s="1688"/>
      <c r="EFL33" s="1688"/>
      <c r="EFM33" s="1688"/>
      <c r="EFN33" s="1688"/>
      <c r="EFO33" s="1688"/>
      <c r="EFP33" s="1688"/>
      <c r="EFQ33" s="1688"/>
      <c r="EFR33" s="1688"/>
      <c r="EFS33" s="1688"/>
      <c r="EFT33" s="1688"/>
      <c r="EFU33" s="1688"/>
      <c r="EFV33" s="1688"/>
      <c r="EFW33" s="1688"/>
      <c r="EFX33" s="1688"/>
      <c r="EFY33" s="1688"/>
      <c r="EFZ33" s="1688"/>
      <c r="EGA33" s="1688"/>
      <c r="EGB33" s="1688"/>
      <c r="EGC33" s="1688"/>
      <c r="EGD33" s="1688"/>
      <c r="EGE33" s="1688"/>
      <c r="EGF33" s="1688"/>
      <c r="EGG33" s="1688"/>
      <c r="EGH33" s="1688"/>
      <c r="EGI33" s="1688"/>
      <c r="EGJ33" s="1688"/>
      <c r="EGK33" s="1688"/>
      <c r="EGL33" s="1688"/>
      <c r="EGM33" s="1688"/>
      <c r="EGN33" s="1688"/>
      <c r="EGO33" s="1688"/>
      <c r="EGP33" s="1688"/>
      <c r="EGQ33" s="1688"/>
      <c r="EGR33" s="1688"/>
      <c r="EGS33" s="1688"/>
      <c r="EGT33" s="1688"/>
      <c r="EGU33" s="1688"/>
      <c r="EGV33" s="1688"/>
      <c r="EGW33" s="1688"/>
      <c r="EGX33" s="1688"/>
      <c r="EGY33" s="1688"/>
      <c r="EGZ33" s="1688"/>
      <c r="EHA33" s="1688"/>
      <c r="EHB33" s="1688"/>
      <c r="EHC33" s="1688"/>
      <c r="EHD33" s="1688"/>
      <c r="EHE33" s="1688"/>
      <c r="EHF33" s="1688"/>
      <c r="EHG33" s="1688"/>
      <c r="EHH33" s="1688"/>
      <c r="EHI33" s="1688"/>
      <c r="EHJ33" s="1688"/>
      <c r="EHK33" s="1688"/>
      <c r="EHL33" s="1688"/>
      <c r="EHM33" s="1688"/>
      <c r="EHN33" s="1688"/>
      <c r="EHO33" s="1688"/>
      <c r="EHP33" s="1688"/>
      <c r="EHQ33" s="1688"/>
      <c r="EHR33" s="1688"/>
      <c r="EHS33" s="1688"/>
      <c r="EHT33" s="1688"/>
      <c r="EHU33" s="1688"/>
      <c r="EHV33" s="1688"/>
      <c r="EHW33" s="1688"/>
      <c r="EHX33" s="1688"/>
      <c r="EHY33" s="1688"/>
      <c r="EHZ33" s="1688"/>
      <c r="EIA33" s="1688"/>
      <c r="EIB33" s="1688"/>
      <c r="EIC33" s="1688"/>
      <c r="EID33" s="1688"/>
      <c r="EIE33" s="1688"/>
      <c r="EIF33" s="1688"/>
      <c r="EIG33" s="1688"/>
      <c r="EIH33" s="1688"/>
      <c r="EII33" s="1688"/>
      <c r="EIJ33" s="1688"/>
      <c r="EIK33" s="1688"/>
      <c r="EIL33" s="1688"/>
      <c r="EIM33" s="1688"/>
      <c r="EIN33" s="1688"/>
      <c r="EIO33" s="1688"/>
      <c r="EIP33" s="1688"/>
      <c r="EIQ33" s="1688"/>
      <c r="EIR33" s="1688"/>
      <c r="EIS33" s="1688"/>
      <c r="EIT33" s="1688"/>
      <c r="EIU33" s="1688"/>
      <c r="EIV33" s="1688"/>
      <c r="EIW33" s="1688"/>
      <c r="EIX33" s="1688"/>
      <c r="EIY33" s="1688"/>
      <c r="EIZ33" s="1688"/>
      <c r="EJA33" s="1688"/>
      <c r="EJB33" s="1688"/>
      <c r="EJC33" s="1688"/>
      <c r="EJD33" s="1688"/>
      <c r="EJE33" s="1688"/>
      <c r="EJF33" s="1688"/>
      <c r="EJG33" s="1688"/>
      <c r="EJH33" s="1688"/>
      <c r="EJI33" s="1688"/>
      <c r="EJJ33" s="1688"/>
      <c r="EJK33" s="1688"/>
      <c r="EJL33" s="1688"/>
      <c r="EJM33" s="1688"/>
      <c r="EJN33" s="1688"/>
      <c r="EJO33" s="1688"/>
      <c r="EJP33" s="1688"/>
      <c r="EJQ33" s="1688"/>
      <c r="EJR33" s="1688"/>
      <c r="EJS33" s="1688"/>
      <c r="EJT33" s="1688"/>
      <c r="EJU33" s="1688"/>
      <c r="EJV33" s="1688"/>
      <c r="EJW33" s="1688"/>
      <c r="EJX33" s="1688"/>
      <c r="EJY33" s="1688"/>
      <c r="EJZ33" s="1688"/>
      <c r="EKA33" s="1688"/>
      <c r="EKB33" s="1688"/>
      <c r="EKC33" s="1688"/>
      <c r="EKD33" s="1688"/>
      <c r="EKE33" s="1688"/>
      <c r="EKF33" s="1688"/>
      <c r="EKG33" s="1688"/>
      <c r="EKH33" s="1688"/>
      <c r="EKI33" s="1688"/>
      <c r="EKJ33" s="1688"/>
      <c r="EKK33" s="1688"/>
      <c r="EKL33" s="1688"/>
      <c r="EKM33" s="1688"/>
      <c r="EKN33" s="1688"/>
      <c r="EKO33" s="1688"/>
      <c r="EKP33" s="1688"/>
      <c r="EKQ33" s="1688"/>
      <c r="EKR33" s="1688"/>
      <c r="EKS33" s="1688"/>
      <c r="EKT33" s="1688"/>
      <c r="EKU33" s="1688"/>
      <c r="EKV33" s="1688"/>
      <c r="EKW33" s="1688"/>
      <c r="EKX33" s="1688"/>
      <c r="EKY33" s="1688"/>
      <c r="EKZ33" s="1688"/>
      <c r="ELA33" s="1688"/>
      <c r="ELB33" s="1688"/>
      <c r="ELC33" s="1688"/>
      <c r="ELD33" s="1688"/>
      <c r="ELE33" s="1688"/>
      <c r="ELF33" s="1688"/>
      <c r="ELG33" s="1688"/>
      <c r="ELH33" s="1688"/>
      <c r="ELI33" s="1688"/>
      <c r="ELJ33" s="1688"/>
      <c r="ELK33" s="1688"/>
      <c r="ELL33" s="1688"/>
      <c r="ELM33" s="1688"/>
      <c r="ELN33" s="1688"/>
      <c r="ELO33" s="1688"/>
      <c r="ELP33" s="1688"/>
      <c r="ELQ33" s="1688"/>
      <c r="ELR33" s="1688"/>
      <c r="ELS33" s="1688"/>
      <c r="ELT33" s="1688"/>
      <c r="ELU33" s="1688"/>
      <c r="ELV33" s="1688"/>
      <c r="ELW33" s="1688"/>
      <c r="ELX33" s="1688"/>
      <c r="ELY33" s="1688"/>
      <c r="ELZ33" s="1688"/>
      <c r="EMA33" s="1688"/>
      <c r="EMB33" s="1688"/>
      <c r="EMC33" s="1688"/>
      <c r="EMD33" s="1688"/>
      <c r="EME33" s="1688"/>
      <c r="EMF33" s="1688"/>
      <c r="EMG33" s="1688"/>
      <c r="EMH33" s="1688"/>
      <c r="EMI33" s="1688"/>
      <c r="EMJ33" s="1688"/>
      <c r="EMK33" s="1688"/>
      <c r="EML33" s="1688"/>
      <c r="EMM33" s="1688"/>
      <c r="EMN33" s="1688"/>
      <c r="EMO33" s="1688"/>
      <c r="EMP33" s="1688"/>
      <c r="EMQ33" s="1688"/>
      <c r="EMR33" s="1688"/>
      <c r="EMS33" s="1688"/>
      <c r="EMT33" s="1688"/>
      <c r="EMU33" s="1688"/>
      <c r="EMV33" s="1688"/>
      <c r="EMW33" s="1688"/>
      <c r="EMX33" s="1688"/>
      <c r="EMY33" s="1688"/>
      <c r="EMZ33" s="1688"/>
      <c r="ENA33" s="1688"/>
      <c r="ENB33" s="1688"/>
      <c r="ENC33" s="1688"/>
      <c r="END33" s="1688"/>
      <c r="ENE33" s="1688"/>
      <c r="ENF33" s="1688"/>
      <c r="ENG33" s="1688"/>
      <c r="ENH33" s="1688"/>
      <c r="ENI33" s="1688"/>
      <c r="ENJ33" s="1688"/>
      <c r="ENK33" s="1688"/>
      <c r="ENL33" s="1688"/>
      <c r="ENM33" s="1688"/>
      <c r="ENN33" s="1688"/>
      <c r="ENO33" s="1688"/>
      <c r="ENP33" s="1688"/>
      <c r="ENQ33" s="1688"/>
      <c r="ENR33" s="1688"/>
      <c r="ENS33" s="1688"/>
      <c r="ENT33" s="1688"/>
      <c r="ENU33" s="1688"/>
      <c r="ENV33" s="1688"/>
      <c r="ENW33" s="1688"/>
      <c r="ENX33" s="1688"/>
      <c r="ENY33" s="1688"/>
      <c r="ENZ33" s="1688"/>
      <c r="EOA33" s="1688"/>
      <c r="EOB33" s="1688"/>
      <c r="EOC33" s="1688"/>
      <c r="EOD33" s="1688"/>
      <c r="EOE33" s="1688"/>
      <c r="EOF33" s="1688"/>
      <c r="EOG33" s="1688"/>
      <c r="EOH33" s="1688"/>
      <c r="EOI33" s="1688"/>
      <c r="EOJ33" s="1688"/>
      <c r="EOK33" s="1688"/>
      <c r="EOL33" s="1688"/>
      <c r="EOM33" s="1688"/>
      <c r="EON33" s="1688"/>
      <c r="EOO33" s="1688"/>
      <c r="EOP33" s="1688"/>
      <c r="EOQ33" s="1688"/>
      <c r="EOR33" s="1688"/>
      <c r="EOS33" s="1688"/>
      <c r="EOT33" s="1688"/>
      <c r="EOU33" s="1688"/>
      <c r="EOV33" s="1688"/>
      <c r="EOW33" s="1688"/>
      <c r="EOX33" s="1688"/>
      <c r="EOY33" s="1688"/>
      <c r="EOZ33" s="1688"/>
      <c r="EPA33" s="1688"/>
      <c r="EPB33" s="1688"/>
      <c r="EPC33" s="1688"/>
      <c r="EPD33" s="1688"/>
      <c r="EPE33" s="1688"/>
      <c r="EPF33" s="1688"/>
      <c r="EPG33" s="1688"/>
      <c r="EPH33" s="1688"/>
      <c r="EPI33" s="1688"/>
      <c r="EPJ33" s="1688"/>
      <c r="EPK33" s="1688"/>
      <c r="EPL33" s="1688"/>
      <c r="EPM33" s="1688"/>
      <c r="EPN33" s="1688"/>
      <c r="EPO33" s="1688"/>
      <c r="EPP33" s="1688"/>
      <c r="EPQ33" s="1688"/>
      <c r="EPR33" s="1688"/>
      <c r="EPS33" s="1688"/>
      <c r="EPT33" s="1688"/>
      <c r="EPU33" s="1688"/>
      <c r="EPV33" s="1688"/>
      <c r="EPW33" s="1688"/>
      <c r="EPX33" s="1688"/>
      <c r="EPY33" s="1688"/>
      <c r="EPZ33" s="1688"/>
      <c r="EQA33" s="1688"/>
      <c r="EQB33" s="1688"/>
      <c r="EQC33" s="1688"/>
      <c r="EQD33" s="1688"/>
      <c r="EQE33" s="1688"/>
      <c r="EQF33" s="1688"/>
      <c r="EQG33" s="1688"/>
      <c r="EQH33" s="1688"/>
      <c r="EQI33" s="1688"/>
      <c r="EQJ33" s="1688"/>
      <c r="EQK33" s="1688"/>
      <c r="EQL33" s="1688"/>
      <c r="EQM33" s="1688"/>
      <c r="EQN33" s="1688"/>
      <c r="EQO33" s="1688"/>
      <c r="EQP33" s="1688"/>
      <c r="EQQ33" s="1688"/>
      <c r="EQR33" s="1688"/>
      <c r="EQS33" s="1688"/>
      <c r="EQT33" s="1688"/>
      <c r="EQU33" s="1688"/>
      <c r="EQV33" s="1688"/>
      <c r="EQW33" s="1688"/>
      <c r="EQX33" s="1688"/>
      <c r="EQY33" s="1688"/>
      <c r="EQZ33" s="1688"/>
      <c r="ERA33" s="1688"/>
      <c r="ERB33" s="1688"/>
      <c r="ERC33" s="1688"/>
      <c r="ERD33" s="1688"/>
      <c r="ERE33" s="1688"/>
      <c r="ERF33" s="1688"/>
      <c r="ERG33" s="1688"/>
      <c r="ERH33" s="1688"/>
      <c r="ERI33" s="1688"/>
      <c r="ERJ33" s="1688"/>
      <c r="ERK33" s="1688"/>
      <c r="ERL33" s="1688"/>
      <c r="ERM33" s="1688"/>
      <c r="ERN33" s="1688"/>
      <c r="ERO33" s="1688"/>
      <c r="ERP33" s="1688"/>
      <c r="ERQ33" s="1688"/>
      <c r="ERR33" s="1688"/>
      <c r="ERS33" s="1688"/>
      <c r="ERT33" s="1688"/>
      <c r="ERU33" s="1688"/>
      <c r="ERV33" s="1688"/>
      <c r="ERW33" s="1688"/>
      <c r="ERX33" s="1688"/>
      <c r="ERY33" s="1688"/>
      <c r="ERZ33" s="1688"/>
      <c r="ESA33" s="1688"/>
      <c r="ESB33" s="1688"/>
      <c r="ESC33" s="1688"/>
      <c r="ESD33" s="1688"/>
      <c r="ESE33" s="1688"/>
      <c r="ESF33" s="1688"/>
      <c r="ESG33" s="1688"/>
      <c r="ESH33" s="1688"/>
      <c r="ESI33" s="1688"/>
      <c r="ESJ33" s="1688"/>
      <c r="ESK33" s="1688"/>
      <c r="ESL33" s="1688"/>
      <c r="ESM33" s="1688"/>
      <c r="ESN33" s="1688"/>
      <c r="ESO33" s="1688"/>
      <c r="ESP33" s="1688"/>
      <c r="ESQ33" s="1688"/>
      <c r="ESR33" s="1688"/>
      <c r="ESS33" s="1688"/>
      <c r="EST33" s="1688"/>
      <c r="ESU33" s="1688"/>
      <c r="ESV33" s="1688"/>
      <c r="ESW33" s="1688"/>
      <c r="ESX33" s="1688"/>
      <c r="ESY33" s="1688"/>
      <c r="ESZ33" s="1688"/>
      <c r="ETA33" s="1688"/>
      <c r="ETB33" s="1688"/>
      <c r="ETC33" s="1688"/>
      <c r="ETD33" s="1688"/>
      <c r="ETE33" s="1688"/>
      <c r="ETF33" s="1688"/>
      <c r="ETG33" s="1688"/>
      <c r="ETH33" s="1688"/>
      <c r="ETI33" s="1688"/>
      <c r="ETJ33" s="1688"/>
      <c r="ETK33" s="1688"/>
      <c r="ETL33" s="1688"/>
      <c r="ETM33" s="1688"/>
      <c r="ETN33" s="1688"/>
      <c r="ETO33" s="1688"/>
      <c r="ETP33" s="1688"/>
      <c r="ETQ33" s="1688"/>
      <c r="ETR33" s="1688"/>
      <c r="ETS33" s="1688"/>
      <c r="ETT33" s="1688"/>
      <c r="ETU33" s="1688"/>
      <c r="ETV33" s="1688"/>
      <c r="ETW33" s="1688"/>
      <c r="ETX33" s="1688"/>
      <c r="ETY33" s="1688"/>
      <c r="ETZ33" s="1688"/>
      <c r="EUA33" s="1688"/>
      <c r="EUB33" s="1688"/>
      <c r="EUC33" s="1688"/>
      <c r="EUD33" s="1688"/>
      <c r="EUE33" s="1688"/>
      <c r="EUF33" s="1688"/>
      <c r="EUG33" s="1688"/>
      <c r="EUH33" s="1688"/>
      <c r="EUI33" s="1688"/>
      <c r="EUJ33" s="1688"/>
      <c r="EUK33" s="1688"/>
      <c r="EUL33" s="1688"/>
      <c r="EUM33" s="1688"/>
      <c r="EUN33" s="1688"/>
      <c r="EUO33" s="1688"/>
      <c r="EUP33" s="1688"/>
      <c r="EUQ33" s="1688"/>
      <c r="EUR33" s="1688"/>
      <c r="EUS33" s="1688"/>
      <c r="EUT33" s="1688"/>
      <c r="EUU33" s="1688"/>
      <c r="EUV33" s="1688"/>
      <c r="EUW33" s="1688"/>
      <c r="EUX33" s="1688"/>
      <c r="EUY33" s="1688"/>
      <c r="EUZ33" s="1688"/>
      <c r="EVA33" s="1688"/>
      <c r="EVB33" s="1688"/>
      <c r="EVC33" s="1688"/>
      <c r="EVD33" s="1688"/>
      <c r="EVE33" s="1688"/>
      <c r="EVF33" s="1688"/>
      <c r="EVG33" s="1688"/>
      <c r="EVH33" s="1688"/>
      <c r="EVI33" s="1688"/>
      <c r="EVJ33" s="1688"/>
      <c r="EVK33" s="1688"/>
      <c r="EVL33" s="1688"/>
      <c r="EVM33" s="1688"/>
      <c r="EVN33" s="1688"/>
      <c r="EVO33" s="1688"/>
      <c r="EVP33" s="1688"/>
      <c r="EVQ33" s="1688"/>
      <c r="EVR33" s="1688"/>
      <c r="EVS33" s="1688"/>
      <c r="EVT33" s="1688"/>
      <c r="EVU33" s="1688"/>
      <c r="EVV33" s="1688"/>
      <c r="EVW33" s="1688"/>
      <c r="EVX33" s="1688"/>
      <c r="EVY33" s="1688"/>
      <c r="EVZ33" s="1688"/>
      <c r="EWA33" s="1688"/>
      <c r="EWB33" s="1688"/>
      <c r="EWC33" s="1688"/>
      <c r="EWD33" s="1688"/>
      <c r="EWE33" s="1688"/>
      <c r="EWF33" s="1688"/>
      <c r="EWG33" s="1688"/>
      <c r="EWH33" s="1688"/>
      <c r="EWI33" s="1688"/>
      <c r="EWJ33" s="1688"/>
      <c r="EWK33" s="1688"/>
      <c r="EWL33" s="1688"/>
      <c r="EWM33" s="1688"/>
      <c r="EWN33" s="1688"/>
      <c r="EWO33" s="1688"/>
      <c r="EWP33" s="1688"/>
      <c r="EWQ33" s="1688"/>
      <c r="EWR33" s="1688"/>
      <c r="EWS33" s="1688"/>
      <c r="EWT33" s="1688"/>
      <c r="EWU33" s="1688"/>
      <c r="EWV33" s="1688"/>
      <c r="EWW33" s="1688"/>
      <c r="EWX33" s="1688"/>
      <c r="EWY33" s="1688"/>
      <c r="EWZ33" s="1688"/>
      <c r="EXA33" s="1688"/>
      <c r="EXB33" s="1688"/>
      <c r="EXC33" s="1688"/>
      <c r="EXD33" s="1688"/>
      <c r="EXE33" s="1688"/>
      <c r="EXF33" s="1688"/>
      <c r="EXG33" s="1688"/>
      <c r="EXH33" s="1688"/>
      <c r="EXI33" s="1688"/>
      <c r="EXJ33" s="1688"/>
      <c r="EXK33" s="1688"/>
      <c r="EXL33" s="1688"/>
      <c r="EXM33" s="1688"/>
      <c r="EXN33" s="1688"/>
      <c r="EXO33" s="1688"/>
      <c r="EXP33" s="1688"/>
      <c r="EXQ33" s="1688"/>
      <c r="EXR33" s="1688"/>
      <c r="EXS33" s="1688"/>
      <c r="EXT33" s="1688"/>
      <c r="EXU33" s="1688"/>
      <c r="EXV33" s="1688"/>
      <c r="EXW33" s="1688"/>
      <c r="EXX33" s="1688"/>
      <c r="EXY33" s="1688"/>
      <c r="EXZ33" s="1688"/>
      <c r="EYA33" s="1688"/>
      <c r="EYB33" s="1688"/>
      <c r="EYC33" s="1688"/>
      <c r="EYD33" s="1688"/>
      <c r="EYE33" s="1688"/>
      <c r="EYF33" s="1688"/>
      <c r="EYG33" s="1688"/>
      <c r="EYH33" s="1688"/>
      <c r="EYI33" s="1688"/>
      <c r="EYJ33" s="1688"/>
      <c r="EYK33" s="1688"/>
      <c r="EYL33" s="1688"/>
      <c r="EYM33" s="1688"/>
      <c r="EYN33" s="1688"/>
      <c r="EYO33" s="1688"/>
      <c r="EYP33" s="1688"/>
      <c r="EYQ33" s="1688"/>
      <c r="EYR33" s="1688"/>
      <c r="EYS33" s="1688"/>
      <c r="EYT33" s="1688"/>
      <c r="EYU33" s="1688"/>
      <c r="EYV33" s="1688"/>
      <c r="EYW33" s="1688"/>
      <c r="EYX33" s="1688"/>
      <c r="EYY33" s="1688"/>
      <c r="EYZ33" s="1688"/>
      <c r="EZA33" s="1688"/>
      <c r="EZB33" s="1688"/>
      <c r="EZC33" s="1688"/>
      <c r="EZD33" s="1688"/>
      <c r="EZE33" s="1688"/>
      <c r="EZF33" s="1688"/>
      <c r="EZG33" s="1688"/>
      <c r="EZH33" s="1688"/>
      <c r="EZI33" s="1688"/>
      <c r="EZJ33" s="1688"/>
      <c r="EZK33" s="1688"/>
      <c r="EZL33" s="1688"/>
      <c r="EZM33" s="1688"/>
      <c r="EZN33" s="1688"/>
      <c r="EZO33" s="1688"/>
      <c r="EZP33" s="1688"/>
      <c r="EZQ33" s="1688"/>
      <c r="EZR33" s="1688"/>
      <c r="EZS33" s="1688"/>
      <c r="EZT33" s="1688"/>
      <c r="EZU33" s="1688"/>
      <c r="EZV33" s="1688"/>
      <c r="EZW33" s="1688"/>
      <c r="EZX33" s="1688"/>
      <c r="EZY33" s="1688"/>
      <c r="EZZ33" s="1688"/>
      <c r="FAA33" s="1688"/>
      <c r="FAB33" s="1688"/>
      <c r="FAC33" s="1688"/>
      <c r="FAD33" s="1688"/>
      <c r="FAE33" s="1688"/>
      <c r="FAF33" s="1688"/>
      <c r="FAG33" s="1688"/>
      <c r="FAH33" s="1688"/>
      <c r="FAI33" s="1688"/>
      <c r="FAJ33" s="1688"/>
      <c r="FAK33" s="1688"/>
      <c r="FAL33" s="1688"/>
      <c r="FAM33" s="1688"/>
      <c r="FAN33" s="1688"/>
      <c r="FAO33" s="1688"/>
      <c r="FAP33" s="1688"/>
      <c r="FAQ33" s="1688"/>
      <c r="FAR33" s="1688"/>
      <c r="FAS33" s="1688"/>
      <c r="FAT33" s="1688"/>
      <c r="FAU33" s="1688"/>
      <c r="FAV33" s="1688"/>
      <c r="FAW33" s="1688"/>
      <c r="FAX33" s="1688"/>
      <c r="FAY33" s="1688"/>
      <c r="FAZ33" s="1688"/>
      <c r="FBA33" s="1688"/>
      <c r="FBB33" s="1688"/>
      <c r="FBC33" s="1688"/>
      <c r="FBD33" s="1688"/>
      <c r="FBE33" s="1688"/>
      <c r="FBF33" s="1688"/>
      <c r="FBG33" s="1688"/>
      <c r="FBH33" s="1688"/>
      <c r="FBI33" s="1688"/>
      <c r="FBJ33" s="1688"/>
      <c r="FBK33" s="1688"/>
      <c r="FBL33" s="1688"/>
      <c r="FBM33" s="1688"/>
      <c r="FBN33" s="1688"/>
      <c r="FBO33" s="1688"/>
      <c r="FBP33" s="1688"/>
      <c r="FBQ33" s="1688"/>
      <c r="FBR33" s="1688"/>
      <c r="FBS33" s="1688"/>
      <c r="FBT33" s="1688"/>
      <c r="FBU33" s="1688"/>
      <c r="FBV33" s="1688"/>
      <c r="FBW33" s="1688"/>
      <c r="FBX33" s="1688"/>
      <c r="FBY33" s="1688"/>
      <c r="FBZ33" s="1688"/>
      <c r="FCA33" s="1688"/>
      <c r="FCB33" s="1688"/>
      <c r="FCC33" s="1688"/>
      <c r="FCD33" s="1688"/>
      <c r="FCE33" s="1688"/>
      <c r="FCF33" s="1688"/>
      <c r="FCG33" s="1688"/>
      <c r="FCH33" s="1688"/>
      <c r="FCI33" s="1688"/>
      <c r="FCJ33" s="1688"/>
      <c r="FCK33" s="1688"/>
      <c r="FCL33" s="1688"/>
      <c r="FCM33" s="1688"/>
      <c r="FCN33" s="1688"/>
      <c r="FCO33" s="1688"/>
      <c r="FCP33" s="1688"/>
      <c r="FCQ33" s="1688"/>
      <c r="FCR33" s="1688"/>
      <c r="FCS33" s="1688"/>
      <c r="FCT33" s="1688"/>
      <c r="FCU33" s="1688"/>
      <c r="FCV33" s="1688"/>
      <c r="FCW33" s="1688"/>
      <c r="FCX33" s="1688"/>
      <c r="FCY33" s="1688"/>
      <c r="FCZ33" s="1688"/>
      <c r="FDA33" s="1688"/>
      <c r="FDB33" s="1688"/>
      <c r="FDC33" s="1688"/>
      <c r="FDD33" s="1688"/>
      <c r="FDE33" s="1688"/>
      <c r="FDF33" s="1688"/>
      <c r="FDG33" s="1688"/>
      <c r="FDH33" s="1688"/>
      <c r="FDI33" s="1688"/>
      <c r="FDJ33" s="1688"/>
      <c r="FDK33" s="1688"/>
      <c r="FDL33" s="1688"/>
      <c r="FDM33" s="1688"/>
      <c r="FDN33" s="1688"/>
      <c r="FDO33" s="1688"/>
      <c r="FDP33" s="1688"/>
      <c r="FDQ33" s="1688"/>
      <c r="FDR33" s="1688"/>
      <c r="FDS33" s="1688"/>
      <c r="FDT33" s="1688"/>
      <c r="FDU33" s="1688"/>
      <c r="FDV33" s="1688"/>
      <c r="FDW33" s="1688"/>
      <c r="FDX33" s="1688"/>
      <c r="FDY33" s="1688"/>
      <c r="FDZ33" s="1688"/>
      <c r="FEA33" s="1688"/>
      <c r="FEB33" s="1688"/>
      <c r="FEC33" s="1688"/>
      <c r="FED33" s="1688"/>
      <c r="FEE33" s="1688"/>
      <c r="FEF33" s="1688"/>
      <c r="FEG33" s="1688"/>
      <c r="FEH33" s="1688"/>
      <c r="FEI33" s="1688"/>
      <c r="FEJ33" s="1688"/>
      <c r="FEK33" s="1688"/>
      <c r="FEL33" s="1688"/>
      <c r="FEM33" s="1688"/>
      <c r="FEN33" s="1688"/>
      <c r="FEO33" s="1688"/>
      <c r="FEP33" s="1688"/>
      <c r="FEQ33" s="1688"/>
      <c r="FER33" s="1688"/>
      <c r="FES33" s="1688"/>
      <c r="FET33" s="1688"/>
      <c r="FEU33" s="1688"/>
      <c r="FEV33" s="1688"/>
      <c r="FEW33" s="1688"/>
      <c r="FEX33" s="1688"/>
      <c r="FEY33" s="1688"/>
      <c r="FEZ33" s="1688"/>
      <c r="FFA33" s="1688"/>
      <c r="FFB33" s="1688"/>
      <c r="FFC33" s="1688"/>
      <c r="FFD33" s="1688"/>
      <c r="FFE33" s="1688"/>
      <c r="FFF33" s="1688"/>
      <c r="FFG33" s="1688"/>
      <c r="FFH33" s="1688"/>
      <c r="FFI33" s="1688"/>
      <c r="FFJ33" s="1688"/>
      <c r="FFK33" s="1688"/>
      <c r="FFL33" s="1688"/>
      <c r="FFM33" s="1688"/>
      <c r="FFN33" s="1688"/>
      <c r="FFO33" s="1688"/>
      <c r="FFP33" s="1688"/>
      <c r="FFQ33" s="1688"/>
      <c r="FFR33" s="1688"/>
      <c r="FFS33" s="1688"/>
      <c r="FFT33" s="1688"/>
      <c r="FFU33" s="1688"/>
      <c r="FFV33" s="1688"/>
      <c r="FFW33" s="1688"/>
      <c r="FFX33" s="1688"/>
      <c r="FFY33" s="1688"/>
      <c r="FFZ33" s="1688"/>
      <c r="FGA33" s="1688"/>
      <c r="FGB33" s="1688"/>
      <c r="FGC33" s="1688"/>
      <c r="FGD33" s="1688"/>
      <c r="FGE33" s="1688"/>
      <c r="FGF33" s="1688"/>
      <c r="FGG33" s="1688"/>
      <c r="FGH33" s="1688"/>
      <c r="FGI33" s="1688"/>
      <c r="FGJ33" s="1688"/>
      <c r="FGK33" s="1688"/>
      <c r="FGL33" s="1688"/>
      <c r="FGM33" s="1688"/>
      <c r="FGN33" s="1688"/>
      <c r="FGO33" s="1688"/>
      <c r="FGP33" s="1688"/>
      <c r="FGQ33" s="1688"/>
      <c r="FGR33" s="1688"/>
      <c r="FGS33" s="1688"/>
      <c r="FGT33" s="1688"/>
      <c r="FGU33" s="1688"/>
      <c r="FGV33" s="1688"/>
      <c r="FGW33" s="1688"/>
      <c r="FGX33" s="1688"/>
      <c r="FGY33" s="1688"/>
      <c r="FGZ33" s="1688"/>
      <c r="FHA33" s="1688"/>
      <c r="FHB33" s="1688"/>
      <c r="FHC33" s="1688"/>
      <c r="FHD33" s="1688"/>
      <c r="FHE33" s="1688"/>
      <c r="FHF33" s="1688"/>
      <c r="FHG33" s="1688"/>
      <c r="FHH33" s="1688"/>
      <c r="FHI33" s="1688"/>
      <c r="FHJ33" s="1688"/>
      <c r="FHK33" s="1688"/>
      <c r="FHL33" s="1688"/>
      <c r="FHM33" s="1688"/>
      <c r="FHN33" s="1688"/>
      <c r="FHO33" s="1688"/>
      <c r="FHP33" s="1688"/>
      <c r="FHQ33" s="1688"/>
      <c r="FHR33" s="1688"/>
      <c r="FHS33" s="1688"/>
      <c r="FHT33" s="1688"/>
      <c r="FHU33" s="1688"/>
      <c r="FHV33" s="1688"/>
      <c r="FHW33" s="1688"/>
      <c r="FHX33" s="1688"/>
      <c r="FHY33" s="1688"/>
      <c r="FHZ33" s="1688"/>
      <c r="FIA33" s="1688"/>
      <c r="FIB33" s="1688"/>
      <c r="FIC33" s="1688"/>
      <c r="FID33" s="1688"/>
      <c r="FIE33" s="1688"/>
      <c r="FIF33" s="1688"/>
      <c r="FIG33" s="1688"/>
      <c r="FIH33" s="1688"/>
      <c r="FII33" s="1688"/>
      <c r="FIJ33" s="1688"/>
      <c r="FIK33" s="1688"/>
      <c r="FIL33" s="1688"/>
      <c r="FIM33" s="1688"/>
      <c r="FIN33" s="1688"/>
      <c r="FIO33" s="1688"/>
      <c r="FIP33" s="1688"/>
      <c r="FIQ33" s="1688"/>
      <c r="FIR33" s="1688"/>
      <c r="FIS33" s="1688"/>
      <c r="FIT33" s="1688"/>
      <c r="FIU33" s="1688"/>
      <c r="FIV33" s="1688"/>
      <c r="FIW33" s="1688"/>
      <c r="FIX33" s="1688"/>
      <c r="FIY33" s="1688"/>
      <c r="FIZ33" s="1688"/>
      <c r="FJA33" s="1688"/>
      <c r="FJB33" s="1688"/>
      <c r="FJC33" s="1688"/>
      <c r="FJD33" s="1688"/>
      <c r="FJE33" s="1688"/>
      <c r="FJF33" s="1688"/>
      <c r="FJG33" s="1688"/>
      <c r="FJH33" s="1688"/>
      <c r="FJI33" s="1688"/>
      <c r="FJJ33" s="1688"/>
      <c r="FJK33" s="1688"/>
      <c r="FJL33" s="1688"/>
      <c r="FJM33" s="1688"/>
      <c r="FJN33" s="1688"/>
      <c r="FJO33" s="1688"/>
      <c r="FJP33" s="1688"/>
      <c r="FJQ33" s="1688"/>
      <c r="FJR33" s="1688"/>
      <c r="FJS33" s="1688"/>
      <c r="FJT33" s="1688"/>
      <c r="FJU33" s="1688"/>
      <c r="FJV33" s="1688"/>
      <c r="FJW33" s="1688"/>
      <c r="FJX33" s="1688"/>
      <c r="FJY33" s="1688"/>
      <c r="FJZ33" s="1688"/>
      <c r="FKA33" s="1688"/>
      <c r="FKB33" s="1688"/>
      <c r="FKC33" s="1688"/>
      <c r="FKD33" s="1688"/>
      <c r="FKE33" s="1688"/>
      <c r="FKF33" s="1688"/>
      <c r="FKG33" s="1688"/>
      <c r="FKH33" s="1688"/>
      <c r="FKI33" s="1688"/>
      <c r="FKJ33" s="1688"/>
      <c r="FKK33" s="1688"/>
      <c r="FKL33" s="1688"/>
      <c r="FKM33" s="1688"/>
      <c r="FKN33" s="1688"/>
      <c r="FKO33" s="1688"/>
      <c r="FKP33" s="1688"/>
      <c r="FKQ33" s="1688"/>
      <c r="FKR33" s="1688"/>
      <c r="FKS33" s="1688"/>
      <c r="FKT33" s="1688"/>
      <c r="FKU33" s="1688"/>
      <c r="FKV33" s="1688"/>
      <c r="FKW33" s="1688"/>
      <c r="FKX33" s="1688"/>
      <c r="FKY33" s="1688"/>
      <c r="FKZ33" s="1688"/>
      <c r="FLA33" s="1688"/>
      <c r="FLB33" s="1688"/>
      <c r="FLC33" s="1688"/>
      <c r="FLD33" s="1688"/>
      <c r="FLE33" s="1688"/>
      <c r="FLF33" s="1688"/>
      <c r="FLG33" s="1688"/>
      <c r="FLH33" s="1688"/>
      <c r="FLI33" s="1688"/>
      <c r="FLJ33" s="1688"/>
      <c r="FLK33" s="1688"/>
      <c r="FLL33" s="1688"/>
      <c r="FLM33" s="1688"/>
      <c r="FLN33" s="1688"/>
      <c r="FLO33" s="1688"/>
      <c r="FLP33" s="1688"/>
      <c r="FLQ33" s="1688"/>
      <c r="FLR33" s="1688"/>
      <c r="FLS33" s="1688"/>
      <c r="FLT33" s="1688"/>
      <c r="FLU33" s="1688"/>
      <c r="FLV33" s="1688"/>
      <c r="FLW33" s="1688"/>
      <c r="FLX33" s="1688"/>
      <c r="FLY33" s="1688"/>
      <c r="FLZ33" s="1688"/>
      <c r="FMA33" s="1688"/>
      <c r="FMB33" s="1688"/>
      <c r="FMC33" s="1688"/>
      <c r="FMD33" s="1688"/>
      <c r="FME33" s="1688"/>
      <c r="FMF33" s="1688"/>
      <c r="FMG33" s="1688"/>
      <c r="FMH33" s="1688"/>
      <c r="FMI33" s="1688"/>
      <c r="FMJ33" s="1688"/>
      <c r="FMK33" s="1688"/>
      <c r="FML33" s="1688"/>
      <c r="FMM33" s="1688"/>
      <c r="FMN33" s="1688"/>
      <c r="FMO33" s="1688"/>
      <c r="FMP33" s="1688"/>
      <c r="FMQ33" s="1688"/>
      <c r="FMR33" s="1688"/>
      <c r="FMS33" s="1688"/>
      <c r="FMT33" s="1688"/>
      <c r="FMU33" s="1688"/>
      <c r="FMV33" s="1688"/>
      <c r="FMW33" s="1688"/>
      <c r="FMX33" s="1688"/>
      <c r="FMY33" s="1688"/>
      <c r="FMZ33" s="1688"/>
      <c r="FNA33" s="1688"/>
      <c r="FNB33" s="1688"/>
      <c r="FNC33" s="1688"/>
      <c r="FND33" s="1688"/>
      <c r="FNE33" s="1688"/>
      <c r="FNF33" s="1688"/>
      <c r="FNG33" s="1688"/>
      <c r="FNH33" s="1688"/>
      <c r="FNI33" s="1688"/>
      <c r="FNJ33" s="1688"/>
      <c r="FNK33" s="1688"/>
      <c r="FNL33" s="1688"/>
      <c r="FNM33" s="1688"/>
      <c r="FNN33" s="1688"/>
      <c r="FNO33" s="1688"/>
      <c r="FNP33" s="1688"/>
      <c r="FNQ33" s="1688"/>
      <c r="FNR33" s="1688"/>
      <c r="FNS33" s="1688"/>
      <c r="FNT33" s="1688"/>
      <c r="FNU33" s="1688"/>
      <c r="FNV33" s="1688"/>
      <c r="FNW33" s="1688"/>
      <c r="FNX33" s="1688"/>
      <c r="FNY33" s="1688"/>
      <c r="FNZ33" s="1688"/>
      <c r="FOA33" s="1688"/>
      <c r="FOB33" s="1688"/>
      <c r="FOC33" s="1688"/>
      <c r="FOD33" s="1688"/>
      <c r="FOE33" s="1688"/>
      <c r="FOF33" s="1688"/>
      <c r="FOG33" s="1688"/>
      <c r="FOH33" s="1688"/>
      <c r="FOI33" s="1688"/>
      <c r="FOJ33" s="1688"/>
      <c r="FOK33" s="1688"/>
      <c r="FOL33" s="1688"/>
      <c r="FOM33" s="1688"/>
      <c r="FON33" s="1688"/>
      <c r="FOO33" s="1688"/>
      <c r="FOP33" s="1688"/>
      <c r="FOQ33" s="1688"/>
      <c r="FOR33" s="1688"/>
      <c r="FOS33" s="1688"/>
      <c r="FOT33" s="1688"/>
      <c r="FOU33" s="1688"/>
      <c r="FOV33" s="1688"/>
      <c r="FOW33" s="1688"/>
      <c r="FOX33" s="1688"/>
      <c r="FOY33" s="1688"/>
      <c r="FOZ33" s="1688"/>
      <c r="FPA33" s="1688"/>
      <c r="FPB33" s="1688"/>
      <c r="FPC33" s="1688"/>
      <c r="FPD33" s="1688"/>
      <c r="FPE33" s="1688"/>
      <c r="FPF33" s="1688"/>
      <c r="FPG33" s="1688"/>
      <c r="FPH33" s="1688"/>
      <c r="FPI33" s="1688"/>
      <c r="FPJ33" s="1688"/>
      <c r="FPK33" s="1688"/>
      <c r="FPL33" s="1688"/>
      <c r="FPM33" s="1688"/>
      <c r="FPN33" s="1688"/>
      <c r="FPO33" s="1688"/>
      <c r="FPP33" s="1688"/>
      <c r="FPQ33" s="1688"/>
      <c r="FPR33" s="1688"/>
      <c r="FPS33" s="1688"/>
      <c r="FPT33" s="1688"/>
      <c r="FPU33" s="1688"/>
      <c r="FPV33" s="1688"/>
      <c r="FPW33" s="1688"/>
      <c r="FPX33" s="1688"/>
      <c r="FPY33" s="1688"/>
      <c r="FPZ33" s="1688"/>
      <c r="FQA33" s="1688"/>
      <c r="FQB33" s="1688"/>
      <c r="FQC33" s="1688"/>
      <c r="FQD33" s="1688"/>
      <c r="FQE33" s="1688"/>
      <c r="FQF33" s="1688"/>
      <c r="FQG33" s="1688"/>
      <c r="FQH33" s="1688"/>
      <c r="FQI33" s="1688"/>
      <c r="FQJ33" s="1688"/>
      <c r="FQK33" s="1688"/>
      <c r="FQL33" s="1688"/>
      <c r="FQM33" s="1688"/>
      <c r="FQN33" s="1688"/>
      <c r="FQO33" s="1688"/>
      <c r="FQP33" s="1688"/>
      <c r="FQQ33" s="1688"/>
      <c r="FQR33" s="1688"/>
      <c r="FQS33" s="1688"/>
      <c r="FQT33" s="1688"/>
      <c r="FQU33" s="1688"/>
      <c r="FQV33" s="1688"/>
      <c r="FQW33" s="1688"/>
      <c r="FQX33" s="1688"/>
      <c r="FQY33" s="1688"/>
      <c r="FQZ33" s="1688"/>
      <c r="FRA33" s="1688"/>
      <c r="FRB33" s="1688"/>
      <c r="FRC33" s="1688"/>
      <c r="FRD33" s="1688"/>
      <c r="FRE33" s="1688"/>
      <c r="FRF33" s="1688"/>
      <c r="FRG33" s="1688"/>
      <c r="FRH33" s="1688"/>
      <c r="FRI33" s="1688"/>
      <c r="FRJ33" s="1688"/>
      <c r="FRK33" s="1688"/>
      <c r="FRL33" s="1688"/>
      <c r="FRM33" s="1688"/>
      <c r="FRN33" s="1688"/>
      <c r="FRO33" s="1688"/>
      <c r="FRP33" s="1688"/>
      <c r="FRQ33" s="1688"/>
      <c r="FRR33" s="1688"/>
      <c r="FRS33" s="1688"/>
      <c r="FRT33" s="1688"/>
      <c r="FRU33" s="1688"/>
      <c r="FRV33" s="1688"/>
      <c r="FRW33" s="1688"/>
      <c r="FRX33" s="1688"/>
      <c r="FRY33" s="1688"/>
      <c r="FRZ33" s="1688"/>
      <c r="FSA33" s="1688"/>
      <c r="FSB33" s="1688"/>
      <c r="FSC33" s="1688"/>
      <c r="FSD33" s="1688"/>
      <c r="FSE33" s="1688"/>
      <c r="FSF33" s="1688"/>
      <c r="FSG33" s="1688"/>
      <c r="FSH33" s="1688"/>
      <c r="FSI33" s="1688"/>
      <c r="FSJ33" s="1688"/>
      <c r="FSK33" s="1688"/>
      <c r="FSL33" s="1688"/>
      <c r="FSM33" s="1688"/>
      <c r="FSN33" s="1688"/>
      <c r="FSO33" s="1688"/>
      <c r="FSP33" s="1688"/>
      <c r="FSQ33" s="1688"/>
      <c r="FSR33" s="1688"/>
      <c r="FSS33" s="1688"/>
      <c r="FST33" s="1688"/>
      <c r="FSU33" s="1688"/>
      <c r="FSV33" s="1688"/>
      <c r="FSW33" s="1688"/>
      <c r="FSX33" s="1688"/>
      <c r="FSY33" s="1688"/>
      <c r="FSZ33" s="1688"/>
      <c r="FTA33" s="1688"/>
      <c r="FTB33" s="1688"/>
      <c r="FTC33" s="1688"/>
      <c r="FTD33" s="1688"/>
      <c r="FTE33" s="1688"/>
      <c r="FTF33" s="1688"/>
      <c r="FTG33" s="1688"/>
      <c r="FTH33" s="1688"/>
      <c r="FTI33" s="1688"/>
      <c r="FTJ33" s="1688"/>
      <c r="FTK33" s="1688"/>
      <c r="FTL33" s="1688"/>
      <c r="FTM33" s="1688"/>
      <c r="FTN33" s="1688"/>
      <c r="FTO33" s="1688"/>
      <c r="FTP33" s="1688"/>
      <c r="FTQ33" s="1688"/>
      <c r="FTR33" s="1688"/>
      <c r="FTS33" s="1688"/>
      <c r="FTT33" s="1688"/>
      <c r="FTU33" s="1688"/>
      <c r="FTV33" s="1688"/>
      <c r="FTW33" s="1688"/>
      <c r="FTX33" s="1688"/>
      <c r="FTY33" s="1688"/>
      <c r="FTZ33" s="1688"/>
      <c r="FUA33" s="1688"/>
      <c r="FUB33" s="1688"/>
      <c r="FUC33" s="1688"/>
      <c r="FUD33" s="1688"/>
      <c r="FUE33" s="1688"/>
      <c r="FUF33" s="1688"/>
      <c r="FUG33" s="1688"/>
      <c r="FUH33" s="1688"/>
      <c r="FUI33" s="1688"/>
      <c r="FUJ33" s="1688"/>
      <c r="FUK33" s="1688"/>
      <c r="FUL33" s="1688"/>
      <c r="FUM33" s="1688"/>
      <c r="FUN33" s="1688"/>
      <c r="FUO33" s="1688"/>
      <c r="FUP33" s="1688"/>
      <c r="FUQ33" s="1688"/>
      <c r="FUR33" s="1688"/>
      <c r="FUS33" s="1688"/>
      <c r="FUT33" s="1688"/>
      <c r="FUU33" s="1688"/>
      <c r="FUV33" s="1688"/>
      <c r="FUW33" s="1688"/>
      <c r="FUX33" s="1688"/>
      <c r="FUY33" s="1688"/>
      <c r="FUZ33" s="1688"/>
      <c r="FVA33" s="1688"/>
      <c r="FVB33" s="1688"/>
      <c r="FVC33" s="1688"/>
      <c r="FVD33" s="1688"/>
      <c r="FVE33" s="1688"/>
      <c r="FVF33" s="1688"/>
      <c r="FVG33" s="1688"/>
      <c r="FVH33" s="1688"/>
      <c r="FVI33" s="1688"/>
      <c r="FVJ33" s="1688"/>
      <c r="FVK33" s="1688"/>
      <c r="FVL33" s="1688"/>
      <c r="FVM33" s="1688"/>
      <c r="FVN33" s="1688"/>
      <c r="FVO33" s="1688"/>
      <c r="FVP33" s="1688"/>
      <c r="FVQ33" s="1688"/>
      <c r="FVR33" s="1688"/>
      <c r="FVS33" s="1688"/>
      <c r="FVT33" s="1688"/>
      <c r="FVU33" s="1688"/>
      <c r="FVV33" s="1688"/>
      <c r="FVW33" s="1688"/>
      <c r="FVX33" s="1688"/>
      <c r="FVY33" s="1688"/>
      <c r="FVZ33" s="1688"/>
      <c r="FWA33" s="1688"/>
      <c r="FWB33" s="1688"/>
      <c r="FWC33" s="1688"/>
      <c r="FWD33" s="1688"/>
      <c r="FWE33" s="1688"/>
      <c r="FWF33" s="1688"/>
      <c r="FWG33" s="1688"/>
      <c r="FWH33" s="1688"/>
      <c r="FWI33" s="1688"/>
      <c r="FWJ33" s="1688"/>
      <c r="FWK33" s="1688"/>
      <c r="FWL33" s="1688"/>
      <c r="FWM33" s="1688"/>
      <c r="FWN33" s="1688"/>
      <c r="FWO33" s="1688"/>
      <c r="FWP33" s="1688"/>
      <c r="FWQ33" s="1688"/>
      <c r="FWR33" s="1688"/>
      <c r="FWS33" s="1688"/>
      <c r="FWT33" s="1688"/>
      <c r="FWU33" s="1688"/>
      <c r="FWV33" s="1688"/>
      <c r="FWW33" s="1688"/>
      <c r="FWX33" s="1688"/>
      <c r="FWY33" s="1688"/>
      <c r="FWZ33" s="1688"/>
      <c r="FXA33" s="1688"/>
      <c r="FXB33" s="1688"/>
      <c r="FXC33" s="1688"/>
      <c r="FXD33" s="1688"/>
      <c r="FXE33" s="1688"/>
      <c r="FXF33" s="1688"/>
      <c r="FXG33" s="1688"/>
      <c r="FXH33" s="1688"/>
      <c r="FXI33" s="1688"/>
      <c r="FXJ33" s="1688"/>
      <c r="FXK33" s="1688"/>
      <c r="FXL33" s="1688"/>
      <c r="FXM33" s="1688"/>
      <c r="FXN33" s="1688"/>
      <c r="FXO33" s="1688"/>
      <c r="FXP33" s="1688"/>
      <c r="FXQ33" s="1688"/>
      <c r="FXR33" s="1688"/>
      <c r="FXS33" s="1688"/>
      <c r="FXT33" s="1688"/>
      <c r="FXU33" s="1688"/>
      <c r="FXV33" s="1688"/>
      <c r="FXW33" s="1688"/>
      <c r="FXX33" s="1688"/>
      <c r="FXY33" s="1688"/>
      <c r="FXZ33" s="1688"/>
      <c r="FYA33" s="1688"/>
      <c r="FYB33" s="1688"/>
      <c r="FYC33" s="1688"/>
      <c r="FYD33" s="1688"/>
      <c r="FYE33" s="1688"/>
      <c r="FYF33" s="1688"/>
      <c r="FYG33" s="1688"/>
      <c r="FYH33" s="1688"/>
      <c r="FYI33" s="1688"/>
      <c r="FYJ33" s="1688"/>
      <c r="FYK33" s="1688"/>
      <c r="FYL33" s="1688"/>
      <c r="FYM33" s="1688"/>
      <c r="FYN33" s="1688"/>
      <c r="FYO33" s="1688"/>
      <c r="FYP33" s="1688"/>
      <c r="FYQ33" s="1688"/>
      <c r="FYR33" s="1688"/>
      <c r="FYS33" s="1688"/>
      <c r="FYT33" s="1688"/>
      <c r="FYU33" s="1688"/>
      <c r="FYV33" s="1688"/>
      <c r="FYW33" s="1688"/>
      <c r="FYX33" s="1688"/>
      <c r="FYY33" s="1688"/>
      <c r="FYZ33" s="1688"/>
      <c r="FZA33" s="1688"/>
      <c r="FZB33" s="1688"/>
      <c r="FZC33" s="1688"/>
      <c r="FZD33" s="1688"/>
      <c r="FZE33" s="1688"/>
      <c r="FZF33" s="1688"/>
      <c r="FZG33" s="1688"/>
      <c r="FZH33" s="1688"/>
      <c r="FZI33" s="1688"/>
      <c r="FZJ33" s="1688"/>
      <c r="FZK33" s="1688"/>
      <c r="FZL33" s="1688"/>
      <c r="FZM33" s="1688"/>
      <c r="FZN33" s="1688"/>
      <c r="FZO33" s="1688"/>
      <c r="FZP33" s="1688"/>
      <c r="FZQ33" s="1688"/>
      <c r="FZR33" s="1688"/>
      <c r="FZS33" s="1688"/>
      <c r="FZT33" s="1688"/>
      <c r="FZU33" s="1688"/>
      <c r="FZV33" s="1688"/>
      <c r="FZW33" s="1688"/>
      <c r="FZX33" s="1688"/>
      <c r="FZY33" s="1688"/>
      <c r="FZZ33" s="1688"/>
      <c r="GAA33" s="1688"/>
      <c r="GAB33" s="1688"/>
      <c r="GAC33" s="1688"/>
      <c r="GAD33" s="1688"/>
      <c r="GAE33" s="1688"/>
      <c r="GAF33" s="1688"/>
      <c r="GAG33" s="1688"/>
      <c r="GAH33" s="1688"/>
      <c r="GAI33" s="1688"/>
      <c r="GAJ33" s="1688"/>
      <c r="GAK33" s="1688"/>
      <c r="GAL33" s="1688"/>
      <c r="GAM33" s="1688"/>
      <c r="GAN33" s="1688"/>
      <c r="GAO33" s="1688"/>
      <c r="GAP33" s="1688"/>
      <c r="GAQ33" s="1688"/>
      <c r="GAR33" s="1688"/>
      <c r="GAS33" s="1688"/>
      <c r="GAT33" s="1688"/>
      <c r="GAU33" s="1688"/>
      <c r="GAV33" s="1688"/>
      <c r="GAW33" s="1688"/>
      <c r="GAX33" s="1688"/>
      <c r="GAY33" s="1688"/>
      <c r="GAZ33" s="1688"/>
      <c r="GBA33" s="1688"/>
      <c r="GBB33" s="1688"/>
      <c r="GBC33" s="1688"/>
      <c r="GBD33" s="1688"/>
      <c r="GBE33" s="1688"/>
      <c r="GBF33" s="1688"/>
      <c r="GBG33" s="1688"/>
      <c r="GBH33" s="1688"/>
      <c r="GBI33" s="1688"/>
      <c r="GBJ33" s="1688"/>
      <c r="GBK33" s="1688"/>
      <c r="GBL33" s="1688"/>
      <c r="GBM33" s="1688"/>
      <c r="GBN33" s="1688"/>
      <c r="GBO33" s="1688"/>
      <c r="GBP33" s="1688"/>
      <c r="GBQ33" s="1688"/>
      <c r="GBR33" s="1688"/>
      <c r="GBS33" s="1688"/>
      <c r="GBT33" s="1688"/>
      <c r="GBU33" s="1688"/>
      <c r="GBV33" s="1688"/>
      <c r="GBW33" s="1688"/>
      <c r="GBX33" s="1688"/>
      <c r="GBY33" s="1688"/>
      <c r="GBZ33" s="1688"/>
      <c r="GCA33" s="1688"/>
      <c r="GCB33" s="1688"/>
      <c r="GCC33" s="1688"/>
      <c r="GCD33" s="1688"/>
      <c r="GCE33" s="1688"/>
      <c r="GCF33" s="1688"/>
      <c r="GCG33" s="1688"/>
      <c r="GCH33" s="1688"/>
      <c r="GCI33" s="1688"/>
      <c r="GCJ33" s="1688"/>
      <c r="GCK33" s="1688"/>
      <c r="GCL33" s="1688"/>
      <c r="GCM33" s="1688"/>
      <c r="GCN33" s="1688"/>
      <c r="GCO33" s="1688"/>
      <c r="GCP33" s="1688"/>
      <c r="GCQ33" s="1688"/>
      <c r="GCR33" s="1688"/>
      <c r="GCS33" s="1688"/>
      <c r="GCT33" s="1688"/>
      <c r="GCU33" s="1688"/>
      <c r="GCV33" s="1688"/>
      <c r="GCW33" s="1688"/>
      <c r="GCX33" s="1688"/>
      <c r="GCY33" s="1688"/>
      <c r="GCZ33" s="1688"/>
      <c r="GDA33" s="1688"/>
      <c r="GDB33" s="1688"/>
      <c r="GDC33" s="1688"/>
      <c r="GDD33" s="1688"/>
      <c r="GDE33" s="1688"/>
      <c r="GDF33" s="1688"/>
      <c r="GDG33" s="1688"/>
      <c r="GDH33" s="1688"/>
      <c r="GDI33" s="1688"/>
      <c r="GDJ33" s="1688"/>
      <c r="GDK33" s="1688"/>
      <c r="GDL33" s="1688"/>
      <c r="GDM33" s="1688"/>
      <c r="GDN33" s="1688"/>
      <c r="GDO33" s="1688"/>
      <c r="GDP33" s="1688"/>
      <c r="GDQ33" s="1688"/>
      <c r="GDR33" s="1688"/>
      <c r="GDS33" s="1688"/>
      <c r="GDT33" s="1688"/>
      <c r="GDU33" s="1688"/>
      <c r="GDV33" s="1688"/>
      <c r="GDW33" s="1688"/>
      <c r="GDX33" s="1688"/>
      <c r="GDY33" s="1688"/>
      <c r="GDZ33" s="1688"/>
      <c r="GEA33" s="1688"/>
      <c r="GEB33" s="1688"/>
      <c r="GEC33" s="1688"/>
      <c r="GED33" s="1688"/>
      <c r="GEE33" s="1688"/>
      <c r="GEF33" s="1688"/>
      <c r="GEG33" s="1688"/>
      <c r="GEH33" s="1688"/>
      <c r="GEI33" s="1688"/>
      <c r="GEJ33" s="1688"/>
      <c r="GEK33" s="1688"/>
      <c r="GEL33" s="1688"/>
      <c r="GEM33" s="1688"/>
      <c r="GEN33" s="1688"/>
      <c r="GEO33" s="1688"/>
      <c r="GEP33" s="1688"/>
      <c r="GEQ33" s="1688"/>
      <c r="GER33" s="1688"/>
      <c r="GES33" s="1688"/>
      <c r="GET33" s="1688"/>
      <c r="GEU33" s="1688"/>
      <c r="GEV33" s="1688"/>
      <c r="GEW33" s="1688"/>
      <c r="GEX33" s="1688"/>
      <c r="GEY33" s="1688"/>
      <c r="GEZ33" s="1688"/>
      <c r="GFA33" s="1688"/>
      <c r="GFB33" s="1688"/>
      <c r="GFC33" s="1688"/>
      <c r="GFD33" s="1688"/>
      <c r="GFE33" s="1688"/>
      <c r="GFF33" s="1688"/>
      <c r="GFG33" s="1688"/>
      <c r="GFH33" s="1688"/>
      <c r="GFI33" s="1688"/>
      <c r="GFJ33" s="1688"/>
      <c r="GFK33" s="1688"/>
      <c r="GFL33" s="1688"/>
      <c r="GFM33" s="1688"/>
      <c r="GFN33" s="1688"/>
      <c r="GFO33" s="1688"/>
      <c r="GFP33" s="1688"/>
      <c r="GFQ33" s="1688"/>
      <c r="GFR33" s="1688"/>
      <c r="GFS33" s="1688"/>
      <c r="GFT33" s="1688"/>
      <c r="GFU33" s="1688"/>
      <c r="GFV33" s="1688"/>
      <c r="GFW33" s="1688"/>
      <c r="GFX33" s="1688"/>
      <c r="GFY33" s="1688"/>
      <c r="GFZ33" s="1688"/>
      <c r="GGA33" s="1688"/>
      <c r="GGB33" s="1688"/>
      <c r="GGC33" s="1688"/>
      <c r="GGD33" s="1688"/>
      <c r="GGE33" s="1688"/>
      <c r="GGF33" s="1688"/>
      <c r="GGG33" s="1688"/>
      <c r="GGH33" s="1688"/>
      <c r="GGI33" s="1688"/>
      <c r="GGJ33" s="1688"/>
      <c r="GGK33" s="1688"/>
      <c r="GGL33" s="1688"/>
      <c r="GGM33" s="1688"/>
      <c r="GGN33" s="1688"/>
      <c r="GGO33" s="1688"/>
      <c r="GGP33" s="1688"/>
      <c r="GGQ33" s="1688"/>
      <c r="GGR33" s="1688"/>
      <c r="GGS33" s="1688"/>
      <c r="GGT33" s="1688"/>
      <c r="GGU33" s="1688"/>
      <c r="GGV33" s="1688"/>
      <c r="GGW33" s="1688"/>
      <c r="GGX33" s="1688"/>
      <c r="GGY33" s="1688"/>
      <c r="GGZ33" s="1688"/>
      <c r="GHA33" s="1688"/>
      <c r="GHB33" s="1688"/>
      <c r="GHC33" s="1688"/>
      <c r="GHD33" s="1688"/>
      <c r="GHE33" s="1688"/>
      <c r="GHF33" s="1688"/>
      <c r="GHG33" s="1688"/>
      <c r="GHH33" s="1688"/>
      <c r="GHI33" s="1688"/>
      <c r="GHJ33" s="1688"/>
      <c r="GHK33" s="1688"/>
      <c r="GHL33" s="1688"/>
      <c r="GHM33" s="1688"/>
      <c r="GHN33" s="1688"/>
      <c r="GHO33" s="1688"/>
      <c r="GHP33" s="1688"/>
      <c r="GHQ33" s="1688"/>
      <c r="GHR33" s="1688"/>
      <c r="GHS33" s="1688"/>
      <c r="GHT33" s="1688"/>
      <c r="GHU33" s="1688"/>
      <c r="GHV33" s="1688"/>
      <c r="GHW33" s="1688"/>
      <c r="GHX33" s="1688"/>
      <c r="GHY33" s="1688"/>
      <c r="GHZ33" s="1688"/>
      <c r="GIA33" s="1688"/>
      <c r="GIB33" s="1688"/>
      <c r="GIC33" s="1688"/>
      <c r="GID33" s="1688"/>
      <c r="GIE33" s="1688"/>
      <c r="GIF33" s="1688"/>
      <c r="GIG33" s="1688"/>
      <c r="GIH33" s="1688"/>
      <c r="GII33" s="1688"/>
      <c r="GIJ33" s="1688"/>
      <c r="GIK33" s="1688"/>
      <c r="GIL33" s="1688"/>
      <c r="GIM33" s="1688"/>
      <c r="GIN33" s="1688"/>
      <c r="GIO33" s="1688"/>
      <c r="GIP33" s="1688"/>
      <c r="GIQ33" s="1688"/>
      <c r="GIR33" s="1688"/>
      <c r="GIS33" s="1688"/>
      <c r="GIT33" s="1688"/>
      <c r="GIU33" s="1688"/>
      <c r="GIV33" s="1688"/>
      <c r="GIW33" s="1688"/>
      <c r="GIX33" s="1688"/>
      <c r="GIY33" s="1688"/>
      <c r="GIZ33" s="1688"/>
      <c r="GJA33" s="1688"/>
      <c r="GJB33" s="1688"/>
      <c r="GJC33" s="1688"/>
      <c r="GJD33" s="1688"/>
      <c r="GJE33" s="1688"/>
      <c r="GJF33" s="1688"/>
      <c r="GJG33" s="1688"/>
      <c r="GJH33" s="1688"/>
      <c r="GJI33" s="1688"/>
      <c r="GJJ33" s="1688"/>
      <c r="GJK33" s="1688"/>
      <c r="GJL33" s="1688"/>
      <c r="GJM33" s="1688"/>
      <c r="GJN33" s="1688"/>
      <c r="GJO33" s="1688"/>
      <c r="GJP33" s="1688"/>
      <c r="GJQ33" s="1688"/>
      <c r="GJR33" s="1688"/>
      <c r="GJS33" s="1688"/>
      <c r="GJT33" s="1688"/>
      <c r="GJU33" s="1688"/>
      <c r="GJV33" s="1688"/>
      <c r="GJW33" s="1688"/>
      <c r="GJX33" s="1688"/>
      <c r="GJY33" s="1688"/>
      <c r="GJZ33" s="1688"/>
      <c r="GKA33" s="1688"/>
      <c r="GKB33" s="1688"/>
      <c r="GKC33" s="1688"/>
      <c r="GKD33" s="1688"/>
      <c r="GKE33" s="1688"/>
      <c r="GKF33" s="1688"/>
      <c r="GKG33" s="1688"/>
      <c r="GKH33" s="1688"/>
      <c r="GKI33" s="1688"/>
      <c r="GKJ33" s="1688"/>
      <c r="GKK33" s="1688"/>
      <c r="GKL33" s="1688"/>
      <c r="GKM33" s="1688"/>
      <c r="GKN33" s="1688"/>
      <c r="GKO33" s="1688"/>
      <c r="GKP33" s="1688"/>
      <c r="GKQ33" s="1688"/>
      <c r="GKR33" s="1688"/>
      <c r="GKS33" s="1688"/>
      <c r="GKT33" s="1688"/>
      <c r="GKU33" s="1688"/>
      <c r="GKV33" s="1688"/>
      <c r="GKW33" s="1688"/>
      <c r="GKX33" s="1688"/>
      <c r="GKY33" s="1688"/>
      <c r="GKZ33" s="1688"/>
      <c r="GLA33" s="1688"/>
      <c r="GLB33" s="1688"/>
      <c r="GLC33" s="1688"/>
      <c r="GLD33" s="1688"/>
      <c r="GLE33" s="1688"/>
      <c r="GLF33" s="1688"/>
      <c r="GLG33" s="1688"/>
      <c r="GLH33" s="1688"/>
      <c r="GLI33" s="1688"/>
      <c r="GLJ33" s="1688"/>
      <c r="GLK33" s="1688"/>
      <c r="GLL33" s="1688"/>
      <c r="GLM33" s="1688"/>
      <c r="GLN33" s="1688"/>
      <c r="GLO33" s="1688"/>
      <c r="GLP33" s="1688"/>
      <c r="GLQ33" s="1688"/>
      <c r="GLR33" s="1688"/>
      <c r="GLS33" s="1688"/>
      <c r="GLT33" s="1688"/>
      <c r="GLU33" s="1688"/>
      <c r="GLV33" s="1688"/>
      <c r="GLW33" s="1688"/>
      <c r="GLX33" s="1688"/>
      <c r="GLY33" s="1688"/>
      <c r="GLZ33" s="1688"/>
      <c r="GMA33" s="1688"/>
      <c r="GMB33" s="1688"/>
      <c r="GMC33" s="1688"/>
      <c r="GMD33" s="1688"/>
      <c r="GME33" s="1688"/>
      <c r="GMF33" s="1688"/>
      <c r="GMG33" s="1688"/>
      <c r="GMH33" s="1688"/>
      <c r="GMI33" s="1688"/>
      <c r="GMJ33" s="1688"/>
      <c r="GMK33" s="1688"/>
      <c r="GML33" s="1688"/>
      <c r="GMM33" s="1688"/>
      <c r="GMN33" s="1688"/>
      <c r="GMO33" s="1688"/>
      <c r="GMP33" s="1688"/>
      <c r="GMQ33" s="1688"/>
      <c r="GMR33" s="1688"/>
      <c r="GMS33" s="1688"/>
      <c r="GMT33" s="1688"/>
      <c r="GMU33" s="1688"/>
      <c r="GMV33" s="1688"/>
      <c r="GMW33" s="1688"/>
      <c r="GMX33" s="1688"/>
      <c r="GMY33" s="1688"/>
      <c r="GMZ33" s="1688"/>
      <c r="GNA33" s="1688"/>
      <c r="GNB33" s="1688"/>
      <c r="GNC33" s="1688"/>
      <c r="GND33" s="1688"/>
      <c r="GNE33" s="1688"/>
      <c r="GNF33" s="1688"/>
      <c r="GNG33" s="1688"/>
      <c r="GNH33" s="1688"/>
      <c r="GNI33" s="1688"/>
      <c r="GNJ33" s="1688"/>
      <c r="GNK33" s="1688"/>
      <c r="GNL33" s="1688"/>
      <c r="GNM33" s="1688"/>
      <c r="GNN33" s="1688"/>
      <c r="GNO33" s="1688"/>
      <c r="GNP33" s="1688"/>
      <c r="GNQ33" s="1688"/>
      <c r="GNR33" s="1688"/>
      <c r="GNS33" s="1688"/>
      <c r="GNT33" s="1688"/>
      <c r="GNU33" s="1688"/>
      <c r="GNV33" s="1688"/>
      <c r="GNW33" s="1688"/>
      <c r="GNX33" s="1688"/>
      <c r="GNY33" s="1688"/>
      <c r="GNZ33" s="1688"/>
      <c r="GOA33" s="1688"/>
      <c r="GOB33" s="1688"/>
      <c r="GOC33" s="1688"/>
      <c r="GOD33" s="1688"/>
      <c r="GOE33" s="1688"/>
      <c r="GOF33" s="1688"/>
      <c r="GOG33" s="1688"/>
      <c r="GOH33" s="1688"/>
      <c r="GOI33" s="1688"/>
      <c r="GOJ33" s="1688"/>
      <c r="GOK33" s="1688"/>
      <c r="GOL33" s="1688"/>
      <c r="GOM33" s="1688"/>
      <c r="GON33" s="1688"/>
      <c r="GOO33" s="1688"/>
      <c r="GOP33" s="1688"/>
      <c r="GOQ33" s="1688"/>
      <c r="GOR33" s="1688"/>
      <c r="GOS33" s="1688"/>
      <c r="GOT33" s="1688"/>
      <c r="GOU33" s="1688"/>
      <c r="GOV33" s="1688"/>
      <c r="GOW33" s="1688"/>
      <c r="GOX33" s="1688"/>
      <c r="GOY33" s="1688"/>
      <c r="GOZ33" s="1688"/>
      <c r="GPA33" s="1688"/>
      <c r="GPB33" s="1688"/>
      <c r="GPC33" s="1688"/>
      <c r="GPD33" s="1688"/>
      <c r="GPE33" s="1688"/>
      <c r="GPF33" s="1688"/>
      <c r="GPG33" s="1688"/>
      <c r="GPH33" s="1688"/>
      <c r="GPI33" s="1688"/>
      <c r="GPJ33" s="1688"/>
      <c r="GPK33" s="1688"/>
      <c r="GPL33" s="1688"/>
      <c r="GPM33" s="1688"/>
      <c r="GPN33" s="1688"/>
      <c r="GPO33" s="1688"/>
      <c r="GPP33" s="1688"/>
      <c r="GPQ33" s="1688"/>
      <c r="GPR33" s="1688"/>
      <c r="GPS33" s="1688"/>
      <c r="GPT33" s="1688"/>
      <c r="GPU33" s="1688"/>
      <c r="GPV33" s="1688"/>
      <c r="GPW33" s="1688"/>
      <c r="GPX33" s="1688"/>
      <c r="GPY33" s="1688"/>
      <c r="GPZ33" s="1688"/>
      <c r="GQA33" s="1688"/>
      <c r="GQB33" s="1688"/>
      <c r="GQC33" s="1688"/>
      <c r="GQD33" s="1688"/>
      <c r="GQE33" s="1688"/>
      <c r="GQF33" s="1688"/>
      <c r="GQG33" s="1688"/>
      <c r="GQH33" s="1688"/>
      <c r="GQI33" s="1688"/>
      <c r="GQJ33" s="1688"/>
      <c r="GQK33" s="1688"/>
      <c r="GQL33" s="1688"/>
      <c r="GQM33" s="1688"/>
      <c r="GQN33" s="1688"/>
      <c r="GQO33" s="1688"/>
      <c r="GQP33" s="1688"/>
      <c r="GQQ33" s="1688"/>
      <c r="GQR33" s="1688"/>
      <c r="GQS33" s="1688"/>
      <c r="GQT33" s="1688"/>
      <c r="GQU33" s="1688"/>
      <c r="GQV33" s="1688"/>
      <c r="GQW33" s="1688"/>
      <c r="GQX33" s="1688"/>
      <c r="GQY33" s="1688"/>
      <c r="GQZ33" s="1688"/>
      <c r="GRA33" s="1688"/>
      <c r="GRB33" s="1688"/>
      <c r="GRC33" s="1688"/>
      <c r="GRD33" s="1688"/>
      <c r="GRE33" s="1688"/>
      <c r="GRF33" s="1688"/>
      <c r="GRG33" s="1688"/>
      <c r="GRH33" s="1688"/>
      <c r="GRI33" s="1688"/>
      <c r="GRJ33" s="1688"/>
      <c r="GRK33" s="1688"/>
      <c r="GRL33" s="1688"/>
      <c r="GRM33" s="1688"/>
      <c r="GRN33" s="1688"/>
      <c r="GRO33" s="1688"/>
      <c r="GRP33" s="1688"/>
      <c r="GRQ33" s="1688"/>
      <c r="GRR33" s="1688"/>
      <c r="GRS33" s="1688"/>
      <c r="GRT33" s="1688"/>
      <c r="GRU33" s="1688"/>
      <c r="GRV33" s="1688"/>
      <c r="GRW33" s="1688"/>
      <c r="GRX33" s="1688"/>
      <c r="GRY33" s="1688"/>
      <c r="GRZ33" s="1688"/>
      <c r="GSA33" s="1688"/>
      <c r="GSB33" s="1688"/>
      <c r="GSC33" s="1688"/>
      <c r="GSD33" s="1688"/>
      <c r="GSE33" s="1688"/>
      <c r="GSF33" s="1688"/>
      <c r="GSG33" s="1688"/>
      <c r="GSH33" s="1688"/>
      <c r="GSI33" s="1688"/>
      <c r="GSJ33" s="1688"/>
      <c r="GSK33" s="1688"/>
      <c r="GSL33" s="1688"/>
      <c r="GSM33" s="1688"/>
      <c r="GSN33" s="1688"/>
      <c r="GSO33" s="1688"/>
      <c r="GSP33" s="1688"/>
      <c r="GSQ33" s="1688"/>
      <c r="GSR33" s="1688"/>
      <c r="GSS33" s="1688"/>
      <c r="GST33" s="1688"/>
      <c r="GSU33" s="1688"/>
      <c r="GSV33" s="1688"/>
      <c r="GSW33" s="1688"/>
      <c r="GSX33" s="1688"/>
      <c r="GSY33" s="1688"/>
      <c r="GSZ33" s="1688"/>
      <c r="GTA33" s="1688"/>
      <c r="GTB33" s="1688"/>
      <c r="GTC33" s="1688"/>
      <c r="GTD33" s="1688"/>
      <c r="GTE33" s="1688"/>
      <c r="GTF33" s="1688"/>
      <c r="GTG33" s="1688"/>
      <c r="GTH33" s="1688"/>
      <c r="GTI33" s="1688"/>
      <c r="GTJ33" s="1688"/>
      <c r="GTK33" s="1688"/>
      <c r="GTL33" s="1688"/>
      <c r="GTM33" s="1688"/>
      <c r="GTN33" s="1688"/>
      <c r="GTO33" s="1688"/>
      <c r="GTP33" s="1688"/>
      <c r="GTQ33" s="1688"/>
      <c r="GTR33" s="1688"/>
      <c r="GTS33" s="1688"/>
      <c r="GTT33" s="1688"/>
      <c r="GTU33" s="1688"/>
      <c r="GTV33" s="1688"/>
      <c r="GTW33" s="1688"/>
      <c r="GTX33" s="1688"/>
      <c r="GTY33" s="1688"/>
      <c r="GTZ33" s="1688"/>
      <c r="GUA33" s="1688"/>
      <c r="GUB33" s="1688"/>
      <c r="GUC33" s="1688"/>
      <c r="GUD33" s="1688"/>
      <c r="GUE33" s="1688"/>
      <c r="GUF33" s="1688"/>
      <c r="GUG33" s="1688"/>
      <c r="GUH33" s="1688"/>
      <c r="GUI33" s="1688"/>
      <c r="GUJ33" s="1688"/>
      <c r="GUK33" s="1688"/>
      <c r="GUL33" s="1688"/>
      <c r="GUM33" s="1688"/>
      <c r="GUN33" s="1688"/>
      <c r="GUO33" s="1688"/>
      <c r="GUP33" s="1688"/>
      <c r="GUQ33" s="1688"/>
      <c r="GUR33" s="1688"/>
      <c r="GUS33" s="1688"/>
      <c r="GUT33" s="1688"/>
      <c r="GUU33" s="1688"/>
      <c r="GUV33" s="1688"/>
      <c r="GUW33" s="1688"/>
      <c r="GUX33" s="1688"/>
      <c r="GUY33" s="1688"/>
      <c r="GUZ33" s="1688"/>
      <c r="GVA33" s="1688"/>
      <c r="GVB33" s="1688"/>
      <c r="GVC33" s="1688"/>
      <c r="GVD33" s="1688"/>
      <c r="GVE33" s="1688"/>
      <c r="GVF33" s="1688"/>
      <c r="GVG33" s="1688"/>
      <c r="GVH33" s="1688"/>
      <c r="GVI33" s="1688"/>
      <c r="GVJ33" s="1688"/>
      <c r="GVK33" s="1688"/>
      <c r="GVL33" s="1688"/>
      <c r="GVM33" s="1688"/>
      <c r="GVN33" s="1688"/>
      <c r="GVO33" s="1688"/>
      <c r="GVP33" s="1688"/>
      <c r="GVQ33" s="1688"/>
      <c r="GVR33" s="1688"/>
      <c r="GVS33" s="1688"/>
      <c r="GVT33" s="1688"/>
      <c r="GVU33" s="1688"/>
      <c r="GVV33" s="1688"/>
      <c r="GVW33" s="1688"/>
      <c r="GVX33" s="1688"/>
      <c r="GVY33" s="1688"/>
      <c r="GVZ33" s="1688"/>
      <c r="GWA33" s="1688"/>
      <c r="GWB33" s="1688"/>
      <c r="GWC33" s="1688"/>
      <c r="GWD33" s="1688"/>
      <c r="GWE33" s="1688"/>
      <c r="GWF33" s="1688"/>
      <c r="GWG33" s="1688"/>
      <c r="GWH33" s="1688"/>
      <c r="GWI33" s="1688"/>
      <c r="GWJ33" s="1688"/>
      <c r="GWK33" s="1688"/>
      <c r="GWL33" s="1688"/>
      <c r="GWM33" s="1688"/>
      <c r="GWN33" s="1688"/>
      <c r="GWO33" s="1688"/>
      <c r="GWP33" s="1688"/>
      <c r="GWQ33" s="1688"/>
      <c r="GWR33" s="1688"/>
      <c r="GWS33" s="1688"/>
      <c r="GWT33" s="1688"/>
      <c r="GWU33" s="1688"/>
      <c r="GWV33" s="1688"/>
      <c r="GWW33" s="1688"/>
      <c r="GWX33" s="1688"/>
      <c r="GWY33" s="1688"/>
      <c r="GWZ33" s="1688"/>
      <c r="GXA33" s="1688"/>
      <c r="GXB33" s="1688"/>
      <c r="GXC33" s="1688"/>
      <c r="GXD33" s="1688"/>
      <c r="GXE33" s="1688"/>
      <c r="GXF33" s="1688"/>
      <c r="GXG33" s="1688"/>
      <c r="GXH33" s="1688"/>
      <c r="GXI33" s="1688"/>
      <c r="GXJ33" s="1688"/>
      <c r="GXK33" s="1688"/>
      <c r="GXL33" s="1688"/>
      <c r="GXM33" s="1688"/>
      <c r="GXN33" s="1688"/>
      <c r="GXO33" s="1688"/>
      <c r="GXP33" s="1688"/>
      <c r="GXQ33" s="1688"/>
      <c r="GXR33" s="1688"/>
      <c r="GXS33" s="1688"/>
      <c r="GXT33" s="1688"/>
      <c r="GXU33" s="1688"/>
      <c r="GXV33" s="1688"/>
      <c r="GXW33" s="1688"/>
      <c r="GXX33" s="1688"/>
      <c r="GXY33" s="1688"/>
      <c r="GXZ33" s="1688"/>
      <c r="GYA33" s="1688"/>
      <c r="GYB33" s="1688"/>
      <c r="GYC33" s="1688"/>
      <c r="GYD33" s="1688"/>
      <c r="GYE33" s="1688"/>
      <c r="GYF33" s="1688"/>
      <c r="GYG33" s="1688"/>
      <c r="GYH33" s="1688"/>
      <c r="GYI33" s="1688"/>
      <c r="GYJ33" s="1688"/>
      <c r="GYK33" s="1688"/>
      <c r="GYL33" s="1688"/>
      <c r="GYM33" s="1688"/>
      <c r="GYN33" s="1688"/>
      <c r="GYO33" s="1688"/>
      <c r="GYP33" s="1688"/>
      <c r="GYQ33" s="1688"/>
      <c r="GYR33" s="1688"/>
      <c r="GYS33" s="1688"/>
      <c r="GYT33" s="1688"/>
      <c r="GYU33" s="1688"/>
      <c r="GYV33" s="1688"/>
      <c r="GYW33" s="1688"/>
      <c r="GYX33" s="1688"/>
      <c r="GYY33" s="1688"/>
      <c r="GYZ33" s="1688"/>
      <c r="GZA33" s="1688"/>
      <c r="GZB33" s="1688"/>
      <c r="GZC33" s="1688"/>
      <c r="GZD33" s="1688"/>
      <c r="GZE33" s="1688"/>
      <c r="GZF33" s="1688"/>
      <c r="GZG33" s="1688"/>
      <c r="GZH33" s="1688"/>
      <c r="GZI33" s="1688"/>
      <c r="GZJ33" s="1688"/>
      <c r="GZK33" s="1688"/>
      <c r="GZL33" s="1688"/>
      <c r="GZM33" s="1688"/>
      <c r="GZN33" s="1688"/>
      <c r="GZO33" s="1688"/>
      <c r="GZP33" s="1688"/>
      <c r="GZQ33" s="1688"/>
      <c r="GZR33" s="1688"/>
      <c r="GZS33" s="1688"/>
      <c r="GZT33" s="1688"/>
      <c r="GZU33" s="1688"/>
      <c r="GZV33" s="1688"/>
      <c r="GZW33" s="1688"/>
      <c r="GZX33" s="1688"/>
      <c r="GZY33" s="1688"/>
      <c r="GZZ33" s="1688"/>
      <c r="HAA33" s="1688"/>
      <c r="HAB33" s="1688"/>
      <c r="HAC33" s="1688"/>
      <c r="HAD33" s="1688"/>
      <c r="HAE33" s="1688"/>
      <c r="HAF33" s="1688"/>
      <c r="HAG33" s="1688"/>
      <c r="HAH33" s="1688"/>
      <c r="HAI33" s="1688"/>
      <c r="HAJ33" s="1688"/>
      <c r="HAK33" s="1688"/>
      <c r="HAL33" s="1688"/>
      <c r="HAM33" s="1688"/>
      <c r="HAN33" s="1688"/>
      <c r="HAO33" s="1688"/>
      <c r="HAP33" s="1688"/>
      <c r="HAQ33" s="1688"/>
      <c r="HAR33" s="1688"/>
      <c r="HAS33" s="1688"/>
      <c r="HAT33" s="1688"/>
      <c r="HAU33" s="1688"/>
      <c r="HAV33" s="1688"/>
      <c r="HAW33" s="1688"/>
      <c r="HAX33" s="1688"/>
      <c r="HAY33" s="1688"/>
      <c r="HAZ33" s="1688"/>
      <c r="HBA33" s="1688"/>
      <c r="HBB33" s="1688"/>
      <c r="HBC33" s="1688"/>
      <c r="HBD33" s="1688"/>
      <c r="HBE33" s="1688"/>
      <c r="HBF33" s="1688"/>
      <c r="HBG33" s="1688"/>
      <c r="HBH33" s="1688"/>
      <c r="HBI33" s="1688"/>
      <c r="HBJ33" s="1688"/>
      <c r="HBK33" s="1688"/>
      <c r="HBL33" s="1688"/>
      <c r="HBM33" s="1688"/>
      <c r="HBN33" s="1688"/>
      <c r="HBO33" s="1688"/>
      <c r="HBP33" s="1688"/>
      <c r="HBQ33" s="1688"/>
      <c r="HBR33" s="1688"/>
      <c r="HBS33" s="1688"/>
      <c r="HBT33" s="1688"/>
      <c r="HBU33" s="1688"/>
      <c r="HBV33" s="1688"/>
      <c r="HBW33" s="1688"/>
      <c r="HBX33" s="1688"/>
      <c r="HBY33" s="1688"/>
      <c r="HBZ33" s="1688"/>
      <c r="HCA33" s="1688"/>
      <c r="HCB33" s="1688"/>
      <c r="HCC33" s="1688"/>
      <c r="HCD33" s="1688"/>
      <c r="HCE33" s="1688"/>
      <c r="HCF33" s="1688"/>
      <c r="HCG33" s="1688"/>
      <c r="HCH33" s="1688"/>
      <c r="HCI33" s="1688"/>
      <c r="HCJ33" s="1688"/>
      <c r="HCK33" s="1688"/>
      <c r="HCL33" s="1688"/>
      <c r="HCM33" s="1688"/>
      <c r="HCN33" s="1688"/>
      <c r="HCO33" s="1688"/>
      <c r="HCP33" s="1688"/>
      <c r="HCQ33" s="1688"/>
      <c r="HCR33" s="1688"/>
      <c r="HCS33" s="1688"/>
      <c r="HCT33" s="1688"/>
      <c r="HCU33" s="1688"/>
      <c r="HCV33" s="1688"/>
      <c r="HCW33" s="1688"/>
      <c r="HCX33" s="1688"/>
      <c r="HCY33" s="1688"/>
      <c r="HCZ33" s="1688"/>
      <c r="HDA33" s="1688"/>
      <c r="HDB33" s="1688"/>
      <c r="HDC33" s="1688"/>
      <c r="HDD33" s="1688"/>
      <c r="HDE33" s="1688"/>
      <c r="HDF33" s="1688"/>
      <c r="HDG33" s="1688"/>
      <c r="HDH33" s="1688"/>
      <c r="HDI33" s="1688"/>
      <c r="HDJ33" s="1688"/>
      <c r="HDK33" s="1688"/>
      <c r="HDL33" s="1688"/>
      <c r="HDM33" s="1688"/>
      <c r="HDN33" s="1688"/>
      <c r="HDO33" s="1688"/>
      <c r="HDP33" s="1688"/>
      <c r="HDQ33" s="1688"/>
      <c r="HDR33" s="1688"/>
      <c r="HDS33" s="1688"/>
      <c r="HDT33" s="1688"/>
      <c r="HDU33" s="1688"/>
      <c r="HDV33" s="1688"/>
      <c r="HDW33" s="1688"/>
      <c r="HDX33" s="1688"/>
      <c r="HDY33" s="1688"/>
      <c r="HDZ33" s="1688"/>
      <c r="HEA33" s="1688"/>
      <c r="HEB33" s="1688"/>
      <c r="HEC33" s="1688"/>
      <c r="HED33" s="1688"/>
      <c r="HEE33" s="1688"/>
      <c r="HEF33" s="1688"/>
      <c r="HEG33" s="1688"/>
      <c r="HEH33" s="1688"/>
      <c r="HEI33" s="1688"/>
      <c r="HEJ33" s="1688"/>
      <c r="HEK33" s="1688"/>
      <c r="HEL33" s="1688"/>
      <c r="HEM33" s="1688"/>
      <c r="HEN33" s="1688"/>
      <c r="HEO33" s="1688"/>
      <c r="HEP33" s="1688"/>
      <c r="HEQ33" s="1688"/>
      <c r="HER33" s="1688"/>
      <c r="HES33" s="1688"/>
      <c r="HET33" s="1688"/>
      <c r="HEU33" s="1688"/>
      <c r="HEV33" s="1688"/>
      <c r="HEW33" s="1688"/>
      <c r="HEX33" s="1688"/>
      <c r="HEY33" s="1688"/>
      <c r="HEZ33" s="1688"/>
      <c r="HFA33" s="1688"/>
      <c r="HFB33" s="1688"/>
      <c r="HFC33" s="1688"/>
      <c r="HFD33" s="1688"/>
      <c r="HFE33" s="1688"/>
      <c r="HFF33" s="1688"/>
      <c r="HFG33" s="1688"/>
      <c r="HFH33" s="1688"/>
      <c r="HFI33" s="1688"/>
      <c r="HFJ33" s="1688"/>
      <c r="HFK33" s="1688"/>
      <c r="HFL33" s="1688"/>
      <c r="HFM33" s="1688"/>
      <c r="HFN33" s="1688"/>
      <c r="HFO33" s="1688"/>
      <c r="HFP33" s="1688"/>
      <c r="HFQ33" s="1688"/>
      <c r="HFR33" s="1688"/>
      <c r="HFS33" s="1688"/>
      <c r="HFT33" s="1688"/>
      <c r="HFU33" s="1688"/>
      <c r="HFV33" s="1688"/>
      <c r="HFW33" s="1688"/>
      <c r="HFX33" s="1688"/>
      <c r="HFY33" s="1688"/>
      <c r="HFZ33" s="1688"/>
      <c r="HGA33" s="1688"/>
      <c r="HGB33" s="1688"/>
      <c r="HGC33" s="1688"/>
      <c r="HGD33" s="1688"/>
      <c r="HGE33" s="1688"/>
      <c r="HGF33" s="1688"/>
      <c r="HGG33" s="1688"/>
      <c r="HGH33" s="1688"/>
      <c r="HGI33" s="1688"/>
      <c r="HGJ33" s="1688"/>
      <c r="HGK33" s="1688"/>
      <c r="HGL33" s="1688"/>
      <c r="HGM33" s="1688"/>
      <c r="HGN33" s="1688"/>
      <c r="HGO33" s="1688"/>
      <c r="HGP33" s="1688"/>
      <c r="HGQ33" s="1688"/>
      <c r="HGR33" s="1688"/>
      <c r="HGS33" s="1688"/>
      <c r="HGT33" s="1688"/>
      <c r="HGU33" s="1688"/>
      <c r="HGV33" s="1688"/>
      <c r="HGW33" s="1688"/>
      <c r="HGX33" s="1688"/>
      <c r="HGY33" s="1688"/>
      <c r="HGZ33" s="1688"/>
      <c r="HHA33" s="1688"/>
      <c r="HHB33" s="1688"/>
      <c r="HHC33" s="1688"/>
      <c r="HHD33" s="1688"/>
      <c r="HHE33" s="1688"/>
      <c r="HHF33" s="1688"/>
      <c r="HHG33" s="1688"/>
      <c r="HHH33" s="1688"/>
      <c r="HHI33" s="1688"/>
      <c r="HHJ33" s="1688"/>
      <c r="HHK33" s="1688"/>
      <c r="HHL33" s="1688"/>
      <c r="HHM33" s="1688"/>
      <c r="HHN33" s="1688"/>
      <c r="HHO33" s="1688"/>
      <c r="HHP33" s="1688"/>
      <c r="HHQ33" s="1688"/>
      <c r="HHR33" s="1688"/>
      <c r="HHS33" s="1688"/>
      <c r="HHT33" s="1688"/>
      <c r="HHU33" s="1688"/>
      <c r="HHV33" s="1688"/>
      <c r="HHW33" s="1688"/>
      <c r="HHX33" s="1688"/>
      <c r="HHY33" s="1688"/>
      <c r="HHZ33" s="1688"/>
      <c r="HIA33" s="1688"/>
      <c r="HIB33" s="1688"/>
      <c r="HIC33" s="1688"/>
      <c r="HID33" s="1688"/>
      <c r="HIE33" s="1688"/>
      <c r="HIF33" s="1688"/>
      <c r="HIG33" s="1688"/>
      <c r="HIH33" s="1688"/>
      <c r="HII33" s="1688"/>
      <c r="HIJ33" s="1688"/>
      <c r="HIK33" s="1688"/>
      <c r="HIL33" s="1688"/>
      <c r="HIM33" s="1688"/>
      <c r="HIN33" s="1688"/>
      <c r="HIO33" s="1688"/>
      <c r="HIP33" s="1688"/>
      <c r="HIQ33" s="1688"/>
      <c r="HIR33" s="1688"/>
      <c r="HIS33" s="1688"/>
      <c r="HIT33" s="1688"/>
      <c r="HIU33" s="1688"/>
      <c r="HIV33" s="1688"/>
      <c r="HIW33" s="1688"/>
      <c r="HIX33" s="1688"/>
      <c r="HIY33" s="1688"/>
      <c r="HIZ33" s="1688"/>
      <c r="HJA33" s="1688"/>
      <c r="HJB33" s="1688"/>
      <c r="HJC33" s="1688"/>
      <c r="HJD33" s="1688"/>
      <c r="HJE33" s="1688"/>
      <c r="HJF33" s="1688"/>
      <c r="HJG33" s="1688"/>
      <c r="HJH33" s="1688"/>
      <c r="HJI33" s="1688"/>
      <c r="HJJ33" s="1688"/>
      <c r="HJK33" s="1688"/>
      <c r="HJL33" s="1688"/>
      <c r="HJM33" s="1688"/>
      <c r="HJN33" s="1688"/>
      <c r="HJO33" s="1688"/>
      <c r="HJP33" s="1688"/>
      <c r="HJQ33" s="1688"/>
      <c r="HJR33" s="1688"/>
      <c r="HJS33" s="1688"/>
      <c r="HJT33" s="1688"/>
      <c r="HJU33" s="1688"/>
      <c r="HJV33" s="1688"/>
      <c r="HJW33" s="1688"/>
      <c r="HJX33" s="1688"/>
      <c r="HJY33" s="1688"/>
      <c r="HJZ33" s="1688"/>
      <c r="HKA33" s="1688"/>
      <c r="HKB33" s="1688"/>
      <c r="HKC33" s="1688"/>
      <c r="HKD33" s="1688"/>
      <c r="HKE33" s="1688"/>
      <c r="HKF33" s="1688"/>
      <c r="HKG33" s="1688"/>
      <c r="HKH33" s="1688"/>
      <c r="HKI33" s="1688"/>
      <c r="HKJ33" s="1688"/>
      <c r="HKK33" s="1688"/>
      <c r="HKL33" s="1688"/>
      <c r="HKM33" s="1688"/>
      <c r="HKN33" s="1688"/>
      <c r="HKO33" s="1688"/>
      <c r="HKP33" s="1688"/>
      <c r="HKQ33" s="1688"/>
      <c r="HKR33" s="1688"/>
      <c r="HKS33" s="1688"/>
      <c r="HKT33" s="1688"/>
      <c r="HKU33" s="1688"/>
      <c r="HKV33" s="1688"/>
      <c r="HKW33" s="1688"/>
      <c r="HKX33" s="1688"/>
      <c r="HKY33" s="1688"/>
      <c r="HKZ33" s="1688"/>
      <c r="HLA33" s="1688"/>
      <c r="HLB33" s="1688"/>
      <c r="HLC33" s="1688"/>
      <c r="HLD33" s="1688"/>
      <c r="HLE33" s="1688"/>
      <c r="HLF33" s="1688"/>
      <c r="HLG33" s="1688"/>
      <c r="HLH33" s="1688"/>
      <c r="HLI33" s="1688"/>
      <c r="HLJ33" s="1688"/>
      <c r="HLK33" s="1688"/>
      <c r="HLL33" s="1688"/>
      <c r="HLM33" s="1688"/>
      <c r="HLN33" s="1688"/>
      <c r="HLO33" s="1688"/>
      <c r="HLP33" s="1688"/>
      <c r="HLQ33" s="1688"/>
      <c r="HLR33" s="1688"/>
      <c r="HLS33" s="1688"/>
      <c r="HLT33" s="1688"/>
      <c r="HLU33" s="1688"/>
      <c r="HLV33" s="1688"/>
      <c r="HLW33" s="1688"/>
      <c r="HLX33" s="1688"/>
      <c r="HLY33" s="1688"/>
      <c r="HLZ33" s="1688"/>
      <c r="HMA33" s="1688"/>
      <c r="HMB33" s="1688"/>
      <c r="HMC33" s="1688"/>
      <c r="HMD33" s="1688"/>
      <c r="HME33" s="1688"/>
      <c r="HMF33" s="1688"/>
      <c r="HMG33" s="1688"/>
      <c r="HMH33" s="1688"/>
      <c r="HMI33" s="1688"/>
      <c r="HMJ33" s="1688"/>
      <c r="HMK33" s="1688"/>
      <c r="HML33" s="1688"/>
      <c r="HMM33" s="1688"/>
      <c r="HMN33" s="1688"/>
      <c r="HMO33" s="1688"/>
      <c r="HMP33" s="1688"/>
      <c r="HMQ33" s="1688"/>
      <c r="HMR33" s="1688"/>
      <c r="HMS33" s="1688"/>
      <c r="HMT33" s="1688"/>
      <c r="HMU33" s="1688"/>
      <c r="HMV33" s="1688"/>
      <c r="HMW33" s="1688"/>
      <c r="HMX33" s="1688"/>
      <c r="HMY33" s="1688"/>
      <c r="HMZ33" s="1688"/>
      <c r="HNA33" s="1688"/>
      <c r="HNB33" s="1688"/>
      <c r="HNC33" s="1688"/>
      <c r="HND33" s="1688"/>
      <c r="HNE33" s="1688"/>
      <c r="HNF33" s="1688"/>
      <c r="HNG33" s="1688"/>
      <c r="HNH33" s="1688"/>
      <c r="HNI33" s="1688"/>
      <c r="HNJ33" s="1688"/>
      <c r="HNK33" s="1688"/>
      <c r="HNL33" s="1688"/>
      <c r="HNM33" s="1688"/>
      <c r="HNN33" s="1688"/>
      <c r="HNO33" s="1688"/>
      <c r="HNP33" s="1688"/>
      <c r="HNQ33" s="1688"/>
      <c r="HNR33" s="1688"/>
      <c r="HNS33" s="1688"/>
      <c r="HNT33" s="1688"/>
      <c r="HNU33" s="1688"/>
      <c r="HNV33" s="1688"/>
      <c r="HNW33" s="1688"/>
      <c r="HNX33" s="1688"/>
      <c r="HNY33" s="1688"/>
      <c r="HNZ33" s="1688"/>
      <c r="HOA33" s="1688"/>
      <c r="HOB33" s="1688"/>
      <c r="HOC33" s="1688"/>
      <c r="HOD33" s="1688"/>
      <c r="HOE33" s="1688"/>
      <c r="HOF33" s="1688"/>
      <c r="HOG33" s="1688"/>
      <c r="HOH33" s="1688"/>
      <c r="HOI33" s="1688"/>
      <c r="HOJ33" s="1688"/>
      <c r="HOK33" s="1688"/>
      <c r="HOL33" s="1688"/>
      <c r="HOM33" s="1688"/>
      <c r="HON33" s="1688"/>
      <c r="HOO33" s="1688"/>
      <c r="HOP33" s="1688"/>
      <c r="HOQ33" s="1688"/>
      <c r="HOR33" s="1688"/>
      <c r="HOS33" s="1688"/>
      <c r="HOT33" s="1688"/>
      <c r="HOU33" s="1688"/>
      <c r="HOV33" s="1688"/>
      <c r="HOW33" s="1688"/>
      <c r="HOX33" s="1688"/>
      <c r="HOY33" s="1688"/>
      <c r="HOZ33" s="1688"/>
      <c r="HPA33" s="1688"/>
      <c r="HPB33" s="1688"/>
      <c r="HPC33" s="1688"/>
      <c r="HPD33" s="1688"/>
      <c r="HPE33" s="1688"/>
      <c r="HPF33" s="1688"/>
      <c r="HPG33" s="1688"/>
      <c r="HPH33" s="1688"/>
      <c r="HPI33" s="1688"/>
      <c r="HPJ33" s="1688"/>
      <c r="HPK33" s="1688"/>
      <c r="HPL33" s="1688"/>
      <c r="HPM33" s="1688"/>
      <c r="HPN33" s="1688"/>
      <c r="HPO33" s="1688"/>
      <c r="HPP33" s="1688"/>
      <c r="HPQ33" s="1688"/>
      <c r="HPR33" s="1688"/>
      <c r="HPS33" s="1688"/>
      <c r="HPT33" s="1688"/>
      <c r="HPU33" s="1688"/>
      <c r="HPV33" s="1688"/>
      <c r="HPW33" s="1688"/>
      <c r="HPX33" s="1688"/>
      <c r="HPY33" s="1688"/>
      <c r="HPZ33" s="1688"/>
      <c r="HQA33" s="1688"/>
      <c r="HQB33" s="1688"/>
      <c r="HQC33" s="1688"/>
      <c r="HQD33" s="1688"/>
      <c r="HQE33" s="1688"/>
      <c r="HQF33" s="1688"/>
      <c r="HQG33" s="1688"/>
      <c r="HQH33" s="1688"/>
      <c r="HQI33" s="1688"/>
      <c r="HQJ33" s="1688"/>
      <c r="HQK33" s="1688"/>
      <c r="HQL33" s="1688"/>
      <c r="HQM33" s="1688"/>
      <c r="HQN33" s="1688"/>
      <c r="HQO33" s="1688"/>
      <c r="HQP33" s="1688"/>
      <c r="HQQ33" s="1688"/>
      <c r="HQR33" s="1688"/>
      <c r="HQS33" s="1688"/>
      <c r="HQT33" s="1688"/>
      <c r="HQU33" s="1688"/>
      <c r="HQV33" s="1688"/>
      <c r="HQW33" s="1688"/>
      <c r="HQX33" s="1688"/>
      <c r="HQY33" s="1688"/>
      <c r="HQZ33" s="1688"/>
      <c r="HRA33" s="1688"/>
      <c r="HRB33" s="1688"/>
      <c r="HRC33" s="1688"/>
      <c r="HRD33" s="1688"/>
      <c r="HRE33" s="1688"/>
      <c r="HRF33" s="1688"/>
      <c r="HRG33" s="1688"/>
      <c r="HRH33" s="1688"/>
      <c r="HRI33" s="1688"/>
      <c r="HRJ33" s="1688"/>
      <c r="HRK33" s="1688"/>
      <c r="HRL33" s="1688"/>
      <c r="HRM33" s="1688"/>
      <c r="HRN33" s="1688"/>
      <c r="HRO33" s="1688"/>
      <c r="HRP33" s="1688"/>
      <c r="HRQ33" s="1688"/>
      <c r="HRR33" s="1688"/>
      <c r="HRS33" s="1688"/>
      <c r="HRT33" s="1688"/>
      <c r="HRU33" s="1688"/>
      <c r="HRV33" s="1688"/>
      <c r="HRW33" s="1688"/>
      <c r="HRX33" s="1688"/>
      <c r="HRY33" s="1688"/>
      <c r="HRZ33" s="1688"/>
      <c r="HSA33" s="1688"/>
      <c r="HSB33" s="1688"/>
      <c r="HSC33" s="1688"/>
      <c r="HSD33" s="1688"/>
      <c r="HSE33" s="1688"/>
      <c r="HSF33" s="1688"/>
      <c r="HSG33" s="1688"/>
      <c r="HSH33" s="1688"/>
      <c r="HSI33" s="1688"/>
      <c r="HSJ33" s="1688"/>
      <c r="HSK33" s="1688"/>
      <c r="HSL33" s="1688"/>
      <c r="HSM33" s="1688"/>
      <c r="HSN33" s="1688"/>
      <c r="HSO33" s="1688"/>
      <c r="HSP33" s="1688"/>
      <c r="HSQ33" s="1688"/>
      <c r="HSR33" s="1688"/>
      <c r="HSS33" s="1688"/>
      <c r="HST33" s="1688"/>
      <c r="HSU33" s="1688"/>
      <c r="HSV33" s="1688"/>
      <c r="HSW33" s="1688"/>
      <c r="HSX33" s="1688"/>
      <c r="HSY33" s="1688"/>
      <c r="HSZ33" s="1688"/>
      <c r="HTA33" s="1688"/>
      <c r="HTB33" s="1688"/>
      <c r="HTC33" s="1688"/>
      <c r="HTD33" s="1688"/>
      <c r="HTE33" s="1688"/>
      <c r="HTF33" s="1688"/>
      <c r="HTG33" s="1688"/>
      <c r="HTH33" s="1688"/>
      <c r="HTI33" s="1688"/>
      <c r="HTJ33" s="1688"/>
      <c r="HTK33" s="1688"/>
      <c r="HTL33" s="1688"/>
      <c r="HTM33" s="1688"/>
      <c r="HTN33" s="1688"/>
      <c r="HTO33" s="1688"/>
      <c r="HTP33" s="1688"/>
      <c r="HTQ33" s="1688"/>
      <c r="HTR33" s="1688"/>
      <c r="HTS33" s="1688"/>
      <c r="HTT33" s="1688"/>
      <c r="HTU33" s="1688"/>
      <c r="HTV33" s="1688"/>
      <c r="HTW33" s="1688"/>
      <c r="HTX33" s="1688"/>
      <c r="HTY33" s="1688"/>
      <c r="HTZ33" s="1688"/>
      <c r="HUA33" s="1688"/>
      <c r="HUB33" s="1688"/>
      <c r="HUC33" s="1688"/>
      <c r="HUD33" s="1688"/>
      <c r="HUE33" s="1688"/>
      <c r="HUF33" s="1688"/>
      <c r="HUG33" s="1688"/>
      <c r="HUH33" s="1688"/>
      <c r="HUI33" s="1688"/>
      <c r="HUJ33" s="1688"/>
      <c r="HUK33" s="1688"/>
      <c r="HUL33" s="1688"/>
      <c r="HUM33" s="1688"/>
      <c r="HUN33" s="1688"/>
      <c r="HUO33" s="1688"/>
      <c r="HUP33" s="1688"/>
      <c r="HUQ33" s="1688"/>
      <c r="HUR33" s="1688"/>
      <c r="HUS33" s="1688"/>
      <c r="HUT33" s="1688"/>
      <c r="HUU33" s="1688"/>
      <c r="HUV33" s="1688"/>
      <c r="HUW33" s="1688"/>
      <c r="HUX33" s="1688"/>
      <c r="HUY33" s="1688"/>
      <c r="HUZ33" s="1688"/>
      <c r="HVA33" s="1688"/>
      <c r="HVB33" s="1688"/>
      <c r="HVC33" s="1688"/>
      <c r="HVD33" s="1688"/>
      <c r="HVE33" s="1688"/>
      <c r="HVF33" s="1688"/>
      <c r="HVG33" s="1688"/>
      <c r="HVH33" s="1688"/>
      <c r="HVI33" s="1688"/>
      <c r="HVJ33" s="1688"/>
      <c r="HVK33" s="1688"/>
      <c r="HVL33" s="1688"/>
      <c r="HVM33" s="1688"/>
      <c r="HVN33" s="1688"/>
      <c r="HVO33" s="1688"/>
      <c r="HVP33" s="1688"/>
      <c r="HVQ33" s="1688"/>
      <c r="HVR33" s="1688"/>
      <c r="HVS33" s="1688"/>
      <c r="HVT33" s="1688"/>
      <c r="HVU33" s="1688"/>
      <c r="HVV33" s="1688"/>
      <c r="HVW33" s="1688"/>
      <c r="HVX33" s="1688"/>
      <c r="HVY33" s="1688"/>
      <c r="HVZ33" s="1688"/>
      <c r="HWA33" s="1688"/>
      <c r="HWB33" s="1688"/>
      <c r="HWC33" s="1688"/>
      <c r="HWD33" s="1688"/>
      <c r="HWE33" s="1688"/>
      <c r="HWF33" s="1688"/>
      <c r="HWG33" s="1688"/>
      <c r="HWH33" s="1688"/>
      <c r="HWI33" s="1688"/>
      <c r="HWJ33" s="1688"/>
      <c r="HWK33" s="1688"/>
      <c r="HWL33" s="1688"/>
      <c r="HWM33" s="1688"/>
      <c r="HWN33" s="1688"/>
      <c r="HWO33" s="1688"/>
      <c r="HWP33" s="1688"/>
      <c r="HWQ33" s="1688"/>
      <c r="HWR33" s="1688"/>
      <c r="HWS33" s="1688"/>
      <c r="HWT33" s="1688"/>
      <c r="HWU33" s="1688"/>
      <c r="HWV33" s="1688"/>
      <c r="HWW33" s="1688"/>
      <c r="HWX33" s="1688"/>
      <c r="HWY33" s="1688"/>
      <c r="HWZ33" s="1688"/>
      <c r="HXA33" s="1688"/>
      <c r="HXB33" s="1688"/>
      <c r="HXC33" s="1688"/>
      <c r="HXD33" s="1688"/>
      <c r="HXE33" s="1688"/>
      <c r="HXF33" s="1688"/>
      <c r="HXG33" s="1688"/>
      <c r="HXH33" s="1688"/>
      <c r="HXI33" s="1688"/>
      <c r="HXJ33" s="1688"/>
      <c r="HXK33" s="1688"/>
      <c r="HXL33" s="1688"/>
      <c r="HXM33" s="1688"/>
      <c r="HXN33" s="1688"/>
      <c r="HXO33" s="1688"/>
      <c r="HXP33" s="1688"/>
      <c r="HXQ33" s="1688"/>
      <c r="HXR33" s="1688"/>
      <c r="HXS33" s="1688"/>
      <c r="HXT33" s="1688"/>
      <c r="HXU33" s="1688"/>
      <c r="HXV33" s="1688"/>
      <c r="HXW33" s="1688"/>
      <c r="HXX33" s="1688"/>
      <c r="HXY33" s="1688"/>
      <c r="HXZ33" s="1688"/>
      <c r="HYA33" s="1688"/>
      <c r="HYB33" s="1688"/>
      <c r="HYC33" s="1688"/>
      <c r="HYD33" s="1688"/>
      <c r="HYE33" s="1688"/>
      <c r="HYF33" s="1688"/>
      <c r="HYG33" s="1688"/>
      <c r="HYH33" s="1688"/>
      <c r="HYI33" s="1688"/>
      <c r="HYJ33" s="1688"/>
      <c r="HYK33" s="1688"/>
      <c r="HYL33" s="1688"/>
      <c r="HYM33" s="1688"/>
      <c r="HYN33" s="1688"/>
      <c r="HYO33" s="1688"/>
      <c r="HYP33" s="1688"/>
      <c r="HYQ33" s="1688"/>
      <c r="HYR33" s="1688"/>
      <c r="HYS33" s="1688"/>
      <c r="HYT33" s="1688"/>
      <c r="HYU33" s="1688"/>
      <c r="HYV33" s="1688"/>
      <c r="HYW33" s="1688"/>
      <c r="HYX33" s="1688"/>
      <c r="HYY33" s="1688"/>
      <c r="HYZ33" s="1688"/>
      <c r="HZA33" s="1688"/>
      <c r="HZB33" s="1688"/>
      <c r="HZC33" s="1688"/>
      <c r="HZD33" s="1688"/>
      <c r="HZE33" s="1688"/>
      <c r="HZF33" s="1688"/>
      <c r="HZG33" s="1688"/>
      <c r="HZH33" s="1688"/>
      <c r="HZI33" s="1688"/>
      <c r="HZJ33" s="1688"/>
      <c r="HZK33" s="1688"/>
      <c r="HZL33" s="1688"/>
      <c r="HZM33" s="1688"/>
      <c r="HZN33" s="1688"/>
      <c r="HZO33" s="1688"/>
      <c r="HZP33" s="1688"/>
      <c r="HZQ33" s="1688"/>
      <c r="HZR33" s="1688"/>
      <c r="HZS33" s="1688"/>
      <c r="HZT33" s="1688"/>
      <c r="HZU33" s="1688"/>
      <c r="HZV33" s="1688"/>
      <c r="HZW33" s="1688"/>
      <c r="HZX33" s="1688"/>
      <c r="HZY33" s="1688"/>
      <c r="HZZ33" s="1688"/>
      <c r="IAA33" s="1688"/>
      <c r="IAB33" s="1688"/>
      <c r="IAC33" s="1688"/>
      <c r="IAD33" s="1688"/>
      <c r="IAE33" s="1688"/>
      <c r="IAF33" s="1688"/>
      <c r="IAG33" s="1688"/>
      <c r="IAH33" s="1688"/>
      <c r="IAI33" s="1688"/>
      <c r="IAJ33" s="1688"/>
      <c r="IAK33" s="1688"/>
      <c r="IAL33" s="1688"/>
      <c r="IAM33" s="1688"/>
      <c r="IAN33" s="1688"/>
      <c r="IAO33" s="1688"/>
      <c r="IAP33" s="1688"/>
      <c r="IAQ33" s="1688"/>
      <c r="IAR33" s="1688"/>
      <c r="IAS33" s="1688"/>
      <c r="IAT33" s="1688"/>
      <c r="IAU33" s="1688"/>
      <c r="IAV33" s="1688"/>
      <c r="IAW33" s="1688"/>
      <c r="IAX33" s="1688"/>
      <c r="IAY33" s="1688"/>
      <c r="IAZ33" s="1688"/>
      <c r="IBA33" s="1688"/>
      <c r="IBB33" s="1688"/>
      <c r="IBC33" s="1688"/>
      <c r="IBD33" s="1688"/>
      <c r="IBE33" s="1688"/>
      <c r="IBF33" s="1688"/>
      <c r="IBG33" s="1688"/>
      <c r="IBH33" s="1688"/>
      <c r="IBI33" s="1688"/>
      <c r="IBJ33" s="1688"/>
      <c r="IBK33" s="1688"/>
      <c r="IBL33" s="1688"/>
      <c r="IBM33" s="1688"/>
      <c r="IBN33" s="1688"/>
      <c r="IBO33" s="1688"/>
      <c r="IBP33" s="1688"/>
      <c r="IBQ33" s="1688"/>
      <c r="IBR33" s="1688"/>
      <c r="IBS33" s="1688"/>
      <c r="IBT33" s="1688"/>
      <c r="IBU33" s="1688"/>
      <c r="IBV33" s="1688"/>
      <c r="IBW33" s="1688"/>
      <c r="IBX33" s="1688"/>
      <c r="IBY33" s="1688"/>
      <c r="IBZ33" s="1688"/>
      <c r="ICA33" s="1688"/>
      <c r="ICB33" s="1688"/>
      <c r="ICC33" s="1688"/>
      <c r="ICD33" s="1688"/>
      <c r="ICE33" s="1688"/>
      <c r="ICF33" s="1688"/>
      <c r="ICG33" s="1688"/>
      <c r="ICH33" s="1688"/>
      <c r="ICI33" s="1688"/>
      <c r="ICJ33" s="1688"/>
      <c r="ICK33" s="1688"/>
      <c r="ICL33" s="1688"/>
      <c r="ICM33" s="1688"/>
      <c r="ICN33" s="1688"/>
      <c r="ICO33" s="1688"/>
      <c r="ICP33" s="1688"/>
      <c r="ICQ33" s="1688"/>
      <c r="ICR33" s="1688"/>
      <c r="ICS33" s="1688"/>
      <c r="ICT33" s="1688"/>
      <c r="ICU33" s="1688"/>
      <c r="ICV33" s="1688"/>
      <c r="ICW33" s="1688"/>
      <c r="ICX33" s="1688"/>
      <c r="ICY33" s="1688"/>
      <c r="ICZ33" s="1688"/>
      <c r="IDA33" s="1688"/>
      <c r="IDB33" s="1688"/>
      <c r="IDC33" s="1688"/>
      <c r="IDD33" s="1688"/>
      <c r="IDE33" s="1688"/>
      <c r="IDF33" s="1688"/>
      <c r="IDG33" s="1688"/>
      <c r="IDH33" s="1688"/>
      <c r="IDI33" s="1688"/>
      <c r="IDJ33" s="1688"/>
      <c r="IDK33" s="1688"/>
      <c r="IDL33" s="1688"/>
      <c r="IDM33" s="1688"/>
      <c r="IDN33" s="1688"/>
      <c r="IDO33" s="1688"/>
      <c r="IDP33" s="1688"/>
      <c r="IDQ33" s="1688"/>
      <c r="IDR33" s="1688"/>
      <c r="IDS33" s="1688"/>
      <c r="IDT33" s="1688"/>
      <c r="IDU33" s="1688"/>
      <c r="IDV33" s="1688"/>
      <c r="IDW33" s="1688"/>
      <c r="IDX33" s="1688"/>
      <c r="IDY33" s="1688"/>
      <c r="IDZ33" s="1688"/>
      <c r="IEA33" s="1688"/>
      <c r="IEB33" s="1688"/>
      <c r="IEC33" s="1688"/>
      <c r="IED33" s="1688"/>
      <c r="IEE33" s="1688"/>
      <c r="IEF33" s="1688"/>
      <c r="IEG33" s="1688"/>
      <c r="IEH33" s="1688"/>
      <c r="IEI33" s="1688"/>
      <c r="IEJ33" s="1688"/>
      <c r="IEK33" s="1688"/>
      <c r="IEL33" s="1688"/>
      <c r="IEM33" s="1688"/>
      <c r="IEN33" s="1688"/>
      <c r="IEO33" s="1688"/>
      <c r="IEP33" s="1688"/>
      <c r="IEQ33" s="1688"/>
      <c r="IER33" s="1688"/>
      <c r="IES33" s="1688"/>
      <c r="IET33" s="1688"/>
      <c r="IEU33" s="1688"/>
      <c r="IEV33" s="1688"/>
      <c r="IEW33" s="1688"/>
      <c r="IEX33" s="1688"/>
      <c r="IEY33" s="1688"/>
      <c r="IEZ33" s="1688"/>
      <c r="IFA33" s="1688"/>
      <c r="IFB33" s="1688"/>
      <c r="IFC33" s="1688"/>
      <c r="IFD33" s="1688"/>
      <c r="IFE33" s="1688"/>
      <c r="IFF33" s="1688"/>
      <c r="IFG33" s="1688"/>
      <c r="IFH33" s="1688"/>
      <c r="IFI33" s="1688"/>
      <c r="IFJ33" s="1688"/>
      <c r="IFK33" s="1688"/>
      <c r="IFL33" s="1688"/>
      <c r="IFM33" s="1688"/>
      <c r="IFN33" s="1688"/>
      <c r="IFO33" s="1688"/>
      <c r="IFP33" s="1688"/>
      <c r="IFQ33" s="1688"/>
      <c r="IFR33" s="1688"/>
      <c r="IFS33" s="1688"/>
      <c r="IFT33" s="1688"/>
      <c r="IFU33" s="1688"/>
      <c r="IFV33" s="1688"/>
      <c r="IFW33" s="1688"/>
      <c r="IFX33" s="1688"/>
      <c r="IFY33" s="1688"/>
      <c r="IFZ33" s="1688"/>
      <c r="IGA33" s="1688"/>
      <c r="IGB33" s="1688"/>
      <c r="IGC33" s="1688"/>
      <c r="IGD33" s="1688"/>
      <c r="IGE33" s="1688"/>
      <c r="IGF33" s="1688"/>
      <c r="IGG33" s="1688"/>
      <c r="IGH33" s="1688"/>
      <c r="IGI33" s="1688"/>
      <c r="IGJ33" s="1688"/>
      <c r="IGK33" s="1688"/>
      <c r="IGL33" s="1688"/>
      <c r="IGM33" s="1688"/>
      <c r="IGN33" s="1688"/>
      <c r="IGO33" s="1688"/>
      <c r="IGP33" s="1688"/>
      <c r="IGQ33" s="1688"/>
      <c r="IGR33" s="1688"/>
      <c r="IGS33" s="1688"/>
      <c r="IGT33" s="1688"/>
      <c r="IGU33" s="1688"/>
      <c r="IGV33" s="1688"/>
      <c r="IGW33" s="1688"/>
      <c r="IGX33" s="1688"/>
      <c r="IGY33" s="1688"/>
      <c r="IGZ33" s="1688"/>
      <c r="IHA33" s="1688"/>
      <c r="IHB33" s="1688"/>
      <c r="IHC33" s="1688"/>
      <c r="IHD33" s="1688"/>
      <c r="IHE33" s="1688"/>
      <c r="IHF33" s="1688"/>
      <c r="IHG33" s="1688"/>
      <c r="IHH33" s="1688"/>
      <c r="IHI33" s="1688"/>
      <c r="IHJ33" s="1688"/>
      <c r="IHK33" s="1688"/>
      <c r="IHL33" s="1688"/>
      <c r="IHM33" s="1688"/>
      <c r="IHN33" s="1688"/>
      <c r="IHO33" s="1688"/>
      <c r="IHP33" s="1688"/>
      <c r="IHQ33" s="1688"/>
      <c r="IHR33" s="1688"/>
      <c r="IHS33" s="1688"/>
      <c r="IHT33" s="1688"/>
      <c r="IHU33" s="1688"/>
      <c r="IHV33" s="1688"/>
      <c r="IHW33" s="1688"/>
      <c r="IHX33" s="1688"/>
      <c r="IHY33" s="1688"/>
      <c r="IHZ33" s="1688"/>
      <c r="IIA33" s="1688"/>
      <c r="IIB33" s="1688"/>
      <c r="IIC33" s="1688"/>
      <c r="IID33" s="1688"/>
      <c r="IIE33" s="1688"/>
      <c r="IIF33" s="1688"/>
      <c r="IIG33" s="1688"/>
      <c r="IIH33" s="1688"/>
      <c r="III33" s="1688"/>
      <c r="IIJ33" s="1688"/>
      <c r="IIK33" s="1688"/>
      <c r="IIL33" s="1688"/>
      <c r="IIM33" s="1688"/>
      <c r="IIN33" s="1688"/>
      <c r="IIO33" s="1688"/>
      <c r="IIP33" s="1688"/>
      <c r="IIQ33" s="1688"/>
      <c r="IIR33" s="1688"/>
      <c r="IIS33" s="1688"/>
      <c r="IIT33" s="1688"/>
      <c r="IIU33" s="1688"/>
      <c r="IIV33" s="1688"/>
      <c r="IIW33" s="1688"/>
      <c r="IIX33" s="1688"/>
      <c r="IIY33" s="1688"/>
      <c r="IIZ33" s="1688"/>
      <c r="IJA33" s="1688"/>
      <c r="IJB33" s="1688"/>
      <c r="IJC33" s="1688"/>
      <c r="IJD33" s="1688"/>
      <c r="IJE33" s="1688"/>
      <c r="IJF33" s="1688"/>
      <c r="IJG33" s="1688"/>
      <c r="IJH33" s="1688"/>
      <c r="IJI33" s="1688"/>
      <c r="IJJ33" s="1688"/>
      <c r="IJK33" s="1688"/>
      <c r="IJL33" s="1688"/>
      <c r="IJM33" s="1688"/>
      <c r="IJN33" s="1688"/>
      <c r="IJO33" s="1688"/>
      <c r="IJP33" s="1688"/>
      <c r="IJQ33" s="1688"/>
      <c r="IJR33" s="1688"/>
      <c r="IJS33" s="1688"/>
      <c r="IJT33" s="1688"/>
      <c r="IJU33" s="1688"/>
      <c r="IJV33" s="1688"/>
      <c r="IJW33" s="1688"/>
      <c r="IJX33" s="1688"/>
      <c r="IJY33" s="1688"/>
      <c r="IJZ33" s="1688"/>
      <c r="IKA33" s="1688"/>
      <c r="IKB33" s="1688"/>
      <c r="IKC33" s="1688"/>
      <c r="IKD33" s="1688"/>
      <c r="IKE33" s="1688"/>
      <c r="IKF33" s="1688"/>
      <c r="IKG33" s="1688"/>
      <c r="IKH33" s="1688"/>
      <c r="IKI33" s="1688"/>
      <c r="IKJ33" s="1688"/>
      <c r="IKK33" s="1688"/>
      <c r="IKL33" s="1688"/>
      <c r="IKM33" s="1688"/>
      <c r="IKN33" s="1688"/>
      <c r="IKO33" s="1688"/>
      <c r="IKP33" s="1688"/>
      <c r="IKQ33" s="1688"/>
      <c r="IKR33" s="1688"/>
      <c r="IKS33" s="1688"/>
      <c r="IKT33" s="1688"/>
      <c r="IKU33" s="1688"/>
      <c r="IKV33" s="1688"/>
      <c r="IKW33" s="1688"/>
      <c r="IKX33" s="1688"/>
      <c r="IKY33" s="1688"/>
      <c r="IKZ33" s="1688"/>
      <c r="ILA33" s="1688"/>
      <c r="ILB33" s="1688"/>
      <c r="ILC33" s="1688"/>
      <c r="ILD33" s="1688"/>
      <c r="ILE33" s="1688"/>
      <c r="ILF33" s="1688"/>
      <c r="ILG33" s="1688"/>
      <c r="ILH33" s="1688"/>
      <c r="ILI33" s="1688"/>
      <c r="ILJ33" s="1688"/>
      <c r="ILK33" s="1688"/>
      <c r="ILL33" s="1688"/>
      <c r="ILM33" s="1688"/>
      <c r="ILN33" s="1688"/>
      <c r="ILO33" s="1688"/>
      <c r="ILP33" s="1688"/>
      <c r="ILQ33" s="1688"/>
      <c r="ILR33" s="1688"/>
      <c r="ILS33" s="1688"/>
      <c r="ILT33" s="1688"/>
      <c r="ILU33" s="1688"/>
      <c r="ILV33" s="1688"/>
      <c r="ILW33" s="1688"/>
      <c r="ILX33" s="1688"/>
      <c r="ILY33" s="1688"/>
      <c r="ILZ33" s="1688"/>
      <c r="IMA33" s="1688"/>
      <c r="IMB33" s="1688"/>
      <c r="IMC33" s="1688"/>
      <c r="IMD33" s="1688"/>
      <c r="IME33" s="1688"/>
      <c r="IMF33" s="1688"/>
      <c r="IMG33" s="1688"/>
      <c r="IMH33" s="1688"/>
      <c r="IMI33" s="1688"/>
      <c r="IMJ33" s="1688"/>
      <c r="IMK33" s="1688"/>
      <c r="IML33" s="1688"/>
      <c r="IMM33" s="1688"/>
      <c r="IMN33" s="1688"/>
      <c r="IMO33" s="1688"/>
      <c r="IMP33" s="1688"/>
      <c r="IMQ33" s="1688"/>
      <c r="IMR33" s="1688"/>
      <c r="IMS33" s="1688"/>
      <c r="IMT33" s="1688"/>
      <c r="IMU33" s="1688"/>
      <c r="IMV33" s="1688"/>
      <c r="IMW33" s="1688"/>
      <c r="IMX33" s="1688"/>
      <c r="IMY33" s="1688"/>
      <c r="IMZ33" s="1688"/>
      <c r="INA33" s="1688"/>
      <c r="INB33" s="1688"/>
      <c r="INC33" s="1688"/>
      <c r="IND33" s="1688"/>
      <c r="INE33" s="1688"/>
      <c r="INF33" s="1688"/>
      <c r="ING33" s="1688"/>
      <c r="INH33" s="1688"/>
      <c r="INI33" s="1688"/>
      <c r="INJ33" s="1688"/>
      <c r="INK33" s="1688"/>
      <c r="INL33" s="1688"/>
      <c r="INM33" s="1688"/>
      <c r="INN33" s="1688"/>
      <c r="INO33" s="1688"/>
      <c r="INP33" s="1688"/>
      <c r="INQ33" s="1688"/>
      <c r="INR33" s="1688"/>
      <c r="INS33" s="1688"/>
      <c r="INT33" s="1688"/>
      <c r="INU33" s="1688"/>
      <c r="INV33" s="1688"/>
      <c r="INW33" s="1688"/>
      <c r="INX33" s="1688"/>
      <c r="INY33" s="1688"/>
      <c r="INZ33" s="1688"/>
      <c r="IOA33" s="1688"/>
      <c r="IOB33" s="1688"/>
      <c r="IOC33" s="1688"/>
      <c r="IOD33" s="1688"/>
      <c r="IOE33" s="1688"/>
      <c r="IOF33" s="1688"/>
      <c r="IOG33" s="1688"/>
      <c r="IOH33" s="1688"/>
      <c r="IOI33" s="1688"/>
      <c r="IOJ33" s="1688"/>
      <c r="IOK33" s="1688"/>
      <c r="IOL33" s="1688"/>
      <c r="IOM33" s="1688"/>
      <c r="ION33" s="1688"/>
      <c r="IOO33" s="1688"/>
      <c r="IOP33" s="1688"/>
      <c r="IOQ33" s="1688"/>
      <c r="IOR33" s="1688"/>
      <c r="IOS33" s="1688"/>
      <c r="IOT33" s="1688"/>
      <c r="IOU33" s="1688"/>
      <c r="IOV33" s="1688"/>
      <c r="IOW33" s="1688"/>
      <c r="IOX33" s="1688"/>
      <c r="IOY33" s="1688"/>
      <c r="IOZ33" s="1688"/>
      <c r="IPA33" s="1688"/>
      <c r="IPB33" s="1688"/>
      <c r="IPC33" s="1688"/>
      <c r="IPD33" s="1688"/>
      <c r="IPE33" s="1688"/>
      <c r="IPF33" s="1688"/>
      <c r="IPG33" s="1688"/>
      <c r="IPH33" s="1688"/>
      <c r="IPI33" s="1688"/>
      <c r="IPJ33" s="1688"/>
      <c r="IPK33" s="1688"/>
      <c r="IPL33" s="1688"/>
      <c r="IPM33" s="1688"/>
      <c r="IPN33" s="1688"/>
      <c r="IPO33" s="1688"/>
      <c r="IPP33" s="1688"/>
      <c r="IPQ33" s="1688"/>
      <c r="IPR33" s="1688"/>
      <c r="IPS33" s="1688"/>
      <c r="IPT33" s="1688"/>
      <c r="IPU33" s="1688"/>
      <c r="IPV33" s="1688"/>
      <c r="IPW33" s="1688"/>
      <c r="IPX33" s="1688"/>
      <c r="IPY33" s="1688"/>
      <c r="IPZ33" s="1688"/>
      <c r="IQA33" s="1688"/>
      <c r="IQB33" s="1688"/>
      <c r="IQC33" s="1688"/>
      <c r="IQD33" s="1688"/>
      <c r="IQE33" s="1688"/>
      <c r="IQF33" s="1688"/>
      <c r="IQG33" s="1688"/>
      <c r="IQH33" s="1688"/>
      <c r="IQI33" s="1688"/>
      <c r="IQJ33" s="1688"/>
      <c r="IQK33" s="1688"/>
      <c r="IQL33" s="1688"/>
      <c r="IQM33" s="1688"/>
      <c r="IQN33" s="1688"/>
      <c r="IQO33" s="1688"/>
      <c r="IQP33" s="1688"/>
      <c r="IQQ33" s="1688"/>
      <c r="IQR33" s="1688"/>
      <c r="IQS33" s="1688"/>
      <c r="IQT33" s="1688"/>
      <c r="IQU33" s="1688"/>
      <c r="IQV33" s="1688"/>
      <c r="IQW33" s="1688"/>
      <c r="IQX33" s="1688"/>
      <c r="IQY33" s="1688"/>
      <c r="IQZ33" s="1688"/>
      <c r="IRA33" s="1688"/>
      <c r="IRB33" s="1688"/>
      <c r="IRC33" s="1688"/>
      <c r="IRD33" s="1688"/>
      <c r="IRE33" s="1688"/>
      <c r="IRF33" s="1688"/>
      <c r="IRG33" s="1688"/>
      <c r="IRH33" s="1688"/>
      <c r="IRI33" s="1688"/>
      <c r="IRJ33" s="1688"/>
      <c r="IRK33" s="1688"/>
      <c r="IRL33" s="1688"/>
      <c r="IRM33" s="1688"/>
      <c r="IRN33" s="1688"/>
      <c r="IRO33" s="1688"/>
      <c r="IRP33" s="1688"/>
      <c r="IRQ33" s="1688"/>
      <c r="IRR33" s="1688"/>
      <c r="IRS33" s="1688"/>
      <c r="IRT33" s="1688"/>
      <c r="IRU33" s="1688"/>
      <c r="IRV33" s="1688"/>
      <c r="IRW33" s="1688"/>
      <c r="IRX33" s="1688"/>
      <c r="IRY33" s="1688"/>
      <c r="IRZ33" s="1688"/>
      <c r="ISA33" s="1688"/>
      <c r="ISB33" s="1688"/>
      <c r="ISC33" s="1688"/>
      <c r="ISD33" s="1688"/>
      <c r="ISE33" s="1688"/>
      <c r="ISF33" s="1688"/>
      <c r="ISG33" s="1688"/>
      <c r="ISH33" s="1688"/>
      <c r="ISI33" s="1688"/>
      <c r="ISJ33" s="1688"/>
      <c r="ISK33" s="1688"/>
      <c r="ISL33" s="1688"/>
      <c r="ISM33" s="1688"/>
      <c r="ISN33" s="1688"/>
      <c r="ISO33" s="1688"/>
      <c r="ISP33" s="1688"/>
      <c r="ISQ33" s="1688"/>
      <c r="ISR33" s="1688"/>
      <c r="ISS33" s="1688"/>
      <c r="IST33" s="1688"/>
      <c r="ISU33" s="1688"/>
      <c r="ISV33" s="1688"/>
      <c r="ISW33" s="1688"/>
      <c r="ISX33" s="1688"/>
      <c r="ISY33" s="1688"/>
      <c r="ISZ33" s="1688"/>
      <c r="ITA33" s="1688"/>
      <c r="ITB33" s="1688"/>
      <c r="ITC33" s="1688"/>
      <c r="ITD33" s="1688"/>
      <c r="ITE33" s="1688"/>
      <c r="ITF33" s="1688"/>
      <c r="ITG33" s="1688"/>
      <c r="ITH33" s="1688"/>
      <c r="ITI33" s="1688"/>
      <c r="ITJ33" s="1688"/>
      <c r="ITK33" s="1688"/>
      <c r="ITL33" s="1688"/>
      <c r="ITM33" s="1688"/>
      <c r="ITN33" s="1688"/>
      <c r="ITO33" s="1688"/>
      <c r="ITP33" s="1688"/>
      <c r="ITQ33" s="1688"/>
      <c r="ITR33" s="1688"/>
      <c r="ITS33" s="1688"/>
      <c r="ITT33" s="1688"/>
      <c r="ITU33" s="1688"/>
      <c r="ITV33" s="1688"/>
      <c r="ITW33" s="1688"/>
      <c r="ITX33" s="1688"/>
      <c r="ITY33" s="1688"/>
      <c r="ITZ33" s="1688"/>
      <c r="IUA33" s="1688"/>
      <c r="IUB33" s="1688"/>
      <c r="IUC33" s="1688"/>
      <c r="IUD33" s="1688"/>
      <c r="IUE33" s="1688"/>
      <c r="IUF33" s="1688"/>
      <c r="IUG33" s="1688"/>
      <c r="IUH33" s="1688"/>
      <c r="IUI33" s="1688"/>
      <c r="IUJ33" s="1688"/>
      <c r="IUK33" s="1688"/>
      <c r="IUL33" s="1688"/>
      <c r="IUM33" s="1688"/>
      <c r="IUN33" s="1688"/>
      <c r="IUO33" s="1688"/>
      <c r="IUP33" s="1688"/>
      <c r="IUQ33" s="1688"/>
      <c r="IUR33" s="1688"/>
      <c r="IUS33" s="1688"/>
      <c r="IUT33" s="1688"/>
      <c r="IUU33" s="1688"/>
      <c r="IUV33" s="1688"/>
      <c r="IUW33" s="1688"/>
      <c r="IUX33" s="1688"/>
      <c r="IUY33" s="1688"/>
      <c r="IUZ33" s="1688"/>
      <c r="IVA33" s="1688"/>
      <c r="IVB33" s="1688"/>
      <c r="IVC33" s="1688"/>
      <c r="IVD33" s="1688"/>
      <c r="IVE33" s="1688"/>
      <c r="IVF33" s="1688"/>
      <c r="IVG33" s="1688"/>
      <c r="IVH33" s="1688"/>
      <c r="IVI33" s="1688"/>
      <c r="IVJ33" s="1688"/>
      <c r="IVK33" s="1688"/>
      <c r="IVL33" s="1688"/>
      <c r="IVM33" s="1688"/>
      <c r="IVN33" s="1688"/>
      <c r="IVO33" s="1688"/>
      <c r="IVP33" s="1688"/>
      <c r="IVQ33" s="1688"/>
      <c r="IVR33" s="1688"/>
      <c r="IVS33" s="1688"/>
      <c r="IVT33" s="1688"/>
      <c r="IVU33" s="1688"/>
      <c r="IVV33" s="1688"/>
      <c r="IVW33" s="1688"/>
      <c r="IVX33" s="1688"/>
      <c r="IVY33" s="1688"/>
      <c r="IVZ33" s="1688"/>
      <c r="IWA33" s="1688"/>
      <c r="IWB33" s="1688"/>
      <c r="IWC33" s="1688"/>
      <c r="IWD33" s="1688"/>
      <c r="IWE33" s="1688"/>
      <c r="IWF33" s="1688"/>
      <c r="IWG33" s="1688"/>
      <c r="IWH33" s="1688"/>
      <c r="IWI33" s="1688"/>
      <c r="IWJ33" s="1688"/>
      <c r="IWK33" s="1688"/>
      <c r="IWL33" s="1688"/>
      <c r="IWM33" s="1688"/>
      <c r="IWN33" s="1688"/>
      <c r="IWO33" s="1688"/>
      <c r="IWP33" s="1688"/>
      <c r="IWQ33" s="1688"/>
      <c r="IWR33" s="1688"/>
      <c r="IWS33" s="1688"/>
      <c r="IWT33" s="1688"/>
      <c r="IWU33" s="1688"/>
      <c r="IWV33" s="1688"/>
      <c r="IWW33" s="1688"/>
      <c r="IWX33" s="1688"/>
      <c r="IWY33" s="1688"/>
      <c r="IWZ33" s="1688"/>
      <c r="IXA33" s="1688"/>
      <c r="IXB33" s="1688"/>
      <c r="IXC33" s="1688"/>
      <c r="IXD33" s="1688"/>
      <c r="IXE33" s="1688"/>
      <c r="IXF33" s="1688"/>
      <c r="IXG33" s="1688"/>
      <c r="IXH33" s="1688"/>
      <c r="IXI33" s="1688"/>
      <c r="IXJ33" s="1688"/>
      <c r="IXK33" s="1688"/>
      <c r="IXL33" s="1688"/>
      <c r="IXM33" s="1688"/>
      <c r="IXN33" s="1688"/>
      <c r="IXO33" s="1688"/>
      <c r="IXP33" s="1688"/>
      <c r="IXQ33" s="1688"/>
      <c r="IXR33" s="1688"/>
      <c r="IXS33" s="1688"/>
      <c r="IXT33" s="1688"/>
      <c r="IXU33" s="1688"/>
      <c r="IXV33" s="1688"/>
      <c r="IXW33" s="1688"/>
      <c r="IXX33" s="1688"/>
      <c r="IXY33" s="1688"/>
      <c r="IXZ33" s="1688"/>
      <c r="IYA33" s="1688"/>
      <c r="IYB33" s="1688"/>
      <c r="IYC33" s="1688"/>
      <c r="IYD33" s="1688"/>
      <c r="IYE33" s="1688"/>
      <c r="IYF33" s="1688"/>
      <c r="IYG33" s="1688"/>
      <c r="IYH33" s="1688"/>
      <c r="IYI33" s="1688"/>
      <c r="IYJ33" s="1688"/>
      <c r="IYK33" s="1688"/>
      <c r="IYL33" s="1688"/>
      <c r="IYM33" s="1688"/>
      <c r="IYN33" s="1688"/>
      <c r="IYO33" s="1688"/>
      <c r="IYP33" s="1688"/>
      <c r="IYQ33" s="1688"/>
      <c r="IYR33" s="1688"/>
      <c r="IYS33" s="1688"/>
      <c r="IYT33" s="1688"/>
      <c r="IYU33" s="1688"/>
      <c r="IYV33" s="1688"/>
      <c r="IYW33" s="1688"/>
      <c r="IYX33" s="1688"/>
      <c r="IYY33" s="1688"/>
      <c r="IYZ33" s="1688"/>
      <c r="IZA33" s="1688"/>
      <c r="IZB33" s="1688"/>
      <c r="IZC33" s="1688"/>
      <c r="IZD33" s="1688"/>
      <c r="IZE33" s="1688"/>
      <c r="IZF33" s="1688"/>
      <c r="IZG33" s="1688"/>
      <c r="IZH33" s="1688"/>
      <c r="IZI33" s="1688"/>
      <c r="IZJ33" s="1688"/>
      <c r="IZK33" s="1688"/>
      <c r="IZL33" s="1688"/>
      <c r="IZM33" s="1688"/>
      <c r="IZN33" s="1688"/>
      <c r="IZO33" s="1688"/>
      <c r="IZP33" s="1688"/>
      <c r="IZQ33" s="1688"/>
      <c r="IZR33" s="1688"/>
      <c r="IZS33" s="1688"/>
      <c r="IZT33" s="1688"/>
      <c r="IZU33" s="1688"/>
      <c r="IZV33" s="1688"/>
      <c r="IZW33" s="1688"/>
      <c r="IZX33" s="1688"/>
      <c r="IZY33" s="1688"/>
      <c r="IZZ33" s="1688"/>
      <c r="JAA33" s="1688"/>
      <c r="JAB33" s="1688"/>
      <c r="JAC33" s="1688"/>
      <c r="JAD33" s="1688"/>
      <c r="JAE33" s="1688"/>
      <c r="JAF33" s="1688"/>
      <c r="JAG33" s="1688"/>
      <c r="JAH33" s="1688"/>
      <c r="JAI33" s="1688"/>
      <c r="JAJ33" s="1688"/>
      <c r="JAK33" s="1688"/>
      <c r="JAL33" s="1688"/>
      <c r="JAM33" s="1688"/>
      <c r="JAN33" s="1688"/>
      <c r="JAO33" s="1688"/>
      <c r="JAP33" s="1688"/>
      <c r="JAQ33" s="1688"/>
      <c r="JAR33" s="1688"/>
      <c r="JAS33" s="1688"/>
      <c r="JAT33" s="1688"/>
      <c r="JAU33" s="1688"/>
      <c r="JAV33" s="1688"/>
      <c r="JAW33" s="1688"/>
      <c r="JAX33" s="1688"/>
      <c r="JAY33" s="1688"/>
      <c r="JAZ33" s="1688"/>
      <c r="JBA33" s="1688"/>
      <c r="JBB33" s="1688"/>
      <c r="JBC33" s="1688"/>
      <c r="JBD33" s="1688"/>
      <c r="JBE33" s="1688"/>
      <c r="JBF33" s="1688"/>
      <c r="JBG33" s="1688"/>
      <c r="JBH33" s="1688"/>
      <c r="JBI33" s="1688"/>
      <c r="JBJ33" s="1688"/>
      <c r="JBK33" s="1688"/>
      <c r="JBL33" s="1688"/>
      <c r="JBM33" s="1688"/>
      <c r="JBN33" s="1688"/>
      <c r="JBO33" s="1688"/>
      <c r="JBP33" s="1688"/>
      <c r="JBQ33" s="1688"/>
      <c r="JBR33" s="1688"/>
      <c r="JBS33" s="1688"/>
      <c r="JBT33" s="1688"/>
      <c r="JBU33" s="1688"/>
      <c r="JBV33" s="1688"/>
      <c r="JBW33" s="1688"/>
      <c r="JBX33" s="1688"/>
      <c r="JBY33" s="1688"/>
      <c r="JBZ33" s="1688"/>
      <c r="JCA33" s="1688"/>
      <c r="JCB33" s="1688"/>
      <c r="JCC33" s="1688"/>
      <c r="JCD33" s="1688"/>
      <c r="JCE33" s="1688"/>
      <c r="JCF33" s="1688"/>
      <c r="JCG33" s="1688"/>
      <c r="JCH33" s="1688"/>
      <c r="JCI33" s="1688"/>
      <c r="JCJ33" s="1688"/>
      <c r="JCK33" s="1688"/>
      <c r="JCL33" s="1688"/>
      <c r="JCM33" s="1688"/>
      <c r="JCN33" s="1688"/>
      <c r="JCO33" s="1688"/>
      <c r="JCP33" s="1688"/>
      <c r="JCQ33" s="1688"/>
      <c r="JCR33" s="1688"/>
      <c r="JCS33" s="1688"/>
      <c r="JCT33" s="1688"/>
      <c r="JCU33" s="1688"/>
      <c r="JCV33" s="1688"/>
      <c r="JCW33" s="1688"/>
      <c r="JCX33" s="1688"/>
      <c r="JCY33" s="1688"/>
      <c r="JCZ33" s="1688"/>
      <c r="JDA33" s="1688"/>
      <c r="JDB33" s="1688"/>
      <c r="JDC33" s="1688"/>
      <c r="JDD33" s="1688"/>
      <c r="JDE33" s="1688"/>
      <c r="JDF33" s="1688"/>
      <c r="JDG33" s="1688"/>
      <c r="JDH33" s="1688"/>
      <c r="JDI33" s="1688"/>
      <c r="JDJ33" s="1688"/>
      <c r="JDK33" s="1688"/>
      <c r="JDL33" s="1688"/>
      <c r="JDM33" s="1688"/>
      <c r="JDN33" s="1688"/>
      <c r="JDO33" s="1688"/>
      <c r="JDP33" s="1688"/>
      <c r="JDQ33" s="1688"/>
      <c r="JDR33" s="1688"/>
      <c r="JDS33" s="1688"/>
      <c r="JDT33" s="1688"/>
      <c r="JDU33" s="1688"/>
      <c r="JDV33" s="1688"/>
      <c r="JDW33" s="1688"/>
      <c r="JDX33" s="1688"/>
      <c r="JDY33" s="1688"/>
      <c r="JDZ33" s="1688"/>
      <c r="JEA33" s="1688"/>
      <c r="JEB33" s="1688"/>
      <c r="JEC33" s="1688"/>
      <c r="JED33" s="1688"/>
      <c r="JEE33" s="1688"/>
      <c r="JEF33" s="1688"/>
      <c r="JEG33" s="1688"/>
      <c r="JEH33" s="1688"/>
      <c r="JEI33" s="1688"/>
      <c r="JEJ33" s="1688"/>
      <c r="JEK33" s="1688"/>
      <c r="JEL33" s="1688"/>
      <c r="JEM33" s="1688"/>
      <c r="JEN33" s="1688"/>
      <c r="JEO33" s="1688"/>
      <c r="JEP33" s="1688"/>
      <c r="JEQ33" s="1688"/>
      <c r="JER33" s="1688"/>
      <c r="JES33" s="1688"/>
      <c r="JET33" s="1688"/>
      <c r="JEU33" s="1688"/>
      <c r="JEV33" s="1688"/>
      <c r="JEW33" s="1688"/>
      <c r="JEX33" s="1688"/>
      <c r="JEY33" s="1688"/>
      <c r="JEZ33" s="1688"/>
      <c r="JFA33" s="1688"/>
      <c r="JFB33" s="1688"/>
      <c r="JFC33" s="1688"/>
      <c r="JFD33" s="1688"/>
      <c r="JFE33" s="1688"/>
      <c r="JFF33" s="1688"/>
      <c r="JFG33" s="1688"/>
      <c r="JFH33" s="1688"/>
      <c r="JFI33" s="1688"/>
      <c r="JFJ33" s="1688"/>
      <c r="JFK33" s="1688"/>
      <c r="JFL33" s="1688"/>
      <c r="JFM33" s="1688"/>
      <c r="JFN33" s="1688"/>
      <c r="JFO33" s="1688"/>
      <c r="JFP33" s="1688"/>
      <c r="JFQ33" s="1688"/>
      <c r="JFR33" s="1688"/>
      <c r="JFS33" s="1688"/>
      <c r="JFT33" s="1688"/>
      <c r="JFU33" s="1688"/>
      <c r="JFV33" s="1688"/>
      <c r="JFW33" s="1688"/>
      <c r="JFX33" s="1688"/>
      <c r="JFY33" s="1688"/>
      <c r="JFZ33" s="1688"/>
      <c r="JGA33" s="1688"/>
      <c r="JGB33" s="1688"/>
      <c r="JGC33" s="1688"/>
      <c r="JGD33" s="1688"/>
      <c r="JGE33" s="1688"/>
      <c r="JGF33" s="1688"/>
      <c r="JGG33" s="1688"/>
      <c r="JGH33" s="1688"/>
      <c r="JGI33" s="1688"/>
      <c r="JGJ33" s="1688"/>
      <c r="JGK33" s="1688"/>
      <c r="JGL33" s="1688"/>
      <c r="JGM33" s="1688"/>
      <c r="JGN33" s="1688"/>
      <c r="JGO33" s="1688"/>
      <c r="JGP33" s="1688"/>
      <c r="JGQ33" s="1688"/>
      <c r="JGR33" s="1688"/>
      <c r="JGS33" s="1688"/>
      <c r="JGT33" s="1688"/>
      <c r="JGU33" s="1688"/>
      <c r="JGV33" s="1688"/>
      <c r="JGW33" s="1688"/>
      <c r="JGX33" s="1688"/>
      <c r="JGY33" s="1688"/>
      <c r="JGZ33" s="1688"/>
      <c r="JHA33" s="1688"/>
      <c r="JHB33" s="1688"/>
      <c r="JHC33" s="1688"/>
      <c r="JHD33" s="1688"/>
      <c r="JHE33" s="1688"/>
      <c r="JHF33" s="1688"/>
      <c r="JHG33" s="1688"/>
      <c r="JHH33" s="1688"/>
      <c r="JHI33" s="1688"/>
      <c r="JHJ33" s="1688"/>
      <c r="JHK33" s="1688"/>
      <c r="JHL33" s="1688"/>
      <c r="JHM33" s="1688"/>
      <c r="JHN33" s="1688"/>
      <c r="JHO33" s="1688"/>
      <c r="JHP33" s="1688"/>
      <c r="JHQ33" s="1688"/>
      <c r="JHR33" s="1688"/>
      <c r="JHS33" s="1688"/>
      <c r="JHT33" s="1688"/>
      <c r="JHU33" s="1688"/>
      <c r="JHV33" s="1688"/>
      <c r="JHW33" s="1688"/>
      <c r="JHX33" s="1688"/>
      <c r="JHY33" s="1688"/>
      <c r="JHZ33" s="1688"/>
      <c r="JIA33" s="1688"/>
      <c r="JIB33" s="1688"/>
      <c r="JIC33" s="1688"/>
      <c r="JID33" s="1688"/>
      <c r="JIE33" s="1688"/>
      <c r="JIF33" s="1688"/>
      <c r="JIG33" s="1688"/>
      <c r="JIH33" s="1688"/>
      <c r="JII33" s="1688"/>
      <c r="JIJ33" s="1688"/>
      <c r="JIK33" s="1688"/>
      <c r="JIL33" s="1688"/>
      <c r="JIM33" s="1688"/>
      <c r="JIN33" s="1688"/>
      <c r="JIO33" s="1688"/>
      <c r="JIP33" s="1688"/>
      <c r="JIQ33" s="1688"/>
      <c r="JIR33" s="1688"/>
      <c r="JIS33" s="1688"/>
      <c r="JIT33" s="1688"/>
      <c r="JIU33" s="1688"/>
      <c r="JIV33" s="1688"/>
      <c r="JIW33" s="1688"/>
      <c r="JIX33" s="1688"/>
      <c r="JIY33" s="1688"/>
      <c r="JIZ33" s="1688"/>
      <c r="JJA33" s="1688"/>
      <c r="JJB33" s="1688"/>
      <c r="JJC33" s="1688"/>
      <c r="JJD33" s="1688"/>
      <c r="JJE33" s="1688"/>
      <c r="JJF33" s="1688"/>
      <c r="JJG33" s="1688"/>
      <c r="JJH33" s="1688"/>
      <c r="JJI33" s="1688"/>
      <c r="JJJ33" s="1688"/>
      <c r="JJK33" s="1688"/>
      <c r="JJL33" s="1688"/>
      <c r="JJM33" s="1688"/>
      <c r="JJN33" s="1688"/>
      <c r="JJO33" s="1688"/>
      <c r="JJP33" s="1688"/>
      <c r="JJQ33" s="1688"/>
      <c r="JJR33" s="1688"/>
      <c r="JJS33" s="1688"/>
      <c r="JJT33" s="1688"/>
      <c r="JJU33" s="1688"/>
      <c r="JJV33" s="1688"/>
      <c r="JJW33" s="1688"/>
      <c r="JJX33" s="1688"/>
      <c r="JJY33" s="1688"/>
      <c r="JJZ33" s="1688"/>
      <c r="JKA33" s="1688"/>
      <c r="JKB33" s="1688"/>
      <c r="JKC33" s="1688"/>
      <c r="JKD33" s="1688"/>
      <c r="JKE33" s="1688"/>
      <c r="JKF33" s="1688"/>
      <c r="JKG33" s="1688"/>
      <c r="JKH33" s="1688"/>
      <c r="JKI33" s="1688"/>
      <c r="JKJ33" s="1688"/>
      <c r="JKK33" s="1688"/>
      <c r="JKL33" s="1688"/>
      <c r="JKM33" s="1688"/>
      <c r="JKN33" s="1688"/>
      <c r="JKO33" s="1688"/>
      <c r="JKP33" s="1688"/>
      <c r="JKQ33" s="1688"/>
      <c r="JKR33" s="1688"/>
      <c r="JKS33" s="1688"/>
      <c r="JKT33" s="1688"/>
      <c r="JKU33" s="1688"/>
      <c r="JKV33" s="1688"/>
      <c r="JKW33" s="1688"/>
      <c r="JKX33" s="1688"/>
      <c r="JKY33" s="1688"/>
      <c r="JKZ33" s="1688"/>
      <c r="JLA33" s="1688"/>
      <c r="JLB33" s="1688"/>
      <c r="JLC33" s="1688"/>
      <c r="JLD33" s="1688"/>
      <c r="JLE33" s="1688"/>
      <c r="JLF33" s="1688"/>
      <c r="JLG33" s="1688"/>
      <c r="JLH33" s="1688"/>
      <c r="JLI33" s="1688"/>
      <c r="JLJ33" s="1688"/>
      <c r="JLK33" s="1688"/>
      <c r="JLL33" s="1688"/>
      <c r="JLM33" s="1688"/>
      <c r="JLN33" s="1688"/>
      <c r="JLO33" s="1688"/>
      <c r="JLP33" s="1688"/>
      <c r="JLQ33" s="1688"/>
      <c r="JLR33" s="1688"/>
      <c r="JLS33" s="1688"/>
      <c r="JLT33" s="1688"/>
      <c r="JLU33" s="1688"/>
      <c r="JLV33" s="1688"/>
      <c r="JLW33" s="1688"/>
      <c r="JLX33" s="1688"/>
      <c r="JLY33" s="1688"/>
      <c r="JLZ33" s="1688"/>
      <c r="JMA33" s="1688"/>
      <c r="JMB33" s="1688"/>
      <c r="JMC33" s="1688"/>
      <c r="JMD33" s="1688"/>
      <c r="JME33" s="1688"/>
      <c r="JMF33" s="1688"/>
      <c r="JMG33" s="1688"/>
      <c r="JMH33" s="1688"/>
      <c r="JMI33" s="1688"/>
      <c r="JMJ33" s="1688"/>
      <c r="JMK33" s="1688"/>
      <c r="JML33" s="1688"/>
      <c r="JMM33" s="1688"/>
      <c r="JMN33" s="1688"/>
      <c r="JMO33" s="1688"/>
      <c r="JMP33" s="1688"/>
      <c r="JMQ33" s="1688"/>
      <c r="JMR33" s="1688"/>
      <c r="JMS33" s="1688"/>
      <c r="JMT33" s="1688"/>
      <c r="JMU33" s="1688"/>
      <c r="JMV33" s="1688"/>
      <c r="JMW33" s="1688"/>
      <c r="JMX33" s="1688"/>
      <c r="JMY33" s="1688"/>
      <c r="JMZ33" s="1688"/>
      <c r="JNA33" s="1688"/>
      <c r="JNB33" s="1688"/>
      <c r="JNC33" s="1688"/>
      <c r="JND33" s="1688"/>
      <c r="JNE33" s="1688"/>
      <c r="JNF33" s="1688"/>
      <c r="JNG33" s="1688"/>
      <c r="JNH33" s="1688"/>
      <c r="JNI33" s="1688"/>
      <c r="JNJ33" s="1688"/>
      <c r="JNK33" s="1688"/>
      <c r="JNL33" s="1688"/>
      <c r="JNM33" s="1688"/>
      <c r="JNN33" s="1688"/>
      <c r="JNO33" s="1688"/>
      <c r="JNP33" s="1688"/>
      <c r="JNQ33" s="1688"/>
      <c r="JNR33" s="1688"/>
      <c r="JNS33" s="1688"/>
      <c r="JNT33" s="1688"/>
      <c r="JNU33" s="1688"/>
      <c r="JNV33" s="1688"/>
      <c r="JNW33" s="1688"/>
      <c r="JNX33" s="1688"/>
      <c r="JNY33" s="1688"/>
      <c r="JNZ33" s="1688"/>
      <c r="JOA33" s="1688"/>
      <c r="JOB33" s="1688"/>
      <c r="JOC33" s="1688"/>
      <c r="JOD33" s="1688"/>
      <c r="JOE33" s="1688"/>
      <c r="JOF33" s="1688"/>
      <c r="JOG33" s="1688"/>
      <c r="JOH33" s="1688"/>
      <c r="JOI33" s="1688"/>
      <c r="JOJ33" s="1688"/>
      <c r="JOK33" s="1688"/>
      <c r="JOL33" s="1688"/>
      <c r="JOM33" s="1688"/>
      <c r="JON33" s="1688"/>
      <c r="JOO33" s="1688"/>
      <c r="JOP33" s="1688"/>
      <c r="JOQ33" s="1688"/>
      <c r="JOR33" s="1688"/>
      <c r="JOS33" s="1688"/>
      <c r="JOT33" s="1688"/>
      <c r="JOU33" s="1688"/>
      <c r="JOV33" s="1688"/>
      <c r="JOW33" s="1688"/>
      <c r="JOX33" s="1688"/>
      <c r="JOY33" s="1688"/>
      <c r="JOZ33" s="1688"/>
      <c r="JPA33" s="1688"/>
      <c r="JPB33" s="1688"/>
      <c r="JPC33" s="1688"/>
      <c r="JPD33" s="1688"/>
      <c r="JPE33" s="1688"/>
      <c r="JPF33" s="1688"/>
      <c r="JPG33" s="1688"/>
      <c r="JPH33" s="1688"/>
      <c r="JPI33" s="1688"/>
      <c r="JPJ33" s="1688"/>
      <c r="JPK33" s="1688"/>
      <c r="JPL33" s="1688"/>
      <c r="JPM33" s="1688"/>
      <c r="JPN33" s="1688"/>
      <c r="JPO33" s="1688"/>
      <c r="JPP33" s="1688"/>
      <c r="JPQ33" s="1688"/>
      <c r="JPR33" s="1688"/>
      <c r="JPS33" s="1688"/>
      <c r="JPT33" s="1688"/>
      <c r="JPU33" s="1688"/>
      <c r="JPV33" s="1688"/>
      <c r="JPW33" s="1688"/>
      <c r="JPX33" s="1688"/>
      <c r="JPY33" s="1688"/>
      <c r="JPZ33" s="1688"/>
      <c r="JQA33" s="1688"/>
      <c r="JQB33" s="1688"/>
      <c r="JQC33" s="1688"/>
      <c r="JQD33" s="1688"/>
      <c r="JQE33" s="1688"/>
      <c r="JQF33" s="1688"/>
      <c r="JQG33" s="1688"/>
      <c r="JQH33" s="1688"/>
      <c r="JQI33" s="1688"/>
      <c r="JQJ33" s="1688"/>
      <c r="JQK33" s="1688"/>
      <c r="JQL33" s="1688"/>
      <c r="JQM33" s="1688"/>
      <c r="JQN33" s="1688"/>
      <c r="JQO33" s="1688"/>
      <c r="JQP33" s="1688"/>
      <c r="JQQ33" s="1688"/>
      <c r="JQR33" s="1688"/>
      <c r="JQS33" s="1688"/>
      <c r="JQT33" s="1688"/>
      <c r="JQU33" s="1688"/>
      <c r="JQV33" s="1688"/>
      <c r="JQW33" s="1688"/>
      <c r="JQX33" s="1688"/>
      <c r="JQY33" s="1688"/>
      <c r="JQZ33" s="1688"/>
      <c r="JRA33" s="1688"/>
      <c r="JRB33" s="1688"/>
      <c r="JRC33" s="1688"/>
      <c r="JRD33" s="1688"/>
      <c r="JRE33" s="1688"/>
      <c r="JRF33" s="1688"/>
      <c r="JRG33" s="1688"/>
      <c r="JRH33" s="1688"/>
      <c r="JRI33" s="1688"/>
      <c r="JRJ33" s="1688"/>
      <c r="JRK33" s="1688"/>
      <c r="JRL33" s="1688"/>
      <c r="JRM33" s="1688"/>
      <c r="JRN33" s="1688"/>
      <c r="JRO33" s="1688"/>
      <c r="JRP33" s="1688"/>
      <c r="JRQ33" s="1688"/>
      <c r="JRR33" s="1688"/>
      <c r="JRS33" s="1688"/>
      <c r="JRT33" s="1688"/>
      <c r="JRU33" s="1688"/>
      <c r="JRV33" s="1688"/>
      <c r="JRW33" s="1688"/>
      <c r="JRX33" s="1688"/>
      <c r="JRY33" s="1688"/>
      <c r="JRZ33" s="1688"/>
      <c r="JSA33" s="1688"/>
      <c r="JSB33" s="1688"/>
      <c r="JSC33" s="1688"/>
      <c r="JSD33" s="1688"/>
      <c r="JSE33" s="1688"/>
      <c r="JSF33" s="1688"/>
      <c r="JSG33" s="1688"/>
      <c r="JSH33" s="1688"/>
      <c r="JSI33" s="1688"/>
      <c r="JSJ33" s="1688"/>
      <c r="JSK33" s="1688"/>
      <c r="JSL33" s="1688"/>
      <c r="JSM33" s="1688"/>
      <c r="JSN33" s="1688"/>
      <c r="JSO33" s="1688"/>
      <c r="JSP33" s="1688"/>
      <c r="JSQ33" s="1688"/>
      <c r="JSR33" s="1688"/>
      <c r="JSS33" s="1688"/>
      <c r="JST33" s="1688"/>
      <c r="JSU33" s="1688"/>
      <c r="JSV33" s="1688"/>
      <c r="JSW33" s="1688"/>
      <c r="JSX33" s="1688"/>
      <c r="JSY33" s="1688"/>
      <c r="JSZ33" s="1688"/>
      <c r="JTA33" s="1688"/>
      <c r="JTB33" s="1688"/>
      <c r="JTC33" s="1688"/>
      <c r="JTD33" s="1688"/>
      <c r="JTE33" s="1688"/>
      <c r="JTF33" s="1688"/>
      <c r="JTG33" s="1688"/>
      <c r="JTH33" s="1688"/>
      <c r="JTI33" s="1688"/>
      <c r="JTJ33" s="1688"/>
      <c r="JTK33" s="1688"/>
      <c r="JTL33" s="1688"/>
      <c r="JTM33" s="1688"/>
      <c r="JTN33" s="1688"/>
      <c r="JTO33" s="1688"/>
      <c r="JTP33" s="1688"/>
      <c r="JTQ33" s="1688"/>
      <c r="JTR33" s="1688"/>
      <c r="JTS33" s="1688"/>
      <c r="JTT33" s="1688"/>
      <c r="JTU33" s="1688"/>
      <c r="JTV33" s="1688"/>
      <c r="JTW33" s="1688"/>
      <c r="JTX33" s="1688"/>
      <c r="JTY33" s="1688"/>
      <c r="JTZ33" s="1688"/>
      <c r="JUA33" s="1688"/>
      <c r="JUB33" s="1688"/>
      <c r="JUC33" s="1688"/>
      <c r="JUD33" s="1688"/>
      <c r="JUE33" s="1688"/>
      <c r="JUF33" s="1688"/>
      <c r="JUG33" s="1688"/>
      <c r="JUH33" s="1688"/>
      <c r="JUI33" s="1688"/>
      <c r="JUJ33" s="1688"/>
      <c r="JUK33" s="1688"/>
      <c r="JUL33" s="1688"/>
      <c r="JUM33" s="1688"/>
      <c r="JUN33" s="1688"/>
      <c r="JUO33" s="1688"/>
      <c r="JUP33" s="1688"/>
      <c r="JUQ33" s="1688"/>
      <c r="JUR33" s="1688"/>
      <c r="JUS33" s="1688"/>
      <c r="JUT33" s="1688"/>
      <c r="JUU33" s="1688"/>
      <c r="JUV33" s="1688"/>
      <c r="JUW33" s="1688"/>
      <c r="JUX33" s="1688"/>
      <c r="JUY33" s="1688"/>
      <c r="JUZ33" s="1688"/>
      <c r="JVA33" s="1688"/>
      <c r="JVB33" s="1688"/>
      <c r="JVC33" s="1688"/>
      <c r="JVD33" s="1688"/>
      <c r="JVE33" s="1688"/>
      <c r="JVF33" s="1688"/>
      <c r="JVG33" s="1688"/>
      <c r="JVH33" s="1688"/>
      <c r="JVI33" s="1688"/>
      <c r="JVJ33" s="1688"/>
      <c r="JVK33" s="1688"/>
      <c r="JVL33" s="1688"/>
      <c r="JVM33" s="1688"/>
      <c r="JVN33" s="1688"/>
      <c r="JVO33" s="1688"/>
      <c r="JVP33" s="1688"/>
      <c r="JVQ33" s="1688"/>
      <c r="JVR33" s="1688"/>
      <c r="JVS33" s="1688"/>
      <c r="JVT33" s="1688"/>
      <c r="JVU33" s="1688"/>
      <c r="JVV33" s="1688"/>
      <c r="JVW33" s="1688"/>
      <c r="JVX33" s="1688"/>
      <c r="JVY33" s="1688"/>
      <c r="JVZ33" s="1688"/>
      <c r="JWA33" s="1688"/>
      <c r="JWB33" s="1688"/>
      <c r="JWC33" s="1688"/>
      <c r="JWD33" s="1688"/>
      <c r="JWE33" s="1688"/>
      <c r="JWF33" s="1688"/>
      <c r="JWG33" s="1688"/>
      <c r="JWH33" s="1688"/>
      <c r="JWI33" s="1688"/>
      <c r="JWJ33" s="1688"/>
      <c r="JWK33" s="1688"/>
      <c r="JWL33" s="1688"/>
      <c r="JWM33" s="1688"/>
      <c r="JWN33" s="1688"/>
      <c r="JWO33" s="1688"/>
      <c r="JWP33" s="1688"/>
      <c r="JWQ33" s="1688"/>
      <c r="JWR33" s="1688"/>
      <c r="JWS33" s="1688"/>
      <c r="JWT33" s="1688"/>
      <c r="JWU33" s="1688"/>
      <c r="JWV33" s="1688"/>
      <c r="JWW33" s="1688"/>
      <c r="JWX33" s="1688"/>
      <c r="JWY33" s="1688"/>
      <c r="JWZ33" s="1688"/>
      <c r="JXA33" s="1688"/>
      <c r="JXB33" s="1688"/>
      <c r="JXC33" s="1688"/>
      <c r="JXD33" s="1688"/>
      <c r="JXE33" s="1688"/>
      <c r="JXF33" s="1688"/>
      <c r="JXG33" s="1688"/>
      <c r="JXH33" s="1688"/>
      <c r="JXI33" s="1688"/>
      <c r="JXJ33" s="1688"/>
      <c r="JXK33" s="1688"/>
      <c r="JXL33" s="1688"/>
      <c r="JXM33" s="1688"/>
      <c r="JXN33" s="1688"/>
      <c r="JXO33" s="1688"/>
      <c r="JXP33" s="1688"/>
      <c r="JXQ33" s="1688"/>
      <c r="JXR33" s="1688"/>
      <c r="JXS33" s="1688"/>
      <c r="JXT33" s="1688"/>
      <c r="JXU33" s="1688"/>
      <c r="JXV33" s="1688"/>
      <c r="JXW33" s="1688"/>
      <c r="JXX33" s="1688"/>
      <c r="JXY33" s="1688"/>
      <c r="JXZ33" s="1688"/>
      <c r="JYA33" s="1688"/>
      <c r="JYB33" s="1688"/>
      <c r="JYC33" s="1688"/>
      <c r="JYD33" s="1688"/>
      <c r="JYE33" s="1688"/>
      <c r="JYF33" s="1688"/>
      <c r="JYG33" s="1688"/>
      <c r="JYH33" s="1688"/>
      <c r="JYI33" s="1688"/>
      <c r="JYJ33" s="1688"/>
      <c r="JYK33" s="1688"/>
      <c r="JYL33" s="1688"/>
      <c r="JYM33" s="1688"/>
      <c r="JYN33" s="1688"/>
      <c r="JYO33" s="1688"/>
      <c r="JYP33" s="1688"/>
      <c r="JYQ33" s="1688"/>
      <c r="JYR33" s="1688"/>
      <c r="JYS33" s="1688"/>
      <c r="JYT33" s="1688"/>
      <c r="JYU33" s="1688"/>
      <c r="JYV33" s="1688"/>
      <c r="JYW33" s="1688"/>
      <c r="JYX33" s="1688"/>
      <c r="JYY33" s="1688"/>
      <c r="JYZ33" s="1688"/>
      <c r="JZA33" s="1688"/>
      <c r="JZB33" s="1688"/>
      <c r="JZC33" s="1688"/>
      <c r="JZD33" s="1688"/>
      <c r="JZE33" s="1688"/>
      <c r="JZF33" s="1688"/>
      <c r="JZG33" s="1688"/>
      <c r="JZH33" s="1688"/>
      <c r="JZI33" s="1688"/>
      <c r="JZJ33" s="1688"/>
      <c r="JZK33" s="1688"/>
      <c r="JZL33" s="1688"/>
      <c r="JZM33" s="1688"/>
      <c r="JZN33" s="1688"/>
      <c r="JZO33" s="1688"/>
      <c r="JZP33" s="1688"/>
      <c r="JZQ33" s="1688"/>
      <c r="JZR33" s="1688"/>
      <c r="JZS33" s="1688"/>
      <c r="JZT33" s="1688"/>
      <c r="JZU33" s="1688"/>
      <c r="JZV33" s="1688"/>
      <c r="JZW33" s="1688"/>
      <c r="JZX33" s="1688"/>
      <c r="JZY33" s="1688"/>
      <c r="JZZ33" s="1688"/>
      <c r="KAA33" s="1688"/>
      <c r="KAB33" s="1688"/>
      <c r="KAC33" s="1688"/>
      <c r="KAD33" s="1688"/>
      <c r="KAE33" s="1688"/>
      <c r="KAF33" s="1688"/>
      <c r="KAG33" s="1688"/>
      <c r="KAH33" s="1688"/>
      <c r="KAI33" s="1688"/>
      <c r="KAJ33" s="1688"/>
      <c r="KAK33" s="1688"/>
      <c r="KAL33" s="1688"/>
      <c r="KAM33" s="1688"/>
      <c r="KAN33" s="1688"/>
      <c r="KAO33" s="1688"/>
      <c r="KAP33" s="1688"/>
      <c r="KAQ33" s="1688"/>
      <c r="KAR33" s="1688"/>
      <c r="KAS33" s="1688"/>
      <c r="KAT33" s="1688"/>
      <c r="KAU33" s="1688"/>
      <c r="KAV33" s="1688"/>
      <c r="KAW33" s="1688"/>
      <c r="KAX33" s="1688"/>
      <c r="KAY33" s="1688"/>
      <c r="KAZ33" s="1688"/>
      <c r="KBA33" s="1688"/>
      <c r="KBB33" s="1688"/>
      <c r="KBC33" s="1688"/>
      <c r="KBD33" s="1688"/>
      <c r="KBE33" s="1688"/>
      <c r="KBF33" s="1688"/>
      <c r="KBG33" s="1688"/>
      <c r="KBH33" s="1688"/>
      <c r="KBI33" s="1688"/>
      <c r="KBJ33" s="1688"/>
      <c r="KBK33" s="1688"/>
      <c r="KBL33" s="1688"/>
      <c r="KBM33" s="1688"/>
      <c r="KBN33" s="1688"/>
      <c r="KBO33" s="1688"/>
      <c r="KBP33" s="1688"/>
      <c r="KBQ33" s="1688"/>
      <c r="KBR33" s="1688"/>
      <c r="KBS33" s="1688"/>
      <c r="KBT33" s="1688"/>
      <c r="KBU33" s="1688"/>
      <c r="KBV33" s="1688"/>
      <c r="KBW33" s="1688"/>
      <c r="KBX33" s="1688"/>
      <c r="KBY33" s="1688"/>
      <c r="KBZ33" s="1688"/>
      <c r="KCA33" s="1688"/>
      <c r="KCB33" s="1688"/>
      <c r="KCC33" s="1688"/>
      <c r="KCD33" s="1688"/>
      <c r="KCE33" s="1688"/>
      <c r="KCF33" s="1688"/>
      <c r="KCG33" s="1688"/>
      <c r="KCH33" s="1688"/>
      <c r="KCI33" s="1688"/>
      <c r="KCJ33" s="1688"/>
      <c r="KCK33" s="1688"/>
      <c r="KCL33" s="1688"/>
      <c r="KCM33" s="1688"/>
      <c r="KCN33" s="1688"/>
      <c r="KCO33" s="1688"/>
      <c r="KCP33" s="1688"/>
      <c r="KCQ33" s="1688"/>
      <c r="KCR33" s="1688"/>
      <c r="KCS33" s="1688"/>
      <c r="KCT33" s="1688"/>
      <c r="KCU33" s="1688"/>
      <c r="KCV33" s="1688"/>
      <c r="KCW33" s="1688"/>
      <c r="KCX33" s="1688"/>
      <c r="KCY33" s="1688"/>
      <c r="KCZ33" s="1688"/>
      <c r="KDA33" s="1688"/>
      <c r="KDB33" s="1688"/>
      <c r="KDC33" s="1688"/>
      <c r="KDD33" s="1688"/>
      <c r="KDE33" s="1688"/>
      <c r="KDF33" s="1688"/>
      <c r="KDG33" s="1688"/>
      <c r="KDH33" s="1688"/>
      <c r="KDI33" s="1688"/>
      <c r="KDJ33" s="1688"/>
      <c r="KDK33" s="1688"/>
      <c r="KDL33" s="1688"/>
      <c r="KDM33" s="1688"/>
      <c r="KDN33" s="1688"/>
      <c r="KDO33" s="1688"/>
      <c r="KDP33" s="1688"/>
      <c r="KDQ33" s="1688"/>
      <c r="KDR33" s="1688"/>
      <c r="KDS33" s="1688"/>
      <c r="KDT33" s="1688"/>
      <c r="KDU33" s="1688"/>
      <c r="KDV33" s="1688"/>
      <c r="KDW33" s="1688"/>
      <c r="KDX33" s="1688"/>
      <c r="KDY33" s="1688"/>
      <c r="KDZ33" s="1688"/>
      <c r="KEA33" s="1688"/>
      <c r="KEB33" s="1688"/>
      <c r="KEC33" s="1688"/>
      <c r="KED33" s="1688"/>
      <c r="KEE33" s="1688"/>
      <c r="KEF33" s="1688"/>
      <c r="KEG33" s="1688"/>
      <c r="KEH33" s="1688"/>
      <c r="KEI33" s="1688"/>
      <c r="KEJ33" s="1688"/>
      <c r="KEK33" s="1688"/>
      <c r="KEL33" s="1688"/>
      <c r="KEM33" s="1688"/>
      <c r="KEN33" s="1688"/>
      <c r="KEO33" s="1688"/>
      <c r="KEP33" s="1688"/>
      <c r="KEQ33" s="1688"/>
      <c r="KER33" s="1688"/>
      <c r="KES33" s="1688"/>
      <c r="KET33" s="1688"/>
      <c r="KEU33" s="1688"/>
      <c r="KEV33" s="1688"/>
      <c r="KEW33" s="1688"/>
      <c r="KEX33" s="1688"/>
      <c r="KEY33" s="1688"/>
      <c r="KEZ33" s="1688"/>
      <c r="KFA33" s="1688"/>
      <c r="KFB33" s="1688"/>
      <c r="KFC33" s="1688"/>
      <c r="KFD33" s="1688"/>
      <c r="KFE33" s="1688"/>
      <c r="KFF33" s="1688"/>
      <c r="KFG33" s="1688"/>
      <c r="KFH33" s="1688"/>
      <c r="KFI33" s="1688"/>
      <c r="KFJ33" s="1688"/>
      <c r="KFK33" s="1688"/>
      <c r="KFL33" s="1688"/>
      <c r="KFM33" s="1688"/>
      <c r="KFN33" s="1688"/>
      <c r="KFO33" s="1688"/>
      <c r="KFP33" s="1688"/>
      <c r="KFQ33" s="1688"/>
      <c r="KFR33" s="1688"/>
      <c r="KFS33" s="1688"/>
      <c r="KFT33" s="1688"/>
      <c r="KFU33" s="1688"/>
      <c r="KFV33" s="1688"/>
      <c r="KFW33" s="1688"/>
      <c r="KFX33" s="1688"/>
      <c r="KFY33" s="1688"/>
      <c r="KFZ33" s="1688"/>
      <c r="KGA33" s="1688"/>
      <c r="KGB33" s="1688"/>
      <c r="KGC33" s="1688"/>
      <c r="KGD33" s="1688"/>
      <c r="KGE33" s="1688"/>
      <c r="KGF33" s="1688"/>
      <c r="KGG33" s="1688"/>
      <c r="KGH33" s="1688"/>
      <c r="KGI33" s="1688"/>
      <c r="KGJ33" s="1688"/>
      <c r="KGK33" s="1688"/>
      <c r="KGL33" s="1688"/>
      <c r="KGM33" s="1688"/>
      <c r="KGN33" s="1688"/>
      <c r="KGO33" s="1688"/>
      <c r="KGP33" s="1688"/>
      <c r="KGQ33" s="1688"/>
      <c r="KGR33" s="1688"/>
      <c r="KGS33" s="1688"/>
      <c r="KGT33" s="1688"/>
      <c r="KGU33" s="1688"/>
      <c r="KGV33" s="1688"/>
      <c r="KGW33" s="1688"/>
      <c r="KGX33" s="1688"/>
      <c r="KGY33" s="1688"/>
      <c r="KGZ33" s="1688"/>
      <c r="KHA33" s="1688"/>
      <c r="KHB33" s="1688"/>
      <c r="KHC33" s="1688"/>
      <c r="KHD33" s="1688"/>
      <c r="KHE33" s="1688"/>
      <c r="KHF33" s="1688"/>
      <c r="KHG33" s="1688"/>
      <c r="KHH33" s="1688"/>
      <c r="KHI33" s="1688"/>
      <c r="KHJ33" s="1688"/>
      <c r="KHK33" s="1688"/>
      <c r="KHL33" s="1688"/>
      <c r="KHM33" s="1688"/>
      <c r="KHN33" s="1688"/>
      <c r="KHO33" s="1688"/>
      <c r="KHP33" s="1688"/>
      <c r="KHQ33" s="1688"/>
      <c r="KHR33" s="1688"/>
      <c r="KHS33" s="1688"/>
      <c r="KHT33" s="1688"/>
      <c r="KHU33" s="1688"/>
      <c r="KHV33" s="1688"/>
      <c r="KHW33" s="1688"/>
      <c r="KHX33" s="1688"/>
      <c r="KHY33" s="1688"/>
      <c r="KHZ33" s="1688"/>
      <c r="KIA33" s="1688"/>
      <c r="KIB33" s="1688"/>
      <c r="KIC33" s="1688"/>
      <c r="KID33" s="1688"/>
      <c r="KIE33" s="1688"/>
      <c r="KIF33" s="1688"/>
      <c r="KIG33" s="1688"/>
      <c r="KIH33" s="1688"/>
      <c r="KII33" s="1688"/>
      <c r="KIJ33" s="1688"/>
      <c r="KIK33" s="1688"/>
      <c r="KIL33" s="1688"/>
      <c r="KIM33" s="1688"/>
      <c r="KIN33" s="1688"/>
      <c r="KIO33" s="1688"/>
      <c r="KIP33" s="1688"/>
      <c r="KIQ33" s="1688"/>
      <c r="KIR33" s="1688"/>
      <c r="KIS33" s="1688"/>
      <c r="KIT33" s="1688"/>
      <c r="KIU33" s="1688"/>
      <c r="KIV33" s="1688"/>
      <c r="KIW33" s="1688"/>
      <c r="KIX33" s="1688"/>
      <c r="KIY33" s="1688"/>
      <c r="KIZ33" s="1688"/>
      <c r="KJA33" s="1688"/>
      <c r="KJB33" s="1688"/>
      <c r="KJC33" s="1688"/>
      <c r="KJD33" s="1688"/>
      <c r="KJE33" s="1688"/>
      <c r="KJF33" s="1688"/>
      <c r="KJG33" s="1688"/>
      <c r="KJH33" s="1688"/>
      <c r="KJI33" s="1688"/>
      <c r="KJJ33" s="1688"/>
      <c r="KJK33" s="1688"/>
      <c r="KJL33" s="1688"/>
      <c r="KJM33" s="1688"/>
      <c r="KJN33" s="1688"/>
      <c r="KJO33" s="1688"/>
      <c r="KJP33" s="1688"/>
      <c r="KJQ33" s="1688"/>
      <c r="KJR33" s="1688"/>
      <c r="KJS33" s="1688"/>
      <c r="KJT33" s="1688"/>
      <c r="KJU33" s="1688"/>
      <c r="KJV33" s="1688"/>
      <c r="KJW33" s="1688"/>
      <c r="KJX33" s="1688"/>
      <c r="KJY33" s="1688"/>
      <c r="KJZ33" s="1688"/>
      <c r="KKA33" s="1688"/>
      <c r="KKB33" s="1688"/>
      <c r="KKC33" s="1688"/>
      <c r="KKD33" s="1688"/>
      <c r="KKE33" s="1688"/>
      <c r="KKF33" s="1688"/>
      <c r="KKG33" s="1688"/>
      <c r="KKH33" s="1688"/>
      <c r="KKI33" s="1688"/>
      <c r="KKJ33" s="1688"/>
      <c r="KKK33" s="1688"/>
      <c r="KKL33" s="1688"/>
      <c r="KKM33" s="1688"/>
      <c r="KKN33" s="1688"/>
      <c r="KKO33" s="1688"/>
      <c r="KKP33" s="1688"/>
      <c r="KKQ33" s="1688"/>
      <c r="KKR33" s="1688"/>
      <c r="KKS33" s="1688"/>
      <c r="KKT33" s="1688"/>
      <c r="KKU33" s="1688"/>
      <c r="KKV33" s="1688"/>
      <c r="KKW33" s="1688"/>
      <c r="KKX33" s="1688"/>
      <c r="KKY33" s="1688"/>
      <c r="KKZ33" s="1688"/>
      <c r="KLA33" s="1688"/>
      <c r="KLB33" s="1688"/>
      <c r="KLC33" s="1688"/>
      <c r="KLD33" s="1688"/>
      <c r="KLE33" s="1688"/>
      <c r="KLF33" s="1688"/>
      <c r="KLG33" s="1688"/>
      <c r="KLH33" s="1688"/>
      <c r="KLI33" s="1688"/>
      <c r="KLJ33" s="1688"/>
      <c r="KLK33" s="1688"/>
      <c r="KLL33" s="1688"/>
      <c r="KLM33" s="1688"/>
      <c r="KLN33" s="1688"/>
      <c r="KLO33" s="1688"/>
      <c r="KLP33" s="1688"/>
      <c r="KLQ33" s="1688"/>
      <c r="KLR33" s="1688"/>
      <c r="KLS33" s="1688"/>
      <c r="KLT33" s="1688"/>
      <c r="KLU33" s="1688"/>
      <c r="KLV33" s="1688"/>
      <c r="KLW33" s="1688"/>
      <c r="KLX33" s="1688"/>
      <c r="KLY33" s="1688"/>
      <c r="KLZ33" s="1688"/>
      <c r="KMA33" s="1688"/>
      <c r="KMB33" s="1688"/>
      <c r="KMC33" s="1688"/>
      <c r="KMD33" s="1688"/>
      <c r="KME33" s="1688"/>
      <c r="KMF33" s="1688"/>
      <c r="KMG33" s="1688"/>
      <c r="KMH33" s="1688"/>
      <c r="KMI33" s="1688"/>
      <c r="KMJ33" s="1688"/>
      <c r="KMK33" s="1688"/>
      <c r="KML33" s="1688"/>
      <c r="KMM33" s="1688"/>
      <c r="KMN33" s="1688"/>
      <c r="KMO33" s="1688"/>
      <c r="KMP33" s="1688"/>
      <c r="KMQ33" s="1688"/>
      <c r="KMR33" s="1688"/>
      <c r="KMS33" s="1688"/>
      <c r="KMT33" s="1688"/>
      <c r="KMU33" s="1688"/>
      <c r="KMV33" s="1688"/>
      <c r="KMW33" s="1688"/>
      <c r="KMX33" s="1688"/>
      <c r="KMY33" s="1688"/>
      <c r="KMZ33" s="1688"/>
      <c r="KNA33" s="1688"/>
      <c r="KNB33" s="1688"/>
      <c r="KNC33" s="1688"/>
      <c r="KND33" s="1688"/>
      <c r="KNE33" s="1688"/>
      <c r="KNF33" s="1688"/>
      <c r="KNG33" s="1688"/>
      <c r="KNH33" s="1688"/>
      <c r="KNI33" s="1688"/>
      <c r="KNJ33" s="1688"/>
      <c r="KNK33" s="1688"/>
      <c r="KNL33" s="1688"/>
      <c r="KNM33" s="1688"/>
      <c r="KNN33" s="1688"/>
      <c r="KNO33" s="1688"/>
      <c r="KNP33" s="1688"/>
      <c r="KNQ33" s="1688"/>
      <c r="KNR33" s="1688"/>
      <c r="KNS33" s="1688"/>
      <c r="KNT33" s="1688"/>
      <c r="KNU33" s="1688"/>
      <c r="KNV33" s="1688"/>
      <c r="KNW33" s="1688"/>
      <c r="KNX33" s="1688"/>
      <c r="KNY33" s="1688"/>
      <c r="KNZ33" s="1688"/>
      <c r="KOA33" s="1688"/>
      <c r="KOB33" s="1688"/>
      <c r="KOC33" s="1688"/>
      <c r="KOD33" s="1688"/>
      <c r="KOE33" s="1688"/>
      <c r="KOF33" s="1688"/>
      <c r="KOG33" s="1688"/>
      <c r="KOH33" s="1688"/>
      <c r="KOI33" s="1688"/>
      <c r="KOJ33" s="1688"/>
      <c r="KOK33" s="1688"/>
      <c r="KOL33" s="1688"/>
      <c r="KOM33" s="1688"/>
      <c r="KON33" s="1688"/>
      <c r="KOO33" s="1688"/>
      <c r="KOP33" s="1688"/>
      <c r="KOQ33" s="1688"/>
      <c r="KOR33" s="1688"/>
      <c r="KOS33" s="1688"/>
      <c r="KOT33" s="1688"/>
      <c r="KOU33" s="1688"/>
      <c r="KOV33" s="1688"/>
      <c r="KOW33" s="1688"/>
      <c r="KOX33" s="1688"/>
      <c r="KOY33" s="1688"/>
      <c r="KOZ33" s="1688"/>
      <c r="KPA33" s="1688"/>
      <c r="KPB33" s="1688"/>
      <c r="KPC33" s="1688"/>
      <c r="KPD33" s="1688"/>
      <c r="KPE33" s="1688"/>
      <c r="KPF33" s="1688"/>
      <c r="KPG33" s="1688"/>
      <c r="KPH33" s="1688"/>
      <c r="KPI33" s="1688"/>
      <c r="KPJ33" s="1688"/>
      <c r="KPK33" s="1688"/>
      <c r="KPL33" s="1688"/>
      <c r="KPM33" s="1688"/>
      <c r="KPN33" s="1688"/>
      <c r="KPO33" s="1688"/>
      <c r="KPP33" s="1688"/>
      <c r="KPQ33" s="1688"/>
      <c r="KPR33" s="1688"/>
      <c r="KPS33" s="1688"/>
      <c r="KPT33" s="1688"/>
      <c r="KPU33" s="1688"/>
      <c r="KPV33" s="1688"/>
      <c r="KPW33" s="1688"/>
      <c r="KPX33" s="1688"/>
      <c r="KPY33" s="1688"/>
      <c r="KPZ33" s="1688"/>
      <c r="KQA33" s="1688"/>
      <c r="KQB33" s="1688"/>
      <c r="KQC33" s="1688"/>
      <c r="KQD33" s="1688"/>
      <c r="KQE33" s="1688"/>
      <c r="KQF33" s="1688"/>
      <c r="KQG33" s="1688"/>
      <c r="KQH33" s="1688"/>
      <c r="KQI33" s="1688"/>
      <c r="KQJ33" s="1688"/>
      <c r="KQK33" s="1688"/>
      <c r="KQL33" s="1688"/>
      <c r="KQM33" s="1688"/>
      <c r="KQN33" s="1688"/>
      <c r="KQO33" s="1688"/>
      <c r="KQP33" s="1688"/>
      <c r="KQQ33" s="1688"/>
      <c r="KQR33" s="1688"/>
      <c r="KQS33" s="1688"/>
      <c r="KQT33" s="1688"/>
      <c r="KQU33" s="1688"/>
      <c r="KQV33" s="1688"/>
      <c r="KQW33" s="1688"/>
      <c r="KQX33" s="1688"/>
      <c r="KQY33" s="1688"/>
      <c r="KQZ33" s="1688"/>
      <c r="KRA33" s="1688"/>
      <c r="KRB33" s="1688"/>
      <c r="KRC33" s="1688"/>
      <c r="KRD33" s="1688"/>
      <c r="KRE33" s="1688"/>
      <c r="KRF33" s="1688"/>
      <c r="KRG33" s="1688"/>
      <c r="KRH33" s="1688"/>
      <c r="KRI33" s="1688"/>
      <c r="KRJ33" s="1688"/>
      <c r="KRK33" s="1688"/>
      <c r="KRL33" s="1688"/>
      <c r="KRM33" s="1688"/>
      <c r="KRN33" s="1688"/>
      <c r="KRO33" s="1688"/>
      <c r="KRP33" s="1688"/>
      <c r="KRQ33" s="1688"/>
      <c r="KRR33" s="1688"/>
      <c r="KRS33" s="1688"/>
      <c r="KRT33" s="1688"/>
      <c r="KRU33" s="1688"/>
      <c r="KRV33" s="1688"/>
      <c r="KRW33" s="1688"/>
      <c r="KRX33" s="1688"/>
      <c r="KRY33" s="1688"/>
      <c r="KRZ33" s="1688"/>
      <c r="KSA33" s="1688"/>
      <c r="KSB33" s="1688"/>
      <c r="KSC33" s="1688"/>
      <c r="KSD33" s="1688"/>
      <c r="KSE33" s="1688"/>
      <c r="KSF33" s="1688"/>
      <c r="KSG33" s="1688"/>
      <c r="KSH33" s="1688"/>
      <c r="KSI33" s="1688"/>
      <c r="KSJ33" s="1688"/>
      <c r="KSK33" s="1688"/>
      <c r="KSL33" s="1688"/>
      <c r="KSM33" s="1688"/>
      <c r="KSN33" s="1688"/>
      <c r="KSO33" s="1688"/>
      <c r="KSP33" s="1688"/>
      <c r="KSQ33" s="1688"/>
      <c r="KSR33" s="1688"/>
      <c r="KSS33" s="1688"/>
      <c r="KST33" s="1688"/>
      <c r="KSU33" s="1688"/>
      <c r="KSV33" s="1688"/>
      <c r="KSW33" s="1688"/>
      <c r="KSX33" s="1688"/>
      <c r="KSY33" s="1688"/>
      <c r="KSZ33" s="1688"/>
      <c r="KTA33" s="1688"/>
      <c r="KTB33" s="1688"/>
      <c r="KTC33" s="1688"/>
      <c r="KTD33" s="1688"/>
      <c r="KTE33" s="1688"/>
      <c r="KTF33" s="1688"/>
      <c r="KTG33" s="1688"/>
      <c r="KTH33" s="1688"/>
      <c r="KTI33" s="1688"/>
      <c r="KTJ33" s="1688"/>
      <c r="KTK33" s="1688"/>
      <c r="KTL33" s="1688"/>
      <c r="KTM33" s="1688"/>
      <c r="KTN33" s="1688"/>
      <c r="KTO33" s="1688"/>
      <c r="KTP33" s="1688"/>
      <c r="KTQ33" s="1688"/>
      <c r="KTR33" s="1688"/>
      <c r="KTS33" s="1688"/>
      <c r="KTT33" s="1688"/>
      <c r="KTU33" s="1688"/>
      <c r="KTV33" s="1688"/>
      <c r="KTW33" s="1688"/>
      <c r="KTX33" s="1688"/>
      <c r="KTY33" s="1688"/>
      <c r="KTZ33" s="1688"/>
      <c r="KUA33" s="1688"/>
      <c r="KUB33" s="1688"/>
      <c r="KUC33" s="1688"/>
      <c r="KUD33" s="1688"/>
      <c r="KUE33" s="1688"/>
      <c r="KUF33" s="1688"/>
      <c r="KUG33" s="1688"/>
      <c r="KUH33" s="1688"/>
      <c r="KUI33" s="1688"/>
      <c r="KUJ33" s="1688"/>
      <c r="KUK33" s="1688"/>
      <c r="KUL33" s="1688"/>
      <c r="KUM33" s="1688"/>
      <c r="KUN33" s="1688"/>
      <c r="KUO33" s="1688"/>
      <c r="KUP33" s="1688"/>
      <c r="KUQ33" s="1688"/>
      <c r="KUR33" s="1688"/>
      <c r="KUS33" s="1688"/>
      <c r="KUT33" s="1688"/>
      <c r="KUU33" s="1688"/>
      <c r="KUV33" s="1688"/>
      <c r="KUW33" s="1688"/>
      <c r="KUX33" s="1688"/>
      <c r="KUY33" s="1688"/>
      <c r="KUZ33" s="1688"/>
      <c r="KVA33" s="1688"/>
      <c r="KVB33" s="1688"/>
      <c r="KVC33" s="1688"/>
      <c r="KVD33" s="1688"/>
      <c r="KVE33" s="1688"/>
      <c r="KVF33" s="1688"/>
      <c r="KVG33" s="1688"/>
      <c r="KVH33" s="1688"/>
      <c r="KVI33" s="1688"/>
      <c r="KVJ33" s="1688"/>
      <c r="KVK33" s="1688"/>
      <c r="KVL33" s="1688"/>
      <c r="KVM33" s="1688"/>
      <c r="KVN33" s="1688"/>
      <c r="KVO33" s="1688"/>
      <c r="KVP33" s="1688"/>
      <c r="KVQ33" s="1688"/>
      <c r="KVR33" s="1688"/>
      <c r="KVS33" s="1688"/>
      <c r="KVT33" s="1688"/>
      <c r="KVU33" s="1688"/>
      <c r="KVV33" s="1688"/>
      <c r="KVW33" s="1688"/>
      <c r="KVX33" s="1688"/>
      <c r="KVY33" s="1688"/>
      <c r="KVZ33" s="1688"/>
      <c r="KWA33" s="1688"/>
      <c r="KWB33" s="1688"/>
      <c r="KWC33" s="1688"/>
      <c r="KWD33" s="1688"/>
      <c r="KWE33" s="1688"/>
      <c r="KWF33" s="1688"/>
      <c r="KWG33" s="1688"/>
      <c r="KWH33" s="1688"/>
      <c r="KWI33" s="1688"/>
      <c r="KWJ33" s="1688"/>
      <c r="KWK33" s="1688"/>
      <c r="KWL33" s="1688"/>
      <c r="KWM33" s="1688"/>
      <c r="KWN33" s="1688"/>
      <c r="KWO33" s="1688"/>
      <c r="KWP33" s="1688"/>
      <c r="KWQ33" s="1688"/>
      <c r="KWR33" s="1688"/>
      <c r="KWS33" s="1688"/>
      <c r="KWT33" s="1688"/>
      <c r="KWU33" s="1688"/>
      <c r="KWV33" s="1688"/>
      <c r="KWW33" s="1688"/>
      <c r="KWX33" s="1688"/>
      <c r="KWY33" s="1688"/>
      <c r="KWZ33" s="1688"/>
      <c r="KXA33" s="1688"/>
      <c r="KXB33" s="1688"/>
      <c r="KXC33" s="1688"/>
      <c r="KXD33" s="1688"/>
      <c r="KXE33" s="1688"/>
      <c r="KXF33" s="1688"/>
      <c r="KXG33" s="1688"/>
      <c r="KXH33" s="1688"/>
      <c r="KXI33" s="1688"/>
      <c r="KXJ33" s="1688"/>
      <c r="KXK33" s="1688"/>
      <c r="KXL33" s="1688"/>
      <c r="KXM33" s="1688"/>
      <c r="KXN33" s="1688"/>
      <c r="KXO33" s="1688"/>
      <c r="KXP33" s="1688"/>
      <c r="KXQ33" s="1688"/>
      <c r="KXR33" s="1688"/>
      <c r="KXS33" s="1688"/>
      <c r="KXT33" s="1688"/>
      <c r="KXU33" s="1688"/>
      <c r="KXV33" s="1688"/>
      <c r="KXW33" s="1688"/>
      <c r="KXX33" s="1688"/>
      <c r="KXY33" s="1688"/>
      <c r="KXZ33" s="1688"/>
      <c r="KYA33" s="1688"/>
      <c r="KYB33" s="1688"/>
      <c r="KYC33" s="1688"/>
      <c r="KYD33" s="1688"/>
      <c r="KYE33" s="1688"/>
      <c r="KYF33" s="1688"/>
      <c r="KYG33" s="1688"/>
      <c r="KYH33" s="1688"/>
      <c r="KYI33" s="1688"/>
      <c r="KYJ33" s="1688"/>
      <c r="KYK33" s="1688"/>
      <c r="KYL33" s="1688"/>
      <c r="KYM33" s="1688"/>
      <c r="KYN33" s="1688"/>
      <c r="KYO33" s="1688"/>
      <c r="KYP33" s="1688"/>
      <c r="KYQ33" s="1688"/>
      <c r="KYR33" s="1688"/>
      <c r="KYS33" s="1688"/>
      <c r="KYT33" s="1688"/>
      <c r="KYU33" s="1688"/>
      <c r="KYV33" s="1688"/>
      <c r="KYW33" s="1688"/>
      <c r="KYX33" s="1688"/>
      <c r="KYY33" s="1688"/>
      <c r="KYZ33" s="1688"/>
      <c r="KZA33" s="1688"/>
      <c r="KZB33" s="1688"/>
      <c r="KZC33" s="1688"/>
      <c r="KZD33" s="1688"/>
      <c r="KZE33" s="1688"/>
      <c r="KZF33" s="1688"/>
      <c r="KZG33" s="1688"/>
      <c r="KZH33" s="1688"/>
      <c r="KZI33" s="1688"/>
      <c r="KZJ33" s="1688"/>
      <c r="KZK33" s="1688"/>
      <c r="KZL33" s="1688"/>
      <c r="KZM33" s="1688"/>
      <c r="KZN33" s="1688"/>
      <c r="KZO33" s="1688"/>
      <c r="KZP33" s="1688"/>
      <c r="KZQ33" s="1688"/>
      <c r="KZR33" s="1688"/>
      <c r="KZS33" s="1688"/>
      <c r="KZT33" s="1688"/>
      <c r="KZU33" s="1688"/>
      <c r="KZV33" s="1688"/>
      <c r="KZW33" s="1688"/>
      <c r="KZX33" s="1688"/>
      <c r="KZY33" s="1688"/>
      <c r="KZZ33" s="1688"/>
      <c r="LAA33" s="1688"/>
      <c r="LAB33" s="1688"/>
      <c r="LAC33" s="1688"/>
      <c r="LAD33" s="1688"/>
      <c r="LAE33" s="1688"/>
      <c r="LAF33" s="1688"/>
      <c r="LAG33" s="1688"/>
      <c r="LAH33" s="1688"/>
      <c r="LAI33" s="1688"/>
      <c r="LAJ33" s="1688"/>
      <c r="LAK33" s="1688"/>
      <c r="LAL33" s="1688"/>
      <c r="LAM33" s="1688"/>
      <c r="LAN33" s="1688"/>
      <c r="LAO33" s="1688"/>
      <c r="LAP33" s="1688"/>
      <c r="LAQ33" s="1688"/>
      <c r="LAR33" s="1688"/>
      <c r="LAS33" s="1688"/>
      <c r="LAT33" s="1688"/>
      <c r="LAU33" s="1688"/>
      <c r="LAV33" s="1688"/>
      <c r="LAW33" s="1688"/>
      <c r="LAX33" s="1688"/>
      <c r="LAY33" s="1688"/>
      <c r="LAZ33" s="1688"/>
      <c r="LBA33" s="1688"/>
      <c r="LBB33" s="1688"/>
      <c r="LBC33" s="1688"/>
      <c r="LBD33" s="1688"/>
      <c r="LBE33" s="1688"/>
      <c r="LBF33" s="1688"/>
      <c r="LBG33" s="1688"/>
      <c r="LBH33" s="1688"/>
      <c r="LBI33" s="1688"/>
      <c r="LBJ33" s="1688"/>
      <c r="LBK33" s="1688"/>
      <c r="LBL33" s="1688"/>
      <c r="LBM33" s="1688"/>
      <c r="LBN33" s="1688"/>
      <c r="LBO33" s="1688"/>
      <c r="LBP33" s="1688"/>
      <c r="LBQ33" s="1688"/>
      <c r="LBR33" s="1688"/>
      <c r="LBS33" s="1688"/>
      <c r="LBT33" s="1688"/>
      <c r="LBU33" s="1688"/>
      <c r="LBV33" s="1688"/>
      <c r="LBW33" s="1688"/>
      <c r="LBX33" s="1688"/>
      <c r="LBY33" s="1688"/>
      <c r="LBZ33" s="1688"/>
      <c r="LCA33" s="1688"/>
      <c r="LCB33" s="1688"/>
      <c r="LCC33" s="1688"/>
      <c r="LCD33" s="1688"/>
      <c r="LCE33" s="1688"/>
      <c r="LCF33" s="1688"/>
      <c r="LCG33" s="1688"/>
      <c r="LCH33" s="1688"/>
      <c r="LCI33" s="1688"/>
      <c r="LCJ33" s="1688"/>
      <c r="LCK33" s="1688"/>
      <c r="LCL33" s="1688"/>
      <c r="LCM33" s="1688"/>
      <c r="LCN33" s="1688"/>
      <c r="LCO33" s="1688"/>
      <c r="LCP33" s="1688"/>
      <c r="LCQ33" s="1688"/>
      <c r="LCR33" s="1688"/>
      <c r="LCS33" s="1688"/>
      <c r="LCT33" s="1688"/>
      <c r="LCU33" s="1688"/>
      <c r="LCV33" s="1688"/>
      <c r="LCW33" s="1688"/>
      <c r="LCX33" s="1688"/>
      <c r="LCY33" s="1688"/>
      <c r="LCZ33" s="1688"/>
      <c r="LDA33" s="1688"/>
      <c r="LDB33" s="1688"/>
      <c r="LDC33" s="1688"/>
      <c r="LDD33" s="1688"/>
      <c r="LDE33" s="1688"/>
      <c r="LDF33" s="1688"/>
      <c r="LDG33" s="1688"/>
      <c r="LDH33" s="1688"/>
      <c r="LDI33" s="1688"/>
      <c r="LDJ33" s="1688"/>
      <c r="LDK33" s="1688"/>
      <c r="LDL33" s="1688"/>
      <c r="LDM33" s="1688"/>
      <c r="LDN33" s="1688"/>
      <c r="LDO33" s="1688"/>
      <c r="LDP33" s="1688"/>
      <c r="LDQ33" s="1688"/>
      <c r="LDR33" s="1688"/>
      <c r="LDS33" s="1688"/>
      <c r="LDT33" s="1688"/>
      <c r="LDU33" s="1688"/>
      <c r="LDV33" s="1688"/>
      <c r="LDW33" s="1688"/>
      <c r="LDX33" s="1688"/>
      <c r="LDY33" s="1688"/>
      <c r="LDZ33" s="1688"/>
      <c r="LEA33" s="1688"/>
      <c r="LEB33" s="1688"/>
      <c r="LEC33" s="1688"/>
      <c r="LED33" s="1688"/>
      <c r="LEE33" s="1688"/>
      <c r="LEF33" s="1688"/>
      <c r="LEG33" s="1688"/>
      <c r="LEH33" s="1688"/>
      <c r="LEI33" s="1688"/>
      <c r="LEJ33" s="1688"/>
      <c r="LEK33" s="1688"/>
      <c r="LEL33" s="1688"/>
      <c r="LEM33" s="1688"/>
      <c r="LEN33" s="1688"/>
      <c r="LEO33" s="1688"/>
      <c r="LEP33" s="1688"/>
      <c r="LEQ33" s="1688"/>
      <c r="LER33" s="1688"/>
      <c r="LES33" s="1688"/>
      <c r="LET33" s="1688"/>
      <c r="LEU33" s="1688"/>
      <c r="LEV33" s="1688"/>
      <c r="LEW33" s="1688"/>
      <c r="LEX33" s="1688"/>
      <c r="LEY33" s="1688"/>
      <c r="LEZ33" s="1688"/>
      <c r="LFA33" s="1688"/>
      <c r="LFB33" s="1688"/>
      <c r="LFC33" s="1688"/>
      <c r="LFD33" s="1688"/>
      <c r="LFE33" s="1688"/>
      <c r="LFF33" s="1688"/>
      <c r="LFG33" s="1688"/>
      <c r="LFH33" s="1688"/>
      <c r="LFI33" s="1688"/>
      <c r="LFJ33" s="1688"/>
      <c r="LFK33" s="1688"/>
      <c r="LFL33" s="1688"/>
      <c r="LFM33" s="1688"/>
      <c r="LFN33" s="1688"/>
      <c r="LFO33" s="1688"/>
      <c r="LFP33" s="1688"/>
      <c r="LFQ33" s="1688"/>
      <c r="LFR33" s="1688"/>
      <c r="LFS33" s="1688"/>
      <c r="LFT33" s="1688"/>
      <c r="LFU33" s="1688"/>
      <c r="LFV33" s="1688"/>
      <c r="LFW33" s="1688"/>
      <c r="LFX33" s="1688"/>
      <c r="LFY33" s="1688"/>
      <c r="LFZ33" s="1688"/>
      <c r="LGA33" s="1688"/>
      <c r="LGB33" s="1688"/>
      <c r="LGC33" s="1688"/>
      <c r="LGD33" s="1688"/>
      <c r="LGE33" s="1688"/>
      <c r="LGF33" s="1688"/>
      <c r="LGG33" s="1688"/>
      <c r="LGH33" s="1688"/>
      <c r="LGI33" s="1688"/>
      <c r="LGJ33" s="1688"/>
      <c r="LGK33" s="1688"/>
      <c r="LGL33" s="1688"/>
      <c r="LGM33" s="1688"/>
      <c r="LGN33" s="1688"/>
      <c r="LGO33" s="1688"/>
      <c r="LGP33" s="1688"/>
      <c r="LGQ33" s="1688"/>
      <c r="LGR33" s="1688"/>
      <c r="LGS33" s="1688"/>
      <c r="LGT33" s="1688"/>
      <c r="LGU33" s="1688"/>
      <c r="LGV33" s="1688"/>
      <c r="LGW33" s="1688"/>
      <c r="LGX33" s="1688"/>
      <c r="LGY33" s="1688"/>
      <c r="LGZ33" s="1688"/>
      <c r="LHA33" s="1688"/>
      <c r="LHB33" s="1688"/>
      <c r="LHC33" s="1688"/>
      <c r="LHD33" s="1688"/>
      <c r="LHE33" s="1688"/>
      <c r="LHF33" s="1688"/>
      <c r="LHG33" s="1688"/>
      <c r="LHH33" s="1688"/>
      <c r="LHI33" s="1688"/>
      <c r="LHJ33" s="1688"/>
      <c r="LHK33" s="1688"/>
      <c r="LHL33" s="1688"/>
      <c r="LHM33" s="1688"/>
      <c r="LHN33" s="1688"/>
      <c r="LHO33" s="1688"/>
      <c r="LHP33" s="1688"/>
      <c r="LHQ33" s="1688"/>
      <c r="LHR33" s="1688"/>
      <c r="LHS33" s="1688"/>
      <c r="LHT33" s="1688"/>
      <c r="LHU33" s="1688"/>
      <c r="LHV33" s="1688"/>
      <c r="LHW33" s="1688"/>
      <c r="LHX33" s="1688"/>
      <c r="LHY33" s="1688"/>
      <c r="LHZ33" s="1688"/>
      <c r="LIA33" s="1688"/>
      <c r="LIB33" s="1688"/>
      <c r="LIC33" s="1688"/>
      <c r="LID33" s="1688"/>
      <c r="LIE33" s="1688"/>
      <c r="LIF33" s="1688"/>
      <c r="LIG33" s="1688"/>
      <c r="LIH33" s="1688"/>
      <c r="LII33" s="1688"/>
      <c r="LIJ33" s="1688"/>
      <c r="LIK33" s="1688"/>
      <c r="LIL33" s="1688"/>
      <c r="LIM33" s="1688"/>
      <c r="LIN33" s="1688"/>
      <c r="LIO33" s="1688"/>
      <c r="LIP33" s="1688"/>
      <c r="LIQ33" s="1688"/>
      <c r="LIR33" s="1688"/>
      <c r="LIS33" s="1688"/>
      <c r="LIT33" s="1688"/>
      <c r="LIU33" s="1688"/>
      <c r="LIV33" s="1688"/>
      <c r="LIW33" s="1688"/>
      <c r="LIX33" s="1688"/>
      <c r="LIY33" s="1688"/>
      <c r="LIZ33" s="1688"/>
      <c r="LJA33" s="1688"/>
      <c r="LJB33" s="1688"/>
      <c r="LJC33" s="1688"/>
      <c r="LJD33" s="1688"/>
      <c r="LJE33" s="1688"/>
      <c r="LJF33" s="1688"/>
      <c r="LJG33" s="1688"/>
      <c r="LJH33" s="1688"/>
      <c r="LJI33" s="1688"/>
      <c r="LJJ33" s="1688"/>
      <c r="LJK33" s="1688"/>
      <c r="LJL33" s="1688"/>
      <c r="LJM33" s="1688"/>
      <c r="LJN33" s="1688"/>
      <c r="LJO33" s="1688"/>
      <c r="LJP33" s="1688"/>
      <c r="LJQ33" s="1688"/>
      <c r="LJR33" s="1688"/>
      <c r="LJS33" s="1688"/>
      <c r="LJT33" s="1688"/>
      <c r="LJU33" s="1688"/>
      <c r="LJV33" s="1688"/>
      <c r="LJW33" s="1688"/>
      <c r="LJX33" s="1688"/>
      <c r="LJY33" s="1688"/>
      <c r="LJZ33" s="1688"/>
      <c r="LKA33" s="1688"/>
      <c r="LKB33" s="1688"/>
      <c r="LKC33" s="1688"/>
      <c r="LKD33" s="1688"/>
      <c r="LKE33" s="1688"/>
      <c r="LKF33" s="1688"/>
      <c r="LKG33" s="1688"/>
      <c r="LKH33" s="1688"/>
      <c r="LKI33" s="1688"/>
      <c r="LKJ33" s="1688"/>
      <c r="LKK33" s="1688"/>
      <c r="LKL33" s="1688"/>
      <c r="LKM33" s="1688"/>
      <c r="LKN33" s="1688"/>
      <c r="LKO33" s="1688"/>
      <c r="LKP33" s="1688"/>
      <c r="LKQ33" s="1688"/>
      <c r="LKR33" s="1688"/>
      <c r="LKS33" s="1688"/>
      <c r="LKT33" s="1688"/>
      <c r="LKU33" s="1688"/>
      <c r="LKV33" s="1688"/>
      <c r="LKW33" s="1688"/>
      <c r="LKX33" s="1688"/>
      <c r="LKY33" s="1688"/>
      <c r="LKZ33" s="1688"/>
      <c r="LLA33" s="1688"/>
      <c r="LLB33" s="1688"/>
      <c r="LLC33" s="1688"/>
      <c r="LLD33" s="1688"/>
      <c r="LLE33" s="1688"/>
      <c r="LLF33" s="1688"/>
      <c r="LLG33" s="1688"/>
      <c r="LLH33" s="1688"/>
      <c r="LLI33" s="1688"/>
      <c r="LLJ33" s="1688"/>
      <c r="LLK33" s="1688"/>
      <c r="LLL33" s="1688"/>
      <c r="LLM33" s="1688"/>
      <c r="LLN33" s="1688"/>
      <c r="LLO33" s="1688"/>
      <c r="LLP33" s="1688"/>
      <c r="LLQ33" s="1688"/>
      <c r="LLR33" s="1688"/>
      <c r="LLS33" s="1688"/>
      <c r="LLT33" s="1688"/>
      <c r="LLU33" s="1688"/>
      <c r="LLV33" s="1688"/>
      <c r="LLW33" s="1688"/>
      <c r="LLX33" s="1688"/>
      <c r="LLY33" s="1688"/>
      <c r="LLZ33" s="1688"/>
      <c r="LMA33" s="1688"/>
      <c r="LMB33" s="1688"/>
      <c r="LMC33" s="1688"/>
      <c r="LMD33" s="1688"/>
      <c r="LME33" s="1688"/>
      <c r="LMF33" s="1688"/>
      <c r="LMG33" s="1688"/>
      <c r="LMH33" s="1688"/>
      <c r="LMI33" s="1688"/>
      <c r="LMJ33" s="1688"/>
      <c r="LMK33" s="1688"/>
      <c r="LML33" s="1688"/>
      <c r="LMM33" s="1688"/>
      <c r="LMN33" s="1688"/>
      <c r="LMO33" s="1688"/>
      <c r="LMP33" s="1688"/>
      <c r="LMQ33" s="1688"/>
      <c r="LMR33" s="1688"/>
      <c r="LMS33" s="1688"/>
      <c r="LMT33" s="1688"/>
      <c r="LMU33" s="1688"/>
      <c r="LMV33" s="1688"/>
      <c r="LMW33" s="1688"/>
      <c r="LMX33" s="1688"/>
      <c r="LMY33" s="1688"/>
      <c r="LMZ33" s="1688"/>
      <c r="LNA33" s="1688"/>
      <c r="LNB33" s="1688"/>
      <c r="LNC33" s="1688"/>
      <c r="LND33" s="1688"/>
      <c r="LNE33" s="1688"/>
      <c r="LNF33" s="1688"/>
      <c r="LNG33" s="1688"/>
      <c r="LNH33" s="1688"/>
      <c r="LNI33" s="1688"/>
      <c r="LNJ33" s="1688"/>
      <c r="LNK33" s="1688"/>
      <c r="LNL33" s="1688"/>
      <c r="LNM33" s="1688"/>
      <c r="LNN33" s="1688"/>
      <c r="LNO33" s="1688"/>
      <c r="LNP33" s="1688"/>
      <c r="LNQ33" s="1688"/>
      <c r="LNR33" s="1688"/>
      <c r="LNS33" s="1688"/>
      <c r="LNT33" s="1688"/>
      <c r="LNU33" s="1688"/>
      <c r="LNV33" s="1688"/>
      <c r="LNW33" s="1688"/>
      <c r="LNX33" s="1688"/>
      <c r="LNY33" s="1688"/>
      <c r="LNZ33" s="1688"/>
      <c r="LOA33" s="1688"/>
      <c r="LOB33" s="1688"/>
      <c r="LOC33" s="1688"/>
      <c r="LOD33" s="1688"/>
      <c r="LOE33" s="1688"/>
      <c r="LOF33" s="1688"/>
      <c r="LOG33" s="1688"/>
      <c r="LOH33" s="1688"/>
      <c r="LOI33" s="1688"/>
      <c r="LOJ33" s="1688"/>
      <c r="LOK33" s="1688"/>
      <c r="LOL33" s="1688"/>
      <c r="LOM33" s="1688"/>
      <c r="LON33" s="1688"/>
      <c r="LOO33" s="1688"/>
      <c r="LOP33" s="1688"/>
      <c r="LOQ33" s="1688"/>
      <c r="LOR33" s="1688"/>
      <c r="LOS33" s="1688"/>
      <c r="LOT33" s="1688"/>
      <c r="LOU33" s="1688"/>
      <c r="LOV33" s="1688"/>
      <c r="LOW33" s="1688"/>
      <c r="LOX33" s="1688"/>
      <c r="LOY33" s="1688"/>
      <c r="LOZ33" s="1688"/>
      <c r="LPA33" s="1688"/>
      <c r="LPB33" s="1688"/>
      <c r="LPC33" s="1688"/>
      <c r="LPD33" s="1688"/>
      <c r="LPE33" s="1688"/>
      <c r="LPF33" s="1688"/>
      <c r="LPG33" s="1688"/>
      <c r="LPH33" s="1688"/>
      <c r="LPI33" s="1688"/>
      <c r="LPJ33" s="1688"/>
      <c r="LPK33" s="1688"/>
      <c r="LPL33" s="1688"/>
      <c r="LPM33" s="1688"/>
      <c r="LPN33" s="1688"/>
      <c r="LPO33" s="1688"/>
      <c r="LPP33" s="1688"/>
      <c r="LPQ33" s="1688"/>
      <c r="LPR33" s="1688"/>
      <c r="LPS33" s="1688"/>
      <c r="LPT33" s="1688"/>
      <c r="LPU33" s="1688"/>
      <c r="LPV33" s="1688"/>
      <c r="LPW33" s="1688"/>
      <c r="LPX33" s="1688"/>
      <c r="LPY33" s="1688"/>
      <c r="LPZ33" s="1688"/>
      <c r="LQA33" s="1688"/>
      <c r="LQB33" s="1688"/>
      <c r="LQC33" s="1688"/>
      <c r="LQD33" s="1688"/>
      <c r="LQE33" s="1688"/>
      <c r="LQF33" s="1688"/>
      <c r="LQG33" s="1688"/>
      <c r="LQH33" s="1688"/>
      <c r="LQI33" s="1688"/>
      <c r="LQJ33" s="1688"/>
      <c r="LQK33" s="1688"/>
      <c r="LQL33" s="1688"/>
      <c r="LQM33" s="1688"/>
      <c r="LQN33" s="1688"/>
      <c r="LQO33" s="1688"/>
      <c r="LQP33" s="1688"/>
      <c r="LQQ33" s="1688"/>
      <c r="LQR33" s="1688"/>
      <c r="LQS33" s="1688"/>
      <c r="LQT33" s="1688"/>
      <c r="LQU33" s="1688"/>
      <c r="LQV33" s="1688"/>
      <c r="LQW33" s="1688"/>
      <c r="LQX33" s="1688"/>
      <c r="LQY33" s="1688"/>
      <c r="LQZ33" s="1688"/>
      <c r="LRA33" s="1688"/>
      <c r="LRB33" s="1688"/>
      <c r="LRC33" s="1688"/>
      <c r="LRD33" s="1688"/>
      <c r="LRE33" s="1688"/>
      <c r="LRF33" s="1688"/>
      <c r="LRG33" s="1688"/>
      <c r="LRH33" s="1688"/>
      <c r="LRI33" s="1688"/>
      <c r="LRJ33" s="1688"/>
      <c r="LRK33" s="1688"/>
      <c r="LRL33" s="1688"/>
      <c r="LRM33" s="1688"/>
      <c r="LRN33" s="1688"/>
      <c r="LRO33" s="1688"/>
      <c r="LRP33" s="1688"/>
      <c r="LRQ33" s="1688"/>
      <c r="LRR33" s="1688"/>
      <c r="LRS33" s="1688"/>
      <c r="LRT33" s="1688"/>
      <c r="LRU33" s="1688"/>
      <c r="LRV33" s="1688"/>
      <c r="LRW33" s="1688"/>
      <c r="LRX33" s="1688"/>
      <c r="LRY33" s="1688"/>
      <c r="LRZ33" s="1688"/>
      <c r="LSA33" s="1688"/>
      <c r="LSB33" s="1688"/>
      <c r="LSC33" s="1688"/>
      <c r="LSD33" s="1688"/>
      <c r="LSE33" s="1688"/>
      <c r="LSF33" s="1688"/>
      <c r="LSG33" s="1688"/>
      <c r="LSH33" s="1688"/>
      <c r="LSI33" s="1688"/>
      <c r="LSJ33" s="1688"/>
      <c r="LSK33" s="1688"/>
      <c r="LSL33" s="1688"/>
      <c r="LSM33" s="1688"/>
      <c r="LSN33" s="1688"/>
      <c r="LSO33" s="1688"/>
      <c r="LSP33" s="1688"/>
      <c r="LSQ33" s="1688"/>
      <c r="LSR33" s="1688"/>
      <c r="LSS33" s="1688"/>
      <c r="LST33" s="1688"/>
      <c r="LSU33" s="1688"/>
      <c r="LSV33" s="1688"/>
      <c r="LSW33" s="1688"/>
      <c r="LSX33" s="1688"/>
      <c r="LSY33" s="1688"/>
      <c r="LSZ33" s="1688"/>
      <c r="LTA33" s="1688"/>
      <c r="LTB33" s="1688"/>
      <c r="LTC33" s="1688"/>
      <c r="LTD33" s="1688"/>
      <c r="LTE33" s="1688"/>
      <c r="LTF33" s="1688"/>
      <c r="LTG33" s="1688"/>
      <c r="LTH33" s="1688"/>
      <c r="LTI33" s="1688"/>
      <c r="LTJ33" s="1688"/>
      <c r="LTK33" s="1688"/>
      <c r="LTL33" s="1688"/>
      <c r="LTM33" s="1688"/>
      <c r="LTN33" s="1688"/>
      <c r="LTO33" s="1688"/>
      <c r="LTP33" s="1688"/>
      <c r="LTQ33" s="1688"/>
      <c r="LTR33" s="1688"/>
      <c r="LTS33" s="1688"/>
      <c r="LTT33" s="1688"/>
      <c r="LTU33" s="1688"/>
      <c r="LTV33" s="1688"/>
      <c r="LTW33" s="1688"/>
      <c r="LTX33" s="1688"/>
      <c r="LTY33" s="1688"/>
      <c r="LTZ33" s="1688"/>
      <c r="LUA33" s="1688"/>
      <c r="LUB33" s="1688"/>
      <c r="LUC33" s="1688"/>
      <c r="LUD33" s="1688"/>
      <c r="LUE33" s="1688"/>
      <c r="LUF33" s="1688"/>
      <c r="LUG33" s="1688"/>
      <c r="LUH33" s="1688"/>
      <c r="LUI33" s="1688"/>
      <c r="LUJ33" s="1688"/>
      <c r="LUK33" s="1688"/>
      <c r="LUL33" s="1688"/>
      <c r="LUM33" s="1688"/>
      <c r="LUN33" s="1688"/>
      <c r="LUO33" s="1688"/>
      <c r="LUP33" s="1688"/>
      <c r="LUQ33" s="1688"/>
      <c r="LUR33" s="1688"/>
      <c r="LUS33" s="1688"/>
      <c r="LUT33" s="1688"/>
      <c r="LUU33" s="1688"/>
      <c r="LUV33" s="1688"/>
      <c r="LUW33" s="1688"/>
      <c r="LUX33" s="1688"/>
      <c r="LUY33" s="1688"/>
      <c r="LUZ33" s="1688"/>
      <c r="LVA33" s="1688"/>
      <c r="LVB33" s="1688"/>
      <c r="LVC33" s="1688"/>
      <c r="LVD33" s="1688"/>
      <c r="LVE33" s="1688"/>
      <c r="LVF33" s="1688"/>
      <c r="LVG33" s="1688"/>
      <c r="LVH33" s="1688"/>
      <c r="LVI33" s="1688"/>
      <c r="LVJ33" s="1688"/>
      <c r="LVK33" s="1688"/>
      <c r="LVL33" s="1688"/>
      <c r="LVM33" s="1688"/>
      <c r="LVN33" s="1688"/>
      <c r="LVO33" s="1688"/>
      <c r="LVP33" s="1688"/>
      <c r="LVQ33" s="1688"/>
      <c r="LVR33" s="1688"/>
      <c r="LVS33" s="1688"/>
      <c r="LVT33" s="1688"/>
      <c r="LVU33" s="1688"/>
      <c r="LVV33" s="1688"/>
      <c r="LVW33" s="1688"/>
      <c r="LVX33" s="1688"/>
      <c r="LVY33" s="1688"/>
      <c r="LVZ33" s="1688"/>
      <c r="LWA33" s="1688"/>
      <c r="LWB33" s="1688"/>
      <c r="LWC33" s="1688"/>
      <c r="LWD33" s="1688"/>
      <c r="LWE33" s="1688"/>
      <c r="LWF33" s="1688"/>
      <c r="LWG33" s="1688"/>
      <c r="LWH33" s="1688"/>
      <c r="LWI33" s="1688"/>
      <c r="LWJ33" s="1688"/>
      <c r="LWK33" s="1688"/>
      <c r="LWL33" s="1688"/>
      <c r="LWM33" s="1688"/>
      <c r="LWN33" s="1688"/>
      <c r="LWO33" s="1688"/>
      <c r="LWP33" s="1688"/>
      <c r="LWQ33" s="1688"/>
      <c r="LWR33" s="1688"/>
      <c r="LWS33" s="1688"/>
      <c r="LWT33" s="1688"/>
      <c r="LWU33" s="1688"/>
      <c r="LWV33" s="1688"/>
      <c r="LWW33" s="1688"/>
      <c r="LWX33" s="1688"/>
      <c r="LWY33" s="1688"/>
      <c r="LWZ33" s="1688"/>
      <c r="LXA33" s="1688"/>
      <c r="LXB33" s="1688"/>
      <c r="LXC33" s="1688"/>
      <c r="LXD33" s="1688"/>
      <c r="LXE33" s="1688"/>
      <c r="LXF33" s="1688"/>
      <c r="LXG33" s="1688"/>
      <c r="LXH33" s="1688"/>
      <c r="LXI33" s="1688"/>
      <c r="LXJ33" s="1688"/>
      <c r="LXK33" s="1688"/>
      <c r="LXL33" s="1688"/>
      <c r="LXM33" s="1688"/>
      <c r="LXN33" s="1688"/>
      <c r="LXO33" s="1688"/>
      <c r="LXP33" s="1688"/>
      <c r="LXQ33" s="1688"/>
      <c r="LXR33" s="1688"/>
      <c r="LXS33" s="1688"/>
      <c r="LXT33" s="1688"/>
      <c r="LXU33" s="1688"/>
      <c r="LXV33" s="1688"/>
      <c r="LXW33" s="1688"/>
      <c r="LXX33" s="1688"/>
      <c r="LXY33" s="1688"/>
      <c r="LXZ33" s="1688"/>
      <c r="LYA33" s="1688"/>
      <c r="LYB33" s="1688"/>
      <c r="LYC33" s="1688"/>
      <c r="LYD33" s="1688"/>
      <c r="LYE33" s="1688"/>
      <c r="LYF33" s="1688"/>
      <c r="LYG33" s="1688"/>
      <c r="LYH33" s="1688"/>
      <c r="LYI33" s="1688"/>
      <c r="LYJ33" s="1688"/>
      <c r="LYK33" s="1688"/>
      <c r="LYL33" s="1688"/>
      <c r="LYM33" s="1688"/>
      <c r="LYN33" s="1688"/>
      <c r="LYO33" s="1688"/>
      <c r="LYP33" s="1688"/>
      <c r="LYQ33" s="1688"/>
      <c r="LYR33" s="1688"/>
      <c r="LYS33" s="1688"/>
      <c r="LYT33" s="1688"/>
      <c r="LYU33" s="1688"/>
      <c r="LYV33" s="1688"/>
      <c r="LYW33" s="1688"/>
      <c r="LYX33" s="1688"/>
      <c r="LYY33" s="1688"/>
      <c r="LYZ33" s="1688"/>
      <c r="LZA33" s="1688"/>
      <c r="LZB33" s="1688"/>
      <c r="LZC33" s="1688"/>
      <c r="LZD33" s="1688"/>
      <c r="LZE33" s="1688"/>
      <c r="LZF33" s="1688"/>
      <c r="LZG33" s="1688"/>
      <c r="LZH33" s="1688"/>
      <c r="LZI33" s="1688"/>
      <c r="LZJ33" s="1688"/>
      <c r="LZK33" s="1688"/>
      <c r="LZL33" s="1688"/>
      <c r="LZM33" s="1688"/>
      <c r="LZN33" s="1688"/>
      <c r="LZO33" s="1688"/>
      <c r="LZP33" s="1688"/>
      <c r="LZQ33" s="1688"/>
      <c r="LZR33" s="1688"/>
      <c r="LZS33" s="1688"/>
      <c r="LZT33" s="1688"/>
      <c r="LZU33" s="1688"/>
      <c r="LZV33" s="1688"/>
      <c r="LZW33" s="1688"/>
      <c r="LZX33" s="1688"/>
      <c r="LZY33" s="1688"/>
      <c r="LZZ33" s="1688"/>
      <c r="MAA33" s="1688"/>
      <c r="MAB33" s="1688"/>
      <c r="MAC33" s="1688"/>
      <c r="MAD33" s="1688"/>
      <c r="MAE33" s="1688"/>
      <c r="MAF33" s="1688"/>
      <c r="MAG33" s="1688"/>
      <c r="MAH33" s="1688"/>
      <c r="MAI33" s="1688"/>
      <c r="MAJ33" s="1688"/>
      <c r="MAK33" s="1688"/>
      <c r="MAL33" s="1688"/>
      <c r="MAM33" s="1688"/>
      <c r="MAN33" s="1688"/>
      <c r="MAO33" s="1688"/>
      <c r="MAP33" s="1688"/>
      <c r="MAQ33" s="1688"/>
      <c r="MAR33" s="1688"/>
      <c r="MAS33" s="1688"/>
      <c r="MAT33" s="1688"/>
      <c r="MAU33" s="1688"/>
      <c r="MAV33" s="1688"/>
      <c r="MAW33" s="1688"/>
      <c r="MAX33" s="1688"/>
      <c r="MAY33" s="1688"/>
      <c r="MAZ33" s="1688"/>
      <c r="MBA33" s="1688"/>
      <c r="MBB33" s="1688"/>
      <c r="MBC33" s="1688"/>
      <c r="MBD33" s="1688"/>
      <c r="MBE33" s="1688"/>
      <c r="MBF33" s="1688"/>
      <c r="MBG33" s="1688"/>
      <c r="MBH33" s="1688"/>
      <c r="MBI33" s="1688"/>
      <c r="MBJ33" s="1688"/>
      <c r="MBK33" s="1688"/>
      <c r="MBL33" s="1688"/>
      <c r="MBM33" s="1688"/>
      <c r="MBN33" s="1688"/>
      <c r="MBO33" s="1688"/>
      <c r="MBP33" s="1688"/>
      <c r="MBQ33" s="1688"/>
      <c r="MBR33" s="1688"/>
      <c r="MBS33" s="1688"/>
      <c r="MBT33" s="1688"/>
      <c r="MBU33" s="1688"/>
      <c r="MBV33" s="1688"/>
      <c r="MBW33" s="1688"/>
      <c r="MBX33" s="1688"/>
      <c r="MBY33" s="1688"/>
      <c r="MBZ33" s="1688"/>
      <c r="MCA33" s="1688"/>
      <c r="MCB33" s="1688"/>
      <c r="MCC33" s="1688"/>
      <c r="MCD33" s="1688"/>
      <c r="MCE33" s="1688"/>
      <c r="MCF33" s="1688"/>
      <c r="MCG33" s="1688"/>
      <c r="MCH33" s="1688"/>
      <c r="MCI33" s="1688"/>
      <c r="MCJ33" s="1688"/>
      <c r="MCK33" s="1688"/>
      <c r="MCL33" s="1688"/>
      <c r="MCM33" s="1688"/>
      <c r="MCN33" s="1688"/>
      <c r="MCO33" s="1688"/>
      <c r="MCP33" s="1688"/>
      <c r="MCQ33" s="1688"/>
      <c r="MCR33" s="1688"/>
      <c r="MCS33" s="1688"/>
      <c r="MCT33" s="1688"/>
      <c r="MCU33" s="1688"/>
      <c r="MCV33" s="1688"/>
      <c r="MCW33" s="1688"/>
      <c r="MCX33" s="1688"/>
      <c r="MCY33" s="1688"/>
      <c r="MCZ33" s="1688"/>
      <c r="MDA33" s="1688"/>
      <c r="MDB33" s="1688"/>
      <c r="MDC33" s="1688"/>
      <c r="MDD33" s="1688"/>
      <c r="MDE33" s="1688"/>
      <c r="MDF33" s="1688"/>
      <c r="MDG33" s="1688"/>
      <c r="MDH33" s="1688"/>
      <c r="MDI33" s="1688"/>
      <c r="MDJ33" s="1688"/>
      <c r="MDK33" s="1688"/>
      <c r="MDL33" s="1688"/>
      <c r="MDM33" s="1688"/>
      <c r="MDN33" s="1688"/>
      <c r="MDO33" s="1688"/>
      <c r="MDP33" s="1688"/>
      <c r="MDQ33" s="1688"/>
      <c r="MDR33" s="1688"/>
      <c r="MDS33" s="1688"/>
      <c r="MDT33" s="1688"/>
      <c r="MDU33" s="1688"/>
      <c r="MDV33" s="1688"/>
      <c r="MDW33" s="1688"/>
      <c r="MDX33" s="1688"/>
      <c r="MDY33" s="1688"/>
      <c r="MDZ33" s="1688"/>
      <c r="MEA33" s="1688"/>
      <c r="MEB33" s="1688"/>
      <c r="MEC33" s="1688"/>
      <c r="MED33" s="1688"/>
      <c r="MEE33" s="1688"/>
      <c r="MEF33" s="1688"/>
      <c r="MEG33" s="1688"/>
      <c r="MEH33" s="1688"/>
      <c r="MEI33" s="1688"/>
      <c r="MEJ33" s="1688"/>
      <c r="MEK33" s="1688"/>
      <c r="MEL33" s="1688"/>
      <c r="MEM33" s="1688"/>
      <c r="MEN33" s="1688"/>
      <c r="MEO33" s="1688"/>
      <c r="MEP33" s="1688"/>
      <c r="MEQ33" s="1688"/>
      <c r="MER33" s="1688"/>
      <c r="MES33" s="1688"/>
      <c r="MET33" s="1688"/>
      <c r="MEU33" s="1688"/>
      <c r="MEV33" s="1688"/>
      <c r="MEW33" s="1688"/>
      <c r="MEX33" s="1688"/>
      <c r="MEY33" s="1688"/>
      <c r="MEZ33" s="1688"/>
      <c r="MFA33" s="1688"/>
      <c r="MFB33" s="1688"/>
      <c r="MFC33" s="1688"/>
      <c r="MFD33" s="1688"/>
      <c r="MFE33" s="1688"/>
      <c r="MFF33" s="1688"/>
      <c r="MFG33" s="1688"/>
      <c r="MFH33" s="1688"/>
      <c r="MFI33" s="1688"/>
      <c r="MFJ33" s="1688"/>
      <c r="MFK33" s="1688"/>
      <c r="MFL33" s="1688"/>
      <c r="MFM33" s="1688"/>
      <c r="MFN33" s="1688"/>
      <c r="MFO33" s="1688"/>
      <c r="MFP33" s="1688"/>
      <c r="MFQ33" s="1688"/>
      <c r="MFR33" s="1688"/>
      <c r="MFS33" s="1688"/>
      <c r="MFT33" s="1688"/>
      <c r="MFU33" s="1688"/>
      <c r="MFV33" s="1688"/>
      <c r="MFW33" s="1688"/>
      <c r="MFX33" s="1688"/>
      <c r="MFY33" s="1688"/>
      <c r="MFZ33" s="1688"/>
      <c r="MGA33" s="1688"/>
      <c r="MGB33" s="1688"/>
      <c r="MGC33" s="1688"/>
      <c r="MGD33" s="1688"/>
      <c r="MGE33" s="1688"/>
      <c r="MGF33" s="1688"/>
      <c r="MGG33" s="1688"/>
      <c r="MGH33" s="1688"/>
      <c r="MGI33" s="1688"/>
      <c r="MGJ33" s="1688"/>
      <c r="MGK33" s="1688"/>
      <c r="MGL33" s="1688"/>
      <c r="MGM33" s="1688"/>
      <c r="MGN33" s="1688"/>
      <c r="MGO33" s="1688"/>
      <c r="MGP33" s="1688"/>
      <c r="MGQ33" s="1688"/>
      <c r="MGR33" s="1688"/>
      <c r="MGS33" s="1688"/>
      <c r="MGT33" s="1688"/>
      <c r="MGU33" s="1688"/>
      <c r="MGV33" s="1688"/>
      <c r="MGW33" s="1688"/>
      <c r="MGX33" s="1688"/>
      <c r="MGY33" s="1688"/>
      <c r="MGZ33" s="1688"/>
      <c r="MHA33" s="1688"/>
      <c r="MHB33" s="1688"/>
      <c r="MHC33" s="1688"/>
      <c r="MHD33" s="1688"/>
      <c r="MHE33" s="1688"/>
      <c r="MHF33" s="1688"/>
      <c r="MHG33" s="1688"/>
      <c r="MHH33" s="1688"/>
      <c r="MHI33" s="1688"/>
      <c r="MHJ33" s="1688"/>
      <c r="MHK33" s="1688"/>
      <c r="MHL33" s="1688"/>
      <c r="MHM33" s="1688"/>
      <c r="MHN33" s="1688"/>
      <c r="MHO33" s="1688"/>
      <c r="MHP33" s="1688"/>
      <c r="MHQ33" s="1688"/>
      <c r="MHR33" s="1688"/>
      <c r="MHS33" s="1688"/>
      <c r="MHT33" s="1688"/>
      <c r="MHU33" s="1688"/>
      <c r="MHV33" s="1688"/>
      <c r="MHW33" s="1688"/>
      <c r="MHX33" s="1688"/>
      <c r="MHY33" s="1688"/>
      <c r="MHZ33" s="1688"/>
      <c r="MIA33" s="1688"/>
      <c r="MIB33" s="1688"/>
      <c r="MIC33" s="1688"/>
      <c r="MID33" s="1688"/>
      <c r="MIE33" s="1688"/>
      <c r="MIF33" s="1688"/>
      <c r="MIG33" s="1688"/>
      <c r="MIH33" s="1688"/>
      <c r="MII33" s="1688"/>
      <c r="MIJ33" s="1688"/>
      <c r="MIK33" s="1688"/>
      <c r="MIL33" s="1688"/>
      <c r="MIM33" s="1688"/>
      <c r="MIN33" s="1688"/>
      <c r="MIO33" s="1688"/>
      <c r="MIP33" s="1688"/>
      <c r="MIQ33" s="1688"/>
      <c r="MIR33" s="1688"/>
      <c r="MIS33" s="1688"/>
      <c r="MIT33" s="1688"/>
      <c r="MIU33" s="1688"/>
      <c r="MIV33" s="1688"/>
      <c r="MIW33" s="1688"/>
      <c r="MIX33" s="1688"/>
      <c r="MIY33" s="1688"/>
      <c r="MIZ33" s="1688"/>
      <c r="MJA33" s="1688"/>
      <c r="MJB33" s="1688"/>
      <c r="MJC33" s="1688"/>
      <c r="MJD33" s="1688"/>
      <c r="MJE33" s="1688"/>
      <c r="MJF33" s="1688"/>
      <c r="MJG33" s="1688"/>
      <c r="MJH33" s="1688"/>
      <c r="MJI33" s="1688"/>
      <c r="MJJ33" s="1688"/>
      <c r="MJK33" s="1688"/>
      <c r="MJL33" s="1688"/>
      <c r="MJM33" s="1688"/>
      <c r="MJN33" s="1688"/>
      <c r="MJO33" s="1688"/>
      <c r="MJP33" s="1688"/>
      <c r="MJQ33" s="1688"/>
      <c r="MJR33" s="1688"/>
      <c r="MJS33" s="1688"/>
      <c r="MJT33" s="1688"/>
      <c r="MJU33" s="1688"/>
      <c r="MJV33" s="1688"/>
      <c r="MJW33" s="1688"/>
      <c r="MJX33" s="1688"/>
      <c r="MJY33" s="1688"/>
      <c r="MJZ33" s="1688"/>
      <c r="MKA33" s="1688"/>
      <c r="MKB33" s="1688"/>
      <c r="MKC33" s="1688"/>
      <c r="MKD33" s="1688"/>
      <c r="MKE33" s="1688"/>
      <c r="MKF33" s="1688"/>
      <c r="MKG33" s="1688"/>
      <c r="MKH33" s="1688"/>
      <c r="MKI33" s="1688"/>
      <c r="MKJ33" s="1688"/>
      <c r="MKK33" s="1688"/>
      <c r="MKL33" s="1688"/>
      <c r="MKM33" s="1688"/>
      <c r="MKN33" s="1688"/>
      <c r="MKO33" s="1688"/>
      <c r="MKP33" s="1688"/>
      <c r="MKQ33" s="1688"/>
      <c r="MKR33" s="1688"/>
      <c r="MKS33" s="1688"/>
      <c r="MKT33" s="1688"/>
      <c r="MKU33" s="1688"/>
      <c r="MKV33" s="1688"/>
      <c r="MKW33" s="1688"/>
      <c r="MKX33" s="1688"/>
      <c r="MKY33" s="1688"/>
      <c r="MKZ33" s="1688"/>
      <c r="MLA33" s="1688"/>
      <c r="MLB33" s="1688"/>
      <c r="MLC33" s="1688"/>
      <c r="MLD33" s="1688"/>
      <c r="MLE33" s="1688"/>
      <c r="MLF33" s="1688"/>
      <c r="MLG33" s="1688"/>
      <c r="MLH33" s="1688"/>
      <c r="MLI33" s="1688"/>
      <c r="MLJ33" s="1688"/>
      <c r="MLK33" s="1688"/>
      <c r="MLL33" s="1688"/>
      <c r="MLM33" s="1688"/>
      <c r="MLN33" s="1688"/>
      <c r="MLO33" s="1688"/>
      <c r="MLP33" s="1688"/>
      <c r="MLQ33" s="1688"/>
      <c r="MLR33" s="1688"/>
      <c r="MLS33" s="1688"/>
      <c r="MLT33" s="1688"/>
      <c r="MLU33" s="1688"/>
      <c r="MLV33" s="1688"/>
      <c r="MLW33" s="1688"/>
      <c r="MLX33" s="1688"/>
      <c r="MLY33" s="1688"/>
      <c r="MLZ33" s="1688"/>
      <c r="MMA33" s="1688"/>
      <c r="MMB33" s="1688"/>
      <c r="MMC33" s="1688"/>
      <c r="MMD33" s="1688"/>
      <c r="MME33" s="1688"/>
      <c r="MMF33" s="1688"/>
      <c r="MMG33" s="1688"/>
      <c r="MMH33" s="1688"/>
      <c r="MMI33" s="1688"/>
      <c r="MMJ33" s="1688"/>
      <c r="MMK33" s="1688"/>
      <c r="MML33" s="1688"/>
      <c r="MMM33" s="1688"/>
      <c r="MMN33" s="1688"/>
      <c r="MMO33" s="1688"/>
      <c r="MMP33" s="1688"/>
      <c r="MMQ33" s="1688"/>
      <c r="MMR33" s="1688"/>
      <c r="MMS33" s="1688"/>
      <c r="MMT33" s="1688"/>
      <c r="MMU33" s="1688"/>
      <c r="MMV33" s="1688"/>
      <c r="MMW33" s="1688"/>
      <c r="MMX33" s="1688"/>
      <c r="MMY33" s="1688"/>
      <c r="MMZ33" s="1688"/>
      <c r="MNA33" s="1688"/>
      <c r="MNB33" s="1688"/>
      <c r="MNC33" s="1688"/>
      <c r="MND33" s="1688"/>
      <c r="MNE33" s="1688"/>
      <c r="MNF33" s="1688"/>
      <c r="MNG33" s="1688"/>
      <c r="MNH33" s="1688"/>
      <c r="MNI33" s="1688"/>
      <c r="MNJ33" s="1688"/>
      <c r="MNK33" s="1688"/>
      <c r="MNL33" s="1688"/>
      <c r="MNM33" s="1688"/>
      <c r="MNN33" s="1688"/>
      <c r="MNO33" s="1688"/>
      <c r="MNP33" s="1688"/>
      <c r="MNQ33" s="1688"/>
      <c r="MNR33" s="1688"/>
      <c r="MNS33" s="1688"/>
      <c r="MNT33" s="1688"/>
      <c r="MNU33" s="1688"/>
      <c r="MNV33" s="1688"/>
      <c r="MNW33" s="1688"/>
      <c r="MNX33" s="1688"/>
      <c r="MNY33" s="1688"/>
      <c r="MNZ33" s="1688"/>
      <c r="MOA33" s="1688"/>
      <c r="MOB33" s="1688"/>
      <c r="MOC33" s="1688"/>
      <c r="MOD33" s="1688"/>
      <c r="MOE33" s="1688"/>
      <c r="MOF33" s="1688"/>
      <c r="MOG33" s="1688"/>
      <c r="MOH33" s="1688"/>
      <c r="MOI33" s="1688"/>
      <c r="MOJ33" s="1688"/>
      <c r="MOK33" s="1688"/>
      <c r="MOL33" s="1688"/>
      <c r="MOM33" s="1688"/>
      <c r="MON33" s="1688"/>
      <c r="MOO33" s="1688"/>
      <c r="MOP33" s="1688"/>
      <c r="MOQ33" s="1688"/>
      <c r="MOR33" s="1688"/>
      <c r="MOS33" s="1688"/>
      <c r="MOT33" s="1688"/>
      <c r="MOU33" s="1688"/>
      <c r="MOV33" s="1688"/>
      <c r="MOW33" s="1688"/>
      <c r="MOX33" s="1688"/>
      <c r="MOY33" s="1688"/>
      <c r="MOZ33" s="1688"/>
      <c r="MPA33" s="1688"/>
      <c r="MPB33" s="1688"/>
      <c r="MPC33" s="1688"/>
      <c r="MPD33" s="1688"/>
      <c r="MPE33" s="1688"/>
      <c r="MPF33" s="1688"/>
      <c r="MPG33" s="1688"/>
      <c r="MPH33" s="1688"/>
      <c r="MPI33" s="1688"/>
      <c r="MPJ33" s="1688"/>
      <c r="MPK33" s="1688"/>
      <c r="MPL33" s="1688"/>
      <c r="MPM33" s="1688"/>
      <c r="MPN33" s="1688"/>
      <c r="MPO33" s="1688"/>
      <c r="MPP33" s="1688"/>
      <c r="MPQ33" s="1688"/>
      <c r="MPR33" s="1688"/>
      <c r="MPS33" s="1688"/>
      <c r="MPT33" s="1688"/>
      <c r="MPU33" s="1688"/>
      <c r="MPV33" s="1688"/>
      <c r="MPW33" s="1688"/>
      <c r="MPX33" s="1688"/>
      <c r="MPY33" s="1688"/>
      <c r="MPZ33" s="1688"/>
      <c r="MQA33" s="1688"/>
      <c r="MQB33" s="1688"/>
      <c r="MQC33" s="1688"/>
      <c r="MQD33" s="1688"/>
      <c r="MQE33" s="1688"/>
      <c r="MQF33" s="1688"/>
      <c r="MQG33" s="1688"/>
      <c r="MQH33" s="1688"/>
      <c r="MQI33" s="1688"/>
      <c r="MQJ33" s="1688"/>
      <c r="MQK33" s="1688"/>
      <c r="MQL33" s="1688"/>
      <c r="MQM33" s="1688"/>
      <c r="MQN33" s="1688"/>
      <c r="MQO33" s="1688"/>
      <c r="MQP33" s="1688"/>
      <c r="MQQ33" s="1688"/>
      <c r="MQR33" s="1688"/>
      <c r="MQS33" s="1688"/>
      <c r="MQT33" s="1688"/>
      <c r="MQU33" s="1688"/>
      <c r="MQV33" s="1688"/>
      <c r="MQW33" s="1688"/>
      <c r="MQX33" s="1688"/>
      <c r="MQY33" s="1688"/>
      <c r="MQZ33" s="1688"/>
      <c r="MRA33" s="1688"/>
      <c r="MRB33" s="1688"/>
      <c r="MRC33" s="1688"/>
      <c r="MRD33" s="1688"/>
      <c r="MRE33" s="1688"/>
      <c r="MRF33" s="1688"/>
      <c r="MRG33" s="1688"/>
      <c r="MRH33" s="1688"/>
      <c r="MRI33" s="1688"/>
      <c r="MRJ33" s="1688"/>
      <c r="MRK33" s="1688"/>
      <c r="MRL33" s="1688"/>
      <c r="MRM33" s="1688"/>
      <c r="MRN33" s="1688"/>
      <c r="MRO33" s="1688"/>
      <c r="MRP33" s="1688"/>
      <c r="MRQ33" s="1688"/>
      <c r="MRR33" s="1688"/>
      <c r="MRS33" s="1688"/>
      <c r="MRT33" s="1688"/>
      <c r="MRU33" s="1688"/>
      <c r="MRV33" s="1688"/>
      <c r="MRW33" s="1688"/>
      <c r="MRX33" s="1688"/>
      <c r="MRY33" s="1688"/>
      <c r="MRZ33" s="1688"/>
      <c r="MSA33" s="1688"/>
      <c r="MSB33" s="1688"/>
      <c r="MSC33" s="1688"/>
      <c r="MSD33" s="1688"/>
      <c r="MSE33" s="1688"/>
      <c r="MSF33" s="1688"/>
      <c r="MSG33" s="1688"/>
      <c r="MSH33" s="1688"/>
      <c r="MSI33" s="1688"/>
      <c r="MSJ33" s="1688"/>
      <c r="MSK33" s="1688"/>
      <c r="MSL33" s="1688"/>
      <c r="MSM33" s="1688"/>
      <c r="MSN33" s="1688"/>
      <c r="MSO33" s="1688"/>
      <c r="MSP33" s="1688"/>
      <c r="MSQ33" s="1688"/>
      <c r="MSR33" s="1688"/>
      <c r="MSS33" s="1688"/>
      <c r="MST33" s="1688"/>
      <c r="MSU33" s="1688"/>
      <c r="MSV33" s="1688"/>
      <c r="MSW33" s="1688"/>
      <c r="MSX33" s="1688"/>
      <c r="MSY33" s="1688"/>
      <c r="MSZ33" s="1688"/>
      <c r="MTA33" s="1688"/>
      <c r="MTB33" s="1688"/>
      <c r="MTC33" s="1688"/>
      <c r="MTD33" s="1688"/>
      <c r="MTE33" s="1688"/>
      <c r="MTF33" s="1688"/>
      <c r="MTG33" s="1688"/>
      <c r="MTH33" s="1688"/>
      <c r="MTI33" s="1688"/>
      <c r="MTJ33" s="1688"/>
      <c r="MTK33" s="1688"/>
      <c r="MTL33" s="1688"/>
      <c r="MTM33" s="1688"/>
      <c r="MTN33" s="1688"/>
      <c r="MTO33" s="1688"/>
      <c r="MTP33" s="1688"/>
      <c r="MTQ33" s="1688"/>
      <c r="MTR33" s="1688"/>
      <c r="MTS33" s="1688"/>
      <c r="MTT33" s="1688"/>
      <c r="MTU33" s="1688"/>
      <c r="MTV33" s="1688"/>
      <c r="MTW33" s="1688"/>
      <c r="MTX33" s="1688"/>
      <c r="MTY33" s="1688"/>
      <c r="MTZ33" s="1688"/>
      <c r="MUA33" s="1688"/>
      <c r="MUB33" s="1688"/>
      <c r="MUC33" s="1688"/>
      <c r="MUD33" s="1688"/>
      <c r="MUE33" s="1688"/>
      <c r="MUF33" s="1688"/>
      <c r="MUG33" s="1688"/>
      <c r="MUH33" s="1688"/>
      <c r="MUI33" s="1688"/>
      <c r="MUJ33" s="1688"/>
      <c r="MUK33" s="1688"/>
      <c r="MUL33" s="1688"/>
      <c r="MUM33" s="1688"/>
      <c r="MUN33" s="1688"/>
      <c r="MUO33" s="1688"/>
      <c r="MUP33" s="1688"/>
      <c r="MUQ33" s="1688"/>
      <c r="MUR33" s="1688"/>
      <c r="MUS33" s="1688"/>
      <c r="MUT33" s="1688"/>
      <c r="MUU33" s="1688"/>
      <c r="MUV33" s="1688"/>
      <c r="MUW33" s="1688"/>
      <c r="MUX33" s="1688"/>
      <c r="MUY33" s="1688"/>
      <c r="MUZ33" s="1688"/>
      <c r="MVA33" s="1688"/>
      <c r="MVB33" s="1688"/>
      <c r="MVC33" s="1688"/>
      <c r="MVD33" s="1688"/>
      <c r="MVE33" s="1688"/>
      <c r="MVF33" s="1688"/>
      <c r="MVG33" s="1688"/>
      <c r="MVH33" s="1688"/>
      <c r="MVI33" s="1688"/>
      <c r="MVJ33" s="1688"/>
      <c r="MVK33" s="1688"/>
      <c r="MVL33" s="1688"/>
      <c r="MVM33" s="1688"/>
      <c r="MVN33" s="1688"/>
      <c r="MVO33" s="1688"/>
      <c r="MVP33" s="1688"/>
      <c r="MVQ33" s="1688"/>
      <c r="MVR33" s="1688"/>
      <c r="MVS33" s="1688"/>
      <c r="MVT33" s="1688"/>
      <c r="MVU33" s="1688"/>
      <c r="MVV33" s="1688"/>
      <c r="MVW33" s="1688"/>
      <c r="MVX33" s="1688"/>
      <c r="MVY33" s="1688"/>
      <c r="MVZ33" s="1688"/>
      <c r="MWA33" s="1688"/>
      <c r="MWB33" s="1688"/>
      <c r="MWC33" s="1688"/>
      <c r="MWD33" s="1688"/>
      <c r="MWE33" s="1688"/>
      <c r="MWF33" s="1688"/>
      <c r="MWG33" s="1688"/>
      <c r="MWH33" s="1688"/>
      <c r="MWI33" s="1688"/>
      <c r="MWJ33" s="1688"/>
      <c r="MWK33" s="1688"/>
      <c r="MWL33" s="1688"/>
      <c r="MWM33" s="1688"/>
      <c r="MWN33" s="1688"/>
      <c r="MWO33" s="1688"/>
      <c r="MWP33" s="1688"/>
      <c r="MWQ33" s="1688"/>
      <c r="MWR33" s="1688"/>
      <c r="MWS33" s="1688"/>
      <c r="MWT33" s="1688"/>
      <c r="MWU33" s="1688"/>
      <c r="MWV33" s="1688"/>
      <c r="MWW33" s="1688"/>
      <c r="MWX33" s="1688"/>
      <c r="MWY33" s="1688"/>
      <c r="MWZ33" s="1688"/>
      <c r="MXA33" s="1688"/>
      <c r="MXB33" s="1688"/>
      <c r="MXC33" s="1688"/>
      <c r="MXD33" s="1688"/>
      <c r="MXE33" s="1688"/>
      <c r="MXF33" s="1688"/>
      <c r="MXG33" s="1688"/>
      <c r="MXH33" s="1688"/>
      <c r="MXI33" s="1688"/>
      <c r="MXJ33" s="1688"/>
      <c r="MXK33" s="1688"/>
      <c r="MXL33" s="1688"/>
      <c r="MXM33" s="1688"/>
      <c r="MXN33" s="1688"/>
      <c r="MXO33" s="1688"/>
      <c r="MXP33" s="1688"/>
      <c r="MXQ33" s="1688"/>
      <c r="MXR33" s="1688"/>
      <c r="MXS33" s="1688"/>
      <c r="MXT33" s="1688"/>
      <c r="MXU33" s="1688"/>
      <c r="MXV33" s="1688"/>
      <c r="MXW33" s="1688"/>
      <c r="MXX33" s="1688"/>
      <c r="MXY33" s="1688"/>
      <c r="MXZ33" s="1688"/>
      <c r="MYA33" s="1688"/>
      <c r="MYB33" s="1688"/>
      <c r="MYC33" s="1688"/>
      <c r="MYD33" s="1688"/>
      <c r="MYE33" s="1688"/>
      <c r="MYF33" s="1688"/>
      <c r="MYG33" s="1688"/>
      <c r="MYH33" s="1688"/>
      <c r="MYI33" s="1688"/>
      <c r="MYJ33" s="1688"/>
      <c r="MYK33" s="1688"/>
      <c r="MYL33" s="1688"/>
      <c r="MYM33" s="1688"/>
      <c r="MYN33" s="1688"/>
      <c r="MYO33" s="1688"/>
      <c r="MYP33" s="1688"/>
      <c r="MYQ33" s="1688"/>
      <c r="MYR33" s="1688"/>
      <c r="MYS33" s="1688"/>
      <c r="MYT33" s="1688"/>
      <c r="MYU33" s="1688"/>
      <c r="MYV33" s="1688"/>
      <c r="MYW33" s="1688"/>
      <c r="MYX33" s="1688"/>
      <c r="MYY33" s="1688"/>
      <c r="MYZ33" s="1688"/>
      <c r="MZA33" s="1688"/>
      <c r="MZB33" s="1688"/>
      <c r="MZC33" s="1688"/>
      <c r="MZD33" s="1688"/>
      <c r="MZE33" s="1688"/>
      <c r="MZF33" s="1688"/>
      <c r="MZG33" s="1688"/>
      <c r="MZH33" s="1688"/>
      <c r="MZI33" s="1688"/>
      <c r="MZJ33" s="1688"/>
      <c r="MZK33" s="1688"/>
      <c r="MZL33" s="1688"/>
      <c r="MZM33" s="1688"/>
      <c r="MZN33" s="1688"/>
      <c r="MZO33" s="1688"/>
      <c r="MZP33" s="1688"/>
      <c r="MZQ33" s="1688"/>
      <c r="MZR33" s="1688"/>
      <c r="MZS33" s="1688"/>
      <c r="MZT33" s="1688"/>
      <c r="MZU33" s="1688"/>
      <c r="MZV33" s="1688"/>
      <c r="MZW33" s="1688"/>
      <c r="MZX33" s="1688"/>
      <c r="MZY33" s="1688"/>
      <c r="MZZ33" s="1688"/>
      <c r="NAA33" s="1688"/>
      <c r="NAB33" s="1688"/>
      <c r="NAC33" s="1688"/>
      <c r="NAD33" s="1688"/>
      <c r="NAE33" s="1688"/>
      <c r="NAF33" s="1688"/>
      <c r="NAG33" s="1688"/>
      <c r="NAH33" s="1688"/>
      <c r="NAI33" s="1688"/>
      <c r="NAJ33" s="1688"/>
      <c r="NAK33" s="1688"/>
      <c r="NAL33" s="1688"/>
      <c r="NAM33" s="1688"/>
      <c r="NAN33" s="1688"/>
      <c r="NAO33" s="1688"/>
      <c r="NAP33" s="1688"/>
      <c r="NAQ33" s="1688"/>
      <c r="NAR33" s="1688"/>
      <c r="NAS33" s="1688"/>
      <c r="NAT33" s="1688"/>
      <c r="NAU33" s="1688"/>
      <c r="NAV33" s="1688"/>
      <c r="NAW33" s="1688"/>
      <c r="NAX33" s="1688"/>
      <c r="NAY33" s="1688"/>
      <c r="NAZ33" s="1688"/>
      <c r="NBA33" s="1688"/>
      <c r="NBB33" s="1688"/>
      <c r="NBC33" s="1688"/>
      <c r="NBD33" s="1688"/>
      <c r="NBE33" s="1688"/>
      <c r="NBF33" s="1688"/>
      <c r="NBG33" s="1688"/>
      <c r="NBH33" s="1688"/>
      <c r="NBI33" s="1688"/>
      <c r="NBJ33" s="1688"/>
      <c r="NBK33" s="1688"/>
      <c r="NBL33" s="1688"/>
      <c r="NBM33" s="1688"/>
      <c r="NBN33" s="1688"/>
      <c r="NBO33" s="1688"/>
      <c r="NBP33" s="1688"/>
      <c r="NBQ33" s="1688"/>
      <c r="NBR33" s="1688"/>
      <c r="NBS33" s="1688"/>
      <c r="NBT33" s="1688"/>
      <c r="NBU33" s="1688"/>
      <c r="NBV33" s="1688"/>
      <c r="NBW33" s="1688"/>
      <c r="NBX33" s="1688"/>
      <c r="NBY33" s="1688"/>
      <c r="NBZ33" s="1688"/>
      <c r="NCA33" s="1688"/>
      <c r="NCB33" s="1688"/>
      <c r="NCC33" s="1688"/>
      <c r="NCD33" s="1688"/>
      <c r="NCE33" s="1688"/>
      <c r="NCF33" s="1688"/>
      <c r="NCG33" s="1688"/>
      <c r="NCH33" s="1688"/>
      <c r="NCI33" s="1688"/>
      <c r="NCJ33" s="1688"/>
      <c r="NCK33" s="1688"/>
      <c r="NCL33" s="1688"/>
      <c r="NCM33" s="1688"/>
      <c r="NCN33" s="1688"/>
      <c r="NCO33" s="1688"/>
      <c r="NCP33" s="1688"/>
      <c r="NCQ33" s="1688"/>
      <c r="NCR33" s="1688"/>
      <c r="NCS33" s="1688"/>
      <c r="NCT33" s="1688"/>
      <c r="NCU33" s="1688"/>
      <c r="NCV33" s="1688"/>
      <c r="NCW33" s="1688"/>
      <c r="NCX33" s="1688"/>
      <c r="NCY33" s="1688"/>
      <c r="NCZ33" s="1688"/>
      <c r="NDA33" s="1688"/>
      <c r="NDB33" s="1688"/>
      <c r="NDC33" s="1688"/>
      <c r="NDD33" s="1688"/>
      <c r="NDE33" s="1688"/>
      <c r="NDF33" s="1688"/>
      <c r="NDG33" s="1688"/>
      <c r="NDH33" s="1688"/>
      <c r="NDI33" s="1688"/>
      <c r="NDJ33" s="1688"/>
      <c r="NDK33" s="1688"/>
      <c r="NDL33" s="1688"/>
      <c r="NDM33" s="1688"/>
      <c r="NDN33" s="1688"/>
      <c r="NDO33" s="1688"/>
      <c r="NDP33" s="1688"/>
      <c r="NDQ33" s="1688"/>
      <c r="NDR33" s="1688"/>
      <c r="NDS33" s="1688"/>
      <c r="NDT33" s="1688"/>
      <c r="NDU33" s="1688"/>
      <c r="NDV33" s="1688"/>
      <c r="NDW33" s="1688"/>
      <c r="NDX33" s="1688"/>
      <c r="NDY33" s="1688"/>
      <c r="NDZ33" s="1688"/>
      <c r="NEA33" s="1688"/>
      <c r="NEB33" s="1688"/>
      <c r="NEC33" s="1688"/>
      <c r="NED33" s="1688"/>
      <c r="NEE33" s="1688"/>
      <c r="NEF33" s="1688"/>
      <c r="NEG33" s="1688"/>
      <c r="NEH33" s="1688"/>
      <c r="NEI33" s="1688"/>
      <c r="NEJ33" s="1688"/>
      <c r="NEK33" s="1688"/>
      <c r="NEL33" s="1688"/>
      <c r="NEM33" s="1688"/>
      <c r="NEN33" s="1688"/>
      <c r="NEO33" s="1688"/>
      <c r="NEP33" s="1688"/>
      <c r="NEQ33" s="1688"/>
      <c r="NER33" s="1688"/>
      <c r="NES33" s="1688"/>
      <c r="NET33" s="1688"/>
      <c r="NEU33" s="1688"/>
      <c r="NEV33" s="1688"/>
      <c r="NEW33" s="1688"/>
      <c r="NEX33" s="1688"/>
      <c r="NEY33" s="1688"/>
      <c r="NEZ33" s="1688"/>
      <c r="NFA33" s="1688"/>
      <c r="NFB33" s="1688"/>
      <c r="NFC33" s="1688"/>
      <c r="NFD33" s="1688"/>
      <c r="NFE33" s="1688"/>
      <c r="NFF33" s="1688"/>
      <c r="NFG33" s="1688"/>
      <c r="NFH33" s="1688"/>
      <c r="NFI33" s="1688"/>
      <c r="NFJ33" s="1688"/>
      <c r="NFK33" s="1688"/>
      <c r="NFL33" s="1688"/>
      <c r="NFM33" s="1688"/>
      <c r="NFN33" s="1688"/>
      <c r="NFO33" s="1688"/>
      <c r="NFP33" s="1688"/>
      <c r="NFQ33" s="1688"/>
      <c r="NFR33" s="1688"/>
      <c r="NFS33" s="1688"/>
      <c r="NFT33" s="1688"/>
      <c r="NFU33" s="1688"/>
      <c r="NFV33" s="1688"/>
      <c r="NFW33" s="1688"/>
      <c r="NFX33" s="1688"/>
      <c r="NFY33" s="1688"/>
      <c r="NFZ33" s="1688"/>
      <c r="NGA33" s="1688"/>
      <c r="NGB33" s="1688"/>
      <c r="NGC33" s="1688"/>
      <c r="NGD33" s="1688"/>
      <c r="NGE33" s="1688"/>
      <c r="NGF33" s="1688"/>
      <c r="NGG33" s="1688"/>
      <c r="NGH33" s="1688"/>
      <c r="NGI33" s="1688"/>
      <c r="NGJ33" s="1688"/>
      <c r="NGK33" s="1688"/>
      <c r="NGL33" s="1688"/>
      <c r="NGM33" s="1688"/>
      <c r="NGN33" s="1688"/>
      <c r="NGO33" s="1688"/>
      <c r="NGP33" s="1688"/>
      <c r="NGQ33" s="1688"/>
      <c r="NGR33" s="1688"/>
      <c r="NGS33" s="1688"/>
      <c r="NGT33" s="1688"/>
      <c r="NGU33" s="1688"/>
      <c r="NGV33" s="1688"/>
      <c r="NGW33" s="1688"/>
      <c r="NGX33" s="1688"/>
      <c r="NGY33" s="1688"/>
      <c r="NGZ33" s="1688"/>
      <c r="NHA33" s="1688"/>
      <c r="NHB33" s="1688"/>
      <c r="NHC33" s="1688"/>
      <c r="NHD33" s="1688"/>
      <c r="NHE33" s="1688"/>
      <c r="NHF33" s="1688"/>
      <c r="NHG33" s="1688"/>
      <c r="NHH33" s="1688"/>
      <c r="NHI33" s="1688"/>
      <c r="NHJ33" s="1688"/>
      <c r="NHK33" s="1688"/>
      <c r="NHL33" s="1688"/>
      <c r="NHM33" s="1688"/>
      <c r="NHN33" s="1688"/>
      <c r="NHO33" s="1688"/>
      <c r="NHP33" s="1688"/>
      <c r="NHQ33" s="1688"/>
      <c r="NHR33" s="1688"/>
      <c r="NHS33" s="1688"/>
      <c r="NHT33" s="1688"/>
      <c r="NHU33" s="1688"/>
      <c r="NHV33" s="1688"/>
      <c r="NHW33" s="1688"/>
      <c r="NHX33" s="1688"/>
      <c r="NHY33" s="1688"/>
      <c r="NHZ33" s="1688"/>
      <c r="NIA33" s="1688"/>
      <c r="NIB33" s="1688"/>
      <c r="NIC33" s="1688"/>
      <c r="NID33" s="1688"/>
      <c r="NIE33" s="1688"/>
      <c r="NIF33" s="1688"/>
      <c r="NIG33" s="1688"/>
      <c r="NIH33" s="1688"/>
      <c r="NII33" s="1688"/>
      <c r="NIJ33" s="1688"/>
      <c r="NIK33" s="1688"/>
      <c r="NIL33" s="1688"/>
      <c r="NIM33" s="1688"/>
      <c r="NIN33" s="1688"/>
      <c r="NIO33" s="1688"/>
      <c r="NIP33" s="1688"/>
      <c r="NIQ33" s="1688"/>
      <c r="NIR33" s="1688"/>
      <c r="NIS33" s="1688"/>
      <c r="NIT33" s="1688"/>
      <c r="NIU33" s="1688"/>
      <c r="NIV33" s="1688"/>
      <c r="NIW33" s="1688"/>
      <c r="NIX33" s="1688"/>
      <c r="NIY33" s="1688"/>
      <c r="NIZ33" s="1688"/>
      <c r="NJA33" s="1688"/>
      <c r="NJB33" s="1688"/>
      <c r="NJC33" s="1688"/>
      <c r="NJD33" s="1688"/>
      <c r="NJE33" s="1688"/>
      <c r="NJF33" s="1688"/>
      <c r="NJG33" s="1688"/>
      <c r="NJH33" s="1688"/>
      <c r="NJI33" s="1688"/>
      <c r="NJJ33" s="1688"/>
      <c r="NJK33" s="1688"/>
      <c r="NJL33" s="1688"/>
      <c r="NJM33" s="1688"/>
      <c r="NJN33" s="1688"/>
      <c r="NJO33" s="1688"/>
      <c r="NJP33" s="1688"/>
      <c r="NJQ33" s="1688"/>
      <c r="NJR33" s="1688"/>
      <c r="NJS33" s="1688"/>
      <c r="NJT33" s="1688"/>
      <c r="NJU33" s="1688"/>
      <c r="NJV33" s="1688"/>
      <c r="NJW33" s="1688"/>
      <c r="NJX33" s="1688"/>
      <c r="NJY33" s="1688"/>
      <c r="NJZ33" s="1688"/>
      <c r="NKA33" s="1688"/>
      <c r="NKB33" s="1688"/>
      <c r="NKC33" s="1688"/>
      <c r="NKD33" s="1688"/>
      <c r="NKE33" s="1688"/>
      <c r="NKF33" s="1688"/>
      <c r="NKG33" s="1688"/>
      <c r="NKH33" s="1688"/>
      <c r="NKI33" s="1688"/>
      <c r="NKJ33" s="1688"/>
      <c r="NKK33" s="1688"/>
      <c r="NKL33" s="1688"/>
      <c r="NKM33" s="1688"/>
      <c r="NKN33" s="1688"/>
      <c r="NKO33" s="1688"/>
      <c r="NKP33" s="1688"/>
      <c r="NKQ33" s="1688"/>
      <c r="NKR33" s="1688"/>
      <c r="NKS33" s="1688"/>
      <c r="NKT33" s="1688"/>
      <c r="NKU33" s="1688"/>
      <c r="NKV33" s="1688"/>
      <c r="NKW33" s="1688"/>
      <c r="NKX33" s="1688"/>
      <c r="NKY33" s="1688"/>
      <c r="NKZ33" s="1688"/>
      <c r="NLA33" s="1688"/>
      <c r="NLB33" s="1688"/>
      <c r="NLC33" s="1688"/>
      <c r="NLD33" s="1688"/>
      <c r="NLE33" s="1688"/>
      <c r="NLF33" s="1688"/>
      <c r="NLG33" s="1688"/>
      <c r="NLH33" s="1688"/>
      <c r="NLI33" s="1688"/>
      <c r="NLJ33" s="1688"/>
      <c r="NLK33" s="1688"/>
      <c r="NLL33" s="1688"/>
      <c r="NLM33" s="1688"/>
      <c r="NLN33" s="1688"/>
      <c r="NLO33" s="1688"/>
      <c r="NLP33" s="1688"/>
      <c r="NLQ33" s="1688"/>
      <c r="NLR33" s="1688"/>
      <c r="NLS33" s="1688"/>
      <c r="NLT33" s="1688"/>
      <c r="NLU33" s="1688"/>
      <c r="NLV33" s="1688"/>
      <c r="NLW33" s="1688"/>
      <c r="NLX33" s="1688"/>
      <c r="NLY33" s="1688"/>
      <c r="NLZ33" s="1688"/>
      <c r="NMA33" s="1688"/>
      <c r="NMB33" s="1688"/>
      <c r="NMC33" s="1688"/>
      <c r="NMD33" s="1688"/>
      <c r="NME33" s="1688"/>
      <c r="NMF33" s="1688"/>
      <c r="NMG33" s="1688"/>
      <c r="NMH33" s="1688"/>
      <c r="NMI33" s="1688"/>
      <c r="NMJ33" s="1688"/>
      <c r="NMK33" s="1688"/>
      <c r="NML33" s="1688"/>
      <c r="NMM33" s="1688"/>
      <c r="NMN33" s="1688"/>
      <c r="NMO33" s="1688"/>
      <c r="NMP33" s="1688"/>
      <c r="NMQ33" s="1688"/>
      <c r="NMR33" s="1688"/>
      <c r="NMS33" s="1688"/>
      <c r="NMT33" s="1688"/>
      <c r="NMU33" s="1688"/>
      <c r="NMV33" s="1688"/>
      <c r="NMW33" s="1688"/>
      <c r="NMX33" s="1688"/>
      <c r="NMY33" s="1688"/>
      <c r="NMZ33" s="1688"/>
      <c r="NNA33" s="1688"/>
      <c r="NNB33" s="1688"/>
      <c r="NNC33" s="1688"/>
      <c r="NND33" s="1688"/>
      <c r="NNE33" s="1688"/>
      <c r="NNF33" s="1688"/>
      <c r="NNG33" s="1688"/>
      <c r="NNH33" s="1688"/>
      <c r="NNI33" s="1688"/>
      <c r="NNJ33" s="1688"/>
      <c r="NNK33" s="1688"/>
      <c r="NNL33" s="1688"/>
      <c r="NNM33" s="1688"/>
      <c r="NNN33" s="1688"/>
      <c r="NNO33" s="1688"/>
      <c r="NNP33" s="1688"/>
      <c r="NNQ33" s="1688"/>
      <c r="NNR33" s="1688"/>
      <c r="NNS33" s="1688"/>
      <c r="NNT33" s="1688"/>
      <c r="NNU33" s="1688"/>
      <c r="NNV33" s="1688"/>
      <c r="NNW33" s="1688"/>
      <c r="NNX33" s="1688"/>
      <c r="NNY33" s="1688"/>
      <c r="NNZ33" s="1688"/>
      <c r="NOA33" s="1688"/>
      <c r="NOB33" s="1688"/>
      <c r="NOC33" s="1688"/>
      <c r="NOD33" s="1688"/>
      <c r="NOE33" s="1688"/>
      <c r="NOF33" s="1688"/>
      <c r="NOG33" s="1688"/>
      <c r="NOH33" s="1688"/>
      <c r="NOI33" s="1688"/>
      <c r="NOJ33" s="1688"/>
      <c r="NOK33" s="1688"/>
      <c r="NOL33" s="1688"/>
      <c r="NOM33" s="1688"/>
      <c r="NON33" s="1688"/>
      <c r="NOO33" s="1688"/>
      <c r="NOP33" s="1688"/>
      <c r="NOQ33" s="1688"/>
      <c r="NOR33" s="1688"/>
      <c r="NOS33" s="1688"/>
      <c r="NOT33" s="1688"/>
      <c r="NOU33" s="1688"/>
      <c r="NOV33" s="1688"/>
      <c r="NOW33" s="1688"/>
      <c r="NOX33" s="1688"/>
      <c r="NOY33" s="1688"/>
      <c r="NOZ33" s="1688"/>
      <c r="NPA33" s="1688"/>
      <c r="NPB33" s="1688"/>
      <c r="NPC33" s="1688"/>
      <c r="NPD33" s="1688"/>
      <c r="NPE33" s="1688"/>
      <c r="NPF33" s="1688"/>
      <c r="NPG33" s="1688"/>
      <c r="NPH33" s="1688"/>
      <c r="NPI33" s="1688"/>
      <c r="NPJ33" s="1688"/>
      <c r="NPK33" s="1688"/>
      <c r="NPL33" s="1688"/>
      <c r="NPM33" s="1688"/>
      <c r="NPN33" s="1688"/>
      <c r="NPO33" s="1688"/>
      <c r="NPP33" s="1688"/>
      <c r="NPQ33" s="1688"/>
      <c r="NPR33" s="1688"/>
      <c r="NPS33" s="1688"/>
      <c r="NPT33" s="1688"/>
      <c r="NPU33" s="1688"/>
      <c r="NPV33" s="1688"/>
      <c r="NPW33" s="1688"/>
      <c r="NPX33" s="1688"/>
      <c r="NPY33" s="1688"/>
      <c r="NPZ33" s="1688"/>
      <c r="NQA33" s="1688"/>
      <c r="NQB33" s="1688"/>
      <c r="NQC33" s="1688"/>
      <c r="NQD33" s="1688"/>
      <c r="NQE33" s="1688"/>
      <c r="NQF33" s="1688"/>
      <c r="NQG33" s="1688"/>
      <c r="NQH33" s="1688"/>
      <c r="NQI33" s="1688"/>
      <c r="NQJ33" s="1688"/>
      <c r="NQK33" s="1688"/>
      <c r="NQL33" s="1688"/>
      <c r="NQM33" s="1688"/>
      <c r="NQN33" s="1688"/>
      <c r="NQO33" s="1688"/>
      <c r="NQP33" s="1688"/>
      <c r="NQQ33" s="1688"/>
      <c r="NQR33" s="1688"/>
      <c r="NQS33" s="1688"/>
      <c r="NQT33" s="1688"/>
      <c r="NQU33" s="1688"/>
      <c r="NQV33" s="1688"/>
      <c r="NQW33" s="1688"/>
      <c r="NQX33" s="1688"/>
      <c r="NQY33" s="1688"/>
      <c r="NQZ33" s="1688"/>
      <c r="NRA33" s="1688"/>
      <c r="NRB33" s="1688"/>
      <c r="NRC33" s="1688"/>
      <c r="NRD33" s="1688"/>
      <c r="NRE33" s="1688"/>
      <c r="NRF33" s="1688"/>
      <c r="NRG33" s="1688"/>
      <c r="NRH33" s="1688"/>
      <c r="NRI33" s="1688"/>
      <c r="NRJ33" s="1688"/>
      <c r="NRK33" s="1688"/>
      <c r="NRL33" s="1688"/>
      <c r="NRM33" s="1688"/>
      <c r="NRN33" s="1688"/>
      <c r="NRO33" s="1688"/>
      <c r="NRP33" s="1688"/>
      <c r="NRQ33" s="1688"/>
      <c r="NRR33" s="1688"/>
      <c r="NRS33" s="1688"/>
      <c r="NRT33" s="1688"/>
      <c r="NRU33" s="1688"/>
      <c r="NRV33" s="1688"/>
      <c r="NRW33" s="1688"/>
      <c r="NRX33" s="1688"/>
      <c r="NRY33" s="1688"/>
      <c r="NRZ33" s="1688"/>
      <c r="NSA33" s="1688"/>
      <c r="NSB33" s="1688"/>
      <c r="NSC33" s="1688"/>
      <c r="NSD33" s="1688"/>
      <c r="NSE33" s="1688"/>
      <c r="NSF33" s="1688"/>
      <c r="NSG33" s="1688"/>
      <c r="NSH33" s="1688"/>
      <c r="NSI33" s="1688"/>
      <c r="NSJ33" s="1688"/>
      <c r="NSK33" s="1688"/>
      <c r="NSL33" s="1688"/>
      <c r="NSM33" s="1688"/>
      <c r="NSN33" s="1688"/>
      <c r="NSO33" s="1688"/>
      <c r="NSP33" s="1688"/>
      <c r="NSQ33" s="1688"/>
      <c r="NSR33" s="1688"/>
      <c r="NSS33" s="1688"/>
      <c r="NST33" s="1688"/>
      <c r="NSU33" s="1688"/>
      <c r="NSV33" s="1688"/>
      <c r="NSW33" s="1688"/>
      <c r="NSX33" s="1688"/>
      <c r="NSY33" s="1688"/>
      <c r="NSZ33" s="1688"/>
      <c r="NTA33" s="1688"/>
      <c r="NTB33" s="1688"/>
      <c r="NTC33" s="1688"/>
      <c r="NTD33" s="1688"/>
      <c r="NTE33" s="1688"/>
      <c r="NTF33" s="1688"/>
      <c r="NTG33" s="1688"/>
      <c r="NTH33" s="1688"/>
      <c r="NTI33" s="1688"/>
      <c r="NTJ33" s="1688"/>
      <c r="NTK33" s="1688"/>
      <c r="NTL33" s="1688"/>
      <c r="NTM33" s="1688"/>
      <c r="NTN33" s="1688"/>
      <c r="NTO33" s="1688"/>
      <c r="NTP33" s="1688"/>
      <c r="NTQ33" s="1688"/>
      <c r="NTR33" s="1688"/>
      <c r="NTS33" s="1688"/>
      <c r="NTT33" s="1688"/>
      <c r="NTU33" s="1688"/>
      <c r="NTV33" s="1688"/>
      <c r="NTW33" s="1688"/>
      <c r="NTX33" s="1688"/>
      <c r="NTY33" s="1688"/>
      <c r="NTZ33" s="1688"/>
      <c r="NUA33" s="1688"/>
      <c r="NUB33" s="1688"/>
      <c r="NUC33" s="1688"/>
      <c r="NUD33" s="1688"/>
      <c r="NUE33" s="1688"/>
      <c r="NUF33" s="1688"/>
      <c r="NUG33" s="1688"/>
      <c r="NUH33" s="1688"/>
      <c r="NUI33" s="1688"/>
      <c r="NUJ33" s="1688"/>
      <c r="NUK33" s="1688"/>
      <c r="NUL33" s="1688"/>
      <c r="NUM33" s="1688"/>
      <c r="NUN33" s="1688"/>
      <c r="NUO33" s="1688"/>
      <c r="NUP33" s="1688"/>
      <c r="NUQ33" s="1688"/>
      <c r="NUR33" s="1688"/>
      <c r="NUS33" s="1688"/>
      <c r="NUT33" s="1688"/>
      <c r="NUU33" s="1688"/>
      <c r="NUV33" s="1688"/>
      <c r="NUW33" s="1688"/>
      <c r="NUX33" s="1688"/>
      <c r="NUY33" s="1688"/>
      <c r="NUZ33" s="1688"/>
      <c r="NVA33" s="1688"/>
      <c r="NVB33" s="1688"/>
      <c r="NVC33" s="1688"/>
      <c r="NVD33" s="1688"/>
      <c r="NVE33" s="1688"/>
      <c r="NVF33" s="1688"/>
      <c r="NVG33" s="1688"/>
      <c r="NVH33" s="1688"/>
      <c r="NVI33" s="1688"/>
      <c r="NVJ33" s="1688"/>
      <c r="NVK33" s="1688"/>
      <c r="NVL33" s="1688"/>
      <c r="NVM33" s="1688"/>
      <c r="NVN33" s="1688"/>
      <c r="NVO33" s="1688"/>
      <c r="NVP33" s="1688"/>
      <c r="NVQ33" s="1688"/>
      <c r="NVR33" s="1688"/>
      <c r="NVS33" s="1688"/>
      <c r="NVT33" s="1688"/>
      <c r="NVU33" s="1688"/>
      <c r="NVV33" s="1688"/>
      <c r="NVW33" s="1688"/>
      <c r="NVX33" s="1688"/>
      <c r="NVY33" s="1688"/>
      <c r="NVZ33" s="1688"/>
      <c r="NWA33" s="1688"/>
      <c r="NWB33" s="1688"/>
      <c r="NWC33" s="1688"/>
      <c r="NWD33" s="1688"/>
      <c r="NWE33" s="1688"/>
      <c r="NWF33" s="1688"/>
      <c r="NWG33" s="1688"/>
      <c r="NWH33" s="1688"/>
      <c r="NWI33" s="1688"/>
      <c r="NWJ33" s="1688"/>
      <c r="NWK33" s="1688"/>
      <c r="NWL33" s="1688"/>
      <c r="NWM33" s="1688"/>
      <c r="NWN33" s="1688"/>
      <c r="NWO33" s="1688"/>
      <c r="NWP33" s="1688"/>
      <c r="NWQ33" s="1688"/>
      <c r="NWR33" s="1688"/>
      <c r="NWS33" s="1688"/>
      <c r="NWT33" s="1688"/>
      <c r="NWU33" s="1688"/>
      <c r="NWV33" s="1688"/>
      <c r="NWW33" s="1688"/>
      <c r="NWX33" s="1688"/>
      <c r="NWY33" s="1688"/>
      <c r="NWZ33" s="1688"/>
      <c r="NXA33" s="1688"/>
      <c r="NXB33" s="1688"/>
      <c r="NXC33" s="1688"/>
      <c r="NXD33" s="1688"/>
      <c r="NXE33" s="1688"/>
      <c r="NXF33" s="1688"/>
      <c r="NXG33" s="1688"/>
      <c r="NXH33" s="1688"/>
      <c r="NXI33" s="1688"/>
      <c r="NXJ33" s="1688"/>
      <c r="NXK33" s="1688"/>
      <c r="NXL33" s="1688"/>
      <c r="NXM33" s="1688"/>
      <c r="NXN33" s="1688"/>
      <c r="NXO33" s="1688"/>
      <c r="NXP33" s="1688"/>
      <c r="NXQ33" s="1688"/>
      <c r="NXR33" s="1688"/>
      <c r="NXS33" s="1688"/>
      <c r="NXT33" s="1688"/>
      <c r="NXU33" s="1688"/>
      <c r="NXV33" s="1688"/>
      <c r="NXW33" s="1688"/>
      <c r="NXX33" s="1688"/>
      <c r="NXY33" s="1688"/>
      <c r="NXZ33" s="1688"/>
      <c r="NYA33" s="1688"/>
      <c r="NYB33" s="1688"/>
      <c r="NYC33" s="1688"/>
      <c r="NYD33" s="1688"/>
      <c r="NYE33" s="1688"/>
      <c r="NYF33" s="1688"/>
      <c r="NYG33" s="1688"/>
      <c r="NYH33" s="1688"/>
      <c r="NYI33" s="1688"/>
      <c r="NYJ33" s="1688"/>
      <c r="NYK33" s="1688"/>
      <c r="NYL33" s="1688"/>
      <c r="NYM33" s="1688"/>
      <c r="NYN33" s="1688"/>
      <c r="NYO33" s="1688"/>
      <c r="NYP33" s="1688"/>
      <c r="NYQ33" s="1688"/>
      <c r="NYR33" s="1688"/>
      <c r="NYS33" s="1688"/>
      <c r="NYT33" s="1688"/>
      <c r="NYU33" s="1688"/>
      <c r="NYV33" s="1688"/>
      <c r="NYW33" s="1688"/>
      <c r="NYX33" s="1688"/>
      <c r="NYY33" s="1688"/>
      <c r="NYZ33" s="1688"/>
      <c r="NZA33" s="1688"/>
      <c r="NZB33" s="1688"/>
      <c r="NZC33" s="1688"/>
      <c r="NZD33" s="1688"/>
      <c r="NZE33" s="1688"/>
      <c r="NZF33" s="1688"/>
      <c r="NZG33" s="1688"/>
      <c r="NZH33" s="1688"/>
      <c r="NZI33" s="1688"/>
      <c r="NZJ33" s="1688"/>
      <c r="NZK33" s="1688"/>
      <c r="NZL33" s="1688"/>
      <c r="NZM33" s="1688"/>
      <c r="NZN33" s="1688"/>
      <c r="NZO33" s="1688"/>
      <c r="NZP33" s="1688"/>
      <c r="NZQ33" s="1688"/>
      <c r="NZR33" s="1688"/>
      <c r="NZS33" s="1688"/>
      <c r="NZT33" s="1688"/>
      <c r="NZU33" s="1688"/>
      <c r="NZV33" s="1688"/>
      <c r="NZW33" s="1688"/>
      <c r="NZX33" s="1688"/>
      <c r="NZY33" s="1688"/>
      <c r="NZZ33" s="1688"/>
      <c r="OAA33" s="1688"/>
      <c r="OAB33" s="1688"/>
      <c r="OAC33" s="1688"/>
      <c r="OAD33" s="1688"/>
      <c r="OAE33" s="1688"/>
      <c r="OAF33" s="1688"/>
      <c r="OAG33" s="1688"/>
      <c r="OAH33" s="1688"/>
      <c r="OAI33" s="1688"/>
      <c r="OAJ33" s="1688"/>
      <c r="OAK33" s="1688"/>
      <c r="OAL33" s="1688"/>
      <c r="OAM33" s="1688"/>
      <c r="OAN33" s="1688"/>
      <c r="OAO33" s="1688"/>
      <c r="OAP33" s="1688"/>
      <c r="OAQ33" s="1688"/>
      <c r="OAR33" s="1688"/>
      <c r="OAS33" s="1688"/>
      <c r="OAT33" s="1688"/>
      <c r="OAU33" s="1688"/>
      <c r="OAV33" s="1688"/>
      <c r="OAW33" s="1688"/>
      <c r="OAX33" s="1688"/>
      <c r="OAY33" s="1688"/>
      <c r="OAZ33" s="1688"/>
      <c r="OBA33" s="1688"/>
      <c r="OBB33" s="1688"/>
      <c r="OBC33" s="1688"/>
      <c r="OBD33" s="1688"/>
      <c r="OBE33" s="1688"/>
      <c r="OBF33" s="1688"/>
      <c r="OBG33" s="1688"/>
      <c r="OBH33" s="1688"/>
      <c r="OBI33" s="1688"/>
      <c r="OBJ33" s="1688"/>
      <c r="OBK33" s="1688"/>
      <c r="OBL33" s="1688"/>
      <c r="OBM33" s="1688"/>
      <c r="OBN33" s="1688"/>
      <c r="OBO33" s="1688"/>
      <c r="OBP33" s="1688"/>
      <c r="OBQ33" s="1688"/>
      <c r="OBR33" s="1688"/>
      <c r="OBS33" s="1688"/>
      <c r="OBT33" s="1688"/>
      <c r="OBU33" s="1688"/>
      <c r="OBV33" s="1688"/>
      <c r="OBW33" s="1688"/>
      <c r="OBX33" s="1688"/>
      <c r="OBY33" s="1688"/>
      <c r="OBZ33" s="1688"/>
      <c r="OCA33" s="1688"/>
      <c r="OCB33" s="1688"/>
      <c r="OCC33" s="1688"/>
      <c r="OCD33" s="1688"/>
      <c r="OCE33" s="1688"/>
      <c r="OCF33" s="1688"/>
      <c r="OCG33" s="1688"/>
      <c r="OCH33" s="1688"/>
      <c r="OCI33" s="1688"/>
      <c r="OCJ33" s="1688"/>
      <c r="OCK33" s="1688"/>
      <c r="OCL33" s="1688"/>
      <c r="OCM33" s="1688"/>
      <c r="OCN33" s="1688"/>
      <c r="OCO33" s="1688"/>
      <c r="OCP33" s="1688"/>
      <c r="OCQ33" s="1688"/>
      <c r="OCR33" s="1688"/>
      <c r="OCS33" s="1688"/>
      <c r="OCT33" s="1688"/>
      <c r="OCU33" s="1688"/>
      <c r="OCV33" s="1688"/>
      <c r="OCW33" s="1688"/>
      <c r="OCX33" s="1688"/>
      <c r="OCY33" s="1688"/>
      <c r="OCZ33" s="1688"/>
      <c r="ODA33" s="1688"/>
      <c r="ODB33" s="1688"/>
      <c r="ODC33" s="1688"/>
      <c r="ODD33" s="1688"/>
      <c r="ODE33" s="1688"/>
      <c r="ODF33" s="1688"/>
      <c r="ODG33" s="1688"/>
      <c r="ODH33" s="1688"/>
      <c r="ODI33" s="1688"/>
      <c r="ODJ33" s="1688"/>
      <c r="ODK33" s="1688"/>
      <c r="ODL33" s="1688"/>
      <c r="ODM33" s="1688"/>
      <c r="ODN33" s="1688"/>
      <c r="ODO33" s="1688"/>
      <c r="ODP33" s="1688"/>
      <c r="ODQ33" s="1688"/>
      <c r="ODR33" s="1688"/>
      <c r="ODS33" s="1688"/>
      <c r="ODT33" s="1688"/>
      <c r="ODU33" s="1688"/>
      <c r="ODV33" s="1688"/>
      <c r="ODW33" s="1688"/>
      <c r="ODX33" s="1688"/>
      <c r="ODY33" s="1688"/>
      <c r="ODZ33" s="1688"/>
      <c r="OEA33" s="1688"/>
      <c r="OEB33" s="1688"/>
      <c r="OEC33" s="1688"/>
      <c r="OED33" s="1688"/>
      <c r="OEE33" s="1688"/>
      <c r="OEF33" s="1688"/>
      <c r="OEG33" s="1688"/>
      <c r="OEH33" s="1688"/>
      <c r="OEI33" s="1688"/>
      <c r="OEJ33" s="1688"/>
      <c r="OEK33" s="1688"/>
      <c r="OEL33" s="1688"/>
      <c r="OEM33" s="1688"/>
      <c r="OEN33" s="1688"/>
      <c r="OEO33" s="1688"/>
      <c r="OEP33" s="1688"/>
      <c r="OEQ33" s="1688"/>
      <c r="OER33" s="1688"/>
      <c r="OES33" s="1688"/>
      <c r="OET33" s="1688"/>
      <c r="OEU33" s="1688"/>
      <c r="OEV33" s="1688"/>
      <c r="OEW33" s="1688"/>
      <c r="OEX33" s="1688"/>
      <c r="OEY33" s="1688"/>
      <c r="OEZ33" s="1688"/>
      <c r="OFA33" s="1688"/>
      <c r="OFB33" s="1688"/>
      <c r="OFC33" s="1688"/>
      <c r="OFD33" s="1688"/>
      <c r="OFE33" s="1688"/>
      <c r="OFF33" s="1688"/>
      <c r="OFG33" s="1688"/>
      <c r="OFH33" s="1688"/>
      <c r="OFI33" s="1688"/>
      <c r="OFJ33" s="1688"/>
      <c r="OFK33" s="1688"/>
      <c r="OFL33" s="1688"/>
      <c r="OFM33" s="1688"/>
      <c r="OFN33" s="1688"/>
      <c r="OFO33" s="1688"/>
      <c r="OFP33" s="1688"/>
      <c r="OFQ33" s="1688"/>
      <c r="OFR33" s="1688"/>
      <c r="OFS33" s="1688"/>
      <c r="OFT33" s="1688"/>
      <c r="OFU33" s="1688"/>
      <c r="OFV33" s="1688"/>
      <c r="OFW33" s="1688"/>
      <c r="OFX33" s="1688"/>
      <c r="OFY33" s="1688"/>
      <c r="OFZ33" s="1688"/>
      <c r="OGA33" s="1688"/>
      <c r="OGB33" s="1688"/>
      <c r="OGC33" s="1688"/>
      <c r="OGD33" s="1688"/>
      <c r="OGE33" s="1688"/>
      <c r="OGF33" s="1688"/>
      <c r="OGG33" s="1688"/>
      <c r="OGH33" s="1688"/>
      <c r="OGI33" s="1688"/>
      <c r="OGJ33" s="1688"/>
      <c r="OGK33" s="1688"/>
      <c r="OGL33" s="1688"/>
      <c r="OGM33" s="1688"/>
      <c r="OGN33" s="1688"/>
      <c r="OGO33" s="1688"/>
      <c r="OGP33" s="1688"/>
      <c r="OGQ33" s="1688"/>
      <c r="OGR33" s="1688"/>
      <c r="OGS33" s="1688"/>
      <c r="OGT33" s="1688"/>
      <c r="OGU33" s="1688"/>
      <c r="OGV33" s="1688"/>
      <c r="OGW33" s="1688"/>
      <c r="OGX33" s="1688"/>
      <c r="OGY33" s="1688"/>
      <c r="OGZ33" s="1688"/>
      <c r="OHA33" s="1688"/>
      <c r="OHB33" s="1688"/>
      <c r="OHC33" s="1688"/>
      <c r="OHD33" s="1688"/>
      <c r="OHE33" s="1688"/>
      <c r="OHF33" s="1688"/>
      <c r="OHG33" s="1688"/>
      <c r="OHH33" s="1688"/>
      <c r="OHI33" s="1688"/>
      <c r="OHJ33" s="1688"/>
      <c r="OHK33" s="1688"/>
      <c r="OHL33" s="1688"/>
      <c r="OHM33" s="1688"/>
      <c r="OHN33" s="1688"/>
      <c r="OHO33" s="1688"/>
      <c r="OHP33" s="1688"/>
      <c r="OHQ33" s="1688"/>
      <c r="OHR33" s="1688"/>
      <c r="OHS33" s="1688"/>
      <c r="OHT33" s="1688"/>
      <c r="OHU33" s="1688"/>
      <c r="OHV33" s="1688"/>
      <c r="OHW33" s="1688"/>
      <c r="OHX33" s="1688"/>
      <c r="OHY33" s="1688"/>
      <c r="OHZ33" s="1688"/>
      <c r="OIA33" s="1688"/>
      <c r="OIB33" s="1688"/>
      <c r="OIC33" s="1688"/>
      <c r="OID33" s="1688"/>
      <c r="OIE33" s="1688"/>
      <c r="OIF33" s="1688"/>
      <c r="OIG33" s="1688"/>
      <c r="OIH33" s="1688"/>
      <c r="OII33" s="1688"/>
      <c r="OIJ33" s="1688"/>
      <c r="OIK33" s="1688"/>
      <c r="OIL33" s="1688"/>
      <c r="OIM33" s="1688"/>
      <c r="OIN33" s="1688"/>
      <c r="OIO33" s="1688"/>
      <c r="OIP33" s="1688"/>
      <c r="OIQ33" s="1688"/>
      <c r="OIR33" s="1688"/>
      <c r="OIS33" s="1688"/>
      <c r="OIT33" s="1688"/>
      <c r="OIU33" s="1688"/>
      <c r="OIV33" s="1688"/>
      <c r="OIW33" s="1688"/>
      <c r="OIX33" s="1688"/>
      <c r="OIY33" s="1688"/>
      <c r="OIZ33" s="1688"/>
      <c r="OJA33" s="1688"/>
      <c r="OJB33" s="1688"/>
      <c r="OJC33" s="1688"/>
      <c r="OJD33" s="1688"/>
      <c r="OJE33" s="1688"/>
      <c r="OJF33" s="1688"/>
      <c r="OJG33" s="1688"/>
      <c r="OJH33" s="1688"/>
      <c r="OJI33" s="1688"/>
      <c r="OJJ33" s="1688"/>
      <c r="OJK33" s="1688"/>
      <c r="OJL33" s="1688"/>
      <c r="OJM33" s="1688"/>
      <c r="OJN33" s="1688"/>
      <c r="OJO33" s="1688"/>
      <c r="OJP33" s="1688"/>
      <c r="OJQ33" s="1688"/>
      <c r="OJR33" s="1688"/>
      <c r="OJS33" s="1688"/>
      <c r="OJT33" s="1688"/>
      <c r="OJU33" s="1688"/>
      <c r="OJV33" s="1688"/>
      <c r="OJW33" s="1688"/>
      <c r="OJX33" s="1688"/>
      <c r="OJY33" s="1688"/>
      <c r="OJZ33" s="1688"/>
      <c r="OKA33" s="1688"/>
      <c r="OKB33" s="1688"/>
      <c r="OKC33" s="1688"/>
      <c r="OKD33" s="1688"/>
      <c r="OKE33" s="1688"/>
      <c r="OKF33" s="1688"/>
      <c r="OKG33" s="1688"/>
      <c r="OKH33" s="1688"/>
      <c r="OKI33" s="1688"/>
      <c r="OKJ33" s="1688"/>
      <c r="OKK33" s="1688"/>
      <c r="OKL33" s="1688"/>
      <c r="OKM33" s="1688"/>
      <c r="OKN33" s="1688"/>
      <c r="OKO33" s="1688"/>
      <c r="OKP33" s="1688"/>
      <c r="OKQ33" s="1688"/>
      <c r="OKR33" s="1688"/>
      <c r="OKS33" s="1688"/>
      <c r="OKT33" s="1688"/>
      <c r="OKU33" s="1688"/>
      <c r="OKV33" s="1688"/>
      <c r="OKW33" s="1688"/>
      <c r="OKX33" s="1688"/>
      <c r="OKY33" s="1688"/>
      <c r="OKZ33" s="1688"/>
      <c r="OLA33" s="1688"/>
      <c r="OLB33" s="1688"/>
      <c r="OLC33" s="1688"/>
      <c r="OLD33" s="1688"/>
      <c r="OLE33" s="1688"/>
      <c r="OLF33" s="1688"/>
      <c r="OLG33" s="1688"/>
      <c r="OLH33" s="1688"/>
      <c r="OLI33" s="1688"/>
      <c r="OLJ33" s="1688"/>
      <c r="OLK33" s="1688"/>
      <c r="OLL33" s="1688"/>
      <c r="OLM33" s="1688"/>
      <c r="OLN33" s="1688"/>
      <c r="OLO33" s="1688"/>
      <c r="OLP33" s="1688"/>
      <c r="OLQ33" s="1688"/>
      <c r="OLR33" s="1688"/>
      <c r="OLS33" s="1688"/>
      <c r="OLT33" s="1688"/>
      <c r="OLU33" s="1688"/>
      <c r="OLV33" s="1688"/>
      <c r="OLW33" s="1688"/>
      <c r="OLX33" s="1688"/>
      <c r="OLY33" s="1688"/>
      <c r="OLZ33" s="1688"/>
      <c r="OMA33" s="1688"/>
      <c r="OMB33" s="1688"/>
      <c r="OMC33" s="1688"/>
      <c r="OMD33" s="1688"/>
      <c r="OME33" s="1688"/>
      <c r="OMF33" s="1688"/>
      <c r="OMG33" s="1688"/>
      <c r="OMH33" s="1688"/>
      <c r="OMI33" s="1688"/>
      <c r="OMJ33" s="1688"/>
      <c r="OMK33" s="1688"/>
      <c r="OML33" s="1688"/>
      <c r="OMM33" s="1688"/>
      <c r="OMN33" s="1688"/>
      <c r="OMO33" s="1688"/>
      <c r="OMP33" s="1688"/>
      <c r="OMQ33" s="1688"/>
      <c r="OMR33" s="1688"/>
      <c r="OMS33" s="1688"/>
      <c r="OMT33" s="1688"/>
      <c r="OMU33" s="1688"/>
      <c r="OMV33" s="1688"/>
      <c r="OMW33" s="1688"/>
      <c r="OMX33" s="1688"/>
      <c r="OMY33" s="1688"/>
      <c r="OMZ33" s="1688"/>
      <c r="ONA33" s="1688"/>
      <c r="ONB33" s="1688"/>
      <c r="ONC33" s="1688"/>
      <c r="OND33" s="1688"/>
      <c r="ONE33" s="1688"/>
      <c r="ONF33" s="1688"/>
      <c r="ONG33" s="1688"/>
      <c r="ONH33" s="1688"/>
      <c r="ONI33" s="1688"/>
      <c r="ONJ33" s="1688"/>
      <c r="ONK33" s="1688"/>
      <c r="ONL33" s="1688"/>
      <c r="ONM33" s="1688"/>
      <c r="ONN33" s="1688"/>
      <c r="ONO33" s="1688"/>
      <c r="ONP33" s="1688"/>
      <c r="ONQ33" s="1688"/>
      <c r="ONR33" s="1688"/>
      <c r="ONS33" s="1688"/>
      <c r="ONT33" s="1688"/>
      <c r="ONU33" s="1688"/>
      <c r="ONV33" s="1688"/>
      <c r="ONW33" s="1688"/>
      <c r="ONX33" s="1688"/>
      <c r="ONY33" s="1688"/>
      <c r="ONZ33" s="1688"/>
      <c r="OOA33" s="1688"/>
      <c r="OOB33" s="1688"/>
      <c r="OOC33" s="1688"/>
      <c r="OOD33" s="1688"/>
      <c r="OOE33" s="1688"/>
      <c r="OOF33" s="1688"/>
      <c r="OOG33" s="1688"/>
      <c r="OOH33" s="1688"/>
      <c r="OOI33" s="1688"/>
      <c r="OOJ33" s="1688"/>
      <c r="OOK33" s="1688"/>
      <c r="OOL33" s="1688"/>
      <c r="OOM33" s="1688"/>
      <c r="OON33" s="1688"/>
      <c r="OOO33" s="1688"/>
      <c r="OOP33" s="1688"/>
      <c r="OOQ33" s="1688"/>
      <c r="OOR33" s="1688"/>
      <c r="OOS33" s="1688"/>
      <c r="OOT33" s="1688"/>
      <c r="OOU33" s="1688"/>
      <c r="OOV33" s="1688"/>
      <c r="OOW33" s="1688"/>
      <c r="OOX33" s="1688"/>
      <c r="OOY33" s="1688"/>
      <c r="OOZ33" s="1688"/>
      <c r="OPA33" s="1688"/>
      <c r="OPB33" s="1688"/>
      <c r="OPC33" s="1688"/>
      <c r="OPD33" s="1688"/>
      <c r="OPE33" s="1688"/>
      <c r="OPF33" s="1688"/>
      <c r="OPG33" s="1688"/>
      <c r="OPH33" s="1688"/>
      <c r="OPI33" s="1688"/>
      <c r="OPJ33" s="1688"/>
      <c r="OPK33" s="1688"/>
      <c r="OPL33" s="1688"/>
      <c r="OPM33" s="1688"/>
      <c r="OPN33" s="1688"/>
      <c r="OPO33" s="1688"/>
      <c r="OPP33" s="1688"/>
      <c r="OPQ33" s="1688"/>
      <c r="OPR33" s="1688"/>
      <c r="OPS33" s="1688"/>
      <c r="OPT33" s="1688"/>
      <c r="OPU33" s="1688"/>
      <c r="OPV33" s="1688"/>
      <c r="OPW33" s="1688"/>
      <c r="OPX33" s="1688"/>
      <c r="OPY33" s="1688"/>
      <c r="OPZ33" s="1688"/>
      <c r="OQA33" s="1688"/>
      <c r="OQB33" s="1688"/>
      <c r="OQC33" s="1688"/>
      <c r="OQD33" s="1688"/>
      <c r="OQE33" s="1688"/>
      <c r="OQF33" s="1688"/>
      <c r="OQG33" s="1688"/>
      <c r="OQH33" s="1688"/>
      <c r="OQI33" s="1688"/>
      <c r="OQJ33" s="1688"/>
      <c r="OQK33" s="1688"/>
      <c r="OQL33" s="1688"/>
      <c r="OQM33" s="1688"/>
      <c r="OQN33" s="1688"/>
      <c r="OQO33" s="1688"/>
      <c r="OQP33" s="1688"/>
      <c r="OQQ33" s="1688"/>
      <c r="OQR33" s="1688"/>
      <c r="OQS33" s="1688"/>
      <c r="OQT33" s="1688"/>
      <c r="OQU33" s="1688"/>
      <c r="OQV33" s="1688"/>
      <c r="OQW33" s="1688"/>
      <c r="OQX33" s="1688"/>
      <c r="OQY33" s="1688"/>
      <c r="OQZ33" s="1688"/>
      <c r="ORA33" s="1688"/>
      <c r="ORB33" s="1688"/>
      <c r="ORC33" s="1688"/>
      <c r="ORD33" s="1688"/>
      <c r="ORE33" s="1688"/>
      <c r="ORF33" s="1688"/>
      <c r="ORG33" s="1688"/>
      <c r="ORH33" s="1688"/>
      <c r="ORI33" s="1688"/>
      <c r="ORJ33" s="1688"/>
      <c r="ORK33" s="1688"/>
      <c r="ORL33" s="1688"/>
      <c r="ORM33" s="1688"/>
      <c r="ORN33" s="1688"/>
      <c r="ORO33" s="1688"/>
      <c r="ORP33" s="1688"/>
      <c r="ORQ33" s="1688"/>
      <c r="ORR33" s="1688"/>
      <c r="ORS33" s="1688"/>
      <c r="ORT33" s="1688"/>
      <c r="ORU33" s="1688"/>
      <c r="ORV33" s="1688"/>
      <c r="ORW33" s="1688"/>
      <c r="ORX33" s="1688"/>
      <c r="ORY33" s="1688"/>
      <c r="ORZ33" s="1688"/>
      <c r="OSA33" s="1688"/>
      <c r="OSB33" s="1688"/>
      <c r="OSC33" s="1688"/>
      <c r="OSD33" s="1688"/>
      <c r="OSE33" s="1688"/>
      <c r="OSF33" s="1688"/>
      <c r="OSG33" s="1688"/>
      <c r="OSH33" s="1688"/>
      <c r="OSI33" s="1688"/>
      <c r="OSJ33" s="1688"/>
      <c r="OSK33" s="1688"/>
      <c r="OSL33" s="1688"/>
      <c r="OSM33" s="1688"/>
      <c r="OSN33" s="1688"/>
      <c r="OSO33" s="1688"/>
      <c r="OSP33" s="1688"/>
      <c r="OSQ33" s="1688"/>
      <c r="OSR33" s="1688"/>
      <c r="OSS33" s="1688"/>
      <c r="OST33" s="1688"/>
      <c r="OSU33" s="1688"/>
      <c r="OSV33" s="1688"/>
      <c r="OSW33" s="1688"/>
      <c r="OSX33" s="1688"/>
      <c r="OSY33" s="1688"/>
      <c r="OSZ33" s="1688"/>
      <c r="OTA33" s="1688"/>
      <c r="OTB33" s="1688"/>
      <c r="OTC33" s="1688"/>
      <c r="OTD33" s="1688"/>
      <c r="OTE33" s="1688"/>
      <c r="OTF33" s="1688"/>
      <c r="OTG33" s="1688"/>
      <c r="OTH33" s="1688"/>
      <c r="OTI33" s="1688"/>
      <c r="OTJ33" s="1688"/>
      <c r="OTK33" s="1688"/>
      <c r="OTL33" s="1688"/>
      <c r="OTM33" s="1688"/>
      <c r="OTN33" s="1688"/>
      <c r="OTO33" s="1688"/>
      <c r="OTP33" s="1688"/>
      <c r="OTQ33" s="1688"/>
      <c r="OTR33" s="1688"/>
      <c r="OTS33" s="1688"/>
      <c r="OTT33" s="1688"/>
      <c r="OTU33" s="1688"/>
      <c r="OTV33" s="1688"/>
      <c r="OTW33" s="1688"/>
      <c r="OTX33" s="1688"/>
      <c r="OTY33" s="1688"/>
      <c r="OTZ33" s="1688"/>
      <c r="OUA33" s="1688"/>
      <c r="OUB33" s="1688"/>
      <c r="OUC33" s="1688"/>
      <c r="OUD33" s="1688"/>
      <c r="OUE33" s="1688"/>
      <c r="OUF33" s="1688"/>
      <c r="OUG33" s="1688"/>
      <c r="OUH33" s="1688"/>
      <c r="OUI33" s="1688"/>
      <c r="OUJ33" s="1688"/>
      <c r="OUK33" s="1688"/>
      <c r="OUL33" s="1688"/>
      <c r="OUM33" s="1688"/>
      <c r="OUN33" s="1688"/>
      <c r="OUO33" s="1688"/>
      <c r="OUP33" s="1688"/>
      <c r="OUQ33" s="1688"/>
      <c r="OUR33" s="1688"/>
      <c r="OUS33" s="1688"/>
      <c r="OUT33" s="1688"/>
      <c r="OUU33" s="1688"/>
      <c r="OUV33" s="1688"/>
      <c r="OUW33" s="1688"/>
      <c r="OUX33" s="1688"/>
      <c r="OUY33" s="1688"/>
      <c r="OUZ33" s="1688"/>
      <c r="OVA33" s="1688"/>
      <c r="OVB33" s="1688"/>
      <c r="OVC33" s="1688"/>
      <c r="OVD33" s="1688"/>
      <c r="OVE33" s="1688"/>
      <c r="OVF33" s="1688"/>
      <c r="OVG33" s="1688"/>
      <c r="OVH33" s="1688"/>
      <c r="OVI33" s="1688"/>
      <c r="OVJ33" s="1688"/>
      <c r="OVK33" s="1688"/>
      <c r="OVL33" s="1688"/>
      <c r="OVM33" s="1688"/>
      <c r="OVN33" s="1688"/>
      <c r="OVO33" s="1688"/>
      <c r="OVP33" s="1688"/>
      <c r="OVQ33" s="1688"/>
      <c r="OVR33" s="1688"/>
      <c r="OVS33" s="1688"/>
      <c r="OVT33" s="1688"/>
      <c r="OVU33" s="1688"/>
      <c r="OVV33" s="1688"/>
      <c r="OVW33" s="1688"/>
      <c r="OVX33" s="1688"/>
      <c r="OVY33" s="1688"/>
      <c r="OVZ33" s="1688"/>
      <c r="OWA33" s="1688"/>
      <c r="OWB33" s="1688"/>
      <c r="OWC33" s="1688"/>
      <c r="OWD33" s="1688"/>
      <c r="OWE33" s="1688"/>
      <c r="OWF33" s="1688"/>
      <c r="OWG33" s="1688"/>
      <c r="OWH33" s="1688"/>
      <c r="OWI33" s="1688"/>
      <c r="OWJ33" s="1688"/>
      <c r="OWK33" s="1688"/>
      <c r="OWL33" s="1688"/>
      <c r="OWM33" s="1688"/>
      <c r="OWN33" s="1688"/>
      <c r="OWO33" s="1688"/>
      <c r="OWP33" s="1688"/>
      <c r="OWQ33" s="1688"/>
      <c r="OWR33" s="1688"/>
      <c r="OWS33" s="1688"/>
      <c r="OWT33" s="1688"/>
      <c r="OWU33" s="1688"/>
      <c r="OWV33" s="1688"/>
      <c r="OWW33" s="1688"/>
      <c r="OWX33" s="1688"/>
      <c r="OWY33" s="1688"/>
      <c r="OWZ33" s="1688"/>
      <c r="OXA33" s="1688"/>
      <c r="OXB33" s="1688"/>
      <c r="OXC33" s="1688"/>
      <c r="OXD33" s="1688"/>
      <c r="OXE33" s="1688"/>
      <c r="OXF33" s="1688"/>
      <c r="OXG33" s="1688"/>
      <c r="OXH33" s="1688"/>
      <c r="OXI33" s="1688"/>
      <c r="OXJ33" s="1688"/>
      <c r="OXK33" s="1688"/>
      <c r="OXL33" s="1688"/>
      <c r="OXM33" s="1688"/>
      <c r="OXN33" s="1688"/>
      <c r="OXO33" s="1688"/>
      <c r="OXP33" s="1688"/>
      <c r="OXQ33" s="1688"/>
      <c r="OXR33" s="1688"/>
      <c r="OXS33" s="1688"/>
      <c r="OXT33" s="1688"/>
      <c r="OXU33" s="1688"/>
      <c r="OXV33" s="1688"/>
      <c r="OXW33" s="1688"/>
      <c r="OXX33" s="1688"/>
      <c r="OXY33" s="1688"/>
      <c r="OXZ33" s="1688"/>
      <c r="OYA33" s="1688"/>
      <c r="OYB33" s="1688"/>
      <c r="OYC33" s="1688"/>
      <c r="OYD33" s="1688"/>
      <c r="OYE33" s="1688"/>
      <c r="OYF33" s="1688"/>
      <c r="OYG33" s="1688"/>
      <c r="OYH33" s="1688"/>
      <c r="OYI33" s="1688"/>
      <c r="OYJ33" s="1688"/>
      <c r="OYK33" s="1688"/>
      <c r="OYL33" s="1688"/>
      <c r="OYM33" s="1688"/>
      <c r="OYN33" s="1688"/>
      <c r="OYO33" s="1688"/>
      <c r="OYP33" s="1688"/>
      <c r="OYQ33" s="1688"/>
      <c r="OYR33" s="1688"/>
      <c r="OYS33" s="1688"/>
      <c r="OYT33" s="1688"/>
      <c r="OYU33" s="1688"/>
      <c r="OYV33" s="1688"/>
      <c r="OYW33" s="1688"/>
      <c r="OYX33" s="1688"/>
      <c r="OYY33" s="1688"/>
      <c r="OYZ33" s="1688"/>
      <c r="OZA33" s="1688"/>
      <c r="OZB33" s="1688"/>
      <c r="OZC33" s="1688"/>
      <c r="OZD33" s="1688"/>
      <c r="OZE33" s="1688"/>
      <c r="OZF33" s="1688"/>
      <c r="OZG33" s="1688"/>
      <c r="OZH33" s="1688"/>
      <c r="OZI33" s="1688"/>
      <c r="OZJ33" s="1688"/>
      <c r="OZK33" s="1688"/>
      <c r="OZL33" s="1688"/>
      <c r="OZM33" s="1688"/>
      <c r="OZN33" s="1688"/>
      <c r="OZO33" s="1688"/>
      <c r="OZP33" s="1688"/>
      <c r="OZQ33" s="1688"/>
      <c r="OZR33" s="1688"/>
      <c r="OZS33" s="1688"/>
      <c r="OZT33" s="1688"/>
      <c r="OZU33" s="1688"/>
      <c r="OZV33" s="1688"/>
      <c r="OZW33" s="1688"/>
      <c r="OZX33" s="1688"/>
      <c r="OZY33" s="1688"/>
      <c r="OZZ33" s="1688"/>
      <c r="PAA33" s="1688"/>
      <c r="PAB33" s="1688"/>
      <c r="PAC33" s="1688"/>
      <c r="PAD33" s="1688"/>
      <c r="PAE33" s="1688"/>
      <c r="PAF33" s="1688"/>
      <c r="PAG33" s="1688"/>
      <c r="PAH33" s="1688"/>
      <c r="PAI33" s="1688"/>
      <c r="PAJ33" s="1688"/>
      <c r="PAK33" s="1688"/>
      <c r="PAL33" s="1688"/>
      <c r="PAM33" s="1688"/>
      <c r="PAN33" s="1688"/>
      <c r="PAO33" s="1688"/>
      <c r="PAP33" s="1688"/>
      <c r="PAQ33" s="1688"/>
      <c r="PAR33" s="1688"/>
      <c r="PAS33" s="1688"/>
      <c r="PAT33" s="1688"/>
      <c r="PAU33" s="1688"/>
      <c r="PAV33" s="1688"/>
      <c r="PAW33" s="1688"/>
      <c r="PAX33" s="1688"/>
      <c r="PAY33" s="1688"/>
      <c r="PAZ33" s="1688"/>
      <c r="PBA33" s="1688"/>
      <c r="PBB33" s="1688"/>
      <c r="PBC33" s="1688"/>
      <c r="PBD33" s="1688"/>
      <c r="PBE33" s="1688"/>
      <c r="PBF33" s="1688"/>
      <c r="PBG33" s="1688"/>
      <c r="PBH33" s="1688"/>
      <c r="PBI33" s="1688"/>
      <c r="PBJ33" s="1688"/>
      <c r="PBK33" s="1688"/>
      <c r="PBL33" s="1688"/>
      <c r="PBM33" s="1688"/>
      <c r="PBN33" s="1688"/>
      <c r="PBO33" s="1688"/>
      <c r="PBP33" s="1688"/>
      <c r="PBQ33" s="1688"/>
      <c r="PBR33" s="1688"/>
      <c r="PBS33" s="1688"/>
      <c r="PBT33" s="1688"/>
      <c r="PBU33" s="1688"/>
      <c r="PBV33" s="1688"/>
      <c r="PBW33" s="1688"/>
      <c r="PBX33" s="1688"/>
      <c r="PBY33" s="1688"/>
      <c r="PBZ33" s="1688"/>
      <c r="PCA33" s="1688"/>
      <c r="PCB33" s="1688"/>
      <c r="PCC33" s="1688"/>
      <c r="PCD33" s="1688"/>
      <c r="PCE33" s="1688"/>
      <c r="PCF33" s="1688"/>
      <c r="PCG33" s="1688"/>
      <c r="PCH33" s="1688"/>
      <c r="PCI33" s="1688"/>
      <c r="PCJ33" s="1688"/>
      <c r="PCK33" s="1688"/>
      <c r="PCL33" s="1688"/>
      <c r="PCM33" s="1688"/>
      <c r="PCN33" s="1688"/>
      <c r="PCO33" s="1688"/>
      <c r="PCP33" s="1688"/>
      <c r="PCQ33" s="1688"/>
      <c r="PCR33" s="1688"/>
      <c r="PCS33" s="1688"/>
      <c r="PCT33" s="1688"/>
      <c r="PCU33" s="1688"/>
      <c r="PCV33" s="1688"/>
      <c r="PCW33" s="1688"/>
      <c r="PCX33" s="1688"/>
      <c r="PCY33" s="1688"/>
      <c r="PCZ33" s="1688"/>
      <c r="PDA33" s="1688"/>
      <c r="PDB33" s="1688"/>
      <c r="PDC33" s="1688"/>
      <c r="PDD33" s="1688"/>
      <c r="PDE33" s="1688"/>
      <c r="PDF33" s="1688"/>
      <c r="PDG33" s="1688"/>
      <c r="PDH33" s="1688"/>
      <c r="PDI33" s="1688"/>
      <c r="PDJ33" s="1688"/>
      <c r="PDK33" s="1688"/>
      <c r="PDL33" s="1688"/>
      <c r="PDM33" s="1688"/>
      <c r="PDN33" s="1688"/>
      <c r="PDO33" s="1688"/>
      <c r="PDP33" s="1688"/>
      <c r="PDQ33" s="1688"/>
      <c r="PDR33" s="1688"/>
      <c r="PDS33" s="1688"/>
      <c r="PDT33" s="1688"/>
      <c r="PDU33" s="1688"/>
      <c r="PDV33" s="1688"/>
      <c r="PDW33" s="1688"/>
      <c r="PDX33" s="1688"/>
      <c r="PDY33" s="1688"/>
      <c r="PDZ33" s="1688"/>
      <c r="PEA33" s="1688"/>
      <c r="PEB33" s="1688"/>
      <c r="PEC33" s="1688"/>
      <c r="PED33" s="1688"/>
      <c r="PEE33" s="1688"/>
      <c r="PEF33" s="1688"/>
      <c r="PEG33" s="1688"/>
      <c r="PEH33" s="1688"/>
      <c r="PEI33" s="1688"/>
      <c r="PEJ33" s="1688"/>
      <c r="PEK33" s="1688"/>
      <c r="PEL33" s="1688"/>
      <c r="PEM33" s="1688"/>
      <c r="PEN33" s="1688"/>
      <c r="PEO33" s="1688"/>
      <c r="PEP33" s="1688"/>
      <c r="PEQ33" s="1688"/>
      <c r="PER33" s="1688"/>
      <c r="PES33" s="1688"/>
      <c r="PET33" s="1688"/>
      <c r="PEU33" s="1688"/>
      <c r="PEV33" s="1688"/>
      <c r="PEW33" s="1688"/>
      <c r="PEX33" s="1688"/>
      <c r="PEY33" s="1688"/>
      <c r="PEZ33" s="1688"/>
      <c r="PFA33" s="1688"/>
      <c r="PFB33" s="1688"/>
      <c r="PFC33" s="1688"/>
      <c r="PFD33" s="1688"/>
      <c r="PFE33" s="1688"/>
      <c r="PFF33" s="1688"/>
      <c r="PFG33" s="1688"/>
      <c r="PFH33" s="1688"/>
      <c r="PFI33" s="1688"/>
      <c r="PFJ33" s="1688"/>
      <c r="PFK33" s="1688"/>
      <c r="PFL33" s="1688"/>
      <c r="PFM33" s="1688"/>
      <c r="PFN33" s="1688"/>
      <c r="PFO33" s="1688"/>
      <c r="PFP33" s="1688"/>
      <c r="PFQ33" s="1688"/>
      <c r="PFR33" s="1688"/>
      <c r="PFS33" s="1688"/>
      <c r="PFT33" s="1688"/>
      <c r="PFU33" s="1688"/>
      <c r="PFV33" s="1688"/>
      <c r="PFW33" s="1688"/>
      <c r="PFX33" s="1688"/>
      <c r="PFY33" s="1688"/>
      <c r="PFZ33" s="1688"/>
      <c r="PGA33" s="1688"/>
      <c r="PGB33" s="1688"/>
      <c r="PGC33" s="1688"/>
      <c r="PGD33" s="1688"/>
      <c r="PGE33" s="1688"/>
      <c r="PGF33" s="1688"/>
      <c r="PGG33" s="1688"/>
      <c r="PGH33" s="1688"/>
      <c r="PGI33" s="1688"/>
      <c r="PGJ33" s="1688"/>
      <c r="PGK33" s="1688"/>
      <c r="PGL33" s="1688"/>
      <c r="PGM33" s="1688"/>
      <c r="PGN33" s="1688"/>
      <c r="PGO33" s="1688"/>
      <c r="PGP33" s="1688"/>
      <c r="PGQ33" s="1688"/>
      <c r="PGR33" s="1688"/>
      <c r="PGS33" s="1688"/>
      <c r="PGT33" s="1688"/>
      <c r="PGU33" s="1688"/>
      <c r="PGV33" s="1688"/>
      <c r="PGW33" s="1688"/>
      <c r="PGX33" s="1688"/>
      <c r="PGY33" s="1688"/>
      <c r="PGZ33" s="1688"/>
      <c r="PHA33" s="1688"/>
      <c r="PHB33" s="1688"/>
      <c r="PHC33" s="1688"/>
      <c r="PHD33" s="1688"/>
      <c r="PHE33" s="1688"/>
      <c r="PHF33" s="1688"/>
      <c r="PHG33" s="1688"/>
      <c r="PHH33" s="1688"/>
      <c r="PHI33" s="1688"/>
      <c r="PHJ33" s="1688"/>
      <c r="PHK33" s="1688"/>
      <c r="PHL33" s="1688"/>
      <c r="PHM33" s="1688"/>
      <c r="PHN33" s="1688"/>
      <c r="PHO33" s="1688"/>
      <c r="PHP33" s="1688"/>
      <c r="PHQ33" s="1688"/>
      <c r="PHR33" s="1688"/>
      <c r="PHS33" s="1688"/>
      <c r="PHT33" s="1688"/>
      <c r="PHU33" s="1688"/>
      <c r="PHV33" s="1688"/>
      <c r="PHW33" s="1688"/>
      <c r="PHX33" s="1688"/>
      <c r="PHY33" s="1688"/>
      <c r="PHZ33" s="1688"/>
      <c r="PIA33" s="1688"/>
      <c r="PIB33" s="1688"/>
      <c r="PIC33" s="1688"/>
      <c r="PID33" s="1688"/>
      <c r="PIE33" s="1688"/>
      <c r="PIF33" s="1688"/>
      <c r="PIG33" s="1688"/>
      <c r="PIH33" s="1688"/>
      <c r="PII33" s="1688"/>
      <c r="PIJ33" s="1688"/>
      <c r="PIK33" s="1688"/>
      <c r="PIL33" s="1688"/>
      <c r="PIM33" s="1688"/>
      <c r="PIN33" s="1688"/>
      <c r="PIO33" s="1688"/>
      <c r="PIP33" s="1688"/>
      <c r="PIQ33" s="1688"/>
      <c r="PIR33" s="1688"/>
      <c r="PIS33" s="1688"/>
      <c r="PIT33" s="1688"/>
      <c r="PIU33" s="1688"/>
      <c r="PIV33" s="1688"/>
      <c r="PIW33" s="1688"/>
      <c r="PIX33" s="1688"/>
      <c r="PIY33" s="1688"/>
      <c r="PIZ33" s="1688"/>
      <c r="PJA33" s="1688"/>
      <c r="PJB33" s="1688"/>
      <c r="PJC33" s="1688"/>
      <c r="PJD33" s="1688"/>
      <c r="PJE33" s="1688"/>
      <c r="PJF33" s="1688"/>
      <c r="PJG33" s="1688"/>
      <c r="PJH33" s="1688"/>
      <c r="PJI33" s="1688"/>
      <c r="PJJ33" s="1688"/>
      <c r="PJK33" s="1688"/>
      <c r="PJL33" s="1688"/>
      <c r="PJM33" s="1688"/>
      <c r="PJN33" s="1688"/>
      <c r="PJO33" s="1688"/>
      <c r="PJP33" s="1688"/>
      <c r="PJQ33" s="1688"/>
      <c r="PJR33" s="1688"/>
      <c r="PJS33" s="1688"/>
      <c r="PJT33" s="1688"/>
      <c r="PJU33" s="1688"/>
      <c r="PJV33" s="1688"/>
      <c r="PJW33" s="1688"/>
      <c r="PJX33" s="1688"/>
      <c r="PJY33" s="1688"/>
      <c r="PJZ33" s="1688"/>
      <c r="PKA33" s="1688"/>
      <c r="PKB33" s="1688"/>
      <c r="PKC33" s="1688"/>
      <c r="PKD33" s="1688"/>
      <c r="PKE33" s="1688"/>
      <c r="PKF33" s="1688"/>
      <c r="PKG33" s="1688"/>
      <c r="PKH33" s="1688"/>
      <c r="PKI33" s="1688"/>
      <c r="PKJ33" s="1688"/>
      <c r="PKK33" s="1688"/>
      <c r="PKL33" s="1688"/>
      <c r="PKM33" s="1688"/>
      <c r="PKN33" s="1688"/>
      <c r="PKO33" s="1688"/>
      <c r="PKP33" s="1688"/>
      <c r="PKQ33" s="1688"/>
      <c r="PKR33" s="1688"/>
      <c r="PKS33" s="1688"/>
      <c r="PKT33" s="1688"/>
      <c r="PKU33" s="1688"/>
      <c r="PKV33" s="1688"/>
      <c r="PKW33" s="1688"/>
      <c r="PKX33" s="1688"/>
      <c r="PKY33" s="1688"/>
      <c r="PKZ33" s="1688"/>
      <c r="PLA33" s="1688"/>
      <c r="PLB33" s="1688"/>
      <c r="PLC33" s="1688"/>
      <c r="PLD33" s="1688"/>
      <c r="PLE33" s="1688"/>
      <c r="PLF33" s="1688"/>
      <c r="PLG33" s="1688"/>
      <c r="PLH33" s="1688"/>
      <c r="PLI33" s="1688"/>
      <c r="PLJ33" s="1688"/>
      <c r="PLK33" s="1688"/>
      <c r="PLL33" s="1688"/>
      <c r="PLM33" s="1688"/>
      <c r="PLN33" s="1688"/>
      <c r="PLO33" s="1688"/>
      <c r="PLP33" s="1688"/>
      <c r="PLQ33" s="1688"/>
      <c r="PLR33" s="1688"/>
      <c r="PLS33" s="1688"/>
      <c r="PLT33" s="1688"/>
      <c r="PLU33" s="1688"/>
      <c r="PLV33" s="1688"/>
      <c r="PLW33" s="1688"/>
      <c r="PLX33" s="1688"/>
      <c r="PLY33" s="1688"/>
      <c r="PLZ33" s="1688"/>
      <c r="PMA33" s="1688"/>
      <c r="PMB33" s="1688"/>
      <c r="PMC33" s="1688"/>
      <c r="PMD33" s="1688"/>
      <c r="PME33" s="1688"/>
      <c r="PMF33" s="1688"/>
      <c r="PMG33" s="1688"/>
      <c r="PMH33" s="1688"/>
      <c r="PMI33" s="1688"/>
      <c r="PMJ33" s="1688"/>
      <c r="PMK33" s="1688"/>
      <c r="PML33" s="1688"/>
      <c r="PMM33" s="1688"/>
      <c r="PMN33" s="1688"/>
      <c r="PMO33" s="1688"/>
      <c r="PMP33" s="1688"/>
      <c r="PMQ33" s="1688"/>
      <c r="PMR33" s="1688"/>
      <c r="PMS33" s="1688"/>
      <c r="PMT33" s="1688"/>
      <c r="PMU33" s="1688"/>
      <c r="PMV33" s="1688"/>
      <c r="PMW33" s="1688"/>
      <c r="PMX33" s="1688"/>
      <c r="PMY33" s="1688"/>
      <c r="PMZ33" s="1688"/>
      <c r="PNA33" s="1688"/>
      <c r="PNB33" s="1688"/>
      <c r="PNC33" s="1688"/>
      <c r="PND33" s="1688"/>
      <c r="PNE33" s="1688"/>
      <c r="PNF33" s="1688"/>
      <c r="PNG33" s="1688"/>
      <c r="PNH33" s="1688"/>
      <c r="PNI33" s="1688"/>
      <c r="PNJ33" s="1688"/>
      <c r="PNK33" s="1688"/>
      <c r="PNL33" s="1688"/>
      <c r="PNM33" s="1688"/>
      <c r="PNN33" s="1688"/>
      <c r="PNO33" s="1688"/>
      <c r="PNP33" s="1688"/>
      <c r="PNQ33" s="1688"/>
      <c r="PNR33" s="1688"/>
      <c r="PNS33" s="1688"/>
      <c r="PNT33" s="1688"/>
      <c r="PNU33" s="1688"/>
      <c r="PNV33" s="1688"/>
      <c r="PNW33" s="1688"/>
      <c r="PNX33" s="1688"/>
      <c r="PNY33" s="1688"/>
      <c r="PNZ33" s="1688"/>
      <c r="POA33" s="1688"/>
      <c r="POB33" s="1688"/>
      <c r="POC33" s="1688"/>
      <c r="POD33" s="1688"/>
      <c r="POE33" s="1688"/>
      <c r="POF33" s="1688"/>
      <c r="POG33" s="1688"/>
      <c r="POH33" s="1688"/>
      <c r="POI33" s="1688"/>
      <c r="POJ33" s="1688"/>
      <c r="POK33" s="1688"/>
      <c r="POL33" s="1688"/>
      <c r="POM33" s="1688"/>
      <c r="PON33" s="1688"/>
      <c r="POO33" s="1688"/>
      <c r="POP33" s="1688"/>
      <c r="POQ33" s="1688"/>
      <c r="POR33" s="1688"/>
      <c r="POS33" s="1688"/>
      <c r="POT33" s="1688"/>
      <c r="POU33" s="1688"/>
      <c r="POV33" s="1688"/>
      <c r="POW33" s="1688"/>
      <c r="POX33" s="1688"/>
      <c r="POY33" s="1688"/>
      <c r="POZ33" s="1688"/>
      <c r="PPA33" s="1688"/>
      <c r="PPB33" s="1688"/>
      <c r="PPC33" s="1688"/>
      <c r="PPD33" s="1688"/>
      <c r="PPE33" s="1688"/>
      <c r="PPF33" s="1688"/>
      <c r="PPG33" s="1688"/>
      <c r="PPH33" s="1688"/>
      <c r="PPI33" s="1688"/>
      <c r="PPJ33" s="1688"/>
      <c r="PPK33" s="1688"/>
      <c r="PPL33" s="1688"/>
      <c r="PPM33" s="1688"/>
      <c r="PPN33" s="1688"/>
      <c r="PPO33" s="1688"/>
      <c r="PPP33" s="1688"/>
      <c r="PPQ33" s="1688"/>
      <c r="PPR33" s="1688"/>
      <c r="PPS33" s="1688"/>
      <c r="PPT33" s="1688"/>
      <c r="PPU33" s="1688"/>
      <c r="PPV33" s="1688"/>
      <c r="PPW33" s="1688"/>
      <c r="PPX33" s="1688"/>
      <c r="PPY33" s="1688"/>
      <c r="PPZ33" s="1688"/>
      <c r="PQA33" s="1688"/>
      <c r="PQB33" s="1688"/>
      <c r="PQC33" s="1688"/>
      <c r="PQD33" s="1688"/>
      <c r="PQE33" s="1688"/>
      <c r="PQF33" s="1688"/>
      <c r="PQG33" s="1688"/>
      <c r="PQH33" s="1688"/>
      <c r="PQI33" s="1688"/>
      <c r="PQJ33" s="1688"/>
      <c r="PQK33" s="1688"/>
      <c r="PQL33" s="1688"/>
      <c r="PQM33" s="1688"/>
      <c r="PQN33" s="1688"/>
      <c r="PQO33" s="1688"/>
      <c r="PQP33" s="1688"/>
      <c r="PQQ33" s="1688"/>
      <c r="PQR33" s="1688"/>
      <c r="PQS33" s="1688"/>
      <c r="PQT33" s="1688"/>
      <c r="PQU33" s="1688"/>
      <c r="PQV33" s="1688"/>
      <c r="PQW33" s="1688"/>
      <c r="PQX33" s="1688"/>
      <c r="PQY33" s="1688"/>
      <c r="PQZ33" s="1688"/>
      <c r="PRA33" s="1688"/>
      <c r="PRB33" s="1688"/>
      <c r="PRC33" s="1688"/>
      <c r="PRD33" s="1688"/>
      <c r="PRE33" s="1688"/>
      <c r="PRF33" s="1688"/>
      <c r="PRG33" s="1688"/>
      <c r="PRH33" s="1688"/>
      <c r="PRI33" s="1688"/>
      <c r="PRJ33" s="1688"/>
      <c r="PRK33" s="1688"/>
      <c r="PRL33" s="1688"/>
      <c r="PRM33" s="1688"/>
      <c r="PRN33" s="1688"/>
      <c r="PRO33" s="1688"/>
      <c r="PRP33" s="1688"/>
      <c r="PRQ33" s="1688"/>
      <c r="PRR33" s="1688"/>
      <c r="PRS33" s="1688"/>
      <c r="PRT33" s="1688"/>
      <c r="PRU33" s="1688"/>
      <c r="PRV33" s="1688"/>
      <c r="PRW33" s="1688"/>
      <c r="PRX33" s="1688"/>
      <c r="PRY33" s="1688"/>
      <c r="PRZ33" s="1688"/>
      <c r="PSA33" s="1688"/>
      <c r="PSB33" s="1688"/>
      <c r="PSC33" s="1688"/>
      <c r="PSD33" s="1688"/>
      <c r="PSE33" s="1688"/>
      <c r="PSF33" s="1688"/>
      <c r="PSG33" s="1688"/>
      <c r="PSH33" s="1688"/>
      <c r="PSI33" s="1688"/>
      <c r="PSJ33" s="1688"/>
      <c r="PSK33" s="1688"/>
      <c r="PSL33" s="1688"/>
      <c r="PSM33" s="1688"/>
      <c r="PSN33" s="1688"/>
      <c r="PSO33" s="1688"/>
      <c r="PSP33" s="1688"/>
      <c r="PSQ33" s="1688"/>
      <c r="PSR33" s="1688"/>
      <c r="PSS33" s="1688"/>
      <c r="PST33" s="1688"/>
      <c r="PSU33" s="1688"/>
      <c r="PSV33" s="1688"/>
      <c r="PSW33" s="1688"/>
      <c r="PSX33" s="1688"/>
      <c r="PSY33" s="1688"/>
      <c r="PSZ33" s="1688"/>
      <c r="PTA33" s="1688"/>
      <c r="PTB33" s="1688"/>
      <c r="PTC33" s="1688"/>
      <c r="PTD33" s="1688"/>
      <c r="PTE33" s="1688"/>
      <c r="PTF33" s="1688"/>
      <c r="PTG33" s="1688"/>
      <c r="PTH33" s="1688"/>
      <c r="PTI33" s="1688"/>
      <c r="PTJ33" s="1688"/>
      <c r="PTK33" s="1688"/>
      <c r="PTL33" s="1688"/>
      <c r="PTM33" s="1688"/>
      <c r="PTN33" s="1688"/>
      <c r="PTO33" s="1688"/>
      <c r="PTP33" s="1688"/>
      <c r="PTQ33" s="1688"/>
      <c r="PTR33" s="1688"/>
      <c r="PTS33" s="1688"/>
      <c r="PTT33" s="1688"/>
      <c r="PTU33" s="1688"/>
      <c r="PTV33" s="1688"/>
      <c r="PTW33" s="1688"/>
      <c r="PTX33" s="1688"/>
      <c r="PTY33" s="1688"/>
      <c r="PTZ33" s="1688"/>
      <c r="PUA33" s="1688"/>
      <c r="PUB33" s="1688"/>
      <c r="PUC33" s="1688"/>
      <c r="PUD33" s="1688"/>
      <c r="PUE33" s="1688"/>
      <c r="PUF33" s="1688"/>
      <c r="PUG33" s="1688"/>
      <c r="PUH33" s="1688"/>
      <c r="PUI33" s="1688"/>
      <c r="PUJ33" s="1688"/>
      <c r="PUK33" s="1688"/>
      <c r="PUL33" s="1688"/>
      <c r="PUM33" s="1688"/>
      <c r="PUN33" s="1688"/>
      <c r="PUO33" s="1688"/>
      <c r="PUP33" s="1688"/>
      <c r="PUQ33" s="1688"/>
      <c r="PUR33" s="1688"/>
      <c r="PUS33" s="1688"/>
      <c r="PUT33" s="1688"/>
      <c r="PUU33" s="1688"/>
      <c r="PUV33" s="1688"/>
      <c r="PUW33" s="1688"/>
      <c r="PUX33" s="1688"/>
      <c r="PUY33" s="1688"/>
      <c r="PUZ33" s="1688"/>
      <c r="PVA33" s="1688"/>
      <c r="PVB33" s="1688"/>
      <c r="PVC33" s="1688"/>
      <c r="PVD33" s="1688"/>
      <c r="PVE33" s="1688"/>
      <c r="PVF33" s="1688"/>
      <c r="PVG33" s="1688"/>
      <c r="PVH33" s="1688"/>
      <c r="PVI33" s="1688"/>
      <c r="PVJ33" s="1688"/>
      <c r="PVK33" s="1688"/>
      <c r="PVL33" s="1688"/>
      <c r="PVM33" s="1688"/>
      <c r="PVN33" s="1688"/>
      <c r="PVO33" s="1688"/>
      <c r="PVP33" s="1688"/>
      <c r="PVQ33" s="1688"/>
      <c r="PVR33" s="1688"/>
      <c r="PVS33" s="1688"/>
      <c r="PVT33" s="1688"/>
      <c r="PVU33" s="1688"/>
      <c r="PVV33" s="1688"/>
      <c r="PVW33" s="1688"/>
      <c r="PVX33" s="1688"/>
      <c r="PVY33" s="1688"/>
      <c r="PVZ33" s="1688"/>
      <c r="PWA33" s="1688"/>
      <c r="PWB33" s="1688"/>
      <c r="PWC33" s="1688"/>
      <c r="PWD33" s="1688"/>
      <c r="PWE33" s="1688"/>
      <c r="PWF33" s="1688"/>
      <c r="PWG33" s="1688"/>
      <c r="PWH33" s="1688"/>
      <c r="PWI33" s="1688"/>
      <c r="PWJ33" s="1688"/>
      <c r="PWK33" s="1688"/>
      <c r="PWL33" s="1688"/>
      <c r="PWM33" s="1688"/>
      <c r="PWN33" s="1688"/>
      <c r="PWO33" s="1688"/>
      <c r="PWP33" s="1688"/>
      <c r="PWQ33" s="1688"/>
      <c r="PWR33" s="1688"/>
      <c r="PWS33" s="1688"/>
      <c r="PWT33" s="1688"/>
      <c r="PWU33" s="1688"/>
      <c r="PWV33" s="1688"/>
      <c r="PWW33" s="1688"/>
      <c r="PWX33" s="1688"/>
      <c r="PWY33" s="1688"/>
      <c r="PWZ33" s="1688"/>
      <c r="PXA33" s="1688"/>
      <c r="PXB33" s="1688"/>
      <c r="PXC33" s="1688"/>
      <c r="PXD33" s="1688"/>
      <c r="PXE33" s="1688"/>
      <c r="PXF33" s="1688"/>
      <c r="PXG33" s="1688"/>
      <c r="PXH33" s="1688"/>
      <c r="PXI33" s="1688"/>
      <c r="PXJ33" s="1688"/>
      <c r="PXK33" s="1688"/>
      <c r="PXL33" s="1688"/>
      <c r="PXM33" s="1688"/>
      <c r="PXN33" s="1688"/>
      <c r="PXO33" s="1688"/>
      <c r="PXP33" s="1688"/>
      <c r="PXQ33" s="1688"/>
      <c r="PXR33" s="1688"/>
      <c r="PXS33" s="1688"/>
      <c r="PXT33" s="1688"/>
      <c r="PXU33" s="1688"/>
      <c r="PXV33" s="1688"/>
      <c r="PXW33" s="1688"/>
      <c r="PXX33" s="1688"/>
      <c r="PXY33" s="1688"/>
      <c r="PXZ33" s="1688"/>
      <c r="PYA33" s="1688"/>
      <c r="PYB33" s="1688"/>
      <c r="PYC33" s="1688"/>
      <c r="PYD33" s="1688"/>
      <c r="PYE33" s="1688"/>
      <c r="PYF33" s="1688"/>
      <c r="PYG33" s="1688"/>
      <c r="PYH33" s="1688"/>
      <c r="PYI33" s="1688"/>
      <c r="PYJ33" s="1688"/>
      <c r="PYK33" s="1688"/>
      <c r="PYL33" s="1688"/>
      <c r="PYM33" s="1688"/>
      <c r="PYN33" s="1688"/>
      <c r="PYO33" s="1688"/>
      <c r="PYP33" s="1688"/>
      <c r="PYQ33" s="1688"/>
      <c r="PYR33" s="1688"/>
      <c r="PYS33" s="1688"/>
      <c r="PYT33" s="1688"/>
      <c r="PYU33" s="1688"/>
      <c r="PYV33" s="1688"/>
      <c r="PYW33" s="1688"/>
      <c r="PYX33" s="1688"/>
      <c r="PYY33" s="1688"/>
      <c r="PYZ33" s="1688"/>
      <c r="PZA33" s="1688"/>
      <c r="PZB33" s="1688"/>
      <c r="PZC33" s="1688"/>
      <c r="PZD33" s="1688"/>
      <c r="PZE33" s="1688"/>
      <c r="PZF33" s="1688"/>
      <c r="PZG33" s="1688"/>
      <c r="PZH33" s="1688"/>
      <c r="PZI33" s="1688"/>
      <c r="PZJ33" s="1688"/>
      <c r="PZK33" s="1688"/>
      <c r="PZL33" s="1688"/>
      <c r="PZM33" s="1688"/>
      <c r="PZN33" s="1688"/>
      <c r="PZO33" s="1688"/>
      <c r="PZP33" s="1688"/>
      <c r="PZQ33" s="1688"/>
      <c r="PZR33" s="1688"/>
      <c r="PZS33" s="1688"/>
      <c r="PZT33" s="1688"/>
      <c r="PZU33" s="1688"/>
      <c r="PZV33" s="1688"/>
      <c r="PZW33" s="1688"/>
      <c r="PZX33" s="1688"/>
      <c r="PZY33" s="1688"/>
      <c r="PZZ33" s="1688"/>
      <c r="QAA33" s="1688"/>
      <c r="QAB33" s="1688"/>
      <c r="QAC33" s="1688"/>
      <c r="QAD33" s="1688"/>
      <c r="QAE33" s="1688"/>
      <c r="QAF33" s="1688"/>
      <c r="QAG33" s="1688"/>
      <c r="QAH33" s="1688"/>
      <c r="QAI33" s="1688"/>
      <c r="QAJ33" s="1688"/>
      <c r="QAK33" s="1688"/>
      <c r="QAL33" s="1688"/>
      <c r="QAM33" s="1688"/>
      <c r="QAN33" s="1688"/>
      <c r="QAO33" s="1688"/>
      <c r="QAP33" s="1688"/>
      <c r="QAQ33" s="1688"/>
      <c r="QAR33" s="1688"/>
      <c r="QAS33" s="1688"/>
      <c r="QAT33" s="1688"/>
      <c r="QAU33" s="1688"/>
      <c r="QAV33" s="1688"/>
      <c r="QAW33" s="1688"/>
      <c r="QAX33" s="1688"/>
      <c r="QAY33" s="1688"/>
      <c r="QAZ33" s="1688"/>
      <c r="QBA33" s="1688"/>
      <c r="QBB33" s="1688"/>
      <c r="QBC33" s="1688"/>
      <c r="QBD33" s="1688"/>
      <c r="QBE33" s="1688"/>
      <c r="QBF33" s="1688"/>
      <c r="QBG33" s="1688"/>
      <c r="QBH33" s="1688"/>
      <c r="QBI33" s="1688"/>
      <c r="QBJ33" s="1688"/>
      <c r="QBK33" s="1688"/>
      <c r="QBL33" s="1688"/>
      <c r="QBM33" s="1688"/>
      <c r="QBN33" s="1688"/>
      <c r="QBO33" s="1688"/>
      <c r="QBP33" s="1688"/>
      <c r="QBQ33" s="1688"/>
      <c r="QBR33" s="1688"/>
      <c r="QBS33" s="1688"/>
      <c r="QBT33" s="1688"/>
      <c r="QBU33" s="1688"/>
      <c r="QBV33" s="1688"/>
      <c r="QBW33" s="1688"/>
      <c r="QBX33" s="1688"/>
      <c r="QBY33" s="1688"/>
      <c r="QBZ33" s="1688"/>
      <c r="QCA33" s="1688"/>
      <c r="QCB33" s="1688"/>
      <c r="QCC33" s="1688"/>
      <c r="QCD33" s="1688"/>
      <c r="QCE33" s="1688"/>
      <c r="QCF33" s="1688"/>
      <c r="QCG33" s="1688"/>
      <c r="QCH33" s="1688"/>
      <c r="QCI33" s="1688"/>
      <c r="QCJ33" s="1688"/>
      <c r="QCK33" s="1688"/>
      <c r="QCL33" s="1688"/>
      <c r="QCM33" s="1688"/>
      <c r="QCN33" s="1688"/>
      <c r="QCO33" s="1688"/>
      <c r="QCP33" s="1688"/>
      <c r="QCQ33" s="1688"/>
      <c r="QCR33" s="1688"/>
      <c r="QCS33" s="1688"/>
      <c r="QCT33" s="1688"/>
      <c r="QCU33" s="1688"/>
      <c r="QCV33" s="1688"/>
      <c r="QCW33" s="1688"/>
      <c r="QCX33" s="1688"/>
      <c r="QCY33" s="1688"/>
      <c r="QCZ33" s="1688"/>
      <c r="QDA33" s="1688"/>
      <c r="QDB33" s="1688"/>
      <c r="QDC33" s="1688"/>
      <c r="QDD33" s="1688"/>
      <c r="QDE33" s="1688"/>
      <c r="QDF33" s="1688"/>
      <c r="QDG33" s="1688"/>
      <c r="QDH33" s="1688"/>
      <c r="QDI33" s="1688"/>
      <c r="QDJ33" s="1688"/>
      <c r="QDK33" s="1688"/>
      <c r="QDL33" s="1688"/>
      <c r="QDM33" s="1688"/>
      <c r="QDN33" s="1688"/>
      <c r="QDO33" s="1688"/>
      <c r="QDP33" s="1688"/>
      <c r="QDQ33" s="1688"/>
      <c r="QDR33" s="1688"/>
      <c r="QDS33" s="1688"/>
      <c r="QDT33" s="1688"/>
      <c r="QDU33" s="1688"/>
      <c r="QDV33" s="1688"/>
      <c r="QDW33" s="1688"/>
      <c r="QDX33" s="1688"/>
      <c r="QDY33" s="1688"/>
      <c r="QDZ33" s="1688"/>
      <c r="QEA33" s="1688"/>
      <c r="QEB33" s="1688"/>
      <c r="QEC33" s="1688"/>
      <c r="QED33" s="1688"/>
      <c r="QEE33" s="1688"/>
      <c r="QEF33" s="1688"/>
      <c r="QEG33" s="1688"/>
      <c r="QEH33" s="1688"/>
      <c r="QEI33" s="1688"/>
      <c r="QEJ33" s="1688"/>
      <c r="QEK33" s="1688"/>
      <c r="QEL33" s="1688"/>
      <c r="QEM33" s="1688"/>
      <c r="QEN33" s="1688"/>
      <c r="QEO33" s="1688"/>
      <c r="QEP33" s="1688"/>
      <c r="QEQ33" s="1688"/>
      <c r="QER33" s="1688"/>
      <c r="QES33" s="1688"/>
      <c r="QET33" s="1688"/>
      <c r="QEU33" s="1688"/>
      <c r="QEV33" s="1688"/>
      <c r="QEW33" s="1688"/>
      <c r="QEX33" s="1688"/>
      <c r="QEY33" s="1688"/>
      <c r="QEZ33" s="1688"/>
      <c r="QFA33" s="1688"/>
      <c r="QFB33" s="1688"/>
      <c r="QFC33" s="1688"/>
      <c r="QFD33" s="1688"/>
      <c r="QFE33" s="1688"/>
      <c r="QFF33" s="1688"/>
      <c r="QFG33" s="1688"/>
      <c r="QFH33" s="1688"/>
      <c r="QFI33" s="1688"/>
      <c r="QFJ33" s="1688"/>
      <c r="QFK33" s="1688"/>
      <c r="QFL33" s="1688"/>
      <c r="QFM33" s="1688"/>
      <c r="QFN33" s="1688"/>
      <c r="QFO33" s="1688"/>
      <c r="QFP33" s="1688"/>
      <c r="QFQ33" s="1688"/>
      <c r="QFR33" s="1688"/>
      <c r="QFS33" s="1688"/>
      <c r="QFT33" s="1688"/>
      <c r="QFU33" s="1688"/>
      <c r="QFV33" s="1688"/>
      <c r="QFW33" s="1688"/>
      <c r="QFX33" s="1688"/>
      <c r="QFY33" s="1688"/>
      <c r="QFZ33" s="1688"/>
      <c r="QGA33" s="1688"/>
      <c r="QGB33" s="1688"/>
      <c r="QGC33" s="1688"/>
      <c r="QGD33" s="1688"/>
      <c r="QGE33" s="1688"/>
      <c r="QGF33" s="1688"/>
      <c r="QGG33" s="1688"/>
      <c r="QGH33" s="1688"/>
      <c r="QGI33" s="1688"/>
      <c r="QGJ33" s="1688"/>
      <c r="QGK33" s="1688"/>
      <c r="QGL33" s="1688"/>
      <c r="QGM33" s="1688"/>
      <c r="QGN33" s="1688"/>
      <c r="QGO33" s="1688"/>
      <c r="QGP33" s="1688"/>
      <c r="QGQ33" s="1688"/>
      <c r="QGR33" s="1688"/>
      <c r="QGS33" s="1688"/>
      <c r="QGT33" s="1688"/>
      <c r="QGU33" s="1688"/>
      <c r="QGV33" s="1688"/>
      <c r="QGW33" s="1688"/>
      <c r="QGX33" s="1688"/>
      <c r="QGY33" s="1688"/>
      <c r="QGZ33" s="1688"/>
      <c r="QHA33" s="1688"/>
      <c r="QHB33" s="1688"/>
      <c r="QHC33" s="1688"/>
      <c r="QHD33" s="1688"/>
      <c r="QHE33" s="1688"/>
      <c r="QHF33" s="1688"/>
      <c r="QHG33" s="1688"/>
      <c r="QHH33" s="1688"/>
      <c r="QHI33" s="1688"/>
      <c r="QHJ33" s="1688"/>
      <c r="QHK33" s="1688"/>
      <c r="QHL33" s="1688"/>
      <c r="QHM33" s="1688"/>
      <c r="QHN33" s="1688"/>
      <c r="QHO33" s="1688"/>
      <c r="QHP33" s="1688"/>
      <c r="QHQ33" s="1688"/>
      <c r="QHR33" s="1688"/>
      <c r="QHS33" s="1688"/>
      <c r="QHT33" s="1688"/>
      <c r="QHU33" s="1688"/>
      <c r="QHV33" s="1688"/>
      <c r="QHW33" s="1688"/>
      <c r="QHX33" s="1688"/>
      <c r="QHY33" s="1688"/>
      <c r="QHZ33" s="1688"/>
      <c r="QIA33" s="1688"/>
      <c r="QIB33" s="1688"/>
      <c r="QIC33" s="1688"/>
      <c r="QID33" s="1688"/>
      <c r="QIE33" s="1688"/>
      <c r="QIF33" s="1688"/>
      <c r="QIG33" s="1688"/>
      <c r="QIH33" s="1688"/>
      <c r="QII33" s="1688"/>
      <c r="QIJ33" s="1688"/>
      <c r="QIK33" s="1688"/>
      <c r="QIL33" s="1688"/>
      <c r="QIM33" s="1688"/>
      <c r="QIN33" s="1688"/>
      <c r="QIO33" s="1688"/>
      <c r="QIP33" s="1688"/>
      <c r="QIQ33" s="1688"/>
      <c r="QIR33" s="1688"/>
      <c r="QIS33" s="1688"/>
      <c r="QIT33" s="1688"/>
      <c r="QIU33" s="1688"/>
      <c r="QIV33" s="1688"/>
      <c r="QIW33" s="1688"/>
      <c r="QIX33" s="1688"/>
      <c r="QIY33" s="1688"/>
      <c r="QIZ33" s="1688"/>
      <c r="QJA33" s="1688"/>
      <c r="QJB33" s="1688"/>
      <c r="QJC33" s="1688"/>
      <c r="QJD33" s="1688"/>
      <c r="QJE33" s="1688"/>
      <c r="QJF33" s="1688"/>
      <c r="QJG33" s="1688"/>
      <c r="QJH33" s="1688"/>
      <c r="QJI33" s="1688"/>
      <c r="QJJ33" s="1688"/>
      <c r="QJK33" s="1688"/>
      <c r="QJL33" s="1688"/>
      <c r="QJM33" s="1688"/>
      <c r="QJN33" s="1688"/>
      <c r="QJO33" s="1688"/>
      <c r="QJP33" s="1688"/>
      <c r="QJQ33" s="1688"/>
      <c r="QJR33" s="1688"/>
      <c r="QJS33" s="1688"/>
      <c r="QJT33" s="1688"/>
      <c r="QJU33" s="1688"/>
      <c r="QJV33" s="1688"/>
      <c r="QJW33" s="1688"/>
      <c r="QJX33" s="1688"/>
      <c r="QJY33" s="1688"/>
      <c r="QJZ33" s="1688"/>
      <c r="QKA33" s="1688"/>
      <c r="QKB33" s="1688"/>
      <c r="QKC33" s="1688"/>
      <c r="QKD33" s="1688"/>
      <c r="QKE33" s="1688"/>
      <c r="QKF33" s="1688"/>
      <c r="QKG33" s="1688"/>
      <c r="QKH33" s="1688"/>
      <c r="QKI33" s="1688"/>
      <c r="QKJ33" s="1688"/>
      <c r="QKK33" s="1688"/>
      <c r="QKL33" s="1688"/>
      <c r="QKM33" s="1688"/>
      <c r="QKN33" s="1688"/>
      <c r="QKO33" s="1688"/>
      <c r="QKP33" s="1688"/>
      <c r="QKQ33" s="1688"/>
      <c r="QKR33" s="1688"/>
      <c r="QKS33" s="1688"/>
      <c r="QKT33" s="1688"/>
      <c r="QKU33" s="1688"/>
      <c r="QKV33" s="1688"/>
      <c r="QKW33" s="1688"/>
      <c r="QKX33" s="1688"/>
      <c r="QKY33" s="1688"/>
      <c r="QKZ33" s="1688"/>
      <c r="QLA33" s="1688"/>
      <c r="QLB33" s="1688"/>
      <c r="QLC33" s="1688"/>
      <c r="QLD33" s="1688"/>
      <c r="QLE33" s="1688"/>
      <c r="QLF33" s="1688"/>
      <c r="QLG33" s="1688"/>
      <c r="QLH33" s="1688"/>
      <c r="QLI33" s="1688"/>
      <c r="QLJ33" s="1688"/>
      <c r="QLK33" s="1688"/>
      <c r="QLL33" s="1688"/>
      <c r="QLM33" s="1688"/>
      <c r="QLN33" s="1688"/>
      <c r="QLO33" s="1688"/>
      <c r="QLP33" s="1688"/>
      <c r="QLQ33" s="1688"/>
      <c r="QLR33" s="1688"/>
      <c r="QLS33" s="1688"/>
      <c r="QLT33" s="1688"/>
      <c r="QLU33" s="1688"/>
      <c r="QLV33" s="1688"/>
      <c r="QLW33" s="1688"/>
      <c r="QLX33" s="1688"/>
      <c r="QLY33" s="1688"/>
      <c r="QLZ33" s="1688"/>
      <c r="QMA33" s="1688"/>
      <c r="QMB33" s="1688"/>
      <c r="QMC33" s="1688"/>
      <c r="QMD33" s="1688"/>
      <c r="QME33" s="1688"/>
      <c r="QMF33" s="1688"/>
      <c r="QMG33" s="1688"/>
      <c r="QMH33" s="1688"/>
      <c r="QMI33" s="1688"/>
      <c r="QMJ33" s="1688"/>
      <c r="QMK33" s="1688"/>
      <c r="QML33" s="1688"/>
      <c r="QMM33" s="1688"/>
      <c r="QMN33" s="1688"/>
      <c r="QMO33" s="1688"/>
      <c r="QMP33" s="1688"/>
      <c r="QMQ33" s="1688"/>
      <c r="QMR33" s="1688"/>
      <c r="QMS33" s="1688"/>
      <c r="QMT33" s="1688"/>
      <c r="QMU33" s="1688"/>
      <c r="QMV33" s="1688"/>
      <c r="QMW33" s="1688"/>
      <c r="QMX33" s="1688"/>
      <c r="QMY33" s="1688"/>
      <c r="QMZ33" s="1688"/>
      <c r="QNA33" s="1688"/>
      <c r="QNB33" s="1688"/>
      <c r="QNC33" s="1688"/>
      <c r="QND33" s="1688"/>
      <c r="QNE33" s="1688"/>
      <c r="QNF33" s="1688"/>
      <c r="QNG33" s="1688"/>
      <c r="QNH33" s="1688"/>
      <c r="QNI33" s="1688"/>
      <c r="QNJ33" s="1688"/>
      <c r="QNK33" s="1688"/>
      <c r="QNL33" s="1688"/>
      <c r="QNM33" s="1688"/>
      <c r="QNN33" s="1688"/>
      <c r="QNO33" s="1688"/>
      <c r="QNP33" s="1688"/>
      <c r="QNQ33" s="1688"/>
      <c r="QNR33" s="1688"/>
      <c r="QNS33" s="1688"/>
      <c r="QNT33" s="1688"/>
      <c r="QNU33" s="1688"/>
      <c r="QNV33" s="1688"/>
      <c r="QNW33" s="1688"/>
      <c r="QNX33" s="1688"/>
      <c r="QNY33" s="1688"/>
      <c r="QNZ33" s="1688"/>
      <c r="QOA33" s="1688"/>
      <c r="QOB33" s="1688"/>
      <c r="QOC33" s="1688"/>
      <c r="QOD33" s="1688"/>
      <c r="QOE33" s="1688"/>
      <c r="QOF33" s="1688"/>
      <c r="QOG33" s="1688"/>
      <c r="QOH33" s="1688"/>
      <c r="QOI33" s="1688"/>
      <c r="QOJ33" s="1688"/>
      <c r="QOK33" s="1688"/>
      <c r="QOL33" s="1688"/>
      <c r="QOM33" s="1688"/>
      <c r="QON33" s="1688"/>
      <c r="QOO33" s="1688"/>
      <c r="QOP33" s="1688"/>
      <c r="QOQ33" s="1688"/>
      <c r="QOR33" s="1688"/>
      <c r="QOS33" s="1688"/>
      <c r="QOT33" s="1688"/>
      <c r="QOU33" s="1688"/>
      <c r="QOV33" s="1688"/>
      <c r="QOW33" s="1688"/>
      <c r="QOX33" s="1688"/>
      <c r="QOY33" s="1688"/>
      <c r="QOZ33" s="1688"/>
      <c r="QPA33" s="1688"/>
      <c r="QPB33" s="1688"/>
      <c r="QPC33" s="1688"/>
      <c r="QPD33" s="1688"/>
      <c r="QPE33" s="1688"/>
      <c r="QPF33" s="1688"/>
      <c r="QPG33" s="1688"/>
      <c r="QPH33" s="1688"/>
      <c r="QPI33" s="1688"/>
      <c r="QPJ33" s="1688"/>
      <c r="QPK33" s="1688"/>
      <c r="QPL33" s="1688"/>
      <c r="QPM33" s="1688"/>
      <c r="QPN33" s="1688"/>
      <c r="QPO33" s="1688"/>
      <c r="QPP33" s="1688"/>
      <c r="QPQ33" s="1688"/>
      <c r="QPR33" s="1688"/>
      <c r="QPS33" s="1688"/>
      <c r="QPT33" s="1688"/>
      <c r="QPU33" s="1688"/>
      <c r="QPV33" s="1688"/>
      <c r="QPW33" s="1688"/>
      <c r="QPX33" s="1688"/>
      <c r="QPY33" s="1688"/>
      <c r="QPZ33" s="1688"/>
      <c r="QQA33" s="1688"/>
      <c r="QQB33" s="1688"/>
      <c r="QQC33" s="1688"/>
      <c r="QQD33" s="1688"/>
      <c r="QQE33" s="1688"/>
      <c r="QQF33" s="1688"/>
      <c r="QQG33" s="1688"/>
      <c r="QQH33" s="1688"/>
      <c r="QQI33" s="1688"/>
      <c r="QQJ33" s="1688"/>
      <c r="QQK33" s="1688"/>
      <c r="QQL33" s="1688"/>
      <c r="QQM33" s="1688"/>
      <c r="QQN33" s="1688"/>
      <c r="QQO33" s="1688"/>
      <c r="QQP33" s="1688"/>
      <c r="QQQ33" s="1688"/>
      <c r="QQR33" s="1688"/>
      <c r="QQS33" s="1688"/>
      <c r="QQT33" s="1688"/>
      <c r="QQU33" s="1688"/>
      <c r="QQV33" s="1688"/>
      <c r="QQW33" s="1688"/>
      <c r="QQX33" s="1688"/>
      <c r="QQY33" s="1688"/>
      <c r="QQZ33" s="1688"/>
      <c r="QRA33" s="1688"/>
      <c r="QRB33" s="1688"/>
      <c r="QRC33" s="1688"/>
      <c r="QRD33" s="1688"/>
      <c r="QRE33" s="1688"/>
      <c r="QRF33" s="1688"/>
      <c r="QRG33" s="1688"/>
      <c r="QRH33" s="1688"/>
      <c r="QRI33" s="1688"/>
      <c r="QRJ33" s="1688"/>
      <c r="QRK33" s="1688"/>
      <c r="QRL33" s="1688"/>
      <c r="QRM33" s="1688"/>
      <c r="QRN33" s="1688"/>
      <c r="QRO33" s="1688"/>
      <c r="QRP33" s="1688"/>
      <c r="QRQ33" s="1688"/>
      <c r="QRR33" s="1688"/>
      <c r="QRS33" s="1688"/>
      <c r="QRT33" s="1688"/>
      <c r="QRU33" s="1688"/>
      <c r="QRV33" s="1688"/>
      <c r="QRW33" s="1688"/>
      <c r="QRX33" s="1688"/>
      <c r="QRY33" s="1688"/>
      <c r="QRZ33" s="1688"/>
      <c r="QSA33" s="1688"/>
      <c r="QSB33" s="1688"/>
      <c r="QSC33" s="1688"/>
      <c r="QSD33" s="1688"/>
      <c r="QSE33" s="1688"/>
      <c r="QSF33" s="1688"/>
      <c r="QSG33" s="1688"/>
      <c r="QSH33" s="1688"/>
      <c r="QSI33" s="1688"/>
      <c r="QSJ33" s="1688"/>
      <c r="QSK33" s="1688"/>
      <c r="QSL33" s="1688"/>
      <c r="QSM33" s="1688"/>
      <c r="QSN33" s="1688"/>
      <c r="QSO33" s="1688"/>
      <c r="QSP33" s="1688"/>
      <c r="QSQ33" s="1688"/>
      <c r="QSR33" s="1688"/>
      <c r="QSS33" s="1688"/>
      <c r="QST33" s="1688"/>
      <c r="QSU33" s="1688"/>
      <c r="QSV33" s="1688"/>
      <c r="QSW33" s="1688"/>
      <c r="QSX33" s="1688"/>
      <c r="QSY33" s="1688"/>
      <c r="QSZ33" s="1688"/>
      <c r="QTA33" s="1688"/>
      <c r="QTB33" s="1688"/>
      <c r="QTC33" s="1688"/>
      <c r="QTD33" s="1688"/>
      <c r="QTE33" s="1688"/>
      <c r="QTF33" s="1688"/>
      <c r="QTG33" s="1688"/>
      <c r="QTH33" s="1688"/>
      <c r="QTI33" s="1688"/>
      <c r="QTJ33" s="1688"/>
      <c r="QTK33" s="1688"/>
      <c r="QTL33" s="1688"/>
      <c r="QTM33" s="1688"/>
      <c r="QTN33" s="1688"/>
      <c r="QTO33" s="1688"/>
      <c r="QTP33" s="1688"/>
      <c r="QTQ33" s="1688"/>
      <c r="QTR33" s="1688"/>
      <c r="QTS33" s="1688"/>
      <c r="QTT33" s="1688"/>
      <c r="QTU33" s="1688"/>
      <c r="QTV33" s="1688"/>
      <c r="QTW33" s="1688"/>
      <c r="QTX33" s="1688"/>
      <c r="QTY33" s="1688"/>
      <c r="QTZ33" s="1688"/>
      <c r="QUA33" s="1688"/>
      <c r="QUB33" s="1688"/>
      <c r="QUC33" s="1688"/>
      <c r="QUD33" s="1688"/>
      <c r="QUE33" s="1688"/>
      <c r="QUF33" s="1688"/>
      <c r="QUG33" s="1688"/>
      <c r="QUH33" s="1688"/>
      <c r="QUI33" s="1688"/>
      <c r="QUJ33" s="1688"/>
      <c r="QUK33" s="1688"/>
      <c r="QUL33" s="1688"/>
      <c r="QUM33" s="1688"/>
      <c r="QUN33" s="1688"/>
      <c r="QUO33" s="1688"/>
      <c r="QUP33" s="1688"/>
      <c r="QUQ33" s="1688"/>
      <c r="QUR33" s="1688"/>
      <c r="QUS33" s="1688"/>
      <c r="QUT33" s="1688"/>
      <c r="QUU33" s="1688"/>
      <c r="QUV33" s="1688"/>
      <c r="QUW33" s="1688"/>
      <c r="QUX33" s="1688"/>
      <c r="QUY33" s="1688"/>
      <c r="QUZ33" s="1688"/>
      <c r="QVA33" s="1688"/>
      <c r="QVB33" s="1688"/>
      <c r="QVC33" s="1688"/>
      <c r="QVD33" s="1688"/>
      <c r="QVE33" s="1688"/>
      <c r="QVF33" s="1688"/>
      <c r="QVG33" s="1688"/>
      <c r="QVH33" s="1688"/>
      <c r="QVI33" s="1688"/>
      <c r="QVJ33" s="1688"/>
      <c r="QVK33" s="1688"/>
      <c r="QVL33" s="1688"/>
      <c r="QVM33" s="1688"/>
      <c r="QVN33" s="1688"/>
      <c r="QVO33" s="1688"/>
      <c r="QVP33" s="1688"/>
      <c r="QVQ33" s="1688"/>
      <c r="QVR33" s="1688"/>
      <c r="QVS33" s="1688"/>
      <c r="QVT33" s="1688"/>
      <c r="QVU33" s="1688"/>
      <c r="QVV33" s="1688"/>
      <c r="QVW33" s="1688"/>
      <c r="QVX33" s="1688"/>
      <c r="QVY33" s="1688"/>
      <c r="QVZ33" s="1688"/>
      <c r="QWA33" s="1688"/>
      <c r="QWB33" s="1688"/>
      <c r="QWC33" s="1688"/>
      <c r="QWD33" s="1688"/>
      <c r="QWE33" s="1688"/>
      <c r="QWF33" s="1688"/>
      <c r="QWG33" s="1688"/>
      <c r="QWH33" s="1688"/>
      <c r="QWI33" s="1688"/>
      <c r="QWJ33" s="1688"/>
      <c r="QWK33" s="1688"/>
      <c r="QWL33" s="1688"/>
      <c r="QWM33" s="1688"/>
      <c r="QWN33" s="1688"/>
      <c r="QWO33" s="1688"/>
      <c r="QWP33" s="1688"/>
      <c r="QWQ33" s="1688"/>
      <c r="QWR33" s="1688"/>
      <c r="QWS33" s="1688"/>
      <c r="QWT33" s="1688"/>
      <c r="QWU33" s="1688"/>
      <c r="QWV33" s="1688"/>
      <c r="QWW33" s="1688"/>
      <c r="QWX33" s="1688"/>
      <c r="QWY33" s="1688"/>
      <c r="QWZ33" s="1688"/>
      <c r="QXA33" s="1688"/>
      <c r="QXB33" s="1688"/>
      <c r="QXC33" s="1688"/>
      <c r="QXD33" s="1688"/>
      <c r="QXE33" s="1688"/>
      <c r="QXF33" s="1688"/>
      <c r="QXG33" s="1688"/>
      <c r="QXH33" s="1688"/>
      <c r="QXI33" s="1688"/>
      <c r="QXJ33" s="1688"/>
      <c r="QXK33" s="1688"/>
      <c r="QXL33" s="1688"/>
      <c r="QXM33" s="1688"/>
      <c r="QXN33" s="1688"/>
      <c r="QXO33" s="1688"/>
      <c r="QXP33" s="1688"/>
      <c r="QXQ33" s="1688"/>
      <c r="QXR33" s="1688"/>
      <c r="QXS33" s="1688"/>
      <c r="QXT33" s="1688"/>
      <c r="QXU33" s="1688"/>
      <c r="QXV33" s="1688"/>
      <c r="QXW33" s="1688"/>
      <c r="QXX33" s="1688"/>
      <c r="QXY33" s="1688"/>
      <c r="QXZ33" s="1688"/>
      <c r="QYA33" s="1688"/>
      <c r="QYB33" s="1688"/>
      <c r="QYC33" s="1688"/>
      <c r="QYD33" s="1688"/>
      <c r="QYE33" s="1688"/>
      <c r="QYF33" s="1688"/>
      <c r="QYG33" s="1688"/>
      <c r="QYH33" s="1688"/>
      <c r="QYI33" s="1688"/>
      <c r="QYJ33" s="1688"/>
      <c r="QYK33" s="1688"/>
      <c r="QYL33" s="1688"/>
      <c r="QYM33" s="1688"/>
      <c r="QYN33" s="1688"/>
      <c r="QYO33" s="1688"/>
      <c r="QYP33" s="1688"/>
      <c r="QYQ33" s="1688"/>
      <c r="QYR33" s="1688"/>
      <c r="QYS33" s="1688"/>
      <c r="QYT33" s="1688"/>
      <c r="QYU33" s="1688"/>
      <c r="QYV33" s="1688"/>
      <c r="QYW33" s="1688"/>
      <c r="QYX33" s="1688"/>
      <c r="QYY33" s="1688"/>
      <c r="QYZ33" s="1688"/>
      <c r="QZA33" s="1688"/>
      <c r="QZB33" s="1688"/>
      <c r="QZC33" s="1688"/>
      <c r="QZD33" s="1688"/>
      <c r="QZE33" s="1688"/>
      <c r="QZF33" s="1688"/>
      <c r="QZG33" s="1688"/>
      <c r="QZH33" s="1688"/>
      <c r="QZI33" s="1688"/>
      <c r="QZJ33" s="1688"/>
      <c r="QZK33" s="1688"/>
      <c r="QZL33" s="1688"/>
      <c r="QZM33" s="1688"/>
      <c r="QZN33" s="1688"/>
      <c r="QZO33" s="1688"/>
      <c r="QZP33" s="1688"/>
      <c r="QZQ33" s="1688"/>
      <c r="QZR33" s="1688"/>
      <c r="QZS33" s="1688"/>
      <c r="QZT33" s="1688"/>
      <c r="QZU33" s="1688"/>
      <c r="QZV33" s="1688"/>
      <c r="QZW33" s="1688"/>
      <c r="QZX33" s="1688"/>
      <c r="QZY33" s="1688"/>
      <c r="QZZ33" s="1688"/>
      <c r="RAA33" s="1688"/>
      <c r="RAB33" s="1688"/>
      <c r="RAC33" s="1688"/>
      <c r="RAD33" s="1688"/>
      <c r="RAE33" s="1688"/>
      <c r="RAF33" s="1688"/>
      <c r="RAG33" s="1688"/>
      <c r="RAH33" s="1688"/>
      <c r="RAI33" s="1688"/>
      <c r="RAJ33" s="1688"/>
      <c r="RAK33" s="1688"/>
      <c r="RAL33" s="1688"/>
      <c r="RAM33" s="1688"/>
      <c r="RAN33" s="1688"/>
      <c r="RAO33" s="1688"/>
      <c r="RAP33" s="1688"/>
      <c r="RAQ33" s="1688"/>
      <c r="RAR33" s="1688"/>
      <c r="RAS33" s="1688"/>
      <c r="RAT33" s="1688"/>
      <c r="RAU33" s="1688"/>
      <c r="RAV33" s="1688"/>
      <c r="RAW33" s="1688"/>
      <c r="RAX33" s="1688"/>
      <c r="RAY33" s="1688"/>
      <c r="RAZ33" s="1688"/>
      <c r="RBA33" s="1688"/>
      <c r="RBB33" s="1688"/>
      <c r="RBC33" s="1688"/>
      <c r="RBD33" s="1688"/>
      <c r="RBE33" s="1688"/>
      <c r="RBF33" s="1688"/>
      <c r="RBG33" s="1688"/>
      <c r="RBH33" s="1688"/>
      <c r="RBI33" s="1688"/>
      <c r="RBJ33" s="1688"/>
      <c r="RBK33" s="1688"/>
      <c r="RBL33" s="1688"/>
      <c r="RBM33" s="1688"/>
      <c r="RBN33" s="1688"/>
      <c r="RBO33" s="1688"/>
      <c r="RBP33" s="1688"/>
      <c r="RBQ33" s="1688"/>
      <c r="RBR33" s="1688"/>
      <c r="RBS33" s="1688"/>
      <c r="RBT33" s="1688"/>
      <c r="RBU33" s="1688"/>
      <c r="RBV33" s="1688"/>
      <c r="RBW33" s="1688"/>
      <c r="RBX33" s="1688"/>
      <c r="RBY33" s="1688"/>
      <c r="RBZ33" s="1688"/>
      <c r="RCA33" s="1688"/>
      <c r="RCB33" s="1688"/>
      <c r="RCC33" s="1688"/>
      <c r="RCD33" s="1688"/>
      <c r="RCE33" s="1688"/>
      <c r="RCF33" s="1688"/>
      <c r="RCG33" s="1688"/>
      <c r="RCH33" s="1688"/>
      <c r="RCI33" s="1688"/>
      <c r="RCJ33" s="1688"/>
      <c r="RCK33" s="1688"/>
      <c r="RCL33" s="1688"/>
      <c r="RCM33" s="1688"/>
      <c r="RCN33" s="1688"/>
      <c r="RCO33" s="1688"/>
      <c r="RCP33" s="1688"/>
      <c r="RCQ33" s="1688"/>
      <c r="RCR33" s="1688"/>
      <c r="RCS33" s="1688"/>
      <c r="RCT33" s="1688"/>
      <c r="RCU33" s="1688"/>
      <c r="RCV33" s="1688"/>
      <c r="RCW33" s="1688"/>
      <c r="RCX33" s="1688"/>
      <c r="RCY33" s="1688"/>
      <c r="RCZ33" s="1688"/>
      <c r="RDA33" s="1688"/>
      <c r="RDB33" s="1688"/>
      <c r="RDC33" s="1688"/>
      <c r="RDD33" s="1688"/>
      <c r="RDE33" s="1688"/>
      <c r="RDF33" s="1688"/>
      <c r="RDG33" s="1688"/>
      <c r="RDH33" s="1688"/>
      <c r="RDI33" s="1688"/>
      <c r="RDJ33" s="1688"/>
      <c r="RDK33" s="1688"/>
      <c r="RDL33" s="1688"/>
      <c r="RDM33" s="1688"/>
      <c r="RDN33" s="1688"/>
      <c r="RDO33" s="1688"/>
      <c r="RDP33" s="1688"/>
      <c r="RDQ33" s="1688"/>
      <c r="RDR33" s="1688"/>
      <c r="RDS33" s="1688"/>
      <c r="RDT33" s="1688"/>
      <c r="RDU33" s="1688"/>
      <c r="RDV33" s="1688"/>
      <c r="RDW33" s="1688"/>
      <c r="RDX33" s="1688"/>
      <c r="RDY33" s="1688"/>
      <c r="RDZ33" s="1688"/>
      <c r="REA33" s="1688"/>
      <c r="REB33" s="1688"/>
      <c r="REC33" s="1688"/>
      <c r="RED33" s="1688"/>
      <c r="REE33" s="1688"/>
      <c r="REF33" s="1688"/>
      <c r="REG33" s="1688"/>
      <c r="REH33" s="1688"/>
      <c r="REI33" s="1688"/>
      <c r="REJ33" s="1688"/>
      <c r="REK33" s="1688"/>
      <c r="REL33" s="1688"/>
      <c r="REM33" s="1688"/>
      <c r="REN33" s="1688"/>
      <c r="REO33" s="1688"/>
      <c r="REP33" s="1688"/>
      <c r="REQ33" s="1688"/>
      <c r="RER33" s="1688"/>
      <c r="RES33" s="1688"/>
      <c r="RET33" s="1688"/>
      <c r="REU33" s="1688"/>
      <c r="REV33" s="1688"/>
      <c r="REW33" s="1688"/>
      <c r="REX33" s="1688"/>
      <c r="REY33" s="1688"/>
      <c r="REZ33" s="1688"/>
      <c r="RFA33" s="1688"/>
      <c r="RFB33" s="1688"/>
      <c r="RFC33" s="1688"/>
      <c r="RFD33" s="1688"/>
      <c r="RFE33" s="1688"/>
      <c r="RFF33" s="1688"/>
      <c r="RFG33" s="1688"/>
      <c r="RFH33" s="1688"/>
      <c r="RFI33" s="1688"/>
      <c r="RFJ33" s="1688"/>
      <c r="RFK33" s="1688"/>
      <c r="RFL33" s="1688"/>
      <c r="RFM33" s="1688"/>
      <c r="RFN33" s="1688"/>
      <c r="RFO33" s="1688"/>
      <c r="RFP33" s="1688"/>
      <c r="RFQ33" s="1688"/>
      <c r="RFR33" s="1688"/>
      <c r="RFS33" s="1688"/>
      <c r="RFT33" s="1688"/>
      <c r="RFU33" s="1688"/>
      <c r="RFV33" s="1688"/>
      <c r="RFW33" s="1688"/>
      <c r="RFX33" s="1688"/>
      <c r="RFY33" s="1688"/>
      <c r="RFZ33" s="1688"/>
      <c r="RGA33" s="1688"/>
      <c r="RGB33" s="1688"/>
      <c r="RGC33" s="1688"/>
      <c r="RGD33" s="1688"/>
      <c r="RGE33" s="1688"/>
      <c r="RGF33" s="1688"/>
      <c r="RGG33" s="1688"/>
      <c r="RGH33" s="1688"/>
      <c r="RGI33" s="1688"/>
      <c r="RGJ33" s="1688"/>
      <c r="RGK33" s="1688"/>
      <c r="RGL33" s="1688"/>
      <c r="RGM33" s="1688"/>
      <c r="RGN33" s="1688"/>
      <c r="RGO33" s="1688"/>
      <c r="RGP33" s="1688"/>
      <c r="RGQ33" s="1688"/>
      <c r="RGR33" s="1688"/>
      <c r="RGS33" s="1688"/>
      <c r="RGT33" s="1688"/>
      <c r="RGU33" s="1688"/>
      <c r="RGV33" s="1688"/>
      <c r="RGW33" s="1688"/>
      <c r="RGX33" s="1688"/>
      <c r="RGY33" s="1688"/>
      <c r="RGZ33" s="1688"/>
      <c r="RHA33" s="1688"/>
      <c r="RHB33" s="1688"/>
      <c r="RHC33" s="1688"/>
      <c r="RHD33" s="1688"/>
      <c r="RHE33" s="1688"/>
      <c r="RHF33" s="1688"/>
      <c r="RHG33" s="1688"/>
      <c r="RHH33" s="1688"/>
      <c r="RHI33" s="1688"/>
      <c r="RHJ33" s="1688"/>
      <c r="RHK33" s="1688"/>
      <c r="RHL33" s="1688"/>
      <c r="RHM33" s="1688"/>
      <c r="RHN33" s="1688"/>
      <c r="RHO33" s="1688"/>
      <c r="RHP33" s="1688"/>
      <c r="RHQ33" s="1688"/>
      <c r="RHR33" s="1688"/>
      <c r="RHS33" s="1688"/>
      <c r="RHT33" s="1688"/>
      <c r="RHU33" s="1688"/>
      <c r="RHV33" s="1688"/>
      <c r="RHW33" s="1688"/>
      <c r="RHX33" s="1688"/>
      <c r="RHY33" s="1688"/>
      <c r="RHZ33" s="1688"/>
      <c r="RIA33" s="1688"/>
      <c r="RIB33" s="1688"/>
      <c r="RIC33" s="1688"/>
      <c r="RID33" s="1688"/>
      <c r="RIE33" s="1688"/>
      <c r="RIF33" s="1688"/>
      <c r="RIG33" s="1688"/>
      <c r="RIH33" s="1688"/>
      <c r="RII33" s="1688"/>
      <c r="RIJ33" s="1688"/>
      <c r="RIK33" s="1688"/>
      <c r="RIL33" s="1688"/>
      <c r="RIM33" s="1688"/>
      <c r="RIN33" s="1688"/>
      <c r="RIO33" s="1688"/>
      <c r="RIP33" s="1688"/>
      <c r="RIQ33" s="1688"/>
      <c r="RIR33" s="1688"/>
      <c r="RIS33" s="1688"/>
      <c r="RIT33" s="1688"/>
      <c r="RIU33" s="1688"/>
      <c r="RIV33" s="1688"/>
      <c r="RIW33" s="1688"/>
      <c r="RIX33" s="1688"/>
      <c r="RIY33" s="1688"/>
      <c r="RIZ33" s="1688"/>
      <c r="RJA33" s="1688"/>
      <c r="RJB33" s="1688"/>
      <c r="RJC33" s="1688"/>
      <c r="RJD33" s="1688"/>
      <c r="RJE33" s="1688"/>
      <c r="RJF33" s="1688"/>
      <c r="RJG33" s="1688"/>
      <c r="RJH33" s="1688"/>
      <c r="RJI33" s="1688"/>
      <c r="RJJ33" s="1688"/>
      <c r="RJK33" s="1688"/>
      <c r="RJL33" s="1688"/>
      <c r="RJM33" s="1688"/>
      <c r="RJN33" s="1688"/>
      <c r="RJO33" s="1688"/>
      <c r="RJP33" s="1688"/>
      <c r="RJQ33" s="1688"/>
      <c r="RJR33" s="1688"/>
      <c r="RJS33" s="1688"/>
      <c r="RJT33" s="1688"/>
      <c r="RJU33" s="1688"/>
      <c r="RJV33" s="1688"/>
      <c r="RJW33" s="1688"/>
      <c r="RJX33" s="1688"/>
      <c r="RJY33" s="1688"/>
      <c r="RJZ33" s="1688"/>
      <c r="RKA33" s="1688"/>
      <c r="RKB33" s="1688"/>
      <c r="RKC33" s="1688"/>
      <c r="RKD33" s="1688"/>
      <c r="RKE33" s="1688"/>
      <c r="RKF33" s="1688"/>
      <c r="RKG33" s="1688"/>
      <c r="RKH33" s="1688"/>
      <c r="RKI33" s="1688"/>
      <c r="RKJ33" s="1688"/>
      <c r="RKK33" s="1688"/>
      <c r="RKL33" s="1688"/>
      <c r="RKM33" s="1688"/>
      <c r="RKN33" s="1688"/>
      <c r="RKO33" s="1688"/>
      <c r="RKP33" s="1688"/>
      <c r="RKQ33" s="1688"/>
      <c r="RKR33" s="1688"/>
      <c r="RKS33" s="1688"/>
      <c r="RKT33" s="1688"/>
      <c r="RKU33" s="1688"/>
      <c r="RKV33" s="1688"/>
      <c r="RKW33" s="1688"/>
      <c r="RKX33" s="1688"/>
      <c r="RKY33" s="1688"/>
      <c r="RKZ33" s="1688"/>
      <c r="RLA33" s="1688"/>
      <c r="RLB33" s="1688"/>
      <c r="RLC33" s="1688"/>
      <c r="RLD33" s="1688"/>
      <c r="RLE33" s="1688"/>
      <c r="RLF33" s="1688"/>
      <c r="RLG33" s="1688"/>
      <c r="RLH33" s="1688"/>
      <c r="RLI33" s="1688"/>
      <c r="RLJ33" s="1688"/>
      <c r="RLK33" s="1688"/>
      <c r="RLL33" s="1688"/>
      <c r="RLM33" s="1688"/>
      <c r="RLN33" s="1688"/>
      <c r="RLO33" s="1688"/>
      <c r="RLP33" s="1688"/>
      <c r="RLQ33" s="1688"/>
      <c r="RLR33" s="1688"/>
      <c r="RLS33" s="1688"/>
      <c r="RLT33" s="1688"/>
      <c r="RLU33" s="1688"/>
      <c r="RLV33" s="1688"/>
      <c r="RLW33" s="1688"/>
      <c r="RLX33" s="1688"/>
      <c r="RLY33" s="1688"/>
      <c r="RLZ33" s="1688"/>
      <c r="RMA33" s="1688"/>
      <c r="RMB33" s="1688"/>
      <c r="RMC33" s="1688"/>
      <c r="RMD33" s="1688"/>
      <c r="RME33" s="1688"/>
      <c r="RMF33" s="1688"/>
      <c r="RMG33" s="1688"/>
      <c r="RMH33" s="1688"/>
      <c r="RMI33" s="1688"/>
      <c r="RMJ33" s="1688"/>
      <c r="RMK33" s="1688"/>
      <c r="RML33" s="1688"/>
      <c r="RMM33" s="1688"/>
      <c r="RMN33" s="1688"/>
      <c r="RMO33" s="1688"/>
      <c r="RMP33" s="1688"/>
      <c r="RMQ33" s="1688"/>
      <c r="RMR33" s="1688"/>
      <c r="RMS33" s="1688"/>
      <c r="RMT33" s="1688"/>
      <c r="RMU33" s="1688"/>
      <c r="RMV33" s="1688"/>
      <c r="RMW33" s="1688"/>
      <c r="RMX33" s="1688"/>
      <c r="RMY33" s="1688"/>
      <c r="RMZ33" s="1688"/>
      <c r="RNA33" s="1688"/>
      <c r="RNB33" s="1688"/>
      <c r="RNC33" s="1688"/>
      <c r="RND33" s="1688"/>
      <c r="RNE33" s="1688"/>
      <c r="RNF33" s="1688"/>
      <c r="RNG33" s="1688"/>
      <c r="RNH33" s="1688"/>
      <c r="RNI33" s="1688"/>
      <c r="RNJ33" s="1688"/>
      <c r="RNK33" s="1688"/>
      <c r="RNL33" s="1688"/>
      <c r="RNM33" s="1688"/>
      <c r="RNN33" s="1688"/>
      <c r="RNO33" s="1688"/>
      <c r="RNP33" s="1688"/>
      <c r="RNQ33" s="1688"/>
      <c r="RNR33" s="1688"/>
      <c r="RNS33" s="1688"/>
      <c r="RNT33" s="1688"/>
      <c r="RNU33" s="1688"/>
      <c r="RNV33" s="1688"/>
      <c r="RNW33" s="1688"/>
      <c r="RNX33" s="1688"/>
      <c r="RNY33" s="1688"/>
      <c r="RNZ33" s="1688"/>
      <c r="ROA33" s="1688"/>
      <c r="ROB33" s="1688"/>
      <c r="ROC33" s="1688"/>
      <c r="ROD33" s="1688"/>
      <c r="ROE33" s="1688"/>
      <c r="ROF33" s="1688"/>
      <c r="ROG33" s="1688"/>
      <c r="ROH33" s="1688"/>
      <c r="ROI33" s="1688"/>
      <c r="ROJ33" s="1688"/>
      <c r="ROK33" s="1688"/>
      <c r="ROL33" s="1688"/>
      <c r="ROM33" s="1688"/>
      <c r="RON33" s="1688"/>
      <c r="ROO33" s="1688"/>
      <c r="ROP33" s="1688"/>
      <c r="ROQ33" s="1688"/>
      <c r="ROR33" s="1688"/>
      <c r="ROS33" s="1688"/>
      <c r="ROT33" s="1688"/>
      <c r="ROU33" s="1688"/>
      <c r="ROV33" s="1688"/>
      <c r="ROW33" s="1688"/>
      <c r="ROX33" s="1688"/>
      <c r="ROY33" s="1688"/>
      <c r="ROZ33" s="1688"/>
      <c r="RPA33" s="1688"/>
      <c r="RPB33" s="1688"/>
      <c r="RPC33" s="1688"/>
      <c r="RPD33" s="1688"/>
      <c r="RPE33" s="1688"/>
      <c r="RPF33" s="1688"/>
      <c r="RPG33" s="1688"/>
      <c r="RPH33" s="1688"/>
      <c r="RPI33" s="1688"/>
      <c r="RPJ33" s="1688"/>
      <c r="RPK33" s="1688"/>
      <c r="RPL33" s="1688"/>
      <c r="RPM33" s="1688"/>
      <c r="RPN33" s="1688"/>
      <c r="RPO33" s="1688"/>
      <c r="RPP33" s="1688"/>
      <c r="RPQ33" s="1688"/>
      <c r="RPR33" s="1688"/>
      <c r="RPS33" s="1688"/>
      <c r="RPT33" s="1688"/>
      <c r="RPU33" s="1688"/>
      <c r="RPV33" s="1688"/>
      <c r="RPW33" s="1688"/>
      <c r="RPX33" s="1688"/>
      <c r="RPY33" s="1688"/>
      <c r="RPZ33" s="1688"/>
      <c r="RQA33" s="1688"/>
      <c r="RQB33" s="1688"/>
      <c r="RQC33" s="1688"/>
      <c r="RQD33" s="1688"/>
      <c r="RQE33" s="1688"/>
      <c r="RQF33" s="1688"/>
      <c r="RQG33" s="1688"/>
      <c r="RQH33" s="1688"/>
      <c r="RQI33" s="1688"/>
      <c r="RQJ33" s="1688"/>
      <c r="RQK33" s="1688"/>
      <c r="RQL33" s="1688"/>
      <c r="RQM33" s="1688"/>
      <c r="RQN33" s="1688"/>
      <c r="RQO33" s="1688"/>
      <c r="RQP33" s="1688"/>
      <c r="RQQ33" s="1688"/>
      <c r="RQR33" s="1688"/>
      <c r="RQS33" s="1688"/>
      <c r="RQT33" s="1688"/>
      <c r="RQU33" s="1688"/>
      <c r="RQV33" s="1688"/>
      <c r="RQW33" s="1688"/>
      <c r="RQX33" s="1688"/>
      <c r="RQY33" s="1688"/>
      <c r="RQZ33" s="1688"/>
      <c r="RRA33" s="1688"/>
      <c r="RRB33" s="1688"/>
      <c r="RRC33" s="1688"/>
      <c r="RRD33" s="1688"/>
      <c r="RRE33" s="1688"/>
      <c r="RRF33" s="1688"/>
      <c r="RRG33" s="1688"/>
      <c r="RRH33" s="1688"/>
      <c r="RRI33" s="1688"/>
      <c r="RRJ33" s="1688"/>
      <c r="RRK33" s="1688"/>
      <c r="RRL33" s="1688"/>
      <c r="RRM33" s="1688"/>
      <c r="RRN33" s="1688"/>
      <c r="RRO33" s="1688"/>
      <c r="RRP33" s="1688"/>
      <c r="RRQ33" s="1688"/>
      <c r="RRR33" s="1688"/>
      <c r="RRS33" s="1688"/>
      <c r="RRT33" s="1688"/>
      <c r="RRU33" s="1688"/>
      <c r="RRV33" s="1688"/>
      <c r="RRW33" s="1688"/>
      <c r="RRX33" s="1688"/>
      <c r="RRY33" s="1688"/>
      <c r="RRZ33" s="1688"/>
      <c r="RSA33" s="1688"/>
      <c r="RSB33" s="1688"/>
      <c r="RSC33" s="1688"/>
      <c r="RSD33" s="1688"/>
      <c r="RSE33" s="1688"/>
      <c r="RSF33" s="1688"/>
      <c r="RSG33" s="1688"/>
      <c r="RSH33" s="1688"/>
      <c r="RSI33" s="1688"/>
      <c r="RSJ33" s="1688"/>
      <c r="RSK33" s="1688"/>
      <c r="RSL33" s="1688"/>
      <c r="RSM33" s="1688"/>
      <c r="RSN33" s="1688"/>
      <c r="RSO33" s="1688"/>
      <c r="RSP33" s="1688"/>
      <c r="RSQ33" s="1688"/>
      <c r="RSR33" s="1688"/>
      <c r="RSS33" s="1688"/>
      <c r="RST33" s="1688"/>
      <c r="RSU33" s="1688"/>
      <c r="RSV33" s="1688"/>
      <c r="RSW33" s="1688"/>
      <c r="RSX33" s="1688"/>
      <c r="RSY33" s="1688"/>
      <c r="RSZ33" s="1688"/>
      <c r="RTA33" s="1688"/>
      <c r="RTB33" s="1688"/>
      <c r="RTC33" s="1688"/>
      <c r="RTD33" s="1688"/>
      <c r="RTE33" s="1688"/>
      <c r="RTF33" s="1688"/>
      <c r="RTG33" s="1688"/>
      <c r="RTH33" s="1688"/>
      <c r="RTI33" s="1688"/>
      <c r="RTJ33" s="1688"/>
      <c r="RTK33" s="1688"/>
      <c r="RTL33" s="1688"/>
      <c r="RTM33" s="1688"/>
      <c r="RTN33" s="1688"/>
      <c r="RTO33" s="1688"/>
      <c r="RTP33" s="1688"/>
      <c r="RTQ33" s="1688"/>
      <c r="RTR33" s="1688"/>
      <c r="RTS33" s="1688"/>
      <c r="RTT33" s="1688"/>
      <c r="RTU33" s="1688"/>
      <c r="RTV33" s="1688"/>
      <c r="RTW33" s="1688"/>
      <c r="RTX33" s="1688"/>
      <c r="RTY33" s="1688"/>
      <c r="RTZ33" s="1688"/>
      <c r="RUA33" s="1688"/>
      <c r="RUB33" s="1688"/>
      <c r="RUC33" s="1688"/>
      <c r="RUD33" s="1688"/>
      <c r="RUE33" s="1688"/>
      <c r="RUF33" s="1688"/>
      <c r="RUG33" s="1688"/>
      <c r="RUH33" s="1688"/>
      <c r="RUI33" s="1688"/>
      <c r="RUJ33" s="1688"/>
      <c r="RUK33" s="1688"/>
      <c r="RUL33" s="1688"/>
      <c r="RUM33" s="1688"/>
      <c r="RUN33" s="1688"/>
      <c r="RUO33" s="1688"/>
      <c r="RUP33" s="1688"/>
      <c r="RUQ33" s="1688"/>
      <c r="RUR33" s="1688"/>
      <c r="RUS33" s="1688"/>
      <c r="RUT33" s="1688"/>
      <c r="RUU33" s="1688"/>
      <c r="RUV33" s="1688"/>
      <c r="RUW33" s="1688"/>
      <c r="RUX33" s="1688"/>
      <c r="RUY33" s="1688"/>
      <c r="RUZ33" s="1688"/>
      <c r="RVA33" s="1688"/>
      <c r="RVB33" s="1688"/>
      <c r="RVC33" s="1688"/>
      <c r="RVD33" s="1688"/>
      <c r="RVE33" s="1688"/>
      <c r="RVF33" s="1688"/>
      <c r="RVG33" s="1688"/>
      <c r="RVH33" s="1688"/>
      <c r="RVI33" s="1688"/>
      <c r="RVJ33" s="1688"/>
      <c r="RVK33" s="1688"/>
      <c r="RVL33" s="1688"/>
      <c r="RVM33" s="1688"/>
      <c r="RVN33" s="1688"/>
      <c r="RVO33" s="1688"/>
      <c r="RVP33" s="1688"/>
      <c r="RVQ33" s="1688"/>
      <c r="RVR33" s="1688"/>
      <c r="RVS33" s="1688"/>
      <c r="RVT33" s="1688"/>
      <c r="RVU33" s="1688"/>
      <c r="RVV33" s="1688"/>
      <c r="RVW33" s="1688"/>
      <c r="RVX33" s="1688"/>
      <c r="RVY33" s="1688"/>
      <c r="RVZ33" s="1688"/>
      <c r="RWA33" s="1688"/>
      <c r="RWB33" s="1688"/>
      <c r="RWC33" s="1688"/>
      <c r="RWD33" s="1688"/>
      <c r="RWE33" s="1688"/>
      <c r="RWF33" s="1688"/>
      <c r="RWG33" s="1688"/>
      <c r="RWH33" s="1688"/>
      <c r="RWI33" s="1688"/>
      <c r="RWJ33" s="1688"/>
      <c r="RWK33" s="1688"/>
      <c r="RWL33" s="1688"/>
      <c r="RWM33" s="1688"/>
      <c r="RWN33" s="1688"/>
      <c r="RWO33" s="1688"/>
      <c r="RWP33" s="1688"/>
      <c r="RWQ33" s="1688"/>
      <c r="RWR33" s="1688"/>
      <c r="RWS33" s="1688"/>
      <c r="RWT33" s="1688"/>
      <c r="RWU33" s="1688"/>
      <c r="RWV33" s="1688"/>
      <c r="RWW33" s="1688"/>
      <c r="RWX33" s="1688"/>
      <c r="RWY33" s="1688"/>
      <c r="RWZ33" s="1688"/>
      <c r="RXA33" s="1688"/>
      <c r="RXB33" s="1688"/>
      <c r="RXC33" s="1688"/>
      <c r="RXD33" s="1688"/>
      <c r="RXE33" s="1688"/>
      <c r="RXF33" s="1688"/>
      <c r="RXG33" s="1688"/>
      <c r="RXH33" s="1688"/>
      <c r="RXI33" s="1688"/>
      <c r="RXJ33" s="1688"/>
      <c r="RXK33" s="1688"/>
      <c r="RXL33" s="1688"/>
      <c r="RXM33" s="1688"/>
      <c r="RXN33" s="1688"/>
      <c r="RXO33" s="1688"/>
      <c r="RXP33" s="1688"/>
      <c r="RXQ33" s="1688"/>
      <c r="RXR33" s="1688"/>
      <c r="RXS33" s="1688"/>
      <c r="RXT33" s="1688"/>
      <c r="RXU33" s="1688"/>
      <c r="RXV33" s="1688"/>
      <c r="RXW33" s="1688"/>
      <c r="RXX33" s="1688"/>
      <c r="RXY33" s="1688"/>
      <c r="RXZ33" s="1688"/>
      <c r="RYA33" s="1688"/>
      <c r="RYB33" s="1688"/>
      <c r="RYC33" s="1688"/>
      <c r="RYD33" s="1688"/>
      <c r="RYE33" s="1688"/>
      <c r="RYF33" s="1688"/>
      <c r="RYG33" s="1688"/>
      <c r="RYH33" s="1688"/>
      <c r="RYI33" s="1688"/>
      <c r="RYJ33" s="1688"/>
      <c r="RYK33" s="1688"/>
      <c r="RYL33" s="1688"/>
      <c r="RYM33" s="1688"/>
      <c r="RYN33" s="1688"/>
      <c r="RYO33" s="1688"/>
      <c r="RYP33" s="1688"/>
      <c r="RYQ33" s="1688"/>
      <c r="RYR33" s="1688"/>
      <c r="RYS33" s="1688"/>
      <c r="RYT33" s="1688"/>
      <c r="RYU33" s="1688"/>
      <c r="RYV33" s="1688"/>
      <c r="RYW33" s="1688"/>
      <c r="RYX33" s="1688"/>
      <c r="RYY33" s="1688"/>
      <c r="RYZ33" s="1688"/>
      <c r="RZA33" s="1688"/>
      <c r="RZB33" s="1688"/>
      <c r="RZC33" s="1688"/>
      <c r="RZD33" s="1688"/>
      <c r="RZE33" s="1688"/>
      <c r="RZF33" s="1688"/>
      <c r="RZG33" s="1688"/>
      <c r="RZH33" s="1688"/>
      <c r="RZI33" s="1688"/>
      <c r="RZJ33" s="1688"/>
      <c r="RZK33" s="1688"/>
      <c r="RZL33" s="1688"/>
      <c r="RZM33" s="1688"/>
      <c r="RZN33" s="1688"/>
      <c r="RZO33" s="1688"/>
      <c r="RZP33" s="1688"/>
      <c r="RZQ33" s="1688"/>
      <c r="RZR33" s="1688"/>
      <c r="RZS33" s="1688"/>
      <c r="RZT33" s="1688"/>
      <c r="RZU33" s="1688"/>
      <c r="RZV33" s="1688"/>
      <c r="RZW33" s="1688"/>
      <c r="RZX33" s="1688"/>
      <c r="RZY33" s="1688"/>
      <c r="RZZ33" s="1688"/>
      <c r="SAA33" s="1688"/>
      <c r="SAB33" s="1688"/>
      <c r="SAC33" s="1688"/>
      <c r="SAD33" s="1688"/>
      <c r="SAE33" s="1688"/>
      <c r="SAF33" s="1688"/>
      <c r="SAG33" s="1688"/>
      <c r="SAH33" s="1688"/>
      <c r="SAI33" s="1688"/>
      <c r="SAJ33" s="1688"/>
      <c r="SAK33" s="1688"/>
      <c r="SAL33" s="1688"/>
      <c r="SAM33" s="1688"/>
      <c r="SAN33" s="1688"/>
      <c r="SAO33" s="1688"/>
      <c r="SAP33" s="1688"/>
      <c r="SAQ33" s="1688"/>
      <c r="SAR33" s="1688"/>
      <c r="SAS33" s="1688"/>
      <c r="SAT33" s="1688"/>
      <c r="SAU33" s="1688"/>
      <c r="SAV33" s="1688"/>
      <c r="SAW33" s="1688"/>
      <c r="SAX33" s="1688"/>
      <c r="SAY33" s="1688"/>
      <c r="SAZ33" s="1688"/>
      <c r="SBA33" s="1688"/>
      <c r="SBB33" s="1688"/>
      <c r="SBC33" s="1688"/>
      <c r="SBD33" s="1688"/>
      <c r="SBE33" s="1688"/>
      <c r="SBF33" s="1688"/>
      <c r="SBG33" s="1688"/>
      <c r="SBH33" s="1688"/>
      <c r="SBI33" s="1688"/>
      <c r="SBJ33" s="1688"/>
      <c r="SBK33" s="1688"/>
      <c r="SBL33" s="1688"/>
      <c r="SBM33" s="1688"/>
      <c r="SBN33" s="1688"/>
      <c r="SBO33" s="1688"/>
      <c r="SBP33" s="1688"/>
      <c r="SBQ33" s="1688"/>
      <c r="SBR33" s="1688"/>
      <c r="SBS33" s="1688"/>
      <c r="SBT33" s="1688"/>
      <c r="SBU33" s="1688"/>
      <c r="SBV33" s="1688"/>
      <c r="SBW33" s="1688"/>
      <c r="SBX33" s="1688"/>
      <c r="SBY33" s="1688"/>
      <c r="SBZ33" s="1688"/>
      <c r="SCA33" s="1688"/>
      <c r="SCB33" s="1688"/>
      <c r="SCC33" s="1688"/>
      <c r="SCD33" s="1688"/>
      <c r="SCE33" s="1688"/>
      <c r="SCF33" s="1688"/>
      <c r="SCG33" s="1688"/>
      <c r="SCH33" s="1688"/>
      <c r="SCI33" s="1688"/>
      <c r="SCJ33" s="1688"/>
      <c r="SCK33" s="1688"/>
      <c r="SCL33" s="1688"/>
      <c r="SCM33" s="1688"/>
      <c r="SCN33" s="1688"/>
      <c r="SCO33" s="1688"/>
      <c r="SCP33" s="1688"/>
      <c r="SCQ33" s="1688"/>
      <c r="SCR33" s="1688"/>
      <c r="SCS33" s="1688"/>
      <c r="SCT33" s="1688"/>
      <c r="SCU33" s="1688"/>
      <c r="SCV33" s="1688"/>
      <c r="SCW33" s="1688"/>
      <c r="SCX33" s="1688"/>
      <c r="SCY33" s="1688"/>
      <c r="SCZ33" s="1688"/>
      <c r="SDA33" s="1688"/>
      <c r="SDB33" s="1688"/>
      <c r="SDC33" s="1688"/>
      <c r="SDD33" s="1688"/>
      <c r="SDE33" s="1688"/>
      <c r="SDF33" s="1688"/>
      <c r="SDG33" s="1688"/>
      <c r="SDH33" s="1688"/>
      <c r="SDI33" s="1688"/>
      <c r="SDJ33" s="1688"/>
      <c r="SDK33" s="1688"/>
      <c r="SDL33" s="1688"/>
      <c r="SDM33" s="1688"/>
      <c r="SDN33" s="1688"/>
      <c r="SDO33" s="1688"/>
      <c r="SDP33" s="1688"/>
      <c r="SDQ33" s="1688"/>
      <c r="SDR33" s="1688"/>
      <c r="SDS33" s="1688"/>
      <c r="SDT33" s="1688"/>
      <c r="SDU33" s="1688"/>
      <c r="SDV33" s="1688"/>
      <c r="SDW33" s="1688"/>
      <c r="SDX33" s="1688"/>
      <c r="SDY33" s="1688"/>
      <c r="SDZ33" s="1688"/>
      <c r="SEA33" s="1688"/>
      <c r="SEB33" s="1688"/>
      <c r="SEC33" s="1688"/>
      <c r="SED33" s="1688"/>
      <c r="SEE33" s="1688"/>
      <c r="SEF33" s="1688"/>
      <c r="SEG33" s="1688"/>
      <c r="SEH33" s="1688"/>
      <c r="SEI33" s="1688"/>
      <c r="SEJ33" s="1688"/>
      <c r="SEK33" s="1688"/>
      <c r="SEL33" s="1688"/>
      <c r="SEM33" s="1688"/>
      <c r="SEN33" s="1688"/>
      <c r="SEO33" s="1688"/>
      <c r="SEP33" s="1688"/>
      <c r="SEQ33" s="1688"/>
      <c r="SER33" s="1688"/>
      <c r="SES33" s="1688"/>
      <c r="SET33" s="1688"/>
      <c r="SEU33" s="1688"/>
      <c r="SEV33" s="1688"/>
      <c r="SEW33" s="1688"/>
      <c r="SEX33" s="1688"/>
      <c r="SEY33" s="1688"/>
      <c r="SEZ33" s="1688"/>
      <c r="SFA33" s="1688"/>
      <c r="SFB33" s="1688"/>
      <c r="SFC33" s="1688"/>
      <c r="SFD33" s="1688"/>
      <c r="SFE33" s="1688"/>
      <c r="SFF33" s="1688"/>
      <c r="SFG33" s="1688"/>
      <c r="SFH33" s="1688"/>
      <c r="SFI33" s="1688"/>
      <c r="SFJ33" s="1688"/>
      <c r="SFK33" s="1688"/>
      <c r="SFL33" s="1688"/>
      <c r="SFM33" s="1688"/>
      <c r="SFN33" s="1688"/>
      <c r="SFO33" s="1688"/>
      <c r="SFP33" s="1688"/>
      <c r="SFQ33" s="1688"/>
      <c r="SFR33" s="1688"/>
      <c r="SFS33" s="1688"/>
      <c r="SFT33" s="1688"/>
      <c r="SFU33" s="1688"/>
      <c r="SFV33" s="1688"/>
      <c r="SFW33" s="1688"/>
      <c r="SFX33" s="1688"/>
      <c r="SFY33" s="1688"/>
      <c r="SFZ33" s="1688"/>
      <c r="SGA33" s="1688"/>
      <c r="SGB33" s="1688"/>
      <c r="SGC33" s="1688"/>
      <c r="SGD33" s="1688"/>
      <c r="SGE33" s="1688"/>
      <c r="SGF33" s="1688"/>
      <c r="SGG33" s="1688"/>
      <c r="SGH33" s="1688"/>
      <c r="SGI33" s="1688"/>
      <c r="SGJ33" s="1688"/>
      <c r="SGK33" s="1688"/>
      <c r="SGL33" s="1688"/>
      <c r="SGM33" s="1688"/>
      <c r="SGN33" s="1688"/>
      <c r="SGO33" s="1688"/>
      <c r="SGP33" s="1688"/>
      <c r="SGQ33" s="1688"/>
      <c r="SGR33" s="1688"/>
      <c r="SGS33" s="1688"/>
      <c r="SGT33" s="1688"/>
      <c r="SGU33" s="1688"/>
      <c r="SGV33" s="1688"/>
      <c r="SGW33" s="1688"/>
      <c r="SGX33" s="1688"/>
      <c r="SGY33" s="1688"/>
      <c r="SGZ33" s="1688"/>
      <c r="SHA33" s="1688"/>
      <c r="SHB33" s="1688"/>
      <c r="SHC33" s="1688"/>
      <c r="SHD33" s="1688"/>
      <c r="SHE33" s="1688"/>
      <c r="SHF33" s="1688"/>
      <c r="SHG33" s="1688"/>
      <c r="SHH33" s="1688"/>
      <c r="SHI33" s="1688"/>
      <c r="SHJ33" s="1688"/>
      <c r="SHK33" s="1688"/>
      <c r="SHL33" s="1688"/>
      <c r="SHM33" s="1688"/>
      <c r="SHN33" s="1688"/>
      <c r="SHO33" s="1688"/>
      <c r="SHP33" s="1688"/>
      <c r="SHQ33" s="1688"/>
      <c r="SHR33" s="1688"/>
      <c r="SHS33" s="1688"/>
      <c r="SHT33" s="1688"/>
      <c r="SHU33" s="1688"/>
      <c r="SHV33" s="1688"/>
      <c r="SHW33" s="1688"/>
      <c r="SHX33" s="1688"/>
      <c r="SHY33" s="1688"/>
      <c r="SHZ33" s="1688"/>
      <c r="SIA33" s="1688"/>
      <c r="SIB33" s="1688"/>
      <c r="SIC33" s="1688"/>
      <c r="SID33" s="1688"/>
      <c r="SIE33" s="1688"/>
      <c r="SIF33" s="1688"/>
      <c r="SIG33" s="1688"/>
      <c r="SIH33" s="1688"/>
      <c r="SII33" s="1688"/>
      <c r="SIJ33" s="1688"/>
      <c r="SIK33" s="1688"/>
      <c r="SIL33" s="1688"/>
      <c r="SIM33" s="1688"/>
      <c r="SIN33" s="1688"/>
      <c r="SIO33" s="1688"/>
      <c r="SIP33" s="1688"/>
      <c r="SIQ33" s="1688"/>
      <c r="SIR33" s="1688"/>
      <c r="SIS33" s="1688"/>
      <c r="SIT33" s="1688"/>
      <c r="SIU33" s="1688"/>
      <c r="SIV33" s="1688"/>
      <c r="SIW33" s="1688"/>
      <c r="SIX33" s="1688"/>
      <c r="SIY33" s="1688"/>
      <c r="SIZ33" s="1688"/>
      <c r="SJA33" s="1688"/>
      <c r="SJB33" s="1688"/>
      <c r="SJC33" s="1688"/>
      <c r="SJD33" s="1688"/>
      <c r="SJE33" s="1688"/>
      <c r="SJF33" s="1688"/>
      <c r="SJG33" s="1688"/>
      <c r="SJH33" s="1688"/>
      <c r="SJI33" s="1688"/>
      <c r="SJJ33" s="1688"/>
      <c r="SJK33" s="1688"/>
      <c r="SJL33" s="1688"/>
      <c r="SJM33" s="1688"/>
      <c r="SJN33" s="1688"/>
      <c r="SJO33" s="1688"/>
      <c r="SJP33" s="1688"/>
      <c r="SJQ33" s="1688"/>
      <c r="SJR33" s="1688"/>
      <c r="SJS33" s="1688"/>
      <c r="SJT33" s="1688"/>
      <c r="SJU33" s="1688"/>
      <c r="SJV33" s="1688"/>
      <c r="SJW33" s="1688"/>
      <c r="SJX33" s="1688"/>
      <c r="SJY33" s="1688"/>
      <c r="SJZ33" s="1688"/>
      <c r="SKA33" s="1688"/>
      <c r="SKB33" s="1688"/>
      <c r="SKC33" s="1688"/>
      <c r="SKD33" s="1688"/>
      <c r="SKE33" s="1688"/>
      <c r="SKF33" s="1688"/>
      <c r="SKG33" s="1688"/>
      <c r="SKH33" s="1688"/>
      <c r="SKI33" s="1688"/>
      <c r="SKJ33" s="1688"/>
      <c r="SKK33" s="1688"/>
      <c r="SKL33" s="1688"/>
      <c r="SKM33" s="1688"/>
      <c r="SKN33" s="1688"/>
      <c r="SKO33" s="1688"/>
      <c r="SKP33" s="1688"/>
      <c r="SKQ33" s="1688"/>
      <c r="SKR33" s="1688"/>
      <c r="SKS33" s="1688"/>
      <c r="SKT33" s="1688"/>
      <c r="SKU33" s="1688"/>
      <c r="SKV33" s="1688"/>
      <c r="SKW33" s="1688"/>
      <c r="SKX33" s="1688"/>
      <c r="SKY33" s="1688"/>
      <c r="SKZ33" s="1688"/>
      <c r="SLA33" s="1688"/>
      <c r="SLB33" s="1688"/>
      <c r="SLC33" s="1688"/>
      <c r="SLD33" s="1688"/>
      <c r="SLE33" s="1688"/>
      <c r="SLF33" s="1688"/>
      <c r="SLG33" s="1688"/>
      <c r="SLH33" s="1688"/>
      <c r="SLI33" s="1688"/>
      <c r="SLJ33" s="1688"/>
      <c r="SLK33" s="1688"/>
      <c r="SLL33" s="1688"/>
      <c r="SLM33" s="1688"/>
      <c r="SLN33" s="1688"/>
      <c r="SLO33" s="1688"/>
      <c r="SLP33" s="1688"/>
      <c r="SLQ33" s="1688"/>
      <c r="SLR33" s="1688"/>
      <c r="SLS33" s="1688"/>
      <c r="SLT33" s="1688"/>
      <c r="SLU33" s="1688"/>
      <c r="SLV33" s="1688"/>
      <c r="SLW33" s="1688"/>
      <c r="SLX33" s="1688"/>
      <c r="SLY33" s="1688"/>
      <c r="SLZ33" s="1688"/>
      <c r="SMA33" s="1688"/>
      <c r="SMB33" s="1688"/>
      <c r="SMC33" s="1688"/>
      <c r="SMD33" s="1688"/>
      <c r="SME33" s="1688"/>
      <c r="SMF33" s="1688"/>
      <c r="SMG33" s="1688"/>
      <c r="SMH33" s="1688"/>
      <c r="SMI33" s="1688"/>
      <c r="SMJ33" s="1688"/>
      <c r="SMK33" s="1688"/>
      <c r="SML33" s="1688"/>
      <c r="SMM33" s="1688"/>
      <c r="SMN33" s="1688"/>
      <c r="SMO33" s="1688"/>
      <c r="SMP33" s="1688"/>
      <c r="SMQ33" s="1688"/>
      <c r="SMR33" s="1688"/>
      <c r="SMS33" s="1688"/>
      <c r="SMT33" s="1688"/>
      <c r="SMU33" s="1688"/>
      <c r="SMV33" s="1688"/>
      <c r="SMW33" s="1688"/>
      <c r="SMX33" s="1688"/>
      <c r="SMY33" s="1688"/>
      <c r="SMZ33" s="1688"/>
      <c r="SNA33" s="1688"/>
      <c r="SNB33" s="1688"/>
      <c r="SNC33" s="1688"/>
      <c r="SND33" s="1688"/>
      <c r="SNE33" s="1688"/>
      <c r="SNF33" s="1688"/>
      <c r="SNG33" s="1688"/>
      <c r="SNH33" s="1688"/>
      <c r="SNI33" s="1688"/>
      <c r="SNJ33" s="1688"/>
      <c r="SNK33" s="1688"/>
      <c r="SNL33" s="1688"/>
      <c r="SNM33" s="1688"/>
      <c r="SNN33" s="1688"/>
      <c r="SNO33" s="1688"/>
      <c r="SNP33" s="1688"/>
      <c r="SNQ33" s="1688"/>
      <c r="SNR33" s="1688"/>
      <c r="SNS33" s="1688"/>
      <c r="SNT33" s="1688"/>
      <c r="SNU33" s="1688"/>
      <c r="SNV33" s="1688"/>
      <c r="SNW33" s="1688"/>
      <c r="SNX33" s="1688"/>
      <c r="SNY33" s="1688"/>
      <c r="SNZ33" s="1688"/>
      <c r="SOA33" s="1688"/>
      <c r="SOB33" s="1688"/>
      <c r="SOC33" s="1688"/>
      <c r="SOD33" s="1688"/>
      <c r="SOE33" s="1688"/>
      <c r="SOF33" s="1688"/>
      <c r="SOG33" s="1688"/>
      <c r="SOH33" s="1688"/>
      <c r="SOI33" s="1688"/>
      <c r="SOJ33" s="1688"/>
      <c r="SOK33" s="1688"/>
      <c r="SOL33" s="1688"/>
      <c r="SOM33" s="1688"/>
      <c r="SON33" s="1688"/>
      <c r="SOO33" s="1688"/>
      <c r="SOP33" s="1688"/>
      <c r="SOQ33" s="1688"/>
      <c r="SOR33" s="1688"/>
      <c r="SOS33" s="1688"/>
      <c r="SOT33" s="1688"/>
      <c r="SOU33" s="1688"/>
      <c r="SOV33" s="1688"/>
      <c r="SOW33" s="1688"/>
      <c r="SOX33" s="1688"/>
      <c r="SOY33" s="1688"/>
      <c r="SOZ33" s="1688"/>
      <c r="SPA33" s="1688"/>
      <c r="SPB33" s="1688"/>
      <c r="SPC33" s="1688"/>
      <c r="SPD33" s="1688"/>
      <c r="SPE33" s="1688"/>
      <c r="SPF33" s="1688"/>
      <c r="SPG33" s="1688"/>
      <c r="SPH33" s="1688"/>
      <c r="SPI33" s="1688"/>
      <c r="SPJ33" s="1688"/>
      <c r="SPK33" s="1688"/>
      <c r="SPL33" s="1688"/>
      <c r="SPM33" s="1688"/>
      <c r="SPN33" s="1688"/>
      <c r="SPO33" s="1688"/>
      <c r="SPP33" s="1688"/>
      <c r="SPQ33" s="1688"/>
      <c r="SPR33" s="1688"/>
      <c r="SPS33" s="1688"/>
      <c r="SPT33" s="1688"/>
      <c r="SPU33" s="1688"/>
      <c r="SPV33" s="1688"/>
      <c r="SPW33" s="1688"/>
      <c r="SPX33" s="1688"/>
      <c r="SPY33" s="1688"/>
      <c r="SPZ33" s="1688"/>
      <c r="SQA33" s="1688"/>
      <c r="SQB33" s="1688"/>
      <c r="SQC33" s="1688"/>
      <c r="SQD33" s="1688"/>
      <c r="SQE33" s="1688"/>
      <c r="SQF33" s="1688"/>
      <c r="SQG33" s="1688"/>
      <c r="SQH33" s="1688"/>
      <c r="SQI33" s="1688"/>
      <c r="SQJ33" s="1688"/>
      <c r="SQK33" s="1688"/>
      <c r="SQL33" s="1688"/>
      <c r="SQM33" s="1688"/>
      <c r="SQN33" s="1688"/>
      <c r="SQO33" s="1688"/>
      <c r="SQP33" s="1688"/>
      <c r="SQQ33" s="1688"/>
      <c r="SQR33" s="1688"/>
      <c r="SQS33" s="1688"/>
      <c r="SQT33" s="1688"/>
      <c r="SQU33" s="1688"/>
      <c r="SQV33" s="1688"/>
      <c r="SQW33" s="1688"/>
      <c r="SQX33" s="1688"/>
      <c r="SQY33" s="1688"/>
      <c r="SQZ33" s="1688"/>
      <c r="SRA33" s="1688"/>
      <c r="SRB33" s="1688"/>
      <c r="SRC33" s="1688"/>
      <c r="SRD33" s="1688"/>
      <c r="SRE33" s="1688"/>
      <c r="SRF33" s="1688"/>
      <c r="SRG33" s="1688"/>
      <c r="SRH33" s="1688"/>
      <c r="SRI33" s="1688"/>
      <c r="SRJ33" s="1688"/>
      <c r="SRK33" s="1688"/>
      <c r="SRL33" s="1688"/>
      <c r="SRM33" s="1688"/>
      <c r="SRN33" s="1688"/>
      <c r="SRO33" s="1688"/>
      <c r="SRP33" s="1688"/>
      <c r="SRQ33" s="1688"/>
      <c r="SRR33" s="1688"/>
      <c r="SRS33" s="1688"/>
      <c r="SRT33" s="1688"/>
      <c r="SRU33" s="1688"/>
      <c r="SRV33" s="1688"/>
      <c r="SRW33" s="1688"/>
      <c r="SRX33" s="1688"/>
      <c r="SRY33" s="1688"/>
      <c r="SRZ33" s="1688"/>
      <c r="SSA33" s="1688"/>
      <c r="SSB33" s="1688"/>
      <c r="SSC33" s="1688"/>
      <c r="SSD33" s="1688"/>
      <c r="SSE33" s="1688"/>
      <c r="SSF33" s="1688"/>
      <c r="SSG33" s="1688"/>
      <c r="SSH33" s="1688"/>
      <c r="SSI33" s="1688"/>
      <c r="SSJ33" s="1688"/>
      <c r="SSK33" s="1688"/>
      <c r="SSL33" s="1688"/>
      <c r="SSM33" s="1688"/>
      <c r="SSN33" s="1688"/>
      <c r="SSO33" s="1688"/>
      <c r="SSP33" s="1688"/>
      <c r="SSQ33" s="1688"/>
      <c r="SSR33" s="1688"/>
      <c r="SSS33" s="1688"/>
      <c r="SST33" s="1688"/>
      <c r="SSU33" s="1688"/>
      <c r="SSV33" s="1688"/>
      <c r="SSW33" s="1688"/>
      <c r="SSX33" s="1688"/>
      <c r="SSY33" s="1688"/>
      <c r="SSZ33" s="1688"/>
      <c r="STA33" s="1688"/>
      <c r="STB33" s="1688"/>
      <c r="STC33" s="1688"/>
      <c r="STD33" s="1688"/>
      <c r="STE33" s="1688"/>
      <c r="STF33" s="1688"/>
      <c r="STG33" s="1688"/>
      <c r="STH33" s="1688"/>
      <c r="STI33" s="1688"/>
      <c r="STJ33" s="1688"/>
      <c r="STK33" s="1688"/>
      <c r="STL33" s="1688"/>
      <c r="STM33" s="1688"/>
      <c r="STN33" s="1688"/>
      <c r="STO33" s="1688"/>
      <c r="STP33" s="1688"/>
      <c r="STQ33" s="1688"/>
      <c r="STR33" s="1688"/>
      <c r="STS33" s="1688"/>
      <c r="STT33" s="1688"/>
      <c r="STU33" s="1688"/>
      <c r="STV33" s="1688"/>
      <c r="STW33" s="1688"/>
      <c r="STX33" s="1688"/>
      <c r="STY33" s="1688"/>
      <c r="STZ33" s="1688"/>
      <c r="SUA33" s="1688"/>
      <c r="SUB33" s="1688"/>
      <c r="SUC33" s="1688"/>
      <c r="SUD33" s="1688"/>
      <c r="SUE33" s="1688"/>
      <c r="SUF33" s="1688"/>
      <c r="SUG33" s="1688"/>
      <c r="SUH33" s="1688"/>
      <c r="SUI33" s="1688"/>
      <c r="SUJ33" s="1688"/>
      <c r="SUK33" s="1688"/>
      <c r="SUL33" s="1688"/>
      <c r="SUM33" s="1688"/>
      <c r="SUN33" s="1688"/>
      <c r="SUO33" s="1688"/>
      <c r="SUP33" s="1688"/>
      <c r="SUQ33" s="1688"/>
      <c r="SUR33" s="1688"/>
      <c r="SUS33" s="1688"/>
      <c r="SUT33" s="1688"/>
      <c r="SUU33" s="1688"/>
      <c r="SUV33" s="1688"/>
      <c r="SUW33" s="1688"/>
      <c r="SUX33" s="1688"/>
      <c r="SUY33" s="1688"/>
      <c r="SUZ33" s="1688"/>
      <c r="SVA33" s="1688"/>
      <c r="SVB33" s="1688"/>
      <c r="SVC33" s="1688"/>
      <c r="SVD33" s="1688"/>
      <c r="SVE33" s="1688"/>
      <c r="SVF33" s="1688"/>
      <c r="SVG33" s="1688"/>
      <c r="SVH33" s="1688"/>
      <c r="SVI33" s="1688"/>
      <c r="SVJ33" s="1688"/>
      <c r="SVK33" s="1688"/>
      <c r="SVL33" s="1688"/>
      <c r="SVM33" s="1688"/>
      <c r="SVN33" s="1688"/>
      <c r="SVO33" s="1688"/>
      <c r="SVP33" s="1688"/>
      <c r="SVQ33" s="1688"/>
      <c r="SVR33" s="1688"/>
      <c r="SVS33" s="1688"/>
      <c r="SVT33" s="1688"/>
      <c r="SVU33" s="1688"/>
      <c r="SVV33" s="1688"/>
      <c r="SVW33" s="1688"/>
      <c r="SVX33" s="1688"/>
      <c r="SVY33" s="1688"/>
      <c r="SVZ33" s="1688"/>
      <c r="SWA33" s="1688"/>
      <c r="SWB33" s="1688"/>
      <c r="SWC33" s="1688"/>
      <c r="SWD33" s="1688"/>
      <c r="SWE33" s="1688"/>
      <c r="SWF33" s="1688"/>
      <c r="SWG33" s="1688"/>
      <c r="SWH33" s="1688"/>
      <c r="SWI33" s="1688"/>
      <c r="SWJ33" s="1688"/>
      <c r="SWK33" s="1688"/>
      <c r="SWL33" s="1688"/>
      <c r="SWM33" s="1688"/>
      <c r="SWN33" s="1688"/>
      <c r="SWO33" s="1688"/>
      <c r="SWP33" s="1688"/>
      <c r="SWQ33" s="1688"/>
      <c r="SWR33" s="1688"/>
      <c r="SWS33" s="1688"/>
      <c r="SWT33" s="1688"/>
      <c r="SWU33" s="1688"/>
      <c r="SWV33" s="1688"/>
      <c r="SWW33" s="1688"/>
      <c r="SWX33" s="1688"/>
      <c r="SWY33" s="1688"/>
      <c r="SWZ33" s="1688"/>
      <c r="SXA33" s="1688"/>
      <c r="SXB33" s="1688"/>
      <c r="SXC33" s="1688"/>
      <c r="SXD33" s="1688"/>
      <c r="SXE33" s="1688"/>
      <c r="SXF33" s="1688"/>
      <c r="SXG33" s="1688"/>
      <c r="SXH33" s="1688"/>
      <c r="SXI33" s="1688"/>
      <c r="SXJ33" s="1688"/>
      <c r="SXK33" s="1688"/>
      <c r="SXL33" s="1688"/>
      <c r="SXM33" s="1688"/>
      <c r="SXN33" s="1688"/>
      <c r="SXO33" s="1688"/>
      <c r="SXP33" s="1688"/>
      <c r="SXQ33" s="1688"/>
      <c r="SXR33" s="1688"/>
      <c r="SXS33" s="1688"/>
      <c r="SXT33" s="1688"/>
      <c r="SXU33" s="1688"/>
      <c r="SXV33" s="1688"/>
      <c r="SXW33" s="1688"/>
      <c r="SXX33" s="1688"/>
      <c r="SXY33" s="1688"/>
      <c r="SXZ33" s="1688"/>
      <c r="SYA33" s="1688"/>
      <c r="SYB33" s="1688"/>
      <c r="SYC33" s="1688"/>
      <c r="SYD33" s="1688"/>
      <c r="SYE33" s="1688"/>
      <c r="SYF33" s="1688"/>
      <c r="SYG33" s="1688"/>
      <c r="SYH33" s="1688"/>
      <c r="SYI33" s="1688"/>
      <c r="SYJ33" s="1688"/>
      <c r="SYK33" s="1688"/>
      <c r="SYL33" s="1688"/>
      <c r="SYM33" s="1688"/>
      <c r="SYN33" s="1688"/>
      <c r="SYO33" s="1688"/>
      <c r="SYP33" s="1688"/>
      <c r="SYQ33" s="1688"/>
      <c r="SYR33" s="1688"/>
      <c r="SYS33" s="1688"/>
      <c r="SYT33" s="1688"/>
      <c r="SYU33" s="1688"/>
      <c r="SYV33" s="1688"/>
      <c r="SYW33" s="1688"/>
      <c r="SYX33" s="1688"/>
      <c r="SYY33" s="1688"/>
      <c r="SYZ33" s="1688"/>
      <c r="SZA33" s="1688"/>
      <c r="SZB33" s="1688"/>
      <c r="SZC33" s="1688"/>
      <c r="SZD33" s="1688"/>
      <c r="SZE33" s="1688"/>
      <c r="SZF33" s="1688"/>
      <c r="SZG33" s="1688"/>
      <c r="SZH33" s="1688"/>
      <c r="SZI33" s="1688"/>
      <c r="SZJ33" s="1688"/>
      <c r="SZK33" s="1688"/>
      <c r="SZL33" s="1688"/>
      <c r="SZM33" s="1688"/>
      <c r="SZN33" s="1688"/>
      <c r="SZO33" s="1688"/>
      <c r="SZP33" s="1688"/>
      <c r="SZQ33" s="1688"/>
      <c r="SZR33" s="1688"/>
      <c r="SZS33" s="1688"/>
      <c r="SZT33" s="1688"/>
      <c r="SZU33" s="1688"/>
      <c r="SZV33" s="1688"/>
      <c r="SZW33" s="1688"/>
      <c r="SZX33" s="1688"/>
      <c r="SZY33" s="1688"/>
      <c r="SZZ33" s="1688"/>
      <c r="TAA33" s="1688"/>
      <c r="TAB33" s="1688"/>
      <c r="TAC33" s="1688"/>
      <c r="TAD33" s="1688"/>
      <c r="TAE33" s="1688"/>
      <c r="TAF33" s="1688"/>
      <c r="TAG33" s="1688"/>
      <c r="TAH33" s="1688"/>
      <c r="TAI33" s="1688"/>
      <c r="TAJ33" s="1688"/>
      <c r="TAK33" s="1688"/>
      <c r="TAL33" s="1688"/>
      <c r="TAM33" s="1688"/>
      <c r="TAN33" s="1688"/>
      <c r="TAO33" s="1688"/>
      <c r="TAP33" s="1688"/>
      <c r="TAQ33" s="1688"/>
      <c r="TAR33" s="1688"/>
      <c r="TAS33" s="1688"/>
      <c r="TAT33" s="1688"/>
      <c r="TAU33" s="1688"/>
      <c r="TAV33" s="1688"/>
      <c r="TAW33" s="1688"/>
      <c r="TAX33" s="1688"/>
      <c r="TAY33" s="1688"/>
      <c r="TAZ33" s="1688"/>
      <c r="TBA33" s="1688"/>
      <c r="TBB33" s="1688"/>
      <c r="TBC33" s="1688"/>
      <c r="TBD33" s="1688"/>
      <c r="TBE33" s="1688"/>
      <c r="TBF33" s="1688"/>
      <c r="TBG33" s="1688"/>
      <c r="TBH33" s="1688"/>
      <c r="TBI33" s="1688"/>
      <c r="TBJ33" s="1688"/>
      <c r="TBK33" s="1688"/>
      <c r="TBL33" s="1688"/>
      <c r="TBM33" s="1688"/>
      <c r="TBN33" s="1688"/>
      <c r="TBO33" s="1688"/>
      <c r="TBP33" s="1688"/>
      <c r="TBQ33" s="1688"/>
      <c r="TBR33" s="1688"/>
      <c r="TBS33" s="1688"/>
      <c r="TBT33" s="1688"/>
      <c r="TBU33" s="1688"/>
      <c r="TBV33" s="1688"/>
      <c r="TBW33" s="1688"/>
      <c r="TBX33" s="1688"/>
      <c r="TBY33" s="1688"/>
      <c r="TBZ33" s="1688"/>
      <c r="TCA33" s="1688"/>
      <c r="TCB33" s="1688"/>
      <c r="TCC33" s="1688"/>
      <c r="TCD33" s="1688"/>
      <c r="TCE33" s="1688"/>
      <c r="TCF33" s="1688"/>
      <c r="TCG33" s="1688"/>
      <c r="TCH33" s="1688"/>
      <c r="TCI33" s="1688"/>
      <c r="TCJ33" s="1688"/>
      <c r="TCK33" s="1688"/>
      <c r="TCL33" s="1688"/>
      <c r="TCM33" s="1688"/>
      <c r="TCN33" s="1688"/>
      <c r="TCO33" s="1688"/>
      <c r="TCP33" s="1688"/>
      <c r="TCQ33" s="1688"/>
      <c r="TCR33" s="1688"/>
      <c r="TCS33" s="1688"/>
      <c r="TCT33" s="1688"/>
      <c r="TCU33" s="1688"/>
      <c r="TCV33" s="1688"/>
      <c r="TCW33" s="1688"/>
      <c r="TCX33" s="1688"/>
      <c r="TCY33" s="1688"/>
      <c r="TCZ33" s="1688"/>
      <c r="TDA33" s="1688"/>
      <c r="TDB33" s="1688"/>
      <c r="TDC33" s="1688"/>
      <c r="TDD33" s="1688"/>
      <c r="TDE33" s="1688"/>
      <c r="TDF33" s="1688"/>
      <c r="TDG33" s="1688"/>
      <c r="TDH33" s="1688"/>
      <c r="TDI33" s="1688"/>
      <c r="TDJ33" s="1688"/>
      <c r="TDK33" s="1688"/>
      <c r="TDL33" s="1688"/>
      <c r="TDM33" s="1688"/>
      <c r="TDN33" s="1688"/>
      <c r="TDO33" s="1688"/>
      <c r="TDP33" s="1688"/>
      <c r="TDQ33" s="1688"/>
      <c r="TDR33" s="1688"/>
      <c r="TDS33" s="1688"/>
      <c r="TDT33" s="1688"/>
      <c r="TDU33" s="1688"/>
      <c r="TDV33" s="1688"/>
      <c r="TDW33" s="1688"/>
      <c r="TDX33" s="1688"/>
      <c r="TDY33" s="1688"/>
      <c r="TDZ33" s="1688"/>
      <c r="TEA33" s="1688"/>
      <c r="TEB33" s="1688"/>
      <c r="TEC33" s="1688"/>
      <c r="TED33" s="1688"/>
      <c r="TEE33" s="1688"/>
      <c r="TEF33" s="1688"/>
      <c r="TEG33" s="1688"/>
      <c r="TEH33" s="1688"/>
      <c r="TEI33" s="1688"/>
      <c r="TEJ33" s="1688"/>
      <c r="TEK33" s="1688"/>
      <c r="TEL33" s="1688"/>
      <c r="TEM33" s="1688"/>
      <c r="TEN33" s="1688"/>
      <c r="TEO33" s="1688"/>
      <c r="TEP33" s="1688"/>
      <c r="TEQ33" s="1688"/>
      <c r="TER33" s="1688"/>
      <c r="TES33" s="1688"/>
      <c r="TET33" s="1688"/>
      <c r="TEU33" s="1688"/>
      <c r="TEV33" s="1688"/>
      <c r="TEW33" s="1688"/>
      <c r="TEX33" s="1688"/>
      <c r="TEY33" s="1688"/>
      <c r="TEZ33" s="1688"/>
      <c r="TFA33" s="1688"/>
      <c r="TFB33" s="1688"/>
      <c r="TFC33" s="1688"/>
      <c r="TFD33" s="1688"/>
      <c r="TFE33" s="1688"/>
      <c r="TFF33" s="1688"/>
      <c r="TFG33" s="1688"/>
      <c r="TFH33" s="1688"/>
      <c r="TFI33" s="1688"/>
      <c r="TFJ33" s="1688"/>
      <c r="TFK33" s="1688"/>
      <c r="TFL33" s="1688"/>
      <c r="TFM33" s="1688"/>
      <c r="TFN33" s="1688"/>
      <c r="TFO33" s="1688"/>
      <c r="TFP33" s="1688"/>
      <c r="TFQ33" s="1688"/>
      <c r="TFR33" s="1688"/>
      <c r="TFS33" s="1688"/>
      <c r="TFT33" s="1688"/>
      <c r="TFU33" s="1688"/>
      <c r="TFV33" s="1688"/>
      <c r="TFW33" s="1688"/>
      <c r="TFX33" s="1688"/>
      <c r="TFY33" s="1688"/>
      <c r="TFZ33" s="1688"/>
      <c r="TGA33" s="1688"/>
      <c r="TGB33" s="1688"/>
      <c r="TGC33" s="1688"/>
      <c r="TGD33" s="1688"/>
      <c r="TGE33" s="1688"/>
      <c r="TGF33" s="1688"/>
      <c r="TGG33" s="1688"/>
      <c r="TGH33" s="1688"/>
      <c r="TGI33" s="1688"/>
      <c r="TGJ33" s="1688"/>
      <c r="TGK33" s="1688"/>
      <c r="TGL33" s="1688"/>
      <c r="TGM33" s="1688"/>
      <c r="TGN33" s="1688"/>
      <c r="TGO33" s="1688"/>
      <c r="TGP33" s="1688"/>
      <c r="TGQ33" s="1688"/>
      <c r="TGR33" s="1688"/>
      <c r="TGS33" s="1688"/>
      <c r="TGT33" s="1688"/>
      <c r="TGU33" s="1688"/>
      <c r="TGV33" s="1688"/>
      <c r="TGW33" s="1688"/>
      <c r="TGX33" s="1688"/>
      <c r="TGY33" s="1688"/>
      <c r="TGZ33" s="1688"/>
      <c r="THA33" s="1688"/>
      <c r="THB33" s="1688"/>
      <c r="THC33" s="1688"/>
      <c r="THD33" s="1688"/>
      <c r="THE33" s="1688"/>
      <c r="THF33" s="1688"/>
      <c r="THG33" s="1688"/>
      <c r="THH33" s="1688"/>
      <c r="THI33" s="1688"/>
      <c r="THJ33" s="1688"/>
      <c r="THK33" s="1688"/>
      <c r="THL33" s="1688"/>
      <c r="THM33" s="1688"/>
      <c r="THN33" s="1688"/>
      <c r="THO33" s="1688"/>
      <c r="THP33" s="1688"/>
      <c r="THQ33" s="1688"/>
      <c r="THR33" s="1688"/>
      <c r="THS33" s="1688"/>
      <c r="THT33" s="1688"/>
      <c r="THU33" s="1688"/>
      <c r="THV33" s="1688"/>
      <c r="THW33" s="1688"/>
      <c r="THX33" s="1688"/>
      <c r="THY33" s="1688"/>
      <c r="THZ33" s="1688"/>
      <c r="TIA33" s="1688"/>
      <c r="TIB33" s="1688"/>
      <c r="TIC33" s="1688"/>
      <c r="TID33" s="1688"/>
      <c r="TIE33" s="1688"/>
      <c r="TIF33" s="1688"/>
      <c r="TIG33" s="1688"/>
      <c r="TIH33" s="1688"/>
      <c r="TII33" s="1688"/>
      <c r="TIJ33" s="1688"/>
      <c r="TIK33" s="1688"/>
      <c r="TIL33" s="1688"/>
      <c r="TIM33" s="1688"/>
      <c r="TIN33" s="1688"/>
      <c r="TIO33" s="1688"/>
      <c r="TIP33" s="1688"/>
      <c r="TIQ33" s="1688"/>
      <c r="TIR33" s="1688"/>
      <c r="TIS33" s="1688"/>
      <c r="TIT33" s="1688"/>
      <c r="TIU33" s="1688"/>
      <c r="TIV33" s="1688"/>
      <c r="TIW33" s="1688"/>
      <c r="TIX33" s="1688"/>
      <c r="TIY33" s="1688"/>
      <c r="TIZ33" s="1688"/>
      <c r="TJA33" s="1688"/>
      <c r="TJB33" s="1688"/>
      <c r="TJC33" s="1688"/>
      <c r="TJD33" s="1688"/>
      <c r="TJE33" s="1688"/>
      <c r="TJF33" s="1688"/>
      <c r="TJG33" s="1688"/>
      <c r="TJH33" s="1688"/>
      <c r="TJI33" s="1688"/>
      <c r="TJJ33" s="1688"/>
      <c r="TJK33" s="1688"/>
      <c r="TJL33" s="1688"/>
      <c r="TJM33" s="1688"/>
      <c r="TJN33" s="1688"/>
      <c r="TJO33" s="1688"/>
      <c r="TJP33" s="1688"/>
      <c r="TJQ33" s="1688"/>
      <c r="TJR33" s="1688"/>
      <c r="TJS33" s="1688"/>
      <c r="TJT33" s="1688"/>
      <c r="TJU33" s="1688"/>
      <c r="TJV33" s="1688"/>
      <c r="TJW33" s="1688"/>
      <c r="TJX33" s="1688"/>
      <c r="TJY33" s="1688"/>
      <c r="TJZ33" s="1688"/>
      <c r="TKA33" s="1688"/>
      <c r="TKB33" s="1688"/>
      <c r="TKC33" s="1688"/>
      <c r="TKD33" s="1688"/>
      <c r="TKE33" s="1688"/>
      <c r="TKF33" s="1688"/>
      <c r="TKG33" s="1688"/>
      <c r="TKH33" s="1688"/>
      <c r="TKI33" s="1688"/>
      <c r="TKJ33" s="1688"/>
      <c r="TKK33" s="1688"/>
      <c r="TKL33" s="1688"/>
      <c r="TKM33" s="1688"/>
      <c r="TKN33" s="1688"/>
      <c r="TKO33" s="1688"/>
      <c r="TKP33" s="1688"/>
      <c r="TKQ33" s="1688"/>
      <c r="TKR33" s="1688"/>
      <c r="TKS33" s="1688"/>
      <c r="TKT33" s="1688"/>
      <c r="TKU33" s="1688"/>
      <c r="TKV33" s="1688"/>
      <c r="TKW33" s="1688"/>
      <c r="TKX33" s="1688"/>
      <c r="TKY33" s="1688"/>
      <c r="TKZ33" s="1688"/>
      <c r="TLA33" s="1688"/>
      <c r="TLB33" s="1688"/>
      <c r="TLC33" s="1688"/>
      <c r="TLD33" s="1688"/>
      <c r="TLE33" s="1688"/>
      <c r="TLF33" s="1688"/>
      <c r="TLG33" s="1688"/>
      <c r="TLH33" s="1688"/>
      <c r="TLI33" s="1688"/>
      <c r="TLJ33" s="1688"/>
      <c r="TLK33" s="1688"/>
      <c r="TLL33" s="1688"/>
      <c r="TLM33" s="1688"/>
      <c r="TLN33" s="1688"/>
      <c r="TLO33" s="1688"/>
      <c r="TLP33" s="1688"/>
      <c r="TLQ33" s="1688"/>
      <c r="TLR33" s="1688"/>
      <c r="TLS33" s="1688"/>
      <c r="TLT33" s="1688"/>
      <c r="TLU33" s="1688"/>
      <c r="TLV33" s="1688"/>
      <c r="TLW33" s="1688"/>
      <c r="TLX33" s="1688"/>
      <c r="TLY33" s="1688"/>
      <c r="TLZ33" s="1688"/>
      <c r="TMA33" s="1688"/>
      <c r="TMB33" s="1688"/>
      <c r="TMC33" s="1688"/>
      <c r="TMD33" s="1688"/>
      <c r="TME33" s="1688"/>
      <c r="TMF33" s="1688"/>
      <c r="TMG33" s="1688"/>
      <c r="TMH33" s="1688"/>
      <c r="TMI33" s="1688"/>
      <c r="TMJ33" s="1688"/>
      <c r="TMK33" s="1688"/>
      <c r="TML33" s="1688"/>
      <c r="TMM33" s="1688"/>
      <c r="TMN33" s="1688"/>
      <c r="TMO33" s="1688"/>
      <c r="TMP33" s="1688"/>
      <c r="TMQ33" s="1688"/>
      <c r="TMR33" s="1688"/>
      <c r="TMS33" s="1688"/>
      <c r="TMT33" s="1688"/>
      <c r="TMU33" s="1688"/>
      <c r="TMV33" s="1688"/>
      <c r="TMW33" s="1688"/>
      <c r="TMX33" s="1688"/>
      <c r="TMY33" s="1688"/>
      <c r="TMZ33" s="1688"/>
      <c r="TNA33" s="1688"/>
      <c r="TNB33" s="1688"/>
      <c r="TNC33" s="1688"/>
      <c r="TND33" s="1688"/>
      <c r="TNE33" s="1688"/>
      <c r="TNF33" s="1688"/>
      <c r="TNG33" s="1688"/>
      <c r="TNH33" s="1688"/>
      <c r="TNI33" s="1688"/>
      <c r="TNJ33" s="1688"/>
      <c r="TNK33" s="1688"/>
      <c r="TNL33" s="1688"/>
      <c r="TNM33" s="1688"/>
      <c r="TNN33" s="1688"/>
      <c r="TNO33" s="1688"/>
      <c r="TNP33" s="1688"/>
      <c r="TNQ33" s="1688"/>
      <c r="TNR33" s="1688"/>
      <c r="TNS33" s="1688"/>
      <c r="TNT33" s="1688"/>
      <c r="TNU33" s="1688"/>
      <c r="TNV33" s="1688"/>
      <c r="TNW33" s="1688"/>
      <c r="TNX33" s="1688"/>
      <c r="TNY33" s="1688"/>
      <c r="TNZ33" s="1688"/>
      <c r="TOA33" s="1688"/>
      <c r="TOB33" s="1688"/>
      <c r="TOC33" s="1688"/>
      <c r="TOD33" s="1688"/>
      <c r="TOE33" s="1688"/>
      <c r="TOF33" s="1688"/>
      <c r="TOG33" s="1688"/>
      <c r="TOH33" s="1688"/>
      <c r="TOI33" s="1688"/>
      <c r="TOJ33" s="1688"/>
      <c r="TOK33" s="1688"/>
      <c r="TOL33" s="1688"/>
      <c r="TOM33" s="1688"/>
      <c r="TON33" s="1688"/>
      <c r="TOO33" s="1688"/>
      <c r="TOP33" s="1688"/>
      <c r="TOQ33" s="1688"/>
      <c r="TOR33" s="1688"/>
      <c r="TOS33" s="1688"/>
      <c r="TOT33" s="1688"/>
      <c r="TOU33" s="1688"/>
      <c r="TOV33" s="1688"/>
      <c r="TOW33" s="1688"/>
      <c r="TOX33" s="1688"/>
      <c r="TOY33" s="1688"/>
      <c r="TOZ33" s="1688"/>
      <c r="TPA33" s="1688"/>
      <c r="TPB33" s="1688"/>
      <c r="TPC33" s="1688"/>
      <c r="TPD33" s="1688"/>
      <c r="TPE33" s="1688"/>
      <c r="TPF33" s="1688"/>
      <c r="TPG33" s="1688"/>
      <c r="TPH33" s="1688"/>
      <c r="TPI33" s="1688"/>
      <c r="TPJ33" s="1688"/>
      <c r="TPK33" s="1688"/>
      <c r="TPL33" s="1688"/>
      <c r="TPM33" s="1688"/>
      <c r="TPN33" s="1688"/>
      <c r="TPO33" s="1688"/>
      <c r="TPP33" s="1688"/>
      <c r="TPQ33" s="1688"/>
      <c r="TPR33" s="1688"/>
      <c r="TPS33" s="1688"/>
      <c r="TPT33" s="1688"/>
      <c r="TPU33" s="1688"/>
      <c r="TPV33" s="1688"/>
      <c r="TPW33" s="1688"/>
      <c r="TPX33" s="1688"/>
      <c r="TPY33" s="1688"/>
      <c r="TPZ33" s="1688"/>
      <c r="TQA33" s="1688"/>
      <c r="TQB33" s="1688"/>
      <c r="TQC33" s="1688"/>
      <c r="TQD33" s="1688"/>
      <c r="TQE33" s="1688"/>
      <c r="TQF33" s="1688"/>
      <c r="TQG33" s="1688"/>
      <c r="TQH33" s="1688"/>
      <c r="TQI33" s="1688"/>
      <c r="TQJ33" s="1688"/>
      <c r="TQK33" s="1688"/>
      <c r="TQL33" s="1688"/>
      <c r="TQM33" s="1688"/>
      <c r="TQN33" s="1688"/>
      <c r="TQO33" s="1688"/>
      <c r="TQP33" s="1688"/>
      <c r="TQQ33" s="1688"/>
      <c r="TQR33" s="1688"/>
      <c r="TQS33" s="1688"/>
      <c r="TQT33" s="1688"/>
      <c r="TQU33" s="1688"/>
      <c r="TQV33" s="1688"/>
      <c r="TQW33" s="1688"/>
      <c r="TQX33" s="1688"/>
      <c r="TQY33" s="1688"/>
      <c r="TQZ33" s="1688"/>
      <c r="TRA33" s="1688"/>
      <c r="TRB33" s="1688"/>
      <c r="TRC33" s="1688"/>
      <c r="TRD33" s="1688"/>
      <c r="TRE33" s="1688"/>
      <c r="TRF33" s="1688"/>
      <c r="TRG33" s="1688"/>
      <c r="TRH33" s="1688"/>
      <c r="TRI33" s="1688"/>
      <c r="TRJ33" s="1688"/>
      <c r="TRK33" s="1688"/>
      <c r="TRL33" s="1688"/>
      <c r="TRM33" s="1688"/>
      <c r="TRN33" s="1688"/>
      <c r="TRO33" s="1688"/>
      <c r="TRP33" s="1688"/>
      <c r="TRQ33" s="1688"/>
      <c r="TRR33" s="1688"/>
      <c r="TRS33" s="1688"/>
      <c r="TRT33" s="1688"/>
      <c r="TRU33" s="1688"/>
      <c r="TRV33" s="1688"/>
      <c r="TRW33" s="1688"/>
      <c r="TRX33" s="1688"/>
      <c r="TRY33" s="1688"/>
      <c r="TRZ33" s="1688"/>
      <c r="TSA33" s="1688"/>
      <c r="TSB33" s="1688"/>
      <c r="TSC33" s="1688"/>
      <c r="TSD33" s="1688"/>
      <c r="TSE33" s="1688"/>
      <c r="TSF33" s="1688"/>
      <c r="TSG33" s="1688"/>
      <c r="TSH33" s="1688"/>
      <c r="TSI33" s="1688"/>
      <c r="TSJ33" s="1688"/>
      <c r="TSK33" s="1688"/>
      <c r="TSL33" s="1688"/>
      <c r="TSM33" s="1688"/>
      <c r="TSN33" s="1688"/>
      <c r="TSO33" s="1688"/>
      <c r="TSP33" s="1688"/>
      <c r="TSQ33" s="1688"/>
      <c r="TSR33" s="1688"/>
      <c r="TSS33" s="1688"/>
      <c r="TST33" s="1688"/>
      <c r="TSU33" s="1688"/>
      <c r="TSV33" s="1688"/>
      <c r="TSW33" s="1688"/>
      <c r="TSX33" s="1688"/>
      <c r="TSY33" s="1688"/>
      <c r="TSZ33" s="1688"/>
      <c r="TTA33" s="1688"/>
      <c r="TTB33" s="1688"/>
      <c r="TTC33" s="1688"/>
      <c r="TTD33" s="1688"/>
      <c r="TTE33" s="1688"/>
      <c r="TTF33" s="1688"/>
      <c r="TTG33" s="1688"/>
      <c r="TTH33" s="1688"/>
      <c r="TTI33" s="1688"/>
      <c r="TTJ33" s="1688"/>
      <c r="TTK33" s="1688"/>
      <c r="TTL33" s="1688"/>
      <c r="TTM33" s="1688"/>
      <c r="TTN33" s="1688"/>
      <c r="TTO33" s="1688"/>
      <c r="TTP33" s="1688"/>
      <c r="TTQ33" s="1688"/>
      <c r="TTR33" s="1688"/>
      <c r="TTS33" s="1688"/>
      <c r="TTT33" s="1688"/>
      <c r="TTU33" s="1688"/>
      <c r="TTV33" s="1688"/>
      <c r="TTW33" s="1688"/>
      <c r="TTX33" s="1688"/>
      <c r="TTY33" s="1688"/>
      <c r="TTZ33" s="1688"/>
      <c r="TUA33" s="1688"/>
      <c r="TUB33" s="1688"/>
      <c r="TUC33" s="1688"/>
      <c r="TUD33" s="1688"/>
      <c r="TUE33" s="1688"/>
      <c r="TUF33" s="1688"/>
      <c r="TUG33" s="1688"/>
      <c r="TUH33" s="1688"/>
      <c r="TUI33" s="1688"/>
      <c r="TUJ33" s="1688"/>
      <c r="TUK33" s="1688"/>
      <c r="TUL33" s="1688"/>
      <c r="TUM33" s="1688"/>
      <c r="TUN33" s="1688"/>
      <c r="TUO33" s="1688"/>
      <c r="TUP33" s="1688"/>
      <c r="TUQ33" s="1688"/>
      <c r="TUR33" s="1688"/>
      <c r="TUS33" s="1688"/>
      <c r="TUT33" s="1688"/>
      <c r="TUU33" s="1688"/>
      <c r="TUV33" s="1688"/>
      <c r="TUW33" s="1688"/>
      <c r="TUX33" s="1688"/>
      <c r="TUY33" s="1688"/>
      <c r="TUZ33" s="1688"/>
      <c r="TVA33" s="1688"/>
      <c r="TVB33" s="1688"/>
      <c r="TVC33" s="1688"/>
      <c r="TVD33" s="1688"/>
      <c r="TVE33" s="1688"/>
      <c r="TVF33" s="1688"/>
      <c r="TVG33" s="1688"/>
      <c r="TVH33" s="1688"/>
      <c r="TVI33" s="1688"/>
      <c r="TVJ33" s="1688"/>
      <c r="TVK33" s="1688"/>
      <c r="TVL33" s="1688"/>
      <c r="TVM33" s="1688"/>
      <c r="TVN33" s="1688"/>
      <c r="TVO33" s="1688"/>
      <c r="TVP33" s="1688"/>
      <c r="TVQ33" s="1688"/>
      <c r="TVR33" s="1688"/>
      <c r="TVS33" s="1688"/>
      <c r="TVT33" s="1688"/>
      <c r="TVU33" s="1688"/>
      <c r="TVV33" s="1688"/>
      <c r="TVW33" s="1688"/>
      <c r="TVX33" s="1688"/>
      <c r="TVY33" s="1688"/>
      <c r="TVZ33" s="1688"/>
      <c r="TWA33" s="1688"/>
      <c r="TWB33" s="1688"/>
      <c r="TWC33" s="1688"/>
      <c r="TWD33" s="1688"/>
      <c r="TWE33" s="1688"/>
      <c r="TWF33" s="1688"/>
      <c r="TWG33" s="1688"/>
      <c r="TWH33" s="1688"/>
      <c r="TWI33" s="1688"/>
      <c r="TWJ33" s="1688"/>
      <c r="TWK33" s="1688"/>
      <c r="TWL33" s="1688"/>
      <c r="TWM33" s="1688"/>
      <c r="TWN33" s="1688"/>
      <c r="TWO33" s="1688"/>
      <c r="TWP33" s="1688"/>
      <c r="TWQ33" s="1688"/>
      <c r="TWR33" s="1688"/>
      <c r="TWS33" s="1688"/>
      <c r="TWT33" s="1688"/>
      <c r="TWU33" s="1688"/>
      <c r="TWV33" s="1688"/>
      <c r="TWW33" s="1688"/>
      <c r="TWX33" s="1688"/>
      <c r="TWY33" s="1688"/>
      <c r="TWZ33" s="1688"/>
      <c r="TXA33" s="1688"/>
      <c r="TXB33" s="1688"/>
      <c r="TXC33" s="1688"/>
      <c r="TXD33" s="1688"/>
      <c r="TXE33" s="1688"/>
      <c r="TXF33" s="1688"/>
      <c r="TXG33" s="1688"/>
      <c r="TXH33" s="1688"/>
      <c r="TXI33" s="1688"/>
      <c r="TXJ33" s="1688"/>
      <c r="TXK33" s="1688"/>
      <c r="TXL33" s="1688"/>
      <c r="TXM33" s="1688"/>
      <c r="TXN33" s="1688"/>
      <c r="TXO33" s="1688"/>
      <c r="TXP33" s="1688"/>
      <c r="TXQ33" s="1688"/>
      <c r="TXR33" s="1688"/>
      <c r="TXS33" s="1688"/>
      <c r="TXT33" s="1688"/>
      <c r="TXU33" s="1688"/>
      <c r="TXV33" s="1688"/>
      <c r="TXW33" s="1688"/>
      <c r="TXX33" s="1688"/>
      <c r="TXY33" s="1688"/>
      <c r="TXZ33" s="1688"/>
      <c r="TYA33" s="1688"/>
      <c r="TYB33" s="1688"/>
      <c r="TYC33" s="1688"/>
      <c r="TYD33" s="1688"/>
      <c r="TYE33" s="1688"/>
      <c r="TYF33" s="1688"/>
      <c r="TYG33" s="1688"/>
      <c r="TYH33" s="1688"/>
      <c r="TYI33" s="1688"/>
      <c r="TYJ33" s="1688"/>
      <c r="TYK33" s="1688"/>
      <c r="TYL33" s="1688"/>
      <c r="TYM33" s="1688"/>
      <c r="TYN33" s="1688"/>
      <c r="TYO33" s="1688"/>
      <c r="TYP33" s="1688"/>
      <c r="TYQ33" s="1688"/>
      <c r="TYR33" s="1688"/>
      <c r="TYS33" s="1688"/>
      <c r="TYT33" s="1688"/>
      <c r="TYU33" s="1688"/>
      <c r="TYV33" s="1688"/>
      <c r="TYW33" s="1688"/>
      <c r="TYX33" s="1688"/>
      <c r="TYY33" s="1688"/>
      <c r="TYZ33" s="1688"/>
      <c r="TZA33" s="1688"/>
      <c r="TZB33" s="1688"/>
      <c r="TZC33" s="1688"/>
      <c r="TZD33" s="1688"/>
      <c r="TZE33" s="1688"/>
      <c r="TZF33" s="1688"/>
      <c r="TZG33" s="1688"/>
      <c r="TZH33" s="1688"/>
      <c r="TZI33" s="1688"/>
      <c r="TZJ33" s="1688"/>
      <c r="TZK33" s="1688"/>
      <c r="TZL33" s="1688"/>
      <c r="TZM33" s="1688"/>
      <c r="TZN33" s="1688"/>
      <c r="TZO33" s="1688"/>
      <c r="TZP33" s="1688"/>
      <c r="TZQ33" s="1688"/>
      <c r="TZR33" s="1688"/>
      <c r="TZS33" s="1688"/>
      <c r="TZT33" s="1688"/>
      <c r="TZU33" s="1688"/>
      <c r="TZV33" s="1688"/>
      <c r="TZW33" s="1688"/>
      <c r="TZX33" s="1688"/>
      <c r="TZY33" s="1688"/>
      <c r="TZZ33" s="1688"/>
      <c r="UAA33" s="1688"/>
      <c r="UAB33" s="1688"/>
      <c r="UAC33" s="1688"/>
      <c r="UAD33" s="1688"/>
      <c r="UAE33" s="1688"/>
      <c r="UAF33" s="1688"/>
      <c r="UAG33" s="1688"/>
      <c r="UAH33" s="1688"/>
      <c r="UAI33" s="1688"/>
      <c r="UAJ33" s="1688"/>
      <c r="UAK33" s="1688"/>
      <c r="UAL33" s="1688"/>
      <c r="UAM33" s="1688"/>
      <c r="UAN33" s="1688"/>
      <c r="UAO33" s="1688"/>
      <c r="UAP33" s="1688"/>
      <c r="UAQ33" s="1688"/>
      <c r="UAR33" s="1688"/>
      <c r="UAS33" s="1688"/>
      <c r="UAT33" s="1688"/>
      <c r="UAU33" s="1688"/>
      <c r="UAV33" s="1688"/>
      <c r="UAW33" s="1688"/>
      <c r="UAX33" s="1688"/>
      <c r="UAY33" s="1688"/>
      <c r="UAZ33" s="1688"/>
      <c r="UBA33" s="1688"/>
      <c r="UBB33" s="1688"/>
      <c r="UBC33" s="1688"/>
      <c r="UBD33" s="1688"/>
      <c r="UBE33" s="1688"/>
      <c r="UBF33" s="1688"/>
      <c r="UBG33" s="1688"/>
      <c r="UBH33" s="1688"/>
      <c r="UBI33" s="1688"/>
      <c r="UBJ33" s="1688"/>
      <c r="UBK33" s="1688"/>
      <c r="UBL33" s="1688"/>
      <c r="UBM33" s="1688"/>
      <c r="UBN33" s="1688"/>
      <c r="UBO33" s="1688"/>
      <c r="UBP33" s="1688"/>
      <c r="UBQ33" s="1688"/>
      <c r="UBR33" s="1688"/>
      <c r="UBS33" s="1688"/>
      <c r="UBT33" s="1688"/>
      <c r="UBU33" s="1688"/>
      <c r="UBV33" s="1688"/>
      <c r="UBW33" s="1688"/>
      <c r="UBX33" s="1688"/>
      <c r="UBY33" s="1688"/>
      <c r="UBZ33" s="1688"/>
      <c r="UCA33" s="1688"/>
      <c r="UCB33" s="1688"/>
      <c r="UCC33" s="1688"/>
      <c r="UCD33" s="1688"/>
      <c r="UCE33" s="1688"/>
      <c r="UCF33" s="1688"/>
      <c r="UCG33" s="1688"/>
      <c r="UCH33" s="1688"/>
      <c r="UCI33" s="1688"/>
      <c r="UCJ33" s="1688"/>
      <c r="UCK33" s="1688"/>
      <c r="UCL33" s="1688"/>
      <c r="UCM33" s="1688"/>
      <c r="UCN33" s="1688"/>
      <c r="UCO33" s="1688"/>
      <c r="UCP33" s="1688"/>
      <c r="UCQ33" s="1688"/>
      <c r="UCR33" s="1688"/>
      <c r="UCS33" s="1688"/>
      <c r="UCT33" s="1688"/>
      <c r="UCU33" s="1688"/>
      <c r="UCV33" s="1688"/>
      <c r="UCW33" s="1688"/>
      <c r="UCX33" s="1688"/>
      <c r="UCY33" s="1688"/>
      <c r="UCZ33" s="1688"/>
      <c r="UDA33" s="1688"/>
      <c r="UDB33" s="1688"/>
      <c r="UDC33" s="1688"/>
      <c r="UDD33" s="1688"/>
      <c r="UDE33" s="1688"/>
      <c r="UDF33" s="1688"/>
      <c r="UDG33" s="1688"/>
      <c r="UDH33" s="1688"/>
      <c r="UDI33" s="1688"/>
      <c r="UDJ33" s="1688"/>
      <c r="UDK33" s="1688"/>
      <c r="UDL33" s="1688"/>
      <c r="UDM33" s="1688"/>
      <c r="UDN33" s="1688"/>
      <c r="UDO33" s="1688"/>
      <c r="UDP33" s="1688"/>
      <c r="UDQ33" s="1688"/>
      <c r="UDR33" s="1688"/>
      <c r="UDS33" s="1688"/>
      <c r="UDT33" s="1688"/>
      <c r="UDU33" s="1688"/>
      <c r="UDV33" s="1688"/>
      <c r="UDW33" s="1688"/>
      <c r="UDX33" s="1688"/>
      <c r="UDY33" s="1688"/>
      <c r="UDZ33" s="1688"/>
      <c r="UEA33" s="1688"/>
      <c r="UEB33" s="1688"/>
      <c r="UEC33" s="1688"/>
      <c r="UED33" s="1688"/>
      <c r="UEE33" s="1688"/>
      <c r="UEF33" s="1688"/>
      <c r="UEG33" s="1688"/>
      <c r="UEH33" s="1688"/>
      <c r="UEI33" s="1688"/>
      <c r="UEJ33" s="1688"/>
      <c r="UEK33" s="1688"/>
      <c r="UEL33" s="1688"/>
      <c r="UEM33" s="1688"/>
      <c r="UEN33" s="1688"/>
      <c r="UEO33" s="1688"/>
      <c r="UEP33" s="1688"/>
      <c r="UEQ33" s="1688"/>
      <c r="UER33" s="1688"/>
      <c r="UES33" s="1688"/>
      <c r="UET33" s="1688"/>
      <c r="UEU33" s="1688"/>
      <c r="UEV33" s="1688"/>
      <c r="UEW33" s="1688"/>
      <c r="UEX33" s="1688"/>
      <c r="UEY33" s="1688"/>
      <c r="UEZ33" s="1688"/>
      <c r="UFA33" s="1688"/>
      <c r="UFB33" s="1688"/>
      <c r="UFC33" s="1688"/>
      <c r="UFD33" s="1688"/>
      <c r="UFE33" s="1688"/>
      <c r="UFF33" s="1688"/>
      <c r="UFG33" s="1688"/>
      <c r="UFH33" s="1688"/>
      <c r="UFI33" s="1688"/>
      <c r="UFJ33" s="1688"/>
      <c r="UFK33" s="1688"/>
      <c r="UFL33" s="1688"/>
      <c r="UFM33" s="1688"/>
      <c r="UFN33" s="1688"/>
      <c r="UFO33" s="1688"/>
      <c r="UFP33" s="1688"/>
      <c r="UFQ33" s="1688"/>
      <c r="UFR33" s="1688"/>
      <c r="UFS33" s="1688"/>
      <c r="UFT33" s="1688"/>
      <c r="UFU33" s="1688"/>
      <c r="UFV33" s="1688"/>
      <c r="UFW33" s="1688"/>
      <c r="UFX33" s="1688"/>
      <c r="UFY33" s="1688"/>
      <c r="UFZ33" s="1688"/>
      <c r="UGA33" s="1688"/>
      <c r="UGB33" s="1688"/>
      <c r="UGC33" s="1688"/>
      <c r="UGD33" s="1688"/>
      <c r="UGE33" s="1688"/>
      <c r="UGF33" s="1688"/>
      <c r="UGG33" s="1688"/>
      <c r="UGH33" s="1688"/>
      <c r="UGI33" s="1688"/>
      <c r="UGJ33" s="1688"/>
      <c r="UGK33" s="1688"/>
      <c r="UGL33" s="1688"/>
      <c r="UGM33" s="1688"/>
      <c r="UGN33" s="1688"/>
      <c r="UGO33" s="1688"/>
      <c r="UGP33" s="1688"/>
      <c r="UGQ33" s="1688"/>
      <c r="UGR33" s="1688"/>
      <c r="UGS33" s="1688"/>
      <c r="UGT33" s="1688"/>
      <c r="UGU33" s="1688"/>
      <c r="UGV33" s="1688"/>
      <c r="UGW33" s="1688"/>
      <c r="UGX33" s="1688"/>
      <c r="UGY33" s="1688"/>
      <c r="UGZ33" s="1688"/>
      <c r="UHA33" s="1688"/>
      <c r="UHB33" s="1688"/>
      <c r="UHC33" s="1688"/>
      <c r="UHD33" s="1688"/>
      <c r="UHE33" s="1688"/>
      <c r="UHF33" s="1688"/>
      <c r="UHG33" s="1688"/>
      <c r="UHH33" s="1688"/>
      <c r="UHI33" s="1688"/>
      <c r="UHJ33" s="1688"/>
      <c r="UHK33" s="1688"/>
      <c r="UHL33" s="1688"/>
      <c r="UHM33" s="1688"/>
      <c r="UHN33" s="1688"/>
      <c r="UHO33" s="1688"/>
      <c r="UHP33" s="1688"/>
      <c r="UHQ33" s="1688"/>
      <c r="UHR33" s="1688"/>
      <c r="UHS33" s="1688"/>
      <c r="UHT33" s="1688"/>
      <c r="UHU33" s="1688"/>
      <c r="UHV33" s="1688"/>
      <c r="UHW33" s="1688"/>
      <c r="UHX33" s="1688"/>
      <c r="UHY33" s="1688"/>
      <c r="UHZ33" s="1688"/>
      <c r="UIA33" s="1688"/>
      <c r="UIB33" s="1688"/>
      <c r="UIC33" s="1688"/>
      <c r="UID33" s="1688"/>
      <c r="UIE33" s="1688"/>
      <c r="UIF33" s="1688"/>
      <c r="UIG33" s="1688"/>
      <c r="UIH33" s="1688"/>
      <c r="UII33" s="1688"/>
      <c r="UIJ33" s="1688"/>
      <c r="UIK33" s="1688"/>
      <c r="UIL33" s="1688"/>
      <c r="UIM33" s="1688"/>
      <c r="UIN33" s="1688"/>
      <c r="UIO33" s="1688"/>
      <c r="UIP33" s="1688"/>
      <c r="UIQ33" s="1688"/>
      <c r="UIR33" s="1688"/>
      <c r="UIS33" s="1688"/>
      <c r="UIT33" s="1688"/>
      <c r="UIU33" s="1688"/>
      <c r="UIV33" s="1688"/>
      <c r="UIW33" s="1688"/>
      <c r="UIX33" s="1688"/>
      <c r="UIY33" s="1688"/>
      <c r="UIZ33" s="1688"/>
      <c r="UJA33" s="1688"/>
      <c r="UJB33" s="1688"/>
      <c r="UJC33" s="1688"/>
      <c r="UJD33" s="1688"/>
      <c r="UJE33" s="1688"/>
      <c r="UJF33" s="1688"/>
      <c r="UJG33" s="1688"/>
      <c r="UJH33" s="1688"/>
      <c r="UJI33" s="1688"/>
      <c r="UJJ33" s="1688"/>
      <c r="UJK33" s="1688"/>
      <c r="UJL33" s="1688"/>
      <c r="UJM33" s="1688"/>
      <c r="UJN33" s="1688"/>
      <c r="UJO33" s="1688"/>
      <c r="UJP33" s="1688"/>
      <c r="UJQ33" s="1688"/>
      <c r="UJR33" s="1688"/>
      <c r="UJS33" s="1688"/>
      <c r="UJT33" s="1688"/>
      <c r="UJU33" s="1688"/>
      <c r="UJV33" s="1688"/>
      <c r="UJW33" s="1688"/>
      <c r="UJX33" s="1688"/>
      <c r="UJY33" s="1688"/>
      <c r="UJZ33" s="1688"/>
      <c r="UKA33" s="1688"/>
      <c r="UKB33" s="1688"/>
      <c r="UKC33" s="1688"/>
      <c r="UKD33" s="1688"/>
      <c r="UKE33" s="1688"/>
      <c r="UKF33" s="1688"/>
      <c r="UKG33" s="1688"/>
      <c r="UKH33" s="1688"/>
      <c r="UKI33" s="1688"/>
      <c r="UKJ33" s="1688"/>
      <c r="UKK33" s="1688"/>
      <c r="UKL33" s="1688"/>
      <c r="UKM33" s="1688"/>
      <c r="UKN33" s="1688"/>
      <c r="UKO33" s="1688"/>
      <c r="UKP33" s="1688"/>
      <c r="UKQ33" s="1688"/>
      <c r="UKR33" s="1688"/>
      <c r="UKS33" s="1688"/>
      <c r="UKT33" s="1688"/>
      <c r="UKU33" s="1688"/>
      <c r="UKV33" s="1688"/>
      <c r="UKW33" s="1688"/>
      <c r="UKX33" s="1688"/>
      <c r="UKY33" s="1688"/>
      <c r="UKZ33" s="1688"/>
      <c r="ULA33" s="1688"/>
      <c r="ULB33" s="1688"/>
      <c r="ULC33" s="1688"/>
      <c r="ULD33" s="1688"/>
      <c r="ULE33" s="1688"/>
      <c r="ULF33" s="1688"/>
      <c r="ULG33" s="1688"/>
      <c r="ULH33" s="1688"/>
      <c r="ULI33" s="1688"/>
      <c r="ULJ33" s="1688"/>
      <c r="ULK33" s="1688"/>
      <c r="ULL33" s="1688"/>
      <c r="ULM33" s="1688"/>
      <c r="ULN33" s="1688"/>
      <c r="ULO33" s="1688"/>
      <c r="ULP33" s="1688"/>
      <c r="ULQ33" s="1688"/>
      <c r="ULR33" s="1688"/>
      <c r="ULS33" s="1688"/>
      <c r="ULT33" s="1688"/>
      <c r="ULU33" s="1688"/>
      <c r="ULV33" s="1688"/>
      <c r="ULW33" s="1688"/>
      <c r="ULX33" s="1688"/>
      <c r="ULY33" s="1688"/>
      <c r="ULZ33" s="1688"/>
      <c r="UMA33" s="1688"/>
      <c r="UMB33" s="1688"/>
      <c r="UMC33" s="1688"/>
      <c r="UMD33" s="1688"/>
      <c r="UME33" s="1688"/>
      <c r="UMF33" s="1688"/>
      <c r="UMG33" s="1688"/>
      <c r="UMH33" s="1688"/>
      <c r="UMI33" s="1688"/>
      <c r="UMJ33" s="1688"/>
      <c r="UMK33" s="1688"/>
      <c r="UML33" s="1688"/>
      <c r="UMM33" s="1688"/>
      <c r="UMN33" s="1688"/>
      <c r="UMO33" s="1688"/>
      <c r="UMP33" s="1688"/>
      <c r="UMQ33" s="1688"/>
      <c r="UMR33" s="1688"/>
      <c r="UMS33" s="1688"/>
      <c r="UMT33" s="1688"/>
      <c r="UMU33" s="1688"/>
      <c r="UMV33" s="1688"/>
      <c r="UMW33" s="1688"/>
      <c r="UMX33" s="1688"/>
      <c r="UMY33" s="1688"/>
      <c r="UMZ33" s="1688"/>
      <c r="UNA33" s="1688"/>
      <c r="UNB33" s="1688"/>
      <c r="UNC33" s="1688"/>
      <c r="UND33" s="1688"/>
      <c r="UNE33" s="1688"/>
      <c r="UNF33" s="1688"/>
      <c r="UNG33" s="1688"/>
      <c r="UNH33" s="1688"/>
      <c r="UNI33" s="1688"/>
      <c r="UNJ33" s="1688"/>
      <c r="UNK33" s="1688"/>
      <c r="UNL33" s="1688"/>
      <c r="UNM33" s="1688"/>
      <c r="UNN33" s="1688"/>
      <c r="UNO33" s="1688"/>
      <c r="UNP33" s="1688"/>
      <c r="UNQ33" s="1688"/>
      <c r="UNR33" s="1688"/>
      <c r="UNS33" s="1688"/>
      <c r="UNT33" s="1688"/>
      <c r="UNU33" s="1688"/>
      <c r="UNV33" s="1688"/>
      <c r="UNW33" s="1688"/>
      <c r="UNX33" s="1688"/>
      <c r="UNY33" s="1688"/>
      <c r="UNZ33" s="1688"/>
      <c r="UOA33" s="1688"/>
      <c r="UOB33" s="1688"/>
      <c r="UOC33" s="1688"/>
      <c r="UOD33" s="1688"/>
      <c r="UOE33" s="1688"/>
      <c r="UOF33" s="1688"/>
      <c r="UOG33" s="1688"/>
      <c r="UOH33" s="1688"/>
      <c r="UOI33" s="1688"/>
      <c r="UOJ33" s="1688"/>
      <c r="UOK33" s="1688"/>
      <c r="UOL33" s="1688"/>
      <c r="UOM33" s="1688"/>
      <c r="UON33" s="1688"/>
      <c r="UOO33" s="1688"/>
      <c r="UOP33" s="1688"/>
      <c r="UOQ33" s="1688"/>
      <c r="UOR33" s="1688"/>
      <c r="UOS33" s="1688"/>
      <c r="UOT33" s="1688"/>
      <c r="UOU33" s="1688"/>
      <c r="UOV33" s="1688"/>
      <c r="UOW33" s="1688"/>
      <c r="UOX33" s="1688"/>
      <c r="UOY33" s="1688"/>
      <c r="UOZ33" s="1688"/>
      <c r="UPA33" s="1688"/>
      <c r="UPB33" s="1688"/>
      <c r="UPC33" s="1688"/>
      <c r="UPD33" s="1688"/>
      <c r="UPE33" s="1688"/>
      <c r="UPF33" s="1688"/>
      <c r="UPG33" s="1688"/>
      <c r="UPH33" s="1688"/>
      <c r="UPI33" s="1688"/>
      <c r="UPJ33" s="1688"/>
      <c r="UPK33" s="1688"/>
      <c r="UPL33" s="1688"/>
      <c r="UPM33" s="1688"/>
      <c r="UPN33" s="1688"/>
      <c r="UPO33" s="1688"/>
      <c r="UPP33" s="1688"/>
      <c r="UPQ33" s="1688"/>
      <c r="UPR33" s="1688"/>
      <c r="UPS33" s="1688"/>
      <c r="UPT33" s="1688"/>
      <c r="UPU33" s="1688"/>
      <c r="UPV33" s="1688"/>
      <c r="UPW33" s="1688"/>
      <c r="UPX33" s="1688"/>
      <c r="UPY33" s="1688"/>
      <c r="UPZ33" s="1688"/>
      <c r="UQA33" s="1688"/>
      <c r="UQB33" s="1688"/>
      <c r="UQC33" s="1688"/>
      <c r="UQD33" s="1688"/>
      <c r="UQE33" s="1688"/>
      <c r="UQF33" s="1688"/>
      <c r="UQG33" s="1688"/>
      <c r="UQH33" s="1688"/>
      <c r="UQI33" s="1688"/>
      <c r="UQJ33" s="1688"/>
      <c r="UQK33" s="1688"/>
      <c r="UQL33" s="1688"/>
      <c r="UQM33" s="1688"/>
      <c r="UQN33" s="1688"/>
      <c r="UQO33" s="1688"/>
      <c r="UQP33" s="1688"/>
      <c r="UQQ33" s="1688"/>
      <c r="UQR33" s="1688"/>
      <c r="UQS33" s="1688"/>
      <c r="UQT33" s="1688"/>
      <c r="UQU33" s="1688"/>
      <c r="UQV33" s="1688"/>
      <c r="UQW33" s="1688"/>
      <c r="UQX33" s="1688"/>
      <c r="UQY33" s="1688"/>
      <c r="UQZ33" s="1688"/>
      <c r="URA33" s="1688"/>
      <c r="URB33" s="1688"/>
      <c r="URC33" s="1688"/>
      <c r="URD33" s="1688"/>
      <c r="URE33" s="1688"/>
      <c r="URF33" s="1688"/>
      <c r="URG33" s="1688"/>
      <c r="URH33" s="1688"/>
      <c r="URI33" s="1688"/>
      <c r="URJ33" s="1688"/>
      <c r="URK33" s="1688"/>
      <c r="URL33" s="1688"/>
      <c r="URM33" s="1688"/>
      <c r="URN33" s="1688"/>
      <c r="URO33" s="1688"/>
      <c r="URP33" s="1688"/>
      <c r="URQ33" s="1688"/>
      <c r="URR33" s="1688"/>
      <c r="URS33" s="1688"/>
      <c r="URT33" s="1688"/>
      <c r="URU33" s="1688"/>
      <c r="URV33" s="1688"/>
      <c r="URW33" s="1688"/>
      <c r="URX33" s="1688"/>
      <c r="URY33" s="1688"/>
      <c r="URZ33" s="1688"/>
      <c r="USA33" s="1688"/>
      <c r="USB33" s="1688"/>
      <c r="USC33" s="1688"/>
      <c r="USD33" s="1688"/>
      <c r="USE33" s="1688"/>
      <c r="USF33" s="1688"/>
      <c r="USG33" s="1688"/>
      <c r="USH33" s="1688"/>
      <c r="USI33" s="1688"/>
      <c r="USJ33" s="1688"/>
      <c r="USK33" s="1688"/>
      <c r="USL33" s="1688"/>
      <c r="USM33" s="1688"/>
      <c r="USN33" s="1688"/>
      <c r="USO33" s="1688"/>
      <c r="USP33" s="1688"/>
      <c r="USQ33" s="1688"/>
      <c r="USR33" s="1688"/>
      <c r="USS33" s="1688"/>
      <c r="UST33" s="1688"/>
      <c r="USU33" s="1688"/>
      <c r="USV33" s="1688"/>
      <c r="USW33" s="1688"/>
      <c r="USX33" s="1688"/>
      <c r="USY33" s="1688"/>
      <c r="USZ33" s="1688"/>
      <c r="UTA33" s="1688"/>
      <c r="UTB33" s="1688"/>
      <c r="UTC33" s="1688"/>
      <c r="UTD33" s="1688"/>
      <c r="UTE33" s="1688"/>
      <c r="UTF33" s="1688"/>
      <c r="UTG33" s="1688"/>
      <c r="UTH33" s="1688"/>
      <c r="UTI33" s="1688"/>
      <c r="UTJ33" s="1688"/>
      <c r="UTK33" s="1688"/>
      <c r="UTL33" s="1688"/>
      <c r="UTM33" s="1688"/>
      <c r="UTN33" s="1688"/>
      <c r="UTO33" s="1688"/>
      <c r="UTP33" s="1688"/>
      <c r="UTQ33" s="1688"/>
      <c r="UTR33" s="1688"/>
      <c r="UTS33" s="1688"/>
      <c r="UTT33" s="1688"/>
      <c r="UTU33" s="1688"/>
      <c r="UTV33" s="1688"/>
      <c r="UTW33" s="1688"/>
      <c r="UTX33" s="1688"/>
      <c r="UTY33" s="1688"/>
      <c r="UTZ33" s="1688"/>
      <c r="UUA33" s="1688"/>
      <c r="UUB33" s="1688"/>
      <c r="UUC33" s="1688"/>
      <c r="UUD33" s="1688"/>
      <c r="UUE33" s="1688"/>
      <c r="UUF33" s="1688"/>
      <c r="UUG33" s="1688"/>
      <c r="UUH33" s="1688"/>
      <c r="UUI33" s="1688"/>
      <c r="UUJ33" s="1688"/>
      <c r="UUK33" s="1688"/>
      <c r="UUL33" s="1688"/>
      <c r="UUM33" s="1688"/>
      <c r="UUN33" s="1688"/>
      <c r="UUO33" s="1688"/>
      <c r="UUP33" s="1688"/>
      <c r="UUQ33" s="1688"/>
      <c r="UUR33" s="1688"/>
      <c r="UUS33" s="1688"/>
      <c r="UUT33" s="1688"/>
      <c r="UUU33" s="1688"/>
      <c r="UUV33" s="1688"/>
      <c r="UUW33" s="1688"/>
      <c r="UUX33" s="1688"/>
      <c r="UUY33" s="1688"/>
      <c r="UUZ33" s="1688"/>
      <c r="UVA33" s="1688"/>
      <c r="UVB33" s="1688"/>
      <c r="UVC33" s="1688"/>
      <c r="UVD33" s="1688"/>
      <c r="UVE33" s="1688"/>
      <c r="UVF33" s="1688"/>
      <c r="UVG33" s="1688"/>
      <c r="UVH33" s="1688"/>
      <c r="UVI33" s="1688"/>
      <c r="UVJ33" s="1688"/>
      <c r="UVK33" s="1688"/>
      <c r="UVL33" s="1688"/>
      <c r="UVM33" s="1688"/>
      <c r="UVN33" s="1688"/>
      <c r="UVO33" s="1688"/>
      <c r="UVP33" s="1688"/>
      <c r="UVQ33" s="1688"/>
      <c r="UVR33" s="1688"/>
      <c r="UVS33" s="1688"/>
      <c r="UVT33" s="1688"/>
      <c r="UVU33" s="1688"/>
      <c r="UVV33" s="1688"/>
      <c r="UVW33" s="1688"/>
      <c r="UVX33" s="1688"/>
      <c r="UVY33" s="1688"/>
      <c r="UVZ33" s="1688"/>
      <c r="UWA33" s="1688"/>
      <c r="UWB33" s="1688"/>
      <c r="UWC33" s="1688"/>
      <c r="UWD33" s="1688"/>
      <c r="UWE33" s="1688"/>
      <c r="UWF33" s="1688"/>
      <c r="UWG33" s="1688"/>
      <c r="UWH33" s="1688"/>
      <c r="UWI33" s="1688"/>
      <c r="UWJ33" s="1688"/>
      <c r="UWK33" s="1688"/>
      <c r="UWL33" s="1688"/>
      <c r="UWM33" s="1688"/>
      <c r="UWN33" s="1688"/>
      <c r="UWO33" s="1688"/>
      <c r="UWP33" s="1688"/>
      <c r="UWQ33" s="1688"/>
      <c r="UWR33" s="1688"/>
      <c r="UWS33" s="1688"/>
      <c r="UWT33" s="1688"/>
      <c r="UWU33" s="1688"/>
      <c r="UWV33" s="1688"/>
      <c r="UWW33" s="1688"/>
      <c r="UWX33" s="1688"/>
      <c r="UWY33" s="1688"/>
      <c r="UWZ33" s="1688"/>
      <c r="UXA33" s="1688"/>
      <c r="UXB33" s="1688"/>
      <c r="UXC33" s="1688"/>
      <c r="UXD33" s="1688"/>
      <c r="UXE33" s="1688"/>
      <c r="UXF33" s="1688"/>
      <c r="UXG33" s="1688"/>
      <c r="UXH33" s="1688"/>
      <c r="UXI33" s="1688"/>
      <c r="UXJ33" s="1688"/>
      <c r="UXK33" s="1688"/>
      <c r="UXL33" s="1688"/>
      <c r="UXM33" s="1688"/>
      <c r="UXN33" s="1688"/>
      <c r="UXO33" s="1688"/>
      <c r="UXP33" s="1688"/>
      <c r="UXQ33" s="1688"/>
      <c r="UXR33" s="1688"/>
      <c r="UXS33" s="1688"/>
      <c r="UXT33" s="1688"/>
      <c r="UXU33" s="1688"/>
      <c r="UXV33" s="1688"/>
      <c r="UXW33" s="1688"/>
      <c r="UXX33" s="1688"/>
      <c r="UXY33" s="1688"/>
      <c r="UXZ33" s="1688"/>
      <c r="UYA33" s="1688"/>
      <c r="UYB33" s="1688"/>
      <c r="UYC33" s="1688"/>
      <c r="UYD33" s="1688"/>
      <c r="UYE33" s="1688"/>
      <c r="UYF33" s="1688"/>
      <c r="UYG33" s="1688"/>
      <c r="UYH33" s="1688"/>
      <c r="UYI33" s="1688"/>
      <c r="UYJ33" s="1688"/>
      <c r="UYK33" s="1688"/>
      <c r="UYL33" s="1688"/>
      <c r="UYM33" s="1688"/>
      <c r="UYN33" s="1688"/>
      <c r="UYO33" s="1688"/>
      <c r="UYP33" s="1688"/>
      <c r="UYQ33" s="1688"/>
      <c r="UYR33" s="1688"/>
      <c r="UYS33" s="1688"/>
      <c r="UYT33" s="1688"/>
      <c r="UYU33" s="1688"/>
      <c r="UYV33" s="1688"/>
      <c r="UYW33" s="1688"/>
      <c r="UYX33" s="1688"/>
      <c r="UYY33" s="1688"/>
      <c r="UYZ33" s="1688"/>
      <c r="UZA33" s="1688"/>
      <c r="UZB33" s="1688"/>
      <c r="UZC33" s="1688"/>
      <c r="UZD33" s="1688"/>
      <c r="UZE33" s="1688"/>
      <c r="UZF33" s="1688"/>
      <c r="UZG33" s="1688"/>
      <c r="UZH33" s="1688"/>
      <c r="UZI33" s="1688"/>
      <c r="UZJ33" s="1688"/>
      <c r="UZK33" s="1688"/>
      <c r="UZL33" s="1688"/>
      <c r="UZM33" s="1688"/>
      <c r="UZN33" s="1688"/>
      <c r="UZO33" s="1688"/>
      <c r="UZP33" s="1688"/>
      <c r="UZQ33" s="1688"/>
      <c r="UZR33" s="1688"/>
      <c r="UZS33" s="1688"/>
      <c r="UZT33" s="1688"/>
      <c r="UZU33" s="1688"/>
      <c r="UZV33" s="1688"/>
      <c r="UZW33" s="1688"/>
      <c r="UZX33" s="1688"/>
      <c r="UZY33" s="1688"/>
      <c r="UZZ33" s="1688"/>
      <c r="VAA33" s="1688"/>
      <c r="VAB33" s="1688"/>
      <c r="VAC33" s="1688"/>
      <c r="VAD33" s="1688"/>
      <c r="VAE33" s="1688"/>
      <c r="VAF33" s="1688"/>
      <c r="VAG33" s="1688"/>
      <c r="VAH33" s="1688"/>
      <c r="VAI33" s="1688"/>
      <c r="VAJ33" s="1688"/>
      <c r="VAK33" s="1688"/>
      <c r="VAL33" s="1688"/>
      <c r="VAM33" s="1688"/>
      <c r="VAN33" s="1688"/>
      <c r="VAO33" s="1688"/>
      <c r="VAP33" s="1688"/>
      <c r="VAQ33" s="1688"/>
      <c r="VAR33" s="1688"/>
      <c r="VAS33" s="1688"/>
      <c r="VAT33" s="1688"/>
      <c r="VAU33" s="1688"/>
      <c r="VAV33" s="1688"/>
      <c r="VAW33" s="1688"/>
      <c r="VAX33" s="1688"/>
      <c r="VAY33" s="1688"/>
      <c r="VAZ33" s="1688"/>
      <c r="VBA33" s="1688"/>
      <c r="VBB33" s="1688"/>
      <c r="VBC33" s="1688"/>
      <c r="VBD33" s="1688"/>
      <c r="VBE33" s="1688"/>
      <c r="VBF33" s="1688"/>
      <c r="VBG33" s="1688"/>
      <c r="VBH33" s="1688"/>
      <c r="VBI33" s="1688"/>
      <c r="VBJ33" s="1688"/>
      <c r="VBK33" s="1688"/>
      <c r="VBL33" s="1688"/>
      <c r="VBM33" s="1688"/>
      <c r="VBN33" s="1688"/>
      <c r="VBO33" s="1688"/>
      <c r="VBP33" s="1688"/>
      <c r="VBQ33" s="1688"/>
      <c r="VBR33" s="1688"/>
      <c r="VBS33" s="1688"/>
      <c r="VBT33" s="1688"/>
      <c r="VBU33" s="1688"/>
      <c r="VBV33" s="1688"/>
      <c r="VBW33" s="1688"/>
      <c r="VBX33" s="1688"/>
      <c r="VBY33" s="1688"/>
      <c r="VBZ33" s="1688"/>
      <c r="VCA33" s="1688"/>
      <c r="VCB33" s="1688"/>
      <c r="VCC33" s="1688"/>
      <c r="VCD33" s="1688"/>
      <c r="VCE33" s="1688"/>
      <c r="VCF33" s="1688"/>
      <c r="VCG33" s="1688"/>
      <c r="VCH33" s="1688"/>
      <c r="VCI33" s="1688"/>
      <c r="VCJ33" s="1688"/>
      <c r="VCK33" s="1688"/>
      <c r="VCL33" s="1688"/>
      <c r="VCM33" s="1688"/>
      <c r="VCN33" s="1688"/>
      <c r="VCO33" s="1688"/>
      <c r="VCP33" s="1688"/>
      <c r="VCQ33" s="1688"/>
      <c r="VCR33" s="1688"/>
      <c r="VCS33" s="1688"/>
      <c r="VCT33" s="1688"/>
      <c r="VCU33" s="1688"/>
      <c r="VCV33" s="1688"/>
      <c r="VCW33" s="1688"/>
      <c r="VCX33" s="1688"/>
      <c r="VCY33" s="1688"/>
      <c r="VCZ33" s="1688"/>
      <c r="VDA33" s="1688"/>
      <c r="VDB33" s="1688"/>
      <c r="VDC33" s="1688"/>
      <c r="VDD33" s="1688"/>
      <c r="VDE33" s="1688"/>
      <c r="VDF33" s="1688"/>
      <c r="VDG33" s="1688"/>
      <c r="VDH33" s="1688"/>
      <c r="VDI33" s="1688"/>
      <c r="VDJ33" s="1688"/>
      <c r="VDK33" s="1688"/>
      <c r="VDL33" s="1688"/>
      <c r="VDM33" s="1688"/>
      <c r="VDN33" s="1688"/>
      <c r="VDO33" s="1688"/>
      <c r="VDP33" s="1688"/>
      <c r="VDQ33" s="1688"/>
      <c r="VDR33" s="1688"/>
      <c r="VDS33" s="1688"/>
      <c r="VDT33" s="1688"/>
      <c r="VDU33" s="1688"/>
      <c r="VDV33" s="1688"/>
      <c r="VDW33" s="1688"/>
      <c r="VDX33" s="1688"/>
      <c r="VDY33" s="1688"/>
      <c r="VDZ33" s="1688"/>
      <c r="VEA33" s="1688"/>
      <c r="VEB33" s="1688"/>
      <c r="VEC33" s="1688"/>
      <c r="VED33" s="1688"/>
      <c r="VEE33" s="1688"/>
      <c r="VEF33" s="1688"/>
      <c r="VEG33" s="1688"/>
      <c r="VEH33" s="1688"/>
      <c r="VEI33" s="1688"/>
      <c r="VEJ33" s="1688"/>
      <c r="VEK33" s="1688"/>
      <c r="VEL33" s="1688"/>
      <c r="VEM33" s="1688"/>
      <c r="VEN33" s="1688"/>
      <c r="VEO33" s="1688"/>
      <c r="VEP33" s="1688"/>
      <c r="VEQ33" s="1688"/>
      <c r="VER33" s="1688"/>
      <c r="VES33" s="1688"/>
      <c r="VET33" s="1688"/>
      <c r="VEU33" s="1688"/>
      <c r="VEV33" s="1688"/>
      <c r="VEW33" s="1688"/>
      <c r="VEX33" s="1688"/>
      <c r="VEY33" s="1688"/>
      <c r="VEZ33" s="1688"/>
      <c r="VFA33" s="1688"/>
      <c r="VFB33" s="1688"/>
      <c r="VFC33" s="1688"/>
      <c r="VFD33" s="1688"/>
      <c r="VFE33" s="1688"/>
      <c r="VFF33" s="1688"/>
      <c r="VFG33" s="1688"/>
      <c r="VFH33" s="1688"/>
      <c r="VFI33" s="1688"/>
      <c r="VFJ33" s="1688"/>
      <c r="VFK33" s="1688"/>
      <c r="VFL33" s="1688"/>
      <c r="VFM33" s="1688"/>
      <c r="VFN33" s="1688"/>
      <c r="VFO33" s="1688"/>
      <c r="VFP33" s="1688"/>
      <c r="VFQ33" s="1688"/>
      <c r="VFR33" s="1688"/>
      <c r="VFS33" s="1688"/>
      <c r="VFT33" s="1688"/>
      <c r="VFU33" s="1688"/>
      <c r="VFV33" s="1688"/>
      <c r="VFW33" s="1688"/>
      <c r="VFX33" s="1688"/>
      <c r="VFY33" s="1688"/>
      <c r="VFZ33" s="1688"/>
      <c r="VGA33" s="1688"/>
      <c r="VGB33" s="1688"/>
      <c r="VGC33" s="1688"/>
      <c r="VGD33" s="1688"/>
      <c r="VGE33" s="1688"/>
      <c r="VGF33" s="1688"/>
      <c r="VGG33" s="1688"/>
      <c r="VGH33" s="1688"/>
      <c r="VGI33" s="1688"/>
      <c r="VGJ33" s="1688"/>
      <c r="VGK33" s="1688"/>
      <c r="VGL33" s="1688"/>
      <c r="VGM33" s="1688"/>
      <c r="VGN33" s="1688"/>
      <c r="VGO33" s="1688"/>
      <c r="VGP33" s="1688"/>
      <c r="VGQ33" s="1688"/>
      <c r="VGR33" s="1688"/>
      <c r="VGS33" s="1688"/>
      <c r="VGT33" s="1688"/>
      <c r="VGU33" s="1688"/>
      <c r="VGV33" s="1688"/>
      <c r="VGW33" s="1688"/>
      <c r="VGX33" s="1688"/>
      <c r="VGY33" s="1688"/>
      <c r="VGZ33" s="1688"/>
      <c r="VHA33" s="1688"/>
      <c r="VHB33" s="1688"/>
      <c r="VHC33" s="1688"/>
      <c r="VHD33" s="1688"/>
      <c r="VHE33" s="1688"/>
      <c r="VHF33" s="1688"/>
      <c r="VHG33" s="1688"/>
      <c r="VHH33" s="1688"/>
      <c r="VHI33" s="1688"/>
      <c r="VHJ33" s="1688"/>
      <c r="VHK33" s="1688"/>
      <c r="VHL33" s="1688"/>
      <c r="VHM33" s="1688"/>
      <c r="VHN33" s="1688"/>
      <c r="VHO33" s="1688"/>
      <c r="VHP33" s="1688"/>
      <c r="VHQ33" s="1688"/>
      <c r="VHR33" s="1688"/>
      <c r="VHS33" s="1688"/>
      <c r="VHT33" s="1688"/>
      <c r="VHU33" s="1688"/>
      <c r="VHV33" s="1688"/>
      <c r="VHW33" s="1688"/>
      <c r="VHX33" s="1688"/>
      <c r="VHY33" s="1688"/>
      <c r="VHZ33" s="1688"/>
      <c r="VIA33" s="1688"/>
      <c r="VIB33" s="1688"/>
      <c r="VIC33" s="1688"/>
      <c r="VID33" s="1688"/>
      <c r="VIE33" s="1688"/>
      <c r="VIF33" s="1688"/>
      <c r="VIG33" s="1688"/>
      <c r="VIH33" s="1688"/>
      <c r="VII33" s="1688"/>
      <c r="VIJ33" s="1688"/>
      <c r="VIK33" s="1688"/>
      <c r="VIL33" s="1688"/>
      <c r="VIM33" s="1688"/>
      <c r="VIN33" s="1688"/>
      <c r="VIO33" s="1688"/>
      <c r="VIP33" s="1688"/>
      <c r="VIQ33" s="1688"/>
      <c r="VIR33" s="1688"/>
      <c r="VIS33" s="1688"/>
      <c r="VIT33" s="1688"/>
      <c r="VIU33" s="1688"/>
      <c r="VIV33" s="1688"/>
      <c r="VIW33" s="1688"/>
      <c r="VIX33" s="1688"/>
      <c r="VIY33" s="1688"/>
      <c r="VIZ33" s="1688"/>
      <c r="VJA33" s="1688"/>
      <c r="VJB33" s="1688"/>
      <c r="VJC33" s="1688"/>
      <c r="VJD33" s="1688"/>
      <c r="VJE33" s="1688"/>
      <c r="VJF33" s="1688"/>
      <c r="VJG33" s="1688"/>
      <c r="VJH33" s="1688"/>
      <c r="VJI33" s="1688"/>
      <c r="VJJ33" s="1688"/>
      <c r="VJK33" s="1688"/>
      <c r="VJL33" s="1688"/>
      <c r="VJM33" s="1688"/>
      <c r="VJN33" s="1688"/>
      <c r="VJO33" s="1688"/>
      <c r="VJP33" s="1688"/>
      <c r="VJQ33" s="1688"/>
      <c r="VJR33" s="1688"/>
      <c r="VJS33" s="1688"/>
      <c r="VJT33" s="1688"/>
      <c r="VJU33" s="1688"/>
      <c r="VJV33" s="1688"/>
      <c r="VJW33" s="1688"/>
      <c r="VJX33" s="1688"/>
      <c r="VJY33" s="1688"/>
      <c r="VJZ33" s="1688"/>
      <c r="VKA33" s="1688"/>
      <c r="VKB33" s="1688"/>
      <c r="VKC33" s="1688"/>
      <c r="VKD33" s="1688"/>
      <c r="VKE33" s="1688"/>
      <c r="VKF33" s="1688"/>
      <c r="VKG33" s="1688"/>
      <c r="VKH33" s="1688"/>
      <c r="VKI33" s="1688"/>
      <c r="VKJ33" s="1688"/>
      <c r="VKK33" s="1688"/>
      <c r="VKL33" s="1688"/>
      <c r="VKM33" s="1688"/>
      <c r="VKN33" s="1688"/>
      <c r="VKO33" s="1688"/>
      <c r="VKP33" s="1688"/>
      <c r="VKQ33" s="1688"/>
      <c r="VKR33" s="1688"/>
      <c r="VKS33" s="1688"/>
      <c r="VKT33" s="1688"/>
      <c r="VKU33" s="1688"/>
      <c r="VKV33" s="1688"/>
      <c r="VKW33" s="1688"/>
      <c r="VKX33" s="1688"/>
      <c r="VKY33" s="1688"/>
      <c r="VKZ33" s="1688"/>
      <c r="VLA33" s="1688"/>
      <c r="VLB33" s="1688"/>
      <c r="VLC33" s="1688"/>
      <c r="VLD33" s="1688"/>
      <c r="VLE33" s="1688"/>
      <c r="VLF33" s="1688"/>
      <c r="VLG33" s="1688"/>
      <c r="VLH33" s="1688"/>
      <c r="VLI33" s="1688"/>
      <c r="VLJ33" s="1688"/>
      <c r="VLK33" s="1688"/>
      <c r="VLL33" s="1688"/>
      <c r="VLM33" s="1688"/>
      <c r="VLN33" s="1688"/>
      <c r="VLO33" s="1688"/>
      <c r="VLP33" s="1688"/>
      <c r="VLQ33" s="1688"/>
      <c r="VLR33" s="1688"/>
      <c r="VLS33" s="1688"/>
      <c r="VLT33" s="1688"/>
      <c r="VLU33" s="1688"/>
      <c r="VLV33" s="1688"/>
      <c r="VLW33" s="1688"/>
      <c r="VLX33" s="1688"/>
      <c r="VLY33" s="1688"/>
      <c r="VLZ33" s="1688"/>
      <c r="VMA33" s="1688"/>
      <c r="VMB33" s="1688"/>
      <c r="VMC33" s="1688"/>
      <c r="VMD33" s="1688"/>
      <c r="VME33" s="1688"/>
      <c r="VMF33" s="1688"/>
      <c r="VMG33" s="1688"/>
      <c r="VMH33" s="1688"/>
      <c r="VMI33" s="1688"/>
      <c r="VMJ33" s="1688"/>
      <c r="VMK33" s="1688"/>
      <c r="VML33" s="1688"/>
      <c r="VMM33" s="1688"/>
      <c r="VMN33" s="1688"/>
      <c r="VMO33" s="1688"/>
      <c r="VMP33" s="1688"/>
      <c r="VMQ33" s="1688"/>
      <c r="VMR33" s="1688"/>
      <c r="VMS33" s="1688"/>
      <c r="VMT33" s="1688"/>
      <c r="VMU33" s="1688"/>
      <c r="VMV33" s="1688"/>
      <c r="VMW33" s="1688"/>
      <c r="VMX33" s="1688"/>
      <c r="VMY33" s="1688"/>
      <c r="VMZ33" s="1688"/>
      <c r="VNA33" s="1688"/>
      <c r="VNB33" s="1688"/>
      <c r="VNC33" s="1688"/>
      <c r="VND33" s="1688"/>
      <c r="VNE33" s="1688"/>
      <c r="VNF33" s="1688"/>
      <c r="VNG33" s="1688"/>
      <c r="VNH33" s="1688"/>
      <c r="VNI33" s="1688"/>
      <c r="VNJ33" s="1688"/>
      <c r="VNK33" s="1688"/>
      <c r="VNL33" s="1688"/>
      <c r="VNM33" s="1688"/>
      <c r="VNN33" s="1688"/>
      <c r="VNO33" s="1688"/>
      <c r="VNP33" s="1688"/>
      <c r="VNQ33" s="1688"/>
      <c r="VNR33" s="1688"/>
      <c r="VNS33" s="1688"/>
      <c r="VNT33" s="1688"/>
      <c r="VNU33" s="1688"/>
      <c r="VNV33" s="1688"/>
      <c r="VNW33" s="1688"/>
      <c r="VNX33" s="1688"/>
      <c r="VNY33" s="1688"/>
      <c r="VNZ33" s="1688"/>
      <c r="VOA33" s="1688"/>
      <c r="VOB33" s="1688"/>
      <c r="VOC33" s="1688"/>
      <c r="VOD33" s="1688"/>
      <c r="VOE33" s="1688"/>
      <c r="VOF33" s="1688"/>
      <c r="VOG33" s="1688"/>
      <c r="VOH33" s="1688"/>
      <c r="VOI33" s="1688"/>
      <c r="VOJ33" s="1688"/>
      <c r="VOK33" s="1688"/>
      <c r="VOL33" s="1688"/>
      <c r="VOM33" s="1688"/>
      <c r="VON33" s="1688"/>
      <c r="VOO33" s="1688"/>
      <c r="VOP33" s="1688"/>
      <c r="VOQ33" s="1688"/>
      <c r="VOR33" s="1688"/>
      <c r="VOS33" s="1688"/>
      <c r="VOT33" s="1688"/>
      <c r="VOU33" s="1688"/>
      <c r="VOV33" s="1688"/>
      <c r="VOW33" s="1688"/>
      <c r="VOX33" s="1688"/>
      <c r="VOY33" s="1688"/>
      <c r="VOZ33" s="1688"/>
      <c r="VPA33" s="1688"/>
      <c r="VPB33" s="1688"/>
      <c r="VPC33" s="1688"/>
      <c r="VPD33" s="1688"/>
      <c r="VPE33" s="1688"/>
      <c r="VPF33" s="1688"/>
      <c r="VPG33" s="1688"/>
      <c r="VPH33" s="1688"/>
      <c r="VPI33" s="1688"/>
      <c r="VPJ33" s="1688"/>
      <c r="VPK33" s="1688"/>
      <c r="VPL33" s="1688"/>
      <c r="VPM33" s="1688"/>
      <c r="VPN33" s="1688"/>
      <c r="VPO33" s="1688"/>
      <c r="VPP33" s="1688"/>
      <c r="VPQ33" s="1688"/>
      <c r="VPR33" s="1688"/>
      <c r="VPS33" s="1688"/>
      <c r="VPT33" s="1688"/>
      <c r="VPU33" s="1688"/>
      <c r="VPV33" s="1688"/>
      <c r="VPW33" s="1688"/>
      <c r="VPX33" s="1688"/>
      <c r="VPY33" s="1688"/>
      <c r="VPZ33" s="1688"/>
      <c r="VQA33" s="1688"/>
      <c r="VQB33" s="1688"/>
      <c r="VQC33" s="1688"/>
      <c r="VQD33" s="1688"/>
      <c r="VQE33" s="1688"/>
      <c r="VQF33" s="1688"/>
      <c r="VQG33" s="1688"/>
      <c r="VQH33" s="1688"/>
      <c r="VQI33" s="1688"/>
      <c r="VQJ33" s="1688"/>
      <c r="VQK33" s="1688"/>
      <c r="VQL33" s="1688"/>
      <c r="VQM33" s="1688"/>
      <c r="VQN33" s="1688"/>
      <c r="VQO33" s="1688"/>
      <c r="VQP33" s="1688"/>
      <c r="VQQ33" s="1688"/>
      <c r="VQR33" s="1688"/>
      <c r="VQS33" s="1688"/>
      <c r="VQT33" s="1688"/>
      <c r="VQU33" s="1688"/>
      <c r="VQV33" s="1688"/>
      <c r="VQW33" s="1688"/>
      <c r="VQX33" s="1688"/>
      <c r="VQY33" s="1688"/>
      <c r="VQZ33" s="1688"/>
      <c r="VRA33" s="1688"/>
      <c r="VRB33" s="1688"/>
      <c r="VRC33" s="1688"/>
      <c r="VRD33" s="1688"/>
      <c r="VRE33" s="1688"/>
      <c r="VRF33" s="1688"/>
      <c r="VRG33" s="1688"/>
      <c r="VRH33" s="1688"/>
      <c r="VRI33" s="1688"/>
      <c r="VRJ33" s="1688"/>
      <c r="VRK33" s="1688"/>
      <c r="VRL33" s="1688"/>
      <c r="VRM33" s="1688"/>
      <c r="VRN33" s="1688"/>
      <c r="VRO33" s="1688"/>
      <c r="VRP33" s="1688"/>
      <c r="VRQ33" s="1688"/>
      <c r="VRR33" s="1688"/>
      <c r="VRS33" s="1688"/>
      <c r="VRT33" s="1688"/>
      <c r="VRU33" s="1688"/>
      <c r="VRV33" s="1688"/>
      <c r="VRW33" s="1688"/>
      <c r="VRX33" s="1688"/>
      <c r="VRY33" s="1688"/>
      <c r="VRZ33" s="1688"/>
      <c r="VSA33" s="1688"/>
      <c r="VSB33" s="1688"/>
      <c r="VSC33" s="1688"/>
      <c r="VSD33" s="1688"/>
      <c r="VSE33" s="1688"/>
      <c r="VSF33" s="1688"/>
      <c r="VSG33" s="1688"/>
      <c r="VSH33" s="1688"/>
      <c r="VSI33" s="1688"/>
      <c r="VSJ33" s="1688"/>
      <c r="VSK33" s="1688"/>
      <c r="VSL33" s="1688"/>
      <c r="VSM33" s="1688"/>
      <c r="VSN33" s="1688"/>
      <c r="VSO33" s="1688"/>
      <c r="VSP33" s="1688"/>
      <c r="VSQ33" s="1688"/>
      <c r="VSR33" s="1688"/>
      <c r="VSS33" s="1688"/>
      <c r="VST33" s="1688"/>
      <c r="VSU33" s="1688"/>
      <c r="VSV33" s="1688"/>
      <c r="VSW33" s="1688"/>
      <c r="VSX33" s="1688"/>
      <c r="VSY33" s="1688"/>
      <c r="VSZ33" s="1688"/>
      <c r="VTA33" s="1688"/>
      <c r="VTB33" s="1688"/>
      <c r="VTC33" s="1688"/>
      <c r="VTD33" s="1688"/>
      <c r="VTE33" s="1688"/>
      <c r="VTF33" s="1688"/>
      <c r="VTG33" s="1688"/>
      <c r="VTH33" s="1688"/>
      <c r="VTI33" s="1688"/>
      <c r="VTJ33" s="1688"/>
      <c r="VTK33" s="1688"/>
      <c r="VTL33" s="1688"/>
      <c r="VTM33" s="1688"/>
      <c r="VTN33" s="1688"/>
      <c r="VTO33" s="1688"/>
      <c r="VTP33" s="1688"/>
      <c r="VTQ33" s="1688"/>
      <c r="VTR33" s="1688"/>
      <c r="VTS33" s="1688"/>
      <c r="VTT33" s="1688"/>
      <c r="VTU33" s="1688"/>
      <c r="VTV33" s="1688"/>
      <c r="VTW33" s="1688"/>
      <c r="VTX33" s="1688"/>
      <c r="VTY33" s="1688"/>
      <c r="VTZ33" s="1688"/>
      <c r="VUA33" s="1688"/>
      <c r="VUB33" s="1688"/>
      <c r="VUC33" s="1688"/>
      <c r="VUD33" s="1688"/>
      <c r="VUE33" s="1688"/>
      <c r="VUF33" s="1688"/>
      <c r="VUG33" s="1688"/>
      <c r="VUH33" s="1688"/>
      <c r="VUI33" s="1688"/>
      <c r="VUJ33" s="1688"/>
      <c r="VUK33" s="1688"/>
      <c r="VUL33" s="1688"/>
      <c r="VUM33" s="1688"/>
      <c r="VUN33" s="1688"/>
      <c r="VUO33" s="1688"/>
      <c r="VUP33" s="1688"/>
      <c r="VUQ33" s="1688"/>
      <c r="VUR33" s="1688"/>
      <c r="VUS33" s="1688"/>
      <c r="VUT33" s="1688"/>
      <c r="VUU33" s="1688"/>
      <c r="VUV33" s="1688"/>
      <c r="VUW33" s="1688"/>
      <c r="VUX33" s="1688"/>
      <c r="VUY33" s="1688"/>
      <c r="VUZ33" s="1688"/>
      <c r="VVA33" s="1688"/>
      <c r="VVB33" s="1688"/>
      <c r="VVC33" s="1688"/>
      <c r="VVD33" s="1688"/>
      <c r="VVE33" s="1688"/>
      <c r="VVF33" s="1688"/>
      <c r="VVG33" s="1688"/>
      <c r="VVH33" s="1688"/>
      <c r="VVI33" s="1688"/>
      <c r="VVJ33" s="1688"/>
      <c r="VVK33" s="1688"/>
      <c r="VVL33" s="1688"/>
      <c r="VVM33" s="1688"/>
      <c r="VVN33" s="1688"/>
      <c r="VVO33" s="1688"/>
      <c r="VVP33" s="1688"/>
      <c r="VVQ33" s="1688"/>
      <c r="VVR33" s="1688"/>
      <c r="VVS33" s="1688"/>
      <c r="VVT33" s="1688"/>
      <c r="VVU33" s="1688"/>
      <c r="VVV33" s="1688"/>
      <c r="VVW33" s="1688"/>
      <c r="VVX33" s="1688"/>
      <c r="VVY33" s="1688"/>
      <c r="VVZ33" s="1688"/>
      <c r="VWA33" s="1688"/>
      <c r="VWB33" s="1688"/>
      <c r="VWC33" s="1688"/>
      <c r="VWD33" s="1688"/>
      <c r="VWE33" s="1688"/>
      <c r="VWF33" s="1688"/>
      <c r="VWG33" s="1688"/>
      <c r="VWH33" s="1688"/>
      <c r="VWI33" s="1688"/>
      <c r="VWJ33" s="1688"/>
      <c r="VWK33" s="1688"/>
      <c r="VWL33" s="1688"/>
      <c r="VWM33" s="1688"/>
      <c r="VWN33" s="1688"/>
      <c r="VWO33" s="1688"/>
      <c r="VWP33" s="1688"/>
      <c r="VWQ33" s="1688"/>
      <c r="VWR33" s="1688"/>
      <c r="VWS33" s="1688"/>
      <c r="VWT33" s="1688"/>
      <c r="VWU33" s="1688"/>
      <c r="VWV33" s="1688"/>
      <c r="VWW33" s="1688"/>
      <c r="VWX33" s="1688"/>
      <c r="VWY33" s="1688"/>
      <c r="VWZ33" s="1688"/>
      <c r="VXA33" s="1688"/>
      <c r="VXB33" s="1688"/>
      <c r="VXC33" s="1688"/>
      <c r="VXD33" s="1688"/>
      <c r="VXE33" s="1688"/>
      <c r="VXF33" s="1688"/>
      <c r="VXG33" s="1688"/>
      <c r="VXH33" s="1688"/>
      <c r="VXI33" s="1688"/>
      <c r="VXJ33" s="1688"/>
      <c r="VXK33" s="1688"/>
      <c r="VXL33" s="1688"/>
      <c r="VXM33" s="1688"/>
      <c r="VXN33" s="1688"/>
      <c r="VXO33" s="1688"/>
      <c r="VXP33" s="1688"/>
      <c r="VXQ33" s="1688"/>
      <c r="VXR33" s="1688"/>
      <c r="VXS33" s="1688"/>
      <c r="VXT33" s="1688"/>
      <c r="VXU33" s="1688"/>
      <c r="VXV33" s="1688"/>
      <c r="VXW33" s="1688"/>
      <c r="VXX33" s="1688"/>
      <c r="VXY33" s="1688"/>
      <c r="VXZ33" s="1688"/>
      <c r="VYA33" s="1688"/>
      <c r="VYB33" s="1688"/>
      <c r="VYC33" s="1688"/>
      <c r="VYD33" s="1688"/>
      <c r="VYE33" s="1688"/>
      <c r="VYF33" s="1688"/>
      <c r="VYG33" s="1688"/>
      <c r="VYH33" s="1688"/>
      <c r="VYI33" s="1688"/>
      <c r="VYJ33" s="1688"/>
      <c r="VYK33" s="1688"/>
      <c r="VYL33" s="1688"/>
      <c r="VYM33" s="1688"/>
      <c r="VYN33" s="1688"/>
      <c r="VYO33" s="1688"/>
      <c r="VYP33" s="1688"/>
      <c r="VYQ33" s="1688"/>
      <c r="VYR33" s="1688"/>
      <c r="VYS33" s="1688"/>
      <c r="VYT33" s="1688"/>
      <c r="VYU33" s="1688"/>
      <c r="VYV33" s="1688"/>
      <c r="VYW33" s="1688"/>
      <c r="VYX33" s="1688"/>
      <c r="VYY33" s="1688"/>
      <c r="VYZ33" s="1688"/>
      <c r="VZA33" s="1688"/>
      <c r="VZB33" s="1688"/>
      <c r="VZC33" s="1688"/>
      <c r="VZD33" s="1688"/>
      <c r="VZE33" s="1688"/>
      <c r="VZF33" s="1688"/>
      <c r="VZG33" s="1688"/>
      <c r="VZH33" s="1688"/>
      <c r="VZI33" s="1688"/>
      <c r="VZJ33" s="1688"/>
      <c r="VZK33" s="1688"/>
      <c r="VZL33" s="1688"/>
      <c r="VZM33" s="1688"/>
      <c r="VZN33" s="1688"/>
      <c r="VZO33" s="1688"/>
      <c r="VZP33" s="1688"/>
      <c r="VZQ33" s="1688"/>
      <c r="VZR33" s="1688"/>
      <c r="VZS33" s="1688"/>
      <c r="VZT33" s="1688"/>
      <c r="VZU33" s="1688"/>
      <c r="VZV33" s="1688"/>
      <c r="VZW33" s="1688"/>
      <c r="VZX33" s="1688"/>
      <c r="VZY33" s="1688"/>
      <c r="VZZ33" s="1688"/>
      <c r="WAA33" s="1688"/>
      <c r="WAB33" s="1688"/>
      <c r="WAC33" s="1688"/>
      <c r="WAD33" s="1688"/>
      <c r="WAE33" s="1688"/>
      <c r="WAF33" s="1688"/>
      <c r="WAG33" s="1688"/>
      <c r="WAH33" s="1688"/>
      <c r="WAI33" s="1688"/>
      <c r="WAJ33" s="1688"/>
      <c r="WAK33" s="1688"/>
      <c r="WAL33" s="1688"/>
      <c r="WAM33" s="1688"/>
      <c r="WAN33" s="1688"/>
      <c r="WAO33" s="1688"/>
      <c r="WAP33" s="1688"/>
      <c r="WAQ33" s="1688"/>
      <c r="WAR33" s="1688"/>
      <c r="WAS33" s="1688"/>
      <c r="WAT33" s="1688"/>
      <c r="WAU33" s="1688"/>
      <c r="WAV33" s="1688"/>
      <c r="WAW33" s="1688"/>
      <c r="WAX33" s="1688"/>
      <c r="WAY33" s="1688"/>
      <c r="WAZ33" s="1688"/>
      <c r="WBA33" s="1688"/>
      <c r="WBB33" s="1688"/>
      <c r="WBC33" s="1688"/>
      <c r="WBD33" s="1688"/>
      <c r="WBE33" s="1688"/>
      <c r="WBF33" s="1688"/>
      <c r="WBG33" s="1688"/>
      <c r="WBH33" s="1688"/>
      <c r="WBI33" s="1688"/>
      <c r="WBJ33" s="1688"/>
      <c r="WBK33" s="1688"/>
      <c r="WBL33" s="1688"/>
      <c r="WBM33" s="1688"/>
      <c r="WBN33" s="1688"/>
      <c r="WBO33" s="1688"/>
      <c r="WBP33" s="1688"/>
      <c r="WBQ33" s="1688"/>
      <c r="WBR33" s="1688"/>
      <c r="WBS33" s="1688"/>
      <c r="WBT33" s="1688"/>
      <c r="WBU33" s="1688"/>
      <c r="WBV33" s="1688"/>
      <c r="WBW33" s="1688"/>
      <c r="WBX33" s="1688"/>
      <c r="WBY33" s="1688"/>
      <c r="WBZ33" s="1688"/>
      <c r="WCA33" s="1688"/>
      <c r="WCB33" s="1688"/>
      <c r="WCC33" s="1688"/>
      <c r="WCD33" s="1688"/>
      <c r="WCE33" s="1688"/>
      <c r="WCF33" s="1688"/>
      <c r="WCG33" s="1688"/>
      <c r="WCH33" s="1688"/>
      <c r="WCI33" s="1688"/>
      <c r="WCJ33" s="1688"/>
      <c r="WCK33" s="1688"/>
      <c r="WCL33" s="1688"/>
      <c r="WCM33" s="1688"/>
      <c r="WCN33" s="1688"/>
      <c r="WCO33" s="1688"/>
      <c r="WCP33" s="1688"/>
      <c r="WCQ33" s="1688"/>
      <c r="WCR33" s="1688"/>
      <c r="WCS33" s="1688"/>
      <c r="WCT33" s="1688"/>
      <c r="WCU33" s="1688"/>
      <c r="WCV33" s="1688"/>
      <c r="WCW33" s="1688"/>
      <c r="WCX33" s="1688"/>
      <c r="WCY33" s="1688"/>
      <c r="WCZ33" s="1688"/>
      <c r="WDA33" s="1688"/>
      <c r="WDB33" s="1688"/>
      <c r="WDC33" s="1688"/>
      <c r="WDD33" s="1688"/>
      <c r="WDE33" s="1688"/>
      <c r="WDF33" s="1688"/>
      <c r="WDG33" s="1688"/>
      <c r="WDH33" s="1688"/>
      <c r="WDI33" s="1688"/>
      <c r="WDJ33" s="1688"/>
      <c r="WDK33" s="1688"/>
      <c r="WDL33" s="1688"/>
      <c r="WDM33" s="1688"/>
      <c r="WDN33" s="1688"/>
      <c r="WDO33" s="1688"/>
      <c r="WDP33" s="1688"/>
      <c r="WDQ33" s="1688"/>
      <c r="WDR33" s="1688"/>
      <c r="WDS33" s="1688"/>
      <c r="WDT33" s="1688"/>
      <c r="WDU33" s="1688"/>
      <c r="WDV33" s="1688"/>
      <c r="WDW33" s="1688"/>
      <c r="WDX33" s="1688"/>
      <c r="WDY33" s="1688"/>
      <c r="WDZ33" s="1688"/>
      <c r="WEA33" s="1688"/>
      <c r="WEB33" s="1688"/>
      <c r="WEC33" s="1688"/>
      <c r="WED33" s="1688"/>
      <c r="WEE33" s="1688"/>
      <c r="WEF33" s="1688"/>
      <c r="WEG33" s="1688"/>
      <c r="WEH33" s="1688"/>
      <c r="WEI33" s="1688"/>
      <c r="WEJ33" s="1688"/>
      <c r="WEK33" s="1688"/>
      <c r="WEL33" s="1688"/>
      <c r="WEM33" s="1688"/>
      <c r="WEN33" s="1688"/>
      <c r="WEO33" s="1688"/>
      <c r="WEP33" s="1688"/>
      <c r="WEQ33" s="1688"/>
      <c r="WER33" s="1688"/>
      <c r="WES33" s="1688"/>
      <c r="WET33" s="1688"/>
      <c r="WEU33" s="1688"/>
      <c r="WEV33" s="1688"/>
      <c r="WEW33" s="1688"/>
      <c r="WEX33" s="1688"/>
      <c r="WEY33" s="1688"/>
      <c r="WEZ33" s="1688"/>
      <c r="WFA33" s="1688"/>
      <c r="WFB33" s="1688"/>
      <c r="WFC33" s="1688"/>
      <c r="WFD33" s="1688"/>
      <c r="WFE33" s="1688"/>
      <c r="WFF33" s="1688"/>
      <c r="WFG33" s="1688"/>
      <c r="WFH33" s="1688"/>
      <c r="WFI33" s="1688"/>
      <c r="WFJ33" s="1688"/>
      <c r="WFK33" s="1688"/>
      <c r="WFL33" s="1688"/>
      <c r="WFM33" s="1688"/>
      <c r="WFN33" s="1688"/>
      <c r="WFO33" s="1688"/>
      <c r="WFP33" s="1688"/>
      <c r="WFQ33" s="1688"/>
      <c r="WFR33" s="1688"/>
      <c r="WFS33" s="1688"/>
      <c r="WFT33" s="1688"/>
      <c r="WFU33" s="1688"/>
      <c r="WFV33" s="1688"/>
      <c r="WFW33" s="1688"/>
      <c r="WFX33" s="1688"/>
      <c r="WFY33" s="1688"/>
      <c r="WFZ33" s="1688"/>
      <c r="WGA33" s="1688"/>
      <c r="WGB33" s="1688"/>
      <c r="WGC33" s="1688"/>
      <c r="WGD33" s="1688"/>
      <c r="WGE33" s="1688"/>
      <c r="WGF33" s="1688"/>
      <c r="WGG33" s="1688"/>
      <c r="WGH33" s="1688"/>
      <c r="WGI33" s="1688"/>
      <c r="WGJ33" s="1688"/>
      <c r="WGK33" s="1688"/>
      <c r="WGL33" s="1688"/>
      <c r="WGM33" s="1688"/>
      <c r="WGN33" s="1688"/>
      <c r="WGO33" s="1688"/>
      <c r="WGP33" s="1688"/>
      <c r="WGQ33" s="1688"/>
      <c r="WGR33" s="1688"/>
      <c r="WGS33" s="1688"/>
      <c r="WGT33" s="1688"/>
      <c r="WGU33" s="1688"/>
      <c r="WGV33" s="1688"/>
      <c r="WGW33" s="1688"/>
      <c r="WGX33" s="1688"/>
      <c r="WGY33" s="1688"/>
      <c r="WGZ33" s="1688"/>
      <c r="WHA33" s="1688"/>
      <c r="WHB33" s="1688"/>
      <c r="WHC33" s="1688"/>
      <c r="WHD33" s="1688"/>
      <c r="WHE33" s="1688"/>
      <c r="WHF33" s="1688"/>
      <c r="WHG33" s="1688"/>
      <c r="WHH33" s="1688"/>
      <c r="WHI33" s="1688"/>
      <c r="WHJ33" s="1688"/>
      <c r="WHK33" s="1688"/>
      <c r="WHL33" s="1688"/>
      <c r="WHM33" s="1688"/>
      <c r="WHN33" s="1688"/>
      <c r="WHO33" s="1688"/>
      <c r="WHP33" s="1688"/>
      <c r="WHQ33" s="1688"/>
      <c r="WHR33" s="1688"/>
      <c r="WHS33" s="1688"/>
      <c r="WHT33" s="1688"/>
      <c r="WHU33" s="1688"/>
      <c r="WHV33" s="1688"/>
      <c r="WHW33" s="1688"/>
      <c r="WHX33" s="1688"/>
      <c r="WHY33" s="1688"/>
      <c r="WHZ33" s="1688"/>
      <c r="WIA33" s="1688"/>
      <c r="WIB33" s="1688"/>
      <c r="WIC33" s="1688"/>
      <c r="WID33" s="1688"/>
      <c r="WIE33" s="1688"/>
      <c r="WIF33" s="1688"/>
      <c r="WIG33" s="1688"/>
      <c r="WIH33" s="1688"/>
      <c r="WII33" s="1688"/>
      <c r="WIJ33" s="1688"/>
      <c r="WIK33" s="1688"/>
      <c r="WIL33" s="1688"/>
      <c r="WIM33" s="1688"/>
      <c r="WIN33" s="1688"/>
      <c r="WIO33" s="1688"/>
      <c r="WIP33" s="1688"/>
      <c r="WIQ33" s="1688"/>
      <c r="WIR33" s="1688"/>
      <c r="WIS33" s="1688"/>
      <c r="WIT33" s="1688"/>
      <c r="WIU33" s="1688"/>
      <c r="WIV33" s="1688"/>
      <c r="WIW33" s="1688"/>
      <c r="WIX33" s="1688"/>
      <c r="WIY33" s="1688"/>
      <c r="WIZ33" s="1688"/>
      <c r="WJA33" s="1688"/>
      <c r="WJB33" s="1688"/>
      <c r="WJC33" s="1688"/>
      <c r="WJD33" s="1688"/>
      <c r="WJE33" s="1688"/>
      <c r="WJF33" s="1688"/>
      <c r="WJG33" s="1688"/>
      <c r="WJH33" s="1688"/>
      <c r="WJI33" s="1688"/>
      <c r="WJJ33" s="1688"/>
      <c r="WJK33" s="1688"/>
      <c r="WJL33" s="1688"/>
      <c r="WJM33" s="1688"/>
      <c r="WJN33" s="1688"/>
      <c r="WJO33" s="1688"/>
      <c r="WJP33" s="1688"/>
      <c r="WJQ33" s="1688"/>
      <c r="WJR33" s="1688"/>
      <c r="WJS33" s="1688"/>
      <c r="WJT33" s="1688"/>
      <c r="WJU33" s="1688"/>
      <c r="WJV33" s="1688"/>
      <c r="WJW33" s="1688"/>
      <c r="WJX33" s="1688"/>
      <c r="WJY33" s="1688"/>
      <c r="WJZ33" s="1688"/>
      <c r="WKA33" s="1688"/>
      <c r="WKB33" s="1688"/>
      <c r="WKC33" s="1688"/>
      <c r="WKD33" s="1688"/>
      <c r="WKE33" s="1688"/>
      <c r="WKF33" s="1688"/>
      <c r="WKG33" s="1688"/>
      <c r="WKH33" s="1688"/>
      <c r="WKI33" s="1688"/>
      <c r="WKJ33" s="1688"/>
      <c r="WKK33" s="1688"/>
      <c r="WKL33" s="1688"/>
      <c r="WKM33" s="1688"/>
      <c r="WKN33" s="1688"/>
      <c r="WKO33" s="1688"/>
      <c r="WKP33" s="1688"/>
      <c r="WKQ33" s="1688"/>
      <c r="WKR33" s="1688"/>
      <c r="WKS33" s="1688"/>
      <c r="WKT33" s="1688"/>
      <c r="WKU33" s="1688"/>
      <c r="WKV33" s="1688"/>
      <c r="WKW33" s="1688"/>
      <c r="WKX33" s="1688"/>
      <c r="WKY33" s="1688"/>
      <c r="WKZ33" s="1688"/>
      <c r="WLA33" s="1688"/>
      <c r="WLB33" s="1688"/>
      <c r="WLC33" s="1688"/>
      <c r="WLD33" s="1688"/>
      <c r="WLE33" s="1688"/>
      <c r="WLF33" s="1688"/>
      <c r="WLG33" s="1688"/>
      <c r="WLH33" s="1688"/>
      <c r="WLI33" s="1688"/>
      <c r="WLJ33" s="1688"/>
      <c r="WLK33" s="1688"/>
      <c r="WLL33" s="1688"/>
      <c r="WLM33" s="1688"/>
      <c r="WLN33" s="1688"/>
      <c r="WLO33" s="1688"/>
      <c r="WLP33" s="1688"/>
      <c r="WLQ33" s="1688"/>
      <c r="WLR33" s="1688"/>
      <c r="WLS33" s="1688"/>
      <c r="WLT33" s="1688"/>
      <c r="WLU33" s="1688"/>
      <c r="WLV33" s="1688"/>
      <c r="WLW33" s="1688"/>
      <c r="WLX33" s="1688"/>
      <c r="WLY33" s="1688"/>
      <c r="WLZ33" s="1688"/>
      <c r="WMA33" s="1688"/>
      <c r="WMB33" s="1688"/>
      <c r="WMC33" s="1688"/>
      <c r="WMD33" s="1688"/>
      <c r="WME33" s="1688"/>
      <c r="WMF33" s="1688"/>
      <c r="WMG33" s="1688"/>
      <c r="WMH33" s="1688"/>
      <c r="WMI33" s="1688"/>
      <c r="WMJ33" s="1688"/>
      <c r="WMK33" s="1688"/>
      <c r="WML33" s="1688"/>
      <c r="WMM33" s="1688"/>
      <c r="WMN33" s="1688"/>
      <c r="WMO33" s="1688"/>
      <c r="WMP33" s="1688"/>
      <c r="WMQ33" s="1688"/>
      <c r="WMR33" s="1688"/>
      <c r="WMS33" s="1688"/>
      <c r="WMT33" s="1688"/>
      <c r="WMU33" s="1688"/>
      <c r="WMV33" s="1688"/>
      <c r="WMW33" s="1688"/>
      <c r="WMX33" s="1688"/>
      <c r="WMY33" s="1688"/>
      <c r="WMZ33" s="1688"/>
      <c r="WNA33" s="1688"/>
      <c r="WNB33" s="1688"/>
      <c r="WNC33" s="1688"/>
      <c r="WND33" s="1688"/>
      <c r="WNE33" s="1688"/>
      <c r="WNF33" s="1688"/>
      <c r="WNG33" s="1688"/>
      <c r="WNH33" s="1688"/>
      <c r="WNI33" s="1688"/>
      <c r="WNJ33" s="1688"/>
      <c r="WNK33" s="1688"/>
      <c r="WNL33" s="1688"/>
      <c r="WNM33" s="1688"/>
      <c r="WNN33" s="1688"/>
      <c r="WNO33" s="1688"/>
      <c r="WNP33" s="1688"/>
      <c r="WNQ33" s="1688"/>
      <c r="WNR33" s="1688"/>
      <c r="WNS33" s="1688"/>
      <c r="WNT33" s="1688"/>
      <c r="WNU33" s="1688"/>
      <c r="WNV33" s="1688"/>
      <c r="WNW33" s="1688"/>
      <c r="WNX33" s="1688"/>
      <c r="WNY33" s="1688"/>
      <c r="WNZ33" s="1688"/>
      <c r="WOA33" s="1688"/>
      <c r="WOB33" s="1688"/>
      <c r="WOC33" s="1688"/>
      <c r="WOD33" s="1688"/>
      <c r="WOE33" s="1688"/>
      <c r="WOF33" s="1688"/>
      <c r="WOG33" s="1688"/>
      <c r="WOH33" s="1688"/>
      <c r="WOI33" s="1688"/>
      <c r="WOJ33" s="1688"/>
      <c r="WOK33" s="1688"/>
      <c r="WOL33" s="1688"/>
      <c r="WOM33" s="1688"/>
      <c r="WON33" s="1688"/>
      <c r="WOO33" s="1688"/>
      <c r="WOP33" s="1688"/>
      <c r="WOQ33" s="1688"/>
      <c r="WOR33" s="1688"/>
      <c r="WOS33" s="1688"/>
      <c r="WOT33" s="1688"/>
      <c r="WOU33" s="1688"/>
      <c r="WOV33" s="1688"/>
      <c r="WOW33" s="1688"/>
      <c r="WOX33" s="1688"/>
      <c r="WOY33" s="1688"/>
      <c r="WOZ33" s="1688"/>
      <c r="WPA33" s="1688"/>
      <c r="WPB33" s="1688"/>
      <c r="WPC33" s="1688"/>
      <c r="WPD33" s="1688"/>
      <c r="WPE33" s="1688"/>
      <c r="WPF33" s="1688"/>
      <c r="WPG33" s="1688"/>
      <c r="WPH33" s="1688"/>
      <c r="WPI33" s="1688"/>
      <c r="WPJ33" s="1688"/>
      <c r="WPK33" s="1688"/>
      <c r="WPL33" s="1688"/>
      <c r="WPM33" s="1688"/>
      <c r="WPN33" s="1688"/>
      <c r="WPO33" s="1688"/>
      <c r="WPP33" s="1688"/>
      <c r="WPQ33" s="1688"/>
      <c r="WPR33" s="1688"/>
      <c r="WPS33" s="1688"/>
      <c r="WPT33" s="1688"/>
      <c r="WPU33" s="1688"/>
      <c r="WPV33" s="1688"/>
      <c r="WPW33" s="1688"/>
      <c r="WPX33" s="1688"/>
      <c r="WPY33" s="1688"/>
      <c r="WPZ33" s="1688"/>
      <c r="WQA33" s="1688"/>
      <c r="WQB33" s="1688"/>
      <c r="WQC33" s="1688"/>
      <c r="WQD33" s="1688"/>
      <c r="WQE33" s="1688"/>
      <c r="WQF33" s="1688"/>
      <c r="WQG33" s="1688"/>
      <c r="WQH33" s="1688"/>
      <c r="WQI33" s="1688"/>
      <c r="WQJ33" s="1688"/>
      <c r="WQK33" s="1688"/>
      <c r="WQL33" s="1688"/>
      <c r="WQM33" s="1688"/>
      <c r="WQN33" s="1688"/>
      <c r="WQO33" s="1688"/>
      <c r="WQP33" s="1688"/>
      <c r="WQQ33" s="1688"/>
      <c r="WQR33" s="1688"/>
      <c r="WQS33" s="1688"/>
      <c r="WQT33" s="1688"/>
      <c r="WQU33" s="1688"/>
      <c r="WQV33" s="1688"/>
      <c r="WQW33" s="1688"/>
      <c r="WQX33" s="1688"/>
      <c r="WQY33" s="1688"/>
      <c r="WQZ33" s="1688"/>
      <c r="WRA33" s="1688"/>
      <c r="WRB33" s="1688"/>
      <c r="WRC33" s="1688"/>
      <c r="WRD33" s="1688"/>
      <c r="WRE33" s="1688"/>
      <c r="WRF33" s="1688"/>
      <c r="WRG33" s="1688"/>
      <c r="WRH33" s="1688"/>
      <c r="WRI33" s="1688"/>
      <c r="WRJ33" s="1688"/>
      <c r="WRK33" s="1688"/>
      <c r="WRL33" s="1688"/>
      <c r="WRM33" s="1688"/>
      <c r="WRN33" s="1688"/>
      <c r="WRO33" s="1688"/>
      <c r="WRP33" s="1688"/>
      <c r="WRQ33" s="1688"/>
      <c r="WRR33" s="1688"/>
      <c r="WRS33" s="1688"/>
      <c r="WRT33" s="1688"/>
      <c r="WRU33" s="1688"/>
      <c r="WRV33" s="1688"/>
      <c r="WRW33" s="1688"/>
      <c r="WRX33" s="1688"/>
      <c r="WRY33" s="1688"/>
      <c r="WRZ33" s="1688"/>
      <c r="WSA33" s="1688"/>
      <c r="WSB33" s="1688"/>
      <c r="WSC33" s="1688"/>
      <c r="WSD33" s="1688"/>
      <c r="WSE33" s="1688"/>
      <c r="WSF33" s="1688"/>
      <c r="WSG33" s="1688"/>
      <c r="WSH33" s="1688"/>
      <c r="WSI33" s="1688"/>
      <c r="WSJ33" s="1688"/>
      <c r="WSK33" s="1688"/>
      <c r="WSL33" s="1688"/>
      <c r="WSM33" s="1688"/>
      <c r="WSN33" s="1688"/>
      <c r="WSO33" s="1688"/>
      <c r="WSP33" s="1688"/>
      <c r="WSQ33" s="1688"/>
      <c r="WSR33" s="1688"/>
      <c r="WSS33" s="1688"/>
      <c r="WST33" s="1688"/>
      <c r="WSU33" s="1688"/>
      <c r="WSV33" s="1688"/>
      <c r="WSW33" s="1688"/>
      <c r="WSX33" s="1688"/>
      <c r="WSY33" s="1688"/>
      <c r="WSZ33" s="1688"/>
      <c r="WTA33" s="1688"/>
      <c r="WTB33" s="1688"/>
      <c r="WTC33" s="1688"/>
      <c r="WTD33" s="1688"/>
      <c r="WTE33" s="1688"/>
      <c r="WTF33" s="1688"/>
      <c r="WTG33" s="1688"/>
      <c r="WTH33" s="1688"/>
      <c r="WTI33" s="1688"/>
      <c r="WTJ33" s="1688"/>
      <c r="WTK33" s="1688"/>
      <c r="WTL33" s="1688"/>
      <c r="WTM33" s="1688"/>
      <c r="WTN33" s="1688"/>
      <c r="WTO33" s="1688"/>
      <c r="WTP33" s="1688"/>
      <c r="WTQ33" s="1688"/>
      <c r="WTR33" s="1688"/>
      <c r="WTS33" s="1688"/>
      <c r="WTT33" s="1688"/>
      <c r="WTU33" s="1688"/>
      <c r="WTV33" s="1688"/>
      <c r="WTW33" s="1688"/>
      <c r="WTX33" s="1688"/>
      <c r="WTY33" s="1688"/>
      <c r="WTZ33" s="1688"/>
      <c r="WUA33" s="1688"/>
      <c r="WUB33" s="1688"/>
      <c r="WUC33" s="1688"/>
      <c r="WUD33" s="1688"/>
      <c r="WUE33" s="1688"/>
      <c r="WUF33" s="1688"/>
      <c r="WUG33" s="1688"/>
      <c r="WUH33" s="1688"/>
      <c r="WUI33" s="1688"/>
      <c r="WUJ33" s="1688"/>
      <c r="WUK33" s="1688"/>
      <c r="WUL33" s="1688"/>
      <c r="WUM33" s="1688"/>
      <c r="WUN33" s="1688"/>
      <c r="WUO33" s="1688"/>
      <c r="WUP33" s="1688"/>
      <c r="WUQ33" s="1688"/>
      <c r="WUR33" s="1688"/>
      <c r="WUS33" s="1688"/>
      <c r="WUT33" s="1688"/>
      <c r="WUU33" s="1688"/>
      <c r="WUV33" s="1688"/>
      <c r="WUW33" s="1688"/>
      <c r="WUX33" s="1688"/>
      <c r="WUY33" s="1688"/>
      <c r="WUZ33" s="1688"/>
      <c r="WVA33" s="1688"/>
      <c r="WVB33" s="1688"/>
      <c r="WVC33" s="1688"/>
      <c r="WVD33" s="1688"/>
      <c r="WVE33" s="1688"/>
      <c r="WVF33" s="1688"/>
      <c r="WVG33" s="1688"/>
      <c r="WVH33" s="1688"/>
      <c r="WVI33" s="1688"/>
      <c r="WVJ33" s="1688"/>
      <c r="WVK33" s="1688"/>
      <c r="WVL33" s="1688"/>
      <c r="WVM33" s="1688"/>
      <c r="WVN33" s="1688"/>
      <c r="WVO33" s="1688"/>
      <c r="WVP33" s="1688"/>
      <c r="WVQ33" s="1688"/>
      <c r="WVR33" s="1688"/>
      <c r="WVS33" s="1688"/>
      <c r="WVT33" s="1688"/>
      <c r="WVU33" s="1688"/>
      <c r="WVV33" s="1688"/>
      <c r="WVW33" s="1688"/>
      <c r="WVX33" s="1688"/>
      <c r="WVY33" s="1688"/>
      <c r="WVZ33" s="1688"/>
      <c r="WWA33" s="1688"/>
      <c r="WWB33" s="1688"/>
      <c r="WWC33" s="1688"/>
      <c r="WWD33" s="1688"/>
      <c r="WWE33" s="1688"/>
      <c r="WWF33" s="1688"/>
      <c r="WWG33" s="1688"/>
      <c r="WWH33" s="1688"/>
      <c r="WWI33" s="1688"/>
      <c r="WWJ33" s="1688"/>
      <c r="WWK33" s="1688"/>
      <c r="WWL33" s="1688"/>
      <c r="WWM33" s="1688"/>
      <c r="WWN33" s="1688"/>
      <c r="WWO33" s="1688"/>
      <c r="WWP33" s="1688"/>
      <c r="WWQ33" s="1688"/>
      <c r="WWR33" s="1688"/>
      <c r="WWS33" s="1688"/>
      <c r="WWT33" s="1688"/>
      <c r="WWU33" s="1688"/>
      <c r="WWV33" s="1688"/>
      <c r="WWW33" s="1688"/>
      <c r="WWX33" s="1688"/>
      <c r="WWY33" s="1688"/>
      <c r="WWZ33" s="1688"/>
      <c r="WXA33" s="1688"/>
      <c r="WXB33" s="1688"/>
      <c r="WXC33" s="1688"/>
      <c r="WXD33" s="1688"/>
      <c r="WXE33" s="1688"/>
      <c r="WXF33" s="1688"/>
      <c r="WXG33" s="1688"/>
      <c r="WXH33" s="1688"/>
      <c r="WXI33" s="1688"/>
      <c r="WXJ33" s="1688"/>
      <c r="WXK33" s="1688"/>
      <c r="WXL33" s="1688"/>
      <c r="WXM33" s="1688"/>
      <c r="WXN33" s="1688"/>
      <c r="WXO33" s="1688"/>
      <c r="WXP33" s="1688"/>
      <c r="WXQ33" s="1688"/>
      <c r="WXR33" s="1688"/>
      <c r="WXS33" s="1688"/>
      <c r="WXT33" s="1688"/>
      <c r="WXU33" s="1688"/>
      <c r="WXV33" s="1688"/>
      <c r="WXW33" s="1688"/>
      <c r="WXX33" s="1688"/>
      <c r="WXY33" s="1688"/>
      <c r="WXZ33" s="1688"/>
      <c r="WYA33" s="1688"/>
      <c r="WYB33" s="1688"/>
      <c r="WYC33" s="1688"/>
      <c r="WYD33" s="1688"/>
      <c r="WYE33" s="1688"/>
      <c r="WYF33" s="1688"/>
      <c r="WYG33" s="1688"/>
      <c r="WYH33" s="1688"/>
      <c r="WYI33" s="1688"/>
      <c r="WYJ33" s="1688"/>
      <c r="WYK33" s="1688"/>
      <c r="WYL33" s="1688"/>
      <c r="WYM33" s="1688"/>
      <c r="WYN33" s="1688"/>
      <c r="WYO33" s="1688"/>
      <c r="WYP33" s="1688"/>
      <c r="WYQ33" s="1688"/>
      <c r="WYR33" s="1688"/>
      <c r="WYS33" s="1688"/>
      <c r="WYT33" s="1688"/>
      <c r="WYU33" s="1688"/>
      <c r="WYV33" s="1688"/>
      <c r="WYW33" s="1688"/>
      <c r="WYX33" s="1688"/>
      <c r="WYY33" s="1688"/>
      <c r="WYZ33" s="1688"/>
      <c r="WZA33" s="1688"/>
      <c r="WZB33" s="1688"/>
      <c r="WZC33" s="1688"/>
      <c r="WZD33" s="1688"/>
      <c r="WZE33" s="1688"/>
      <c r="WZF33" s="1688"/>
      <c r="WZG33" s="1688"/>
      <c r="WZH33" s="1688"/>
      <c r="WZI33" s="1688"/>
      <c r="WZJ33" s="1688"/>
      <c r="WZK33" s="1688"/>
      <c r="WZL33" s="1688"/>
      <c r="WZM33" s="1688"/>
      <c r="WZN33" s="1688"/>
      <c r="WZO33" s="1688"/>
      <c r="WZP33" s="1688"/>
      <c r="WZQ33" s="1688"/>
      <c r="WZR33" s="1688"/>
      <c r="WZS33" s="1688"/>
      <c r="WZT33" s="1688"/>
      <c r="WZU33" s="1688"/>
      <c r="WZV33" s="1688"/>
      <c r="WZW33" s="1688"/>
      <c r="WZX33" s="1688"/>
      <c r="WZY33" s="1688"/>
      <c r="WZZ33" s="1688"/>
      <c r="XAA33" s="1688"/>
      <c r="XAB33" s="1688"/>
      <c r="XAC33" s="1688"/>
      <c r="XAD33" s="1688"/>
      <c r="XAE33" s="1688"/>
      <c r="XAF33" s="1688"/>
      <c r="XAG33" s="1688"/>
      <c r="XAH33" s="1688"/>
      <c r="XAI33" s="1688"/>
      <c r="XAJ33" s="1688"/>
      <c r="XAK33" s="1688"/>
      <c r="XAL33" s="1688"/>
      <c r="XAM33" s="1688"/>
      <c r="XAN33" s="1688"/>
      <c r="XAO33" s="1688"/>
      <c r="XAP33" s="1688"/>
      <c r="XAQ33" s="1688"/>
      <c r="XAR33" s="1688"/>
      <c r="XAS33" s="1688"/>
      <c r="XAT33" s="1688"/>
      <c r="XAU33" s="1688"/>
      <c r="XAV33" s="1688"/>
      <c r="XAW33" s="1688"/>
      <c r="XAX33" s="1688"/>
      <c r="XAY33" s="1688"/>
      <c r="XAZ33" s="1688"/>
      <c r="XBA33" s="1688"/>
      <c r="XBB33" s="1688"/>
      <c r="XBC33" s="1688"/>
      <c r="XBD33" s="1688"/>
      <c r="XBE33" s="1688"/>
      <c r="XBF33" s="1688"/>
      <c r="XBG33" s="1688"/>
      <c r="XBH33" s="1688"/>
      <c r="XBI33" s="1688"/>
      <c r="XBJ33" s="1688"/>
      <c r="XBK33" s="1688"/>
      <c r="XBL33" s="1688"/>
      <c r="XBM33" s="1688"/>
      <c r="XBN33" s="1688"/>
      <c r="XBO33" s="1688"/>
      <c r="XBP33" s="1688"/>
      <c r="XBQ33" s="1688"/>
      <c r="XBR33" s="1688"/>
      <c r="XBS33" s="1688"/>
      <c r="XBT33" s="1688"/>
      <c r="XBU33" s="1688"/>
      <c r="XBV33" s="1688"/>
      <c r="XBW33" s="1688"/>
      <c r="XBX33" s="1688"/>
      <c r="XBY33" s="1688"/>
      <c r="XBZ33" s="1688"/>
      <c r="XCA33" s="1688"/>
      <c r="XCB33" s="1688"/>
      <c r="XCC33" s="1688"/>
      <c r="XCD33" s="1688"/>
      <c r="XCE33" s="1688"/>
      <c r="XCF33" s="1688"/>
      <c r="XCG33" s="1688"/>
      <c r="XCH33" s="1688"/>
      <c r="XCI33" s="1688"/>
      <c r="XCJ33" s="1688"/>
      <c r="XCK33" s="1688"/>
      <c r="XCL33" s="1688"/>
      <c r="XCM33" s="1688"/>
      <c r="XCN33" s="1688"/>
      <c r="XCO33" s="1688"/>
      <c r="XCP33" s="1688"/>
      <c r="XCQ33" s="1688"/>
      <c r="XCR33" s="1688"/>
      <c r="XCS33" s="1688"/>
      <c r="XCT33" s="1688"/>
      <c r="XCU33" s="1688"/>
      <c r="XCV33" s="1688"/>
      <c r="XCW33" s="1688"/>
      <c r="XCX33" s="1688"/>
      <c r="XCY33" s="1688"/>
      <c r="XCZ33" s="1688"/>
      <c r="XDA33" s="1688"/>
      <c r="XDB33" s="1688"/>
      <c r="XDC33" s="1688"/>
      <c r="XDD33" s="1688"/>
      <c r="XDE33" s="1688"/>
      <c r="XDF33" s="1688"/>
      <c r="XDG33" s="1688"/>
      <c r="XDH33" s="1688"/>
      <c r="XDI33" s="1688"/>
      <c r="XDJ33" s="1688"/>
      <c r="XDK33" s="1688"/>
      <c r="XDL33" s="1688"/>
      <c r="XDM33" s="1688"/>
      <c r="XDN33" s="1688"/>
      <c r="XDO33" s="1688"/>
      <c r="XDP33" s="1688"/>
      <c r="XDQ33" s="1688"/>
      <c r="XDR33" s="1688"/>
      <c r="XDS33" s="1688"/>
      <c r="XDT33" s="1688"/>
      <c r="XDU33" s="1688"/>
      <c r="XDV33" s="1688"/>
      <c r="XDW33" s="1688"/>
      <c r="XDX33" s="1688"/>
      <c r="XDY33" s="1688"/>
      <c r="XDZ33" s="1688"/>
      <c r="XEA33" s="1688"/>
      <c r="XEB33" s="1688"/>
      <c r="XEC33" s="1688"/>
      <c r="XED33" s="1688"/>
      <c r="XEE33" s="1688"/>
      <c r="XEF33" s="1688"/>
      <c r="XEG33" s="1688"/>
      <c r="XEH33" s="1688"/>
      <c r="XEI33" s="1688"/>
      <c r="XEJ33" s="1688"/>
      <c r="XEK33" s="1688"/>
      <c r="XEL33" s="1688"/>
      <c r="XEM33" s="1688"/>
      <c r="XEN33" s="1688"/>
      <c r="XEO33" s="1688"/>
      <c r="XEP33" s="1688"/>
      <c r="XEQ33" s="1688"/>
      <c r="XER33" s="1688"/>
      <c r="XES33" s="1688"/>
      <c r="XET33" s="1688"/>
      <c r="XEU33" s="1688"/>
      <c r="XEV33" s="1688"/>
      <c r="XEW33" s="1688"/>
      <c r="XEX33" s="1688"/>
      <c r="XEY33" s="1688"/>
      <c r="XEZ33" s="1688"/>
      <c r="XFA33" s="1688"/>
      <c r="XFB33" s="1688"/>
      <c r="XFC33" s="1688"/>
      <c r="XFD33" s="1688"/>
    </row>
    <row r="34" spans="1:16384" ht="32.25" customHeight="1">
      <c r="A34" s="1688" t="s">
        <v>2651</v>
      </c>
      <c r="B34" s="1688"/>
      <c r="C34" s="1688"/>
      <c r="D34" s="1688"/>
      <c r="E34" s="1688"/>
      <c r="F34" s="1688"/>
      <c r="G34" s="1688"/>
      <c r="H34" s="1688"/>
      <c r="I34" s="1688"/>
      <c r="J34" s="1688"/>
      <c r="K34" s="1688"/>
      <c r="L34" s="1688"/>
      <c r="M34" s="1688"/>
      <c r="N34" s="1688"/>
      <c r="O34" s="1688"/>
      <c r="P34" s="1688"/>
      <c r="Q34" s="1688"/>
    </row>
  </sheetData>
  <mergeCells count="4838">
    <mergeCell ref="XDJ33:XDZ33"/>
    <mergeCell ref="XEA33:XEQ33"/>
    <mergeCell ref="XER33:XFD33"/>
    <mergeCell ref="A34:Q34"/>
    <mergeCell ref="WZL33:XAB33"/>
    <mergeCell ref="XAC33:XAS33"/>
    <mergeCell ref="XAT33:XBJ33"/>
    <mergeCell ref="XBK33:XCA33"/>
    <mergeCell ref="XCB33:XCR33"/>
    <mergeCell ref="XCS33:XDI33"/>
    <mergeCell ref="WVN33:WWD33"/>
    <mergeCell ref="WWE33:WWU33"/>
    <mergeCell ref="WWV33:WXL33"/>
    <mergeCell ref="WXM33:WYC33"/>
    <mergeCell ref="WYD33:WYT33"/>
    <mergeCell ref="WYU33:WZK33"/>
    <mergeCell ref="WRP33:WSF33"/>
    <mergeCell ref="WSG33:WSW33"/>
    <mergeCell ref="WSX33:WTN33"/>
    <mergeCell ref="WTO33:WUE33"/>
    <mergeCell ref="WUF33:WUV33"/>
    <mergeCell ref="WUW33:WVM33"/>
    <mergeCell ref="WNR33:WOH33"/>
    <mergeCell ref="WOI33:WOY33"/>
    <mergeCell ref="WOZ33:WPP33"/>
    <mergeCell ref="WPQ33:WQG33"/>
    <mergeCell ref="WQH33:WQX33"/>
    <mergeCell ref="WQY33:WRO33"/>
    <mergeCell ref="WJT33:WKJ33"/>
    <mergeCell ref="WKK33:WLA33"/>
    <mergeCell ref="WLB33:WLR33"/>
    <mergeCell ref="WLS33:WMI33"/>
    <mergeCell ref="WMJ33:WMZ33"/>
    <mergeCell ref="WNA33:WNQ33"/>
    <mergeCell ref="WFV33:WGL33"/>
    <mergeCell ref="WGM33:WHC33"/>
    <mergeCell ref="WHD33:WHT33"/>
    <mergeCell ref="WHU33:WIK33"/>
    <mergeCell ref="WIL33:WJB33"/>
    <mergeCell ref="WJC33:WJS33"/>
    <mergeCell ref="WBX33:WCN33"/>
    <mergeCell ref="WCO33:WDE33"/>
    <mergeCell ref="WDF33:WDV33"/>
    <mergeCell ref="WDW33:WEM33"/>
    <mergeCell ref="WEN33:WFD33"/>
    <mergeCell ref="WFE33:WFU33"/>
    <mergeCell ref="VXZ33:VYP33"/>
    <mergeCell ref="VYQ33:VZG33"/>
    <mergeCell ref="VZH33:VZX33"/>
    <mergeCell ref="VZY33:WAO33"/>
    <mergeCell ref="WAP33:WBF33"/>
    <mergeCell ref="WBG33:WBW33"/>
    <mergeCell ref="VUB33:VUR33"/>
    <mergeCell ref="VUS33:VVI33"/>
    <mergeCell ref="VVJ33:VVZ33"/>
    <mergeCell ref="VWA33:VWQ33"/>
    <mergeCell ref="VWR33:VXH33"/>
    <mergeCell ref="VXI33:VXY33"/>
    <mergeCell ref="VQD33:VQT33"/>
    <mergeCell ref="VQU33:VRK33"/>
    <mergeCell ref="VRL33:VSB33"/>
    <mergeCell ref="VSC33:VSS33"/>
    <mergeCell ref="VST33:VTJ33"/>
    <mergeCell ref="VTK33:VUA33"/>
    <mergeCell ref="VMF33:VMV33"/>
    <mergeCell ref="VMW33:VNM33"/>
    <mergeCell ref="VNN33:VOD33"/>
    <mergeCell ref="VOE33:VOU33"/>
    <mergeCell ref="VOV33:VPL33"/>
    <mergeCell ref="VPM33:VQC33"/>
    <mergeCell ref="VIH33:VIX33"/>
    <mergeCell ref="VIY33:VJO33"/>
    <mergeCell ref="VJP33:VKF33"/>
    <mergeCell ref="VKG33:VKW33"/>
    <mergeCell ref="VKX33:VLN33"/>
    <mergeCell ref="VLO33:VME33"/>
    <mergeCell ref="VEJ33:VEZ33"/>
    <mergeCell ref="VFA33:VFQ33"/>
    <mergeCell ref="VFR33:VGH33"/>
    <mergeCell ref="VGI33:VGY33"/>
    <mergeCell ref="VGZ33:VHP33"/>
    <mergeCell ref="VHQ33:VIG33"/>
    <mergeCell ref="VAL33:VBB33"/>
    <mergeCell ref="VBC33:VBS33"/>
    <mergeCell ref="VBT33:VCJ33"/>
    <mergeCell ref="VCK33:VDA33"/>
    <mergeCell ref="VDB33:VDR33"/>
    <mergeCell ref="VDS33:VEI33"/>
    <mergeCell ref="UWN33:UXD33"/>
    <mergeCell ref="UXE33:UXU33"/>
    <mergeCell ref="UXV33:UYL33"/>
    <mergeCell ref="UYM33:UZC33"/>
    <mergeCell ref="UZD33:UZT33"/>
    <mergeCell ref="UZU33:VAK33"/>
    <mergeCell ref="USP33:UTF33"/>
    <mergeCell ref="UTG33:UTW33"/>
    <mergeCell ref="UTX33:UUN33"/>
    <mergeCell ref="UUO33:UVE33"/>
    <mergeCell ref="UVF33:UVV33"/>
    <mergeCell ref="UVW33:UWM33"/>
    <mergeCell ref="UOR33:UPH33"/>
    <mergeCell ref="UPI33:UPY33"/>
    <mergeCell ref="UPZ33:UQP33"/>
    <mergeCell ref="UQQ33:URG33"/>
    <mergeCell ref="URH33:URX33"/>
    <mergeCell ref="URY33:USO33"/>
    <mergeCell ref="UKT33:ULJ33"/>
    <mergeCell ref="ULK33:UMA33"/>
    <mergeCell ref="UMB33:UMR33"/>
    <mergeCell ref="UMS33:UNI33"/>
    <mergeCell ref="UNJ33:UNZ33"/>
    <mergeCell ref="UOA33:UOQ33"/>
    <mergeCell ref="UGV33:UHL33"/>
    <mergeCell ref="UHM33:UIC33"/>
    <mergeCell ref="UID33:UIT33"/>
    <mergeCell ref="UIU33:UJK33"/>
    <mergeCell ref="UJL33:UKB33"/>
    <mergeCell ref="UKC33:UKS33"/>
    <mergeCell ref="UCX33:UDN33"/>
    <mergeCell ref="UDO33:UEE33"/>
    <mergeCell ref="UEF33:UEV33"/>
    <mergeCell ref="UEW33:UFM33"/>
    <mergeCell ref="UFN33:UGD33"/>
    <mergeCell ref="UGE33:UGU33"/>
    <mergeCell ref="TYZ33:TZP33"/>
    <mergeCell ref="TZQ33:UAG33"/>
    <mergeCell ref="UAH33:UAX33"/>
    <mergeCell ref="UAY33:UBO33"/>
    <mergeCell ref="UBP33:UCF33"/>
    <mergeCell ref="UCG33:UCW33"/>
    <mergeCell ref="TVB33:TVR33"/>
    <mergeCell ref="TVS33:TWI33"/>
    <mergeCell ref="TWJ33:TWZ33"/>
    <mergeCell ref="TXA33:TXQ33"/>
    <mergeCell ref="TXR33:TYH33"/>
    <mergeCell ref="TYI33:TYY33"/>
    <mergeCell ref="TRD33:TRT33"/>
    <mergeCell ref="TRU33:TSK33"/>
    <mergeCell ref="TSL33:TTB33"/>
    <mergeCell ref="TTC33:TTS33"/>
    <mergeCell ref="TTT33:TUJ33"/>
    <mergeCell ref="TUK33:TVA33"/>
    <mergeCell ref="TNF33:TNV33"/>
    <mergeCell ref="TNW33:TOM33"/>
    <mergeCell ref="TON33:TPD33"/>
    <mergeCell ref="TPE33:TPU33"/>
    <mergeCell ref="TPV33:TQL33"/>
    <mergeCell ref="TQM33:TRC33"/>
    <mergeCell ref="TJH33:TJX33"/>
    <mergeCell ref="TJY33:TKO33"/>
    <mergeCell ref="TKP33:TLF33"/>
    <mergeCell ref="TLG33:TLW33"/>
    <mergeCell ref="TLX33:TMN33"/>
    <mergeCell ref="TMO33:TNE33"/>
    <mergeCell ref="TFJ33:TFZ33"/>
    <mergeCell ref="TGA33:TGQ33"/>
    <mergeCell ref="TGR33:THH33"/>
    <mergeCell ref="THI33:THY33"/>
    <mergeCell ref="THZ33:TIP33"/>
    <mergeCell ref="TIQ33:TJG33"/>
    <mergeCell ref="TBL33:TCB33"/>
    <mergeCell ref="TCC33:TCS33"/>
    <mergeCell ref="TCT33:TDJ33"/>
    <mergeCell ref="TDK33:TEA33"/>
    <mergeCell ref="TEB33:TER33"/>
    <mergeCell ref="TES33:TFI33"/>
    <mergeCell ref="SXN33:SYD33"/>
    <mergeCell ref="SYE33:SYU33"/>
    <mergeCell ref="SYV33:SZL33"/>
    <mergeCell ref="SZM33:TAC33"/>
    <mergeCell ref="TAD33:TAT33"/>
    <mergeCell ref="TAU33:TBK33"/>
    <mergeCell ref="STP33:SUF33"/>
    <mergeCell ref="SUG33:SUW33"/>
    <mergeCell ref="SUX33:SVN33"/>
    <mergeCell ref="SVO33:SWE33"/>
    <mergeCell ref="SWF33:SWV33"/>
    <mergeCell ref="SWW33:SXM33"/>
    <mergeCell ref="SPR33:SQH33"/>
    <mergeCell ref="SQI33:SQY33"/>
    <mergeCell ref="SQZ33:SRP33"/>
    <mergeCell ref="SRQ33:SSG33"/>
    <mergeCell ref="SSH33:SSX33"/>
    <mergeCell ref="SSY33:STO33"/>
    <mergeCell ref="SLT33:SMJ33"/>
    <mergeCell ref="SMK33:SNA33"/>
    <mergeCell ref="SNB33:SNR33"/>
    <mergeCell ref="SNS33:SOI33"/>
    <mergeCell ref="SOJ33:SOZ33"/>
    <mergeCell ref="SPA33:SPQ33"/>
    <mergeCell ref="SHV33:SIL33"/>
    <mergeCell ref="SIM33:SJC33"/>
    <mergeCell ref="SJD33:SJT33"/>
    <mergeCell ref="SJU33:SKK33"/>
    <mergeCell ref="SKL33:SLB33"/>
    <mergeCell ref="SLC33:SLS33"/>
    <mergeCell ref="SDX33:SEN33"/>
    <mergeCell ref="SEO33:SFE33"/>
    <mergeCell ref="SFF33:SFV33"/>
    <mergeCell ref="SFW33:SGM33"/>
    <mergeCell ref="SGN33:SHD33"/>
    <mergeCell ref="SHE33:SHU33"/>
    <mergeCell ref="RZZ33:SAP33"/>
    <mergeCell ref="SAQ33:SBG33"/>
    <mergeCell ref="SBH33:SBX33"/>
    <mergeCell ref="SBY33:SCO33"/>
    <mergeCell ref="SCP33:SDF33"/>
    <mergeCell ref="SDG33:SDW33"/>
    <mergeCell ref="RWB33:RWR33"/>
    <mergeCell ref="RWS33:RXI33"/>
    <mergeCell ref="RXJ33:RXZ33"/>
    <mergeCell ref="RYA33:RYQ33"/>
    <mergeCell ref="RYR33:RZH33"/>
    <mergeCell ref="RZI33:RZY33"/>
    <mergeCell ref="RSD33:RST33"/>
    <mergeCell ref="RSU33:RTK33"/>
    <mergeCell ref="RTL33:RUB33"/>
    <mergeCell ref="RUC33:RUS33"/>
    <mergeCell ref="RUT33:RVJ33"/>
    <mergeCell ref="RVK33:RWA33"/>
    <mergeCell ref="ROF33:ROV33"/>
    <mergeCell ref="ROW33:RPM33"/>
    <mergeCell ref="RPN33:RQD33"/>
    <mergeCell ref="RQE33:RQU33"/>
    <mergeCell ref="RQV33:RRL33"/>
    <mergeCell ref="RRM33:RSC33"/>
    <mergeCell ref="RKH33:RKX33"/>
    <mergeCell ref="RKY33:RLO33"/>
    <mergeCell ref="RLP33:RMF33"/>
    <mergeCell ref="RMG33:RMW33"/>
    <mergeCell ref="RMX33:RNN33"/>
    <mergeCell ref="RNO33:ROE33"/>
    <mergeCell ref="RGJ33:RGZ33"/>
    <mergeCell ref="RHA33:RHQ33"/>
    <mergeCell ref="RHR33:RIH33"/>
    <mergeCell ref="RII33:RIY33"/>
    <mergeCell ref="RIZ33:RJP33"/>
    <mergeCell ref="RJQ33:RKG33"/>
    <mergeCell ref="RCL33:RDB33"/>
    <mergeCell ref="RDC33:RDS33"/>
    <mergeCell ref="RDT33:REJ33"/>
    <mergeCell ref="REK33:RFA33"/>
    <mergeCell ref="RFB33:RFR33"/>
    <mergeCell ref="RFS33:RGI33"/>
    <mergeCell ref="QYN33:QZD33"/>
    <mergeCell ref="QZE33:QZU33"/>
    <mergeCell ref="QZV33:RAL33"/>
    <mergeCell ref="RAM33:RBC33"/>
    <mergeCell ref="RBD33:RBT33"/>
    <mergeCell ref="RBU33:RCK33"/>
    <mergeCell ref="QUP33:QVF33"/>
    <mergeCell ref="QVG33:QVW33"/>
    <mergeCell ref="QVX33:QWN33"/>
    <mergeCell ref="QWO33:QXE33"/>
    <mergeCell ref="QXF33:QXV33"/>
    <mergeCell ref="QXW33:QYM33"/>
    <mergeCell ref="QQR33:QRH33"/>
    <mergeCell ref="QRI33:QRY33"/>
    <mergeCell ref="QRZ33:QSP33"/>
    <mergeCell ref="QSQ33:QTG33"/>
    <mergeCell ref="QTH33:QTX33"/>
    <mergeCell ref="QTY33:QUO33"/>
    <mergeCell ref="QMT33:QNJ33"/>
    <mergeCell ref="QNK33:QOA33"/>
    <mergeCell ref="QOB33:QOR33"/>
    <mergeCell ref="QOS33:QPI33"/>
    <mergeCell ref="QPJ33:QPZ33"/>
    <mergeCell ref="QQA33:QQQ33"/>
    <mergeCell ref="QIV33:QJL33"/>
    <mergeCell ref="QJM33:QKC33"/>
    <mergeCell ref="QKD33:QKT33"/>
    <mergeCell ref="QKU33:QLK33"/>
    <mergeCell ref="QLL33:QMB33"/>
    <mergeCell ref="QMC33:QMS33"/>
    <mergeCell ref="QEX33:QFN33"/>
    <mergeCell ref="QFO33:QGE33"/>
    <mergeCell ref="QGF33:QGV33"/>
    <mergeCell ref="QGW33:QHM33"/>
    <mergeCell ref="QHN33:QID33"/>
    <mergeCell ref="QIE33:QIU33"/>
    <mergeCell ref="QAZ33:QBP33"/>
    <mergeCell ref="QBQ33:QCG33"/>
    <mergeCell ref="QCH33:QCX33"/>
    <mergeCell ref="QCY33:QDO33"/>
    <mergeCell ref="QDP33:QEF33"/>
    <mergeCell ref="QEG33:QEW33"/>
    <mergeCell ref="PXB33:PXR33"/>
    <mergeCell ref="PXS33:PYI33"/>
    <mergeCell ref="PYJ33:PYZ33"/>
    <mergeCell ref="PZA33:PZQ33"/>
    <mergeCell ref="PZR33:QAH33"/>
    <mergeCell ref="QAI33:QAY33"/>
    <mergeCell ref="PTD33:PTT33"/>
    <mergeCell ref="PTU33:PUK33"/>
    <mergeCell ref="PUL33:PVB33"/>
    <mergeCell ref="PVC33:PVS33"/>
    <mergeCell ref="PVT33:PWJ33"/>
    <mergeCell ref="PWK33:PXA33"/>
    <mergeCell ref="PPF33:PPV33"/>
    <mergeCell ref="PPW33:PQM33"/>
    <mergeCell ref="PQN33:PRD33"/>
    <mergeCell ref="PRE33:PRU33"/>
    <mergeCell ref="PRV33:PSL33"/>
    <mergeCell ref="PSM33:PTC33"/>
    <mergeCell ref="PLH33:PLX33"/>
    <mergeCell ref="PLY33:PMO33"/>
    <mergeCell ref="PMP33:PNF33"/>
    <mergeCell ref="PNG33:PNW33"/>
    <mergeCell ref="PNX33:PON33"/>
    <mergeCell ref="POO33:PPE33"/>
    <mergeCell ref="PHJ33:PHZ33"/>
    <mergeCell ref="PIA33:PIQ33"/>
    <mergeCell ref="PIR33:PJH33"/>
    <mergeCell ref="PJI33:PJY33"/>
    <mergeCell ref="PJZ33:PKP33"/>
    <mergeCell ref="PKQ33:PLG33"/>
    <mergeCell ref="PDL33:PEB33"/>
    <mergeCell ref="PEC33:PES33"/>
    <mergeCell ref="PET33:PFJ33"/>
    <mergeCell ref="PFK33:PGA33"/>
    <mergeCell ref="PGB33:PGR33"/>
    <mergeCell ref="PGS33:PHI33"/>
    <mergeCell ref="OZN33:PAD33"/>
    <mergeCell ref="PAE33:PAU33"/>
    <mergeCell ref="PAV33:PBL33"/>
    <mergeCell ref="PBM33:PCC33"/>
    <mergeCell ref="PCD33:PCT33"/>
    <mergeCell ref="PCU33:PDK33"/>
    <mergeCell ref="OVP33:OWF33"/>
    <mergeCell ref="OWG33:OWW33"/>
    <mergeCell ref="OWX33:OXN33"/>
    <mergeCell ref="OXO33:OYE33"/>
    <mergeCell ref="OYF33:OYV33"/>
    <mergeCell ref="OYW33:OZM33"/>
    <mergeCell ref="ORR33:OSH33"/>
    <mergeCell ref="OSI33:OSY33"/>
    <mergeCell ref="OSZ33:OTP33"/>
    <mergeCell ref="OTQ33:OUG33"/>
    <mergeCell ref="OUH33:OUX33"/>
    <mergeCell ref="OUY33:OVO33"/>
    <mergeCell ref="ONT33:OOJ33"/>
    <mergeCell ref="OOK33:OPA33"/>
    <mergeCell ref="OPB33:OPR33"/>
    <mergeCell ref="OPS33:OQI33"/>
    <mergeCell ref="OQJ33:OQZ33"/>
    <mergeCell ref="ORA33:ORQ33"/>
    <mergeCell ref="OJV33:OKL33"/>
    <mergeCell ref="OKM33:OLC33"/>
    <mergeCell ref="OLD33:OLT33"/>
    <mergeCell ref="OLU33:OMK33"/>
    <mergeCell ref="OML33:ONB33"/>
    <mergeCell ref="ONC33:ONS33"/>
    <mergeCell ref="OFX33:OGN33"/>
    <mergeCell ref="OGO33:OHE33"/>
    <mergeCell ref="OHF33:OHV33"/>
    <mergeCell ref="OHW33:OIM33"/>
    <mergeCell ref="OIN33:OJD33"/>
    <mergeCell ref="OJE33:OJU33"/>
    <mergeCell ref="OBZ33:OCP33"/>
    <mergeCell ref="OCQ33:ODG33"/>
    <mergeCell ref="ODH33:ODX33"/>
    <mergeCell ref="ODY33:OEO33"/>
    <mergeCell ref="OEP33:OFF33"/>
    <mergeCell ref="OFG33:OFW33"/>
    <mergeCell ref="NYB33:NYR33"/>
    <mergeCell ref="NYS33:NZI33"/>
    <mergeCell ref="NZJ33:NZZ33"/>
    <mergeCell ref="OAA33:OAQ33"/>
    <mergeCell ref="OAR33:OBH33"/>
    <mergeCell ref="OBI33:OBY33"/>
    <mergeCell ref="NUD33:NUT33"/>
    <mergeCell ref="NUU33:NVK33"/>
    <mergeCell ref="NVL33:NWB33"/>
    <mergeCell ref="NWC33:NWS33"/>
    <mergeCell ref="NWT33:NXJ33"/>
    <mergeCell ref="NXK33:NYA33"/>
    <mergeCell ref="NQF33:NQV33"/>
    <mergeCell ref="NQW33:NRM33"/>
    <mergeCell ref="NRN33:NSD33"/>
    <mergeCell ref="NSE33:NSU33"/>
    <mergeCell ref="NSV33:NTL33"/>
    <mergeCell ref="NTM33:NUC33"/>
    <mergeCell ref="NMH33:NMX33"/>
    <mergeCell ref="NMY33:NNO33"/>
    <mergeCell ref="NNP33:NOF33"/>
    <mergeCell ref="NOG33:NOW33"/>
    <mergeCell ref="NOX33:NPN33"/>
    <mergeCell ref="NPO33:NQE33"/>
    <mergeCell ref="NIJ33:NIZ33"/>
    <mergeCell ref="NJA33:NJQ33"/>
    <mergeCell ref="NJR33:NKH33"/>
    <mergeCell ref="NKI33:NKY33"/>
    <mergeCell ref="NKZ33:NLP33"/>
    <mergeCell ref="NLQ33:NMG33"/>
    <mergeCell ref="NEL33:NFB33"/>
    <mergeCell ref="NFC33:NFS33"/>
    <mergeCell ref="NFT33:NGJ33"/>
    <mergeCell ref="NGK33:NHA33"/>
    <mergeCell ref="NHB33:NHR33"/>
    <mergeCell ref="NHS33:NII33"/>
    <mergeCell ref="NAN33:NBD33"/>
    <mergeCell ref="NBE33:NBU33"/>
    <mergeCell ref="NBV33:NCL33"/>
    <mergeCell ref="NCM33:NDC33"/>
    <mergeCell ref="NDD33:NDT33"/>
    <mergeCell ref="NDU33:NEK33"/>
    <mergeCell ref="MWP33:MXF33"/>
    <mergeCell ref="MXG33:MXW33"/>
    <mergeCell ref="MXX33:MYN33"/>
    <mergeCell ref="MYO33:MZE33"/>
    <mergeCell ref="MZF33:MZV33"/>
    <mergeCell ref="MZW33:NAM33"/>
    <mergeCell ref="MSR33:MTH33"/>
    <mergeCell ref="MTI33:MTY33"/>
    <mergeCell ref="MTZ33:MUP33"/>
    <mergeCell ref="MUQ33:MVG33"/>
    <mergeCell ref="MVH33:MVX33"/>
    <mergeCell ref="MVY33:MWO33"/>
    <mergeCell ref="MOT33:MPJ33"/>
    <mergeCell ref="MPK33:MQA33"/>
    <mergeCell ref="MQB33:MQR33"/>
    <mergeCell ref="MQS33:MRI33"/>
    <mergeCell ref="MRJ33:MRZ33"/>
    <mergeCell ref="MSA33:MSQ33"/>
    <mergeCell ref="MKV33:MLL33"/>
    <mergeCell ref="MLM33:MMC33"/>
    <mergeCell ref="MMD33:MMT33"/>
    <mergeCell ref="MMU33:MNK33"/>
    <mergeCell ref="MNL33:MOB33"/>
    <mergeCell ref="MOC33:MOS33"/>
    <mergeCell ref="MGX33:MHN33"/>
    <mergeCell ref="MHO33:MIE33"/>
    <mergeCell ref="MIF33:MIV33"/>
    <mergeCell ref="MIW33:MJM33"/>
    <mergeCell ref="MJN33:MKD33"/>
    <mergeCell ref="MKE33:MKU33"/>
    <mergeCell ref="MCZ33:MDP33"/>
    <mergeCell ref="MDQ33:MEG33"/>
    <mergeCell ref="MEH33:MEX33"/>
    <mergeCell ref="MEY33:MFO33"/>
    <mergeCell ref="MFP33:MGF33"/>
    <mergeCell ref="MGG33:MGW33"/>
    <mergeCell ref="LZB33:LZR33"/>
    <mergeCell ref="LZS33:MAI33"/>
    <mergeCell ref="MAJ33:MAZ33"/>
    <mergeCell ref="MBA33:MBQ33"/>
    <mergeCell ref="MBR33:MCH33"/>
    <mergeCell ref="MCI33:MCY33"/>
    <mergeCell ref="LVD33:LVT33"/>
    <mergeCell ref="LVU33:LWK33"/>
    <mergeCell ref="LWL33:LXB33"/>
    <mergeCell ref="LXC33:LXS33"/>
    <mergeCell ref="LXT33:LYJ33"/>
    <mergeCell ref="LYK33:LZA33"/>
    <mergeCell ref="LRF33:LRV33"/>
    <mergeCell ref="LRW33:LSM33"/>
    <mergeCell ref="LSN33:LTD33"/>
    <mergeCell ref="LTE33:LTU33"/>
    <mergeCell ref="LTV33:LUL33"/>
    <mergeCell ref="LUM33:LVC33"/>
    <mergeCell ref="LNH33:LNX33"/>
    <mergeCell ref="LNY33:LOO33"/>
    <mergeCell ref="LOP33:LPF33"/>
    <mergeCell ref="LPG33:LPW33"/>
    <mergeCell ref="LPX33:LQN33"/>
    <mergeCell ref="LQO33:LRE33"/>
    <mergeCell ref="LJJ33:LJZ33"/>
    <mergeCell ref="LKA33:LKQ33"/>
    <mergeCell ref="LKR33:LLH33"/>
    <mergeCell ref="LLI33:LLY33"/>
    <mergeCell ref="LLZ33:LMP33"/>
    <mergeCell ref="LMQ33:LNG33"/>
    <mergeCell ref="LFL33:LGB33"/>
    <mergeCell ref="LGC33:LGS33"/>
    <mergeCell ref="LGT33:LHJ33"/>
    <mergeCell ref="LHK33:LIA33"/>
    <mergeCell ref="LIB33:LIR33"/>
    <mergeCell ref="LIS33:LJI33"/>
    <mergeCell ref="LBN33:LCD33"/>
    <mergeCell ref="LCE33:LCU33"/>
    <mergeCell ref="LCV33:LDL33"/>
    <mergeCell ref="LDM33:LEC33"/>
    <mergeCell ref="LED33:LET33"/>
    <mergeCell ref="LEU33:LFK33"/>
    <mergeCell ref="KXP33:KYF33"/>
    <mergeCell ref="KYG33:KYW33"/>
    <mergeCell ref="KYX33:KZN33"/>
    <mergeCell ref="KZO33:LAE33"/>
    <mergeCell ref="LAF33:LAV33"/>
    <mergeCell ref="LAW33:LBM33"/>
    <mergeCell ref="KTR33:KUH33"/>
    <mergeCell ref="KUI33:KUY33"/>
    <mergeCell ref="KUZ33:KVP33"/>
    <mergeCell ref="KVQ33:KWG33"/>
    <mergeCell ref="KWH33:KWX33"/>
    <mergeCell ref="KWY33:KXO33"/>
    <mergeCell ref="KPT33:KQJ33"/>
    <mergeCell ref="KQK33:KRA33"/>
    <mergeCell ref="KRB33:KRR33"/>
    <mergeCell ref="KRS33:KSI33"/>
    <mergeCell ref="KSJ33:KSZ33"/>
    <mergeCell ref="KTA33:KTQ33"/>
    <mergeCell ref="KLV33:KML33"/>
    <mergeCell ref="KMM33:KNC33"/>
    <mergeCell ref="KND33:KNT33"/>
    <mergeCell ref="KNU33:KOK33"/>
    <mergeCell ref="KOL33:KPB33"/>
    <mergeCell ref="KPC33:KPS33"/>
    <mergeCell ref="KHX33:KIN33"/>
    <mergeCell ref="KIO33:KJE33"/>
    <mergeCell ref="KJF33:KJV33"/>
    <mergeCell ref="KJW33:KKM33"/>
    <mergeCell ref="KKN33:KLD33"/>
    <mergeCell ref="KLE33:KLU33"/>
    <mergeCell ref="KDZ33:KEP33"/>
    <mergeCell ref="KEQ33:KFG33"/>
    <mergeCell ref="KFH33:KFX33"/>
    <mergeCell ref="KFY33:KGO33"/>
    <mergeCell ref="KGP33:KHF33"/>
    <mergeCell ref="KHG33:KHW33"/>
    <mergeCell ref="KAB33:KAR33"/>
    <mergeCell ref="KAS33:KBI33"/>
    <mergeCell ref="KBJ33:KBZ33"/>
    <mergeCell ref="KCA33:KCQ33"/>
    <mergeCell ref="KCR33:KDH33"/>
    <mergeCell ref="KDI33:KDY33"/>
    <mergeCell ref="JWD33:JWT33"/>
    <mergeCell ref="JWU33:JXK33"/>
    <mergeCell ref="JXL33:JYB33"/>
    <mergeCell ref="JYC33:JYS33"/>
    <mergeCell ref="JYT33:JZJ33"/>
    <mergeCell ref="JZK33:KAA33"/>
    <mergeCell ref="JSF33:JSV33"/>
    <mergeCell ref="JSW33:JTM33"/>
    <mergeCell ref="JTN33:JUD33"/>
    <mergeCell ref="JUE33:JUU33"/>
    <mergeCell ref="JUV33:JVL33"/>
    <mergeCell ref="JVM33:JWC33"/>
    <mergeCell ref="JOH33:JOX33"/>
    <mergeCell ref="JOY33:JPO33"/>
    <mergeCell ref="JPP33:JQF33"/>
    <mergeCell ref="JQG33:JQW33"/>
    <mergeCell ref="JQX33:JRN33"/>
    <mergeCell ref="JRO33:JSE33"/>
    <mergeCell ref="JKJ33:JKZ33"/>
    <mergeCell ref="JLA33:JLQ33"/>
    <mergeCell ref="JLR33:JMH33"/>
    <mergeCell ref="JMI33:JMY33"/>
    <mergeCell ref="JMZ33:JNP33"/>
    <mergeCell ref="JNQ33:JOG33"/>
    <mergeCell ref="JGL33:JHB33"/>
    <mergeCell ref="JHC33:JHS33"/>
    <mergeCell ref="JHT33:JIJ33"/>
    <mergeCell ref="JIK33:JJA33"/>
    <mergeCell ref="JJB33:JJR33"/>
    <mergeCell ref="JJS33:JKI33"/>
    <mergeCell ref="JCN33:JDD33"/>
    <mergeCell ref="JDE33:JDU33"/>
    <mergeCell ref="JDV33:JEL33"/>
    <mergeCell ref="JEM33:JFC33"/>
    <mergeCell ref="JFD33:JFT33"/>
    <mergeCell ref="JFU33:JGK33"/>
    <mergeCell ref="IYP33:IZF33"/>
    <mergeCell ref="IZG33:IZW33"/>
    <mergeCell ref="IZX33:JAN33"/>
    <mergeCell ref="JAO33:JBE33"/>
    <mergeCell ref="JBF33:JBV33"/>
    <mergeCell ref="JBW33:JCM33"/>
    <mergeCell ref="IUR33:IVH33"/>
    <mergeCell ref="IVI33:IVY33"/>
    <mergeCell ref="IVZ33:IWP33"/>
    <mergeCell ref="IWQ33:IXG33"/>
    <mergeCell ref="IXH33:IXX33"/>
    <mergeCell ref="IXY33:IYO33"/>
    <mergeCell ref="IQT33:IRJ33"/>
    <mergeCell ref="IRK33:ISA33"/>
    <mergeCell ref="ISB33:ISR33"/>
    <mergeCell ref="ISS33:ITI33"/>
    <mergeCell ref="ITJ33:ITZ33"/>
    <mergeCell ref="IUA33:IUQ33"/>
    <mergeCell ref="IMV33:INL33"/>
    <mergeCell ref="INM33:IOC33"/>
    <mergeCell ref="IOD33:IOT33"/>
    <mergeCell ref="IOU33:IPK33"/>
    <mergeCell ref="IPL33:IQB33"/>
    <mergeCell ref="IQC33:IQS33"/>
    <mergeCell ref="IIX33:IJN33"/>
    <mergeCell ref="IJO33:IKE33"/>
    <mergeCell ref="IKF33:IKV33"/>
    <mergeCell ref="IKW33:ILM33"/>
    <mergeCell ref="ILN33:IMD33"/>
    <mergeCell ref="IME33:IMU33"/>
    <mergeCell ref="IEZ33:IFP33"/>
    <mergeCell ref="IFQ33:IGG33"/>
    <mergeCell ref="IGH33:IGX33"/>
    <mergeCell ref="IGY33:IHO33"/>
    <mergeCell ref="IHP33:IIF33"/>
    <mergeCell ref="IIG33:IIW33"/>
    <mergeCell ref="IBB33:IBR33"/>
    <mergeCell ref="IBS33:ICI33"/>
    <mergeCell ref="ICJ33:ICZ33"/>
    <mergeCell ref="IDA33:IDQ33"/>
    <mergeCell ref="IDR33:IEH33"/>
    <mergeCell ref="IEI33:IEY33"/>
    <mergeCell ref="HXD33:HXT33"/>
    <mergeCell ref="HXU33:HYK33"/>
    <mergeCell ref="HYL33:HZB33"/>
    <mergeCell ref="HZC33:HZS33"/>
    <mergeCell ref="HZT33:IAJ33"/>
    <mergeCell ref="IAK33:IBA33"/>
    <mergeCell ref="HTF33:HTV33"/>
    <mergeCell ref="HTW33:HUM33"/>
    <mergeCell ref="HUN33:HVD33"/>
    <mergeCell ref="HVE33:HVU33"/>
    <mergeCell ref="HVV33:HWL33"/>
    <mergeCell ref="HWM33:HXC33"/>
    <mergeCell ref="HPH33:HPX33"/>
    <mergeCell ref="HPY33:HQO33"/>
    <mergeCell ref="HQP33:HRF33"/>
    <mergeCell ref="HRG33:HRW33"/>
    <mergeCell ref="HRX33:HSN33"/>
    <mergeCell ref="HSO33:HTE33"/>
    <mergeCell ref="HLJ33:HLZ33"/>
    <mergeCell ref="HMA33:HMQ33"/>
    <mergeCell ref="HMR33:HNH33"/>
    <mergeCell ref="HNI33:HNY33"/>
    <mergeCell ref="HNZ33:HOP33"/>
    <mergeCell ref="HOQ33:HPG33"/>
    <mergeCell ref="HHL33:HIB33"/>
    <mergeCell ref="HIC33:HIS33"/>
    <mergeCell ref="HIT33:HJJ33"/>
    <mergeCell ref="HJK33:HKA33"/>
    <mergeCell ref="HKB33:HKR33"/>
    <mergeCell ref="HKS33:HLI33"/>
    <mergeCell ref="HDN33:HED33"/>
    <mergeCell ref="HEE33:HEU33"/>
    <mergeCell ref="HEV33:HFL33"/>
    <mergeCell ref="HFM33:HGC33"/>
    <mergeCell ref="HGD33:HGT33"/>
    <mergeCell ref="HGU33:HHK33"/>
    <mergeCell ref="GZP33:HAF33"/>
    <mergeCell ref="HAG33:HAW33"/>
    <mergeCell ref="HAX33:HBN33"/>
    <mergeCell ref="HBO33:HCE33"/>
    <mergeCell ref="HCF33:HCV33"/>
    <mergeCell ref="HCW33:HDM33"/>
    <mergeCell ref="GVR33:GWH33"/>
    <mergeCell ref="GWI33:GWY33"/>
    <mergeCell ref="GWZ33:GXP33"/>
    <mergeCell ref="GXQ33:GYG33"/>
    <mergeCell ref="GYH33:GYX33"/>
    <mergeCell ref="GYY33:GZO33"/>
    <mergeCell ref="GRT33:GSJ33"/>
    <mergeCell ref="GSK33:GTA33"/>
    <mergeCell ref="GTB33:GTR33"/>
    <mergeCell ref="GTS33:GUI33"/>
    <mergeCell ref="GUJ33:GUZ33"/>
    <mergeCell ref="GVA33:GVQ33"/>
    <mergeCell ref="GNV33:GOL33"/>
    <mergeCell ref="GOM33:GPC33"/>
    <mergeCell ref="GPD33:GPT33"/>
    <mergeCell ref="GPU33:GQK33"/>
    <mergeCell ref="GQL33:GRB33"/>
    <mergeCell ref="GRC33:GRS33"/>
    <mergeCell ref="GJX33:GKN33"/>
    <mergeCell ref="GKO33:GLE33"/>
    <mergeCell ref="GLF33:GLV33"/>
    <mergeCell ref="GLW33:GMM33"/>
    <mergeCell ref="GMN33:GND33"/>
    <mergeCell ref="GNE33:GNU33"/>
    <mergeCell ref="GFZ33:GGP33"/>
    <mergeCell ref="GGQ33:GHG33"/>
    <mergeCell ref="GHH33:GHX33"/>
    <mergeCell ref="GHY33:GIO33"/>
    <mergeCell ref="GIP33:GJF33"/>
    <mergeCell ref="GJG33:GJW33"/>
    <mergeCell ref="GCB33:GCR33"/>
    <mergeCell ref="GCS33:GDI33"/>
    <mergeCell ref="GDJ33:GDZ33"/>
    <mergeCell ref="GEA33:GEQ33"/>
    <mergeCell ref="GER33:GFH33"/>
    <mergeCell ref="GFI33:GFY33"/>
    <mergeCell ref="FYD33:FYT33"/>
    <mergeCell ref="FYU33:FZK33"/>
    <mergeCell ref="FZL33:GAB33"/>
    <mergeCell ref="GAC33:GAS33"/>
    <mergeCell ref="GAT33:GBJ33"/>
    <mergeCell ref="GBK33:GCA33"/>
    <mergeCell ref="FUF33:FUV33"/>
    <mergeCell ref="FUW33:FVM33"/>
    <mergeCell ref="FVN33:FWD33"/>
    <mergeCell ref="FWE33:FWU33"/>
    <mergeCell ref="FWV33:FXL33"/>
    <mergeCell ref="FXM33:FYC33"/>
    <mergeCell ref="FQH33:FQX33"/>
    <mergeCell ref="FQY33:FRO33"/>
    <mergeCell ref="FRP33:FSF33"/>
    <mergeCell ref="FSG33:FSW33"/>
    <mergeCell ref="FSX33:FTN33"/>
    <mergeCell ref="FTO33:FUE33"/>
    <mergeCell ref="FMJ33:FMZ33"/>
    <mergeCell ref="FNA33:FNQ33"/>
    <mergeCell ref="FNR33:FOH33"/>
    <mergeCell ref="FOI33:FOY33"/>
    <mergeCell ref="FOZ33:FPP33"/>
    <mergeCell ref="FPQ33:FQG33"/>
    <mergeCell ref="FIL33:FJB33"/>
    <mergeCell ref="FJC33:FJS33"/>
    <mergeCell ref="FJT33:FKJ33"/>
    <mergeCell ref="FKK33:FLA33"/>
    <mergeCell ref="FLB33:FLR33"/>
    <mergeCell ref="FLS33:FMI33"/>
    <mergeCell ref="FEN33:FFD33"/>
    <mergeCell ref="FFE33:FFU33"/>
    <mergeCell ref="FFV33:FGL33"/>
    <mergeCell ref="FGM33:FHC33"/>
    <mergeCell ref="FHD33:FHT33"/>
    <mergeCell ref="FHU33:FIK33"/>
    <mergeCell ref="FAP33:FBF33"/>
    <mergeCell ref="FBG33:FBW33"/>
    <mergeCell ref="FBX33:FCN33"/>
    <mergeCell ref="FCO33:FDE33"/>
    <mergeCell ref="FDF33:FDV33"/>
    <mergeCell ref="FDW33:FEM33"/>
    <mergeCell ref="EWR33:EXH33"/>
    <mergeCell ref="EXI33:EXY33"/>
    <mergeCell ref="EXZ33:EYP33"/>
    <mergeCell ref="EYQ33:EZG33"/>
    <mergeCell ref="EZH33:EZX33"/>
    <mergeCell ref="EZY33:FAO33"/>
    <mergeCell ref="EST33:ETJ33"/>
    <mergeCell ref="ETK33:EUA33"/>
    <mergeCell ref="EUB33:EUR33"/>
    <mergeCell ref="EUS33:EVI33"/>
    <mergeCell ref="EVJ33:EVZ33"/>
    <mergeCell ref="EWA33:EWQ33"/>
    <mergeCell ref="EOV33:EPL33"/>
    <mergeCell ref="EPM33:EQC33"/>
    <mergeCell ref="EQD33:EQT33"/>
    <mergeCell ref="EQU33:ERK33"/>
    <mergeCell ref="ERL33:ESB33"/>
    <mergeCell ref="ESC33:ESS33"/>
    <mergeCell ref="EKX33:ELN33"/>
    <mergeCell ref="ELO33:EME33"/>
    <mergeCell ref="EMF33:EMV33"/>
    <mergeCell ref="EMW33:ENM33"/>
    <mergeCell ref="ENN33:EOD33"/>
    <mergeCell ref="EOE33:EOU33"/>
    <mergeCell ref="EGZ33:EHP33"/>
    <mergeCell ref="EHQ33:EIG33"/>
    <mergeCell ref="EIH33:EIX33"/>
    <mergeCell ref="EIY33:EJO33"/>
    <mergeCell ref="EJP33:EKF33"/>
    <mergeCell ref="EKG33:EKW33"/>
    <mergeCell ref="EDB33:EDR33"/>
    <mergeCell ref="EDS33:EEI33"/>
    <mergeCell ref="EEJ33:EEZ33"/>
    <mergeCell ref="EFA33:EFQ33"/>
    <mergeCell ref="EFR33:EGH33"/>
    <mergeCell ref="EGI33:EGY33"/>
    <mergeCell ref="DZD33:DZT33"/>
    <mergeCell ref="DZU33:EAK33"/>
    <mergeCell ref="EAL33:EBB33"/>
    <mergeCell ref="EBC33:EBS33"/>
    <mergeCell ref="EBT33:ECJ33"/>
    <mergeCell ref="ECK33:EDA33"/>
    <mergeCell ref="DVF33:DVV33"/>
    <mergeCell ref="DVW33:DWM33"/>
    <mergeCell ref="DWN33:DXD33"/>
    <mergeCell ref="DXE33:DXU33"/>
    <mergeCell ref="DXV33:DYL33"/>
    <mergeCell ref="DYM33:DZC33"/>
    <mergeCell ref="DRH33:DRX33"/>
    <mergeCell ref="DRY33:DSO33"/>
    <mergeCell ref="DSP33:DTF33"/>
    <mergeCell ref="DTG33:DTW33"/>
    <mergeCell ref="DTX33:DUN33"/>
    <mergeCell ref="DUO33:DVE33"/>
    <mergeCell ref="DNJ33:DNZ33"/>
    <mergeCell ref="DOA33:DOQ33"/>
    <mergeCell ref="DOR33:DPH33"/>
    <mergeCell ref="DPI33:DPY33"/>
    <mergeCell ref="DPZ33:DQP33"/>
    <mergeCell ref="DQQ33:DRG33"/>
    <mergeCell ref="DJL33:DKB33"/>
    <mergeCell ref="DKC33:DKS33"/>
    <mergeCell ref="DKT33:DLJ33"/>
    <mergeCell ref="DLK33:DMA33"/>
    <mergeCell ref="DMB33:DMR33"/>
    <mergeCell ref="DMS33:DNI33"/>
    <mergeCell ref="DFN33:DGD33"/>
    <mergeCell ref="DGE33:DGU33"/>
    <mergeCell ref="DGV33:DHL33"/>
    <mergeCell ref="DHM33:DIC33"/>
    <mergeCell ref="DID33:DIT33"/>
    <mergeCell ref="DIU33:DJK33"/>
    <mergeCell ref="DBP33:DCF33"/>
    <mergeCell ref="DCG33:DCW33"/>
    <mergeCell ref="DCX33:DDN33"/>
    <mergeCell ref="DDO33:DEE33"/>
    <mergeCell ref="DEF33:DEV33"/>
    <mergeCell ref="DEW33:DFM33"/>
    <mergeCell ref="CXR33:CYH33"/>
    <mergeCell ref="CYI33:CYY33"/>
    <mergeCell ref="CYZ33:CZP33"/>
    <mergeCell ref="CZQ33:DAG33"/>
    <mergeCell ref="DAH33:DAX33"/>
    <mergeCell ref="DAY33:DBO33"/>
    <mergeCell ref="CTT33:CUJ33"/>
    <mergeCell ref="CUK33:CVA33"/>
    <mergeCell ref="CVB33:CVR33"/>
    <mergeCell ref="CVS33:CWI33"/>
    <mergeCell ref="CWJ33:CWZ33"/>
    <mergeCell ref="CXA33:CXQ33"/>
    <mergeCell ref="CPV33:CQL33"/>
    <mergeCell ref="CQM33:CRC33"/>
    <mergeCell ref="CRD33:CRT33"/>
    <mergeCell ref="CRU33:CSK33"/>
    <mergeCell ref="CSL33:CTB33"/>
    <mergeCell ref="CTC33:CTS33"/>
    <mergeCell ref="CLX33:CMN33"/>
    <mergeCell ref="CMO33:CNE33"/>
    <mergeCell ref="CNF33:CNV33"/>
    <mergeCell ref="CNW33:COM33"/>
    <mergeCell ref="CON33:CPD33"/>
    <mergeCell ref="CPE33:CPU33"/>
    <mergeCell ref="CHZ33:CIP33"/>
    <mergeCell ref="CIQ33:CJG33"/>
    <mergeCell ref="CJH33:CJX33"/>
    <mergeCell ref="CJY33:CKO33"/>
    <mergeCell ref="CKP33:CLF33"/>
    <mergeCell ref="CLG33:CLW33"/>
    <mergeCell ref="CEB33:CER33"/>
    <mergeCell ref="CES33:CFI33"/>
    <mergeCell ref="CFJ33:CFZ33"/>
    <mergeCell ref="CGA33:CGQ33"/>
    <mergeCell ref="CGR33:CHH33"/>
    <mergeCell ref="CHI33:CHY33"/>
    <mergeCell ref="CAD33:CAT33"/>
    <mergeCell ref="CAU33:CBK33"/>
    <mergeCell ref="CBL33:CCB33"/>
    <mergeCell ref="CCC33:CCS33"/>
    <mergeCell ref="CCT33:CDJ33"/>
    <mergeCell ref="CDK33:CEA33"/>
    <mergeCell ref="BWF33:BWV33"/>
    <mergeCell ref="BWW33:BXM33"/>
    <mergeCell ref="BXN33:BYD33"/>
    <mergeCell ref="BYE33:BYU33"/>
    <mergeCell ref="BYV33:BZL33"/>
    <mergeCell ref="BZM33:CAC33"/>
    <mergeCell ref="BSH33:BSX33"/>
    <mergeCell ref="BSY33:BTO33"/>
    <mergeCell ref="BTP33:BUF33"/>
    <mergeCell ref="BUG33:BUW33"/>
    <mergeCell ref="BUX33:BVN33"/>
    <mergeCell ref="BVO33:BWE33"/>
    <mergeCell ref="BOJ33:BOZ33"/>
    <mergeCell ref="BPA33:BPQ33"/>
    <mergeCell ref="BPR33:BQH33"/>
    <mergeCell ref="BQI33:BQY33"/>
    <mergeCell ref="BQZ33:BRP33"/>
    <mergeCell ref="BRQ33:BSG33"/>
    <mergeCell ref="BKL33:BLB33"/>
    <mergeCell ref="BLC33:BLS33"/>
    <mergeCell ref="BLT33:BMJ33"/>
    <mergeCell ref="BMK33:BNA33"/>
    <mergeCell ref="BNB33:BNR33"/>
    <mergeCell ref="BNS33:BOI33"/>
    <mergeCell ref="BGN33:BHD33"/>
    <mergeCell ref="BHE33:BHU33"/>
    <mergeCell ref="BHV33:BIL33"/>
    <mergeCell ref="BIM33:BJC33"/>
    <mergeCell ref="BJD33:BJT33"/>
    <mergeCell ref="BJU33:BKK33"/>
    <mergeCell ref="BCP33:BDF33"/>
    <mergeCell ref="BDG33:BDW33"/>
    <mergeCell ref="BDX33:BEN33"/>
    <mergeCell ref="BEO33:BFE33"/>
    <mergeCell ref="BFF33:BFV33"/>
    <mergeCell ref="BFW33:BGM33"/>
    <mergeCell ref="AYR33:AZH33"/>
    <mergeCell ref="AZI33:AZY33"/>
    <mergeCell ref="AZZ33:BAP33"/>
    <mergeCell ref="BAQ33:BBG33"/>
    <mergeCell ref="BBH33:BBX33"/>
    <mergeCell ref="BBY33:BCO33"/>
    <mergeCell ref="AUT33:AVJ33"/>
    <mergeCell ref="AVK33:AWA33"/>
    <mergeCell ref="AWB33:AWR33"/>
    <mergeCell ref="AWS33:AXI33"/>
    <mergeCell ref="AXJ33:AXZ33"/>
    <mergeCell ref="AYA33:AYQ33"/>
    <mergeCell ref="AQV33:ARL33"/>
    <mergeCell ref="ARM33:ASC33"/>
    <mergeCell ref="ASD33:AST33"/>
    <mergeCell ref="ASU33:ATK33"/>
    <mergeCell ref="ATL33:AUB33"/>
    <mergeCell ref="AUC33:AUS33"/>
    <mergeCell ref="AMX33:ANN33"/>
    <mergeCell ref="ANO33:AOE33"/>
    <mergeCell ref="AOF33:AOV33"/>
    <mergeCell ref="AOW33:APM33"/>
    <mergeCell ref="APN33:AQD33"/>
    <mergeCell ref="AQE33:AQU33"/>
    <mergeCell ref="AIZ33:AJP33"/>
    <mergeCell ref="AJQ33:AKG33"/>
    <mergeCell ref="AKH33:AKX33"/>
    <mergeCell ref="AKY33:ALO33"/>
    <mergeCell ref="ALP33:AMF33"/>
    <mergeCell ref="AMG33:AMW33"/>
    <mergeCell ref="AFB33:AFR33"/>
    <mergeCell ref="AFS33:AGI33"/>
    <mergeCell ref="AGJ33:AGZ33"/>
    <mergeCell ref="AHA33:AHQ33"/>
    <mergeCell ref="AHR33:AIH33"/>
    <mergeCell ref="AII33:AIY33"/>
    <mergeCell ref="ABD33:ABT33"/>
    <mergeCell ref="ABU33:ACK33"/>
    <mergeCell ref="ACL33:ADB33"/>
    <mergeCell ref="ADC33:ADS33"/>
    <mergeCell ref="ADT33:AEJ33"/>
    <mergeCell ref="AEK33:AFA33"/>
    <mergeCell ref="XF33:XV33"/>
    <mergeCell ref="XW33:YM33"/>
    <mergeCell ref="YN33:ZD33"/>
    <mergeCell ref="ZE33:ZU33"/>
    <mergeCell ref="ZV33:AAL33"/>
    <mergeCell ref="AAM33:ABC33"/>
    <mergeCell ref="TH33:TX33"/>
    <mergeCell ref="TY33:UO33"/>
    <mergeCell ref="UP33:VF33"/>
    <mergeCell ref="VG33:VW33"/>
    <mergeCell ref="VX33:WN33"/>
    <mergeCell ref="WO33:XE33"/>
    <mergeCell ref="PJ33:PZ33"/>
    <mergeCell ref="QA33:QQ33"/>
    <mergeCell ref="QR33:RH33"/>
    <mergeCell ref="RI33:RY33"/>
    <mergeCell ref="RZ33:SP33"/>
    <mergeCell ref="SQ33:TG33"/>
    <mergeCell ref="LL33:MB33"/>
    <mergeCell ref="MC33:MS33"/>
    <mergeCell ref="MT33:NJ33"/>
    <mergeCell ref="NK33:OA33"/>
    <mergeCell ref="OB33:OR33"/>
    <mergeCell ref="OS33:PI33"/>
    <mergeCell ref="HN33:ID33"/>
    <mergeCell ref="IE33:IU33"/>
    <mergeCell ref="IV33:JL33"/>
    <mergeCell ref="JM33:KC33"/>
    <mergeCell ref="KD33:KT33"/>
    <mergeCell ref="KU33:LK33"/>
    <mergeCell ref="DP33:EF33"/>
    <mergeCell ref="EG33:EW33"/>
    <mergeCell ref="EX33:FN33"/>
    <mergeCell ref="FO33:GE33"/>
    <mergeCell ref="GF33:GV33"/>
    <mergeCell ref="GW33:HM33"/>
    <mergeCell ref="XDJ32:XDZ32"/>
    <mergeCell ref="XEA32:XEQ32"/>
    <mergeCell ref="XER32:XFD32"/>
    <mergeCell ref="A33:Q33"/>
    <mergeCell ref="R33:AH33"/>
    <mergeCell ref="AI33:AY33"/>
    <mergeCell ref="AZ33:BP33"/>
    <mergeCell ref="BQ33:CG33"/>
    <mergeCell ref="CH33:CX33"/>
    <mergeCell ref="CY33:DO33"/>
    <mergeCell ref="WZL32:XAB32"/>
    <mergeCell ref="XAC32:XAS32"/>
    <mergeCell ref="XAT32:XBJ32"/>
    <mergeCell ref="XBK32:XCA32"/>
    <mergeCell ref="XCB32:XCR32"/>
    <mergeCell ref="XCS32:XDI32"/>
    <mergeCell ref="WVN32:WWD32"/>
    <mergeCell ref="WWE32:WWU32"/>
    <mergeCell ref="WWV32:WXL32"/>
    <mergeCell ref="WXM32:WYC32"/>
    <mergeCell ref="WYD32:WYT32"/>
    <mergeCell ref="WYU32:WZK32"/>
    <mergeCell ref="WRP32:WSF32"/>
    <mergeCell ref="WSG32:WSW32"/>
    <mergeCell ref="WSX32:WTN32"/>
    <mergeCell ref="WTO32:WUE32"/>
    <mergeCell ref="WUF32:WUV32"/>
    <mergeCell ref="WUW32:WVM32"/>
    <mergeCell ref="WNR32:WOH32"/>
    <mergeCell ref="WOI32:WOY32"/>
    <mergeCell ref="WOZ32:WPP32"/>
    <mergeCell ref="WPQ32:WQG32"/>
    <mergeCell ref="WQH32:WQX32"/>
    <mergeCell ref="WQY32:WRO32"/>
    <mergeCell ref="WJT32:WKJ32"/>
    <mergeCell ref="WKK32:WLA32"/>
    <mergeCell ref="WLB32:WLR32"/>
    <mergeCell ref="WLS32:WMI32"/>
    <mergeCell ref="WMJ32:WMZ32"/>
    <mergeCell ref="WNA32:WNQ32"/>
    <mergeCell ref="WFV32:WGL32"/>
    <mergeCell ref="WGM32:WHC32"/>
    <mergeCell ref="WHD32:WHT32"/>
    <mergeCell ref="WHU32:WIK32"/>
    <mergeCell ref="WIL32:WJB32"/>
    <mergeCell ref="WJC32:WJS32"/>
    <mergeCell ref="WBX32:WCN32"/>
    <mergeCell ref="WCO32:WDE32"/>
    <mergeCell ref="WDF32:WDV32"/>
    <mergeCell ref="WDW32:WEM32"/>
    <mergeCell ref="WEN32:WFD32"/>
    <mergeCell ref="WFE32:WFU32"/>
    <mergeCell ref="VXZ32:VYP32"/>
    <mergeCell ref="VYQ32:VZG32"/>
    <mergeCell ref="VZH32:VZX32"/>
    <mergeCell ref="VZY32:WAO32"/>
    <mergeCell ref="WAP32:WBF32"/>
    <mergeCell ref="WBG32:WBW32"/>
    <mergeCell ref="VUB32:VUR32"/>
    <mergeCell ref="VUS32:VVI32"/>
    <mergeCell ref="VVJ32:VVZ32"/>
    <mergeCell ref="VWA32:VWQ32"/>
    <mergeCell ref="VWR32:VXH32"/>
    <mergeCell ref="VXI32:VXY32"/>
    <mergeCell ref="VQD32:VQT32"/>
    <mergeCell ref="VQU32:VRK32"/>
    <mergeCell ref="VRL32:VSB32"/>
    <mergeCell ref="VSC32:VSS32"/>
    <mergeCell ref="VST32:VTJ32"/>
    <mergeCell ref="VTK32:VUA32"/>
    <mergeCell ref="VMF32:VMV32"/>
    <mergeCell ref="VMW32:VNM32"/>
    <mergeCell ref="VNN32:VOD32"/>
    <mergeCell ref="VOE32:VOU32"/>
    <mergeCell ref="VOV32:VPL32"/>
    <mergeCell ref="VPM32:VQC32"/>
    <mergeCell ref="VIH32:VIX32"/>
    <mergeCell ref="VIY32:VJO32"/>
    <mergeCell ref="VJP32:VKF32"/>
    <mergeCell ref="VKG32:VKW32"/>
    <mergeCell ref="VKX32:VLN32"/>
    <mergeCell ref="VLO32:VME32"/>
    <mergeCell ref="VEJ32:VEZ32"/>
    <mergeCell ref="VFA32:VFQ32"/>
    <mergeCell ref="VFR32:VGH32"/>
    <mergeCell ref="VGI32:VGY32"/>
    <mergeCell ref="VGZ32:VHP32"/>
    <mergeCell ref="VHQ32:VIG32"/>
    <mergeCell ref="VAL32:VBB32"/>
    <mergeCell ref="VBC32:VBS32"/>
    <mergeCell ref="VBT32:VCJ32"/>
    <mergeCell ref="VCK32:VDA32"/>
    <mergeCell ref="VDB32:VDR32"/>
    <mergeCell ref="VDS32:VEI32"/>
    <mergeCell ref="UWN32:UXD32"/>
    <mergeCell ref="UXE32:UXU32"/>
    <mergeCell ref="UXV32:UYL32"/>
    <mergeCell ref="UYM32:UZC32"/>
    <mergeCell ref="UZD32:UZT32"/>
    <mergeCell ref="UZU32:VAK32"/>
    <mergeCell ref="USP32:UTF32"/>
    <mergeCell ref="UTG32:UTW32"/>
    <mergeCell ref="UTX32:UUN32"/>
    <mergeCell ref="UUO32:UVE32"/>
    <mergeCell ref="UVF32:UVV32"/>
    <mergeCell ref="UVW32:UWM32"/>
    <mergeCell ref="UOR32:UPH32"/>
    <mergeCell ref="UPI32:UPY32"/>
    <mergeCell ref="UPZ32:UQP32"/>
    <mergeCell ref="UQQ32:URG32"/>
    <mergeCell ref="URH32:URX32"/>
    <mergeCell ref="URY32:USO32"/>
    <mergeCell ref="UKT32:ULJ32"/>
    <mergeCell ref="ULK32:UMA32"/>
    <mergeCell ref="UMB32:UMR32"/>
    <mergeCell ref="UMS32:UNI32"/>
    <mergeCell ref="UNJ32:UNZ32"/>
    <mergeCell ref="UOA32:UOQ32"/>
    <mergeCell ref="UGV32:UHL32"/>
    <mergeCell ref="UHM32:UIC32"/>
    <mergeCell ref="UID32:UIT32"/>
    <mergeCell ref="UIU32:UJK32"/>
    <mergeCell ref="UJL32:UKB32"/>
    <mergeCell ref="UKC32:UKS32"/>
    <mergeCell ref="UCX32:UDN32"/>
    <mergeCell ref="UDO32:UEE32"/>
    <mergeCell ref="UEF32:UEV32"/>
    <mergeCell ref="UEW32:UFM32"/>
    <mergeCell ref="UFN32:UGD32"/>
    <mergeCell ref="UGE32:UGU32"/>
    <mergeCell ref="TYZ32:TZP32"/>
    <mergeCell ref="TZQ32:UAG32"/>
    <mergeCell ref="UAH32:UAX32"/>
    <mergeCell ref="UAY32:UBO32"/>
    <mergeCell ref="UBP32:UCF32"/>
    <mergeCell ref="UCG32:UCW32"/>
    <mergeCell ref="TVB32:TVR32"/>
    <mergeCell ref="TVS32:TWI32"/>
    <mergeCell ref="TWJ32:TWZ32"/>
    <mergeCell ref="TXA32:TXQ32"/>
    <mergeCell ref="TXR32:TYH32"/>
    <mergeCell ref="TYI32:TYY32"/>
    <mergeCell ref="TRD32:TRT32"/>
    <mergeCell ref="TRU32:TSK32"/>
    <mergeCell ref="TSL32:TTB32"/>
    <mergeCell ref="TTC32:TTS32"/>
    <mergeCell ref="TTT32:TUJ32"/>
    <mergeCell ref="TUK32:TVA32"/>
    <mergeCell ref="TNF32:TNV32"/>
    <mergeCell ref="TNW32:TOM32"/>
    <mergeCell ref="TON32:TPD32"/>
    <mergeCell ref="TPE32:TPU32"/>
    <mergeCell ref="TPV32:TQL32"/>
    <mergeCell ref="TQM32:TRC32"/>
    <mergeCell ref="TJH32:TJX32"/>
    <mergeCell ref="TJY32:TKO32"/>
    <mergeCell ref="TKP32:TLF32"/>
    <mergeCell ref="TLG32:TLW32"/>
    <mergeCell ref="TLX32:TMN32"/>
    <mergeCell ref="TMO32:TNE32"/>
    <mergeCell ref="TFJ32:TFZ32"/>
    <mergeCell ref="TGA32:TGQ32"/>
    <mergeCell ref="TGR32:THH32"/>
    <mergeCell ref="THI32:THY32"/>
    <mergeCell ref="THZ32:TIP32"/>
    <mergeCell ref="TIQ32:TJG32"/>
    <mergeCell ref="TBL32:TCB32"/>
    <mergeCell ref="TCC32:TCS32"/>
    <mergeCell ref="TCT32:TDJ32"/>
    <mergeCell ref="TDK32:TEA32"/>
    <mergeCell ref="TEB32:TER32"/>
    <mergeCell ref="TES32:TFI32"/>
    <mergeCell ref="SXN32:SYD32"/>
    <mergeCell ref="SYE32:SYU32"/>
    <mergeCell ref="SYV32:SZL32"/>
    <mergeCell ref="SZM32:TAC32"/>
    <mergeCell ref="TAD32:TAT32"/>
    <mergeCell ref="TAU32:TBK32"/>
    <mergeCell ref="STP32:SUF32"/>
    <mergeCell ref="SUG32:SUW32"/>
    <mergeCell ref="SUX32:SVN32"/>
    <mergeCell ref="SVO32:SWE32"/>
    <mergeCell ref="SWF32:SWV32"/>
    <mergeCell ref="SWW32:SXM32"/>
    <mergeCell ref="SPR32:SQH32"/>
    <mergeCell ref="SQI32:SQY32"/>
    <mergeCell ref="SQZ32:SRP32"/>
    <mergeCell ref="SRQ32:SSG32"/>
    <mergeCell ref="SSH32:SSX32"/>
    <mergeCell ref="SSY32:STO32"/>
    <mergeCell ref="SLT32:SMJ32"/>
    <mergeCell ref="SMK32:SNA32"/>
    <mergeCell ref="SNB32:SNR32"/>
    <mergeCell ref="SNS32:SOI32"/>
    <mergeCell ref="SOJ32:SOZ32"/>
    <mergeCell ref="SPA32:SPQ32"/>
    <mergeCell ref="SHV32:SIL32"/>
    <mergeCell ref="SIM32:SJC32"/>
    <mergeCell ref="SJD32:SJT32"/>
    <mergeCell ref="SJU32:SKK32"/>
    <mergeCell ref="SKL32:SLB32"/>
    <mergeCell ref="SLC32:SLS32"/>
    <mergeCell ref="SDX32:SEN32"/>
    <mergeCell ref="SEO32:SFE32"/>
    <mergeCell ref="SFF32:SFV32"/>
    <mergeCell ref="SFW32:SGM32"/>
    <mergeCell ref="SGN32:SHD32"/>
    <mergeCell ref="SHE32:SHU32"/>
    <mergeCell ref="RZZ32:SAP32"/>
    <mergeCell ref="SAQ32:SBG32"/>
    <mergeCell ref="SBH32:SBX32"/>
    <mergeCell ref="SBY32:SCO32"/>
    <mergeCell ref="SCP32:SDF32"/>
    <mergeCell ref="SDG32:SDW32"/>
    <mergeCell ref="RWB32:RWR32"/>
    <mergeCell ref="RWS32:RXI32"/>
    <mergeCell ref="RXJ32:RXZ32"/>
    <mergeCell ref="RYA32:RYQ32"/>
    <mergeCell ref="RYR32:RZH32"/>
    <mergeCell ref="RZI32:RZY32"/>
    <mergeCell ref="RSD32:RST32"/>
    <mergeCell ref="RSU32:RTK32"/>
    <mergeCell ref="RTL32:RUB32"/>
    <mergeCell ref="RUC32:RUS32"/>
    <mergeCell ref="RUT32:RVJ32"/>
    <mergeCell ref="RVK32:RWA32"/>
    <mergeCell ref="ROF32:ROV32"/>
    <mergeCell ref="ROW32:RPM32"/>
    <mergeCell ref="RPN32:RQD32"/>
    <mergeCell ref="RQE32:RQU32"/>
    <mergeCell ref="RQV32:RRL32"/>
    <mergeCell ref="RRM32:RSC32"/>
    <mergeCell ref="RKH32:RKX32"/>
    <mergeCell ref="RKY32:RLO32"/>
    <mergeCell ref="RLP32:RMF32"/>
    <mergeCell ref="RMG32:RMW32"/>
    <mergeCell ref="RMX32:RNN32"/>
    <mergeCell ref="RNO32:ROE32"/>
    <mergeCell ref="RGJ32:RGZ32"/>
    <mergeCell ref="RHA32:RHQ32"/>
    <mergeCell ref="RHR32:RIH32"/>
    <mergeCell ref="RII32:RIY32"/>
    <mergeCell ref="RIZ32:RJP32"/>
    <mergeCell ref="RJQ32:RKG32"/>
    <mergeCell ref="RCL32:RDB32"/>
    <mergeCell ref="RDC32:RDS32"/>
    <mergeCell ref="RDT32:REJ32"/>
    <mergeCell ref="REK32:RFA32"/>
    <mergeCell ref="RFB32:RFR32"/>
    <mergeCell ref="RFS32:RGI32"/>
    <mergeCell ref="QYN32:QZD32"/>
    <mergeCell ref="QZE32:QZU32"/>
    <mergeCell ref="QZV32:RAL32"/>
    <mergeCell ref="RAM32:RBC32"/>
    <mergeCell ref="RBD32:RBT32"/>
    <mergeCell ref="RBU32:RCK32"/>
    <mergeCell ref="QUP32:QVF32"/>
    <mergeCell ref="QVG32:QVW32"/>
    <mergeCell ref="QVX32:QWN32"/>
    <mergeCell ref="QWO32:QXE32"/>
    <mergeCell ref="QXF32:QXV32"/>
    <mergeCell ref="QXW32:QYM32"/>
    <mergeCell ref="QQR32:QRH32"/>
    <mergeCell ref="QRI32:QRY32"/>
    <mergeCell ref="QRZ32:QSP32"/>
    <mergeCell ref="QSQ32:QTG32"/>
    <mergeCell ref="QTH32:QTX32"/>
    <mergeCell ref="QTY32:QUO32"/>
    <mergeCell ref="QMT32:QNJ32"/>
    <mergeCell ref="QNK32:QOA32"/>
    <mergeCell ref="QOB32:QOR32"/>
    <mergeCell ref="QOS32:QPI32"/>
    <mergeCell ref="QPJ32:QPZ32"/>
    <mergeCell ref="QQA32:QQQ32"/>
    <mergeCell ref="QIV32:QJL32"/>
    <mergeCell ref="QJM32:QKC32"/>
    <mergeCell ref="QKD32:QKT32"/>
    <mergeCell ref="QKU32:QLK32"/>
    <mergeCell ref="QLL32:QMB32"/>
    <mergeCell ref="QMC32:QMS32"/>
    <mergeCell ref="QEX32:QFN32"/>
    <mergeCell ref="QFO32:QGE32"/>
    <mergeCell ref="QGF32:QGV32"/>
    <mergeCell ref="QGW32:QHM32"/>
    <mergeCell ref="QHN32:QID32"/>
    <mergeCell ref="QIE32:QIU32"/>
    <mergeCell ref="QAZ32:QBP32"/>
    <mergeCell ref="QBQ32:QCG32"/>
    <mergeCell ref="QCH32:QCX32"/>
    <mergeCell ref="QCY32:QDO32"/>
    <mergeCell ref="QDP32:QEF32"/>
    <mergeCell ref="QEG32:QEW32"/>
    <mergeCell ref="PXB32:PXR32"/>
    <mergeCell ref="PXS32:PYI32"/>
    <mergeCell ref="PYJ32:PYZ32"/>
    <mergeCell ref="PZA32:PZQ32"/>
    <mergeCell ref="PZR32:QAH32"/>
    <mergeCell ref="QAI32:QAY32"/>
    <mergeCell ref="PTD32:PTT32"/>
    <mergeCell ref="PTU32:PUK32"/>
    <mergeCell ref="PUL32:PVB32"/>
    <mergeCell ref="PVC32:PVS32"/>
    <mergeCell ref="PVT32:PWJ32"/>
    <mergeCell ref="PWK32:PXA32"/>
    <mergeCell ref="PPF32:PPV32"/>
    <mergeCell ref="PPW32:PQM32"/>
    <mergeCell ref="PQN32:PRD32"/>
    <mergeCell ref="PRE32:PRU32"/>
    <mergeCell ref="PRV32:PSL32"/>
    <mergeCell ref="PSM32:PTC32"/>
    <mergeCell ref="PLH32:PLX32"/>
    <mergeCell ref="PLY32:PMO32"/>
    <mergeCell ref="PMP32:PNF32"/>
    <mergeCell ref="PNG32:PNW32"/>
    <mergeCell ref="PNX32:PON32"/>
    <mergeCell ref="POO32:PPE32"/>
    <mergeCell ref="PHJ32:PHZ32"/>
    <mergeCell ref="PIA32:PIQ32"/>
    <mergeCell ref="PIR32:PJH32"/>
    <mergeCell ref="PJI32:PJY32"/>
    <mergeCell ref="PJZ32:PKP32"/>
    <mergeCell ref="PKQ32:PLG32"/>
    <mergeCell ref="PDL32:PEB32"/>
    <mergeCell ref="PEC32:PES32"/>
    <mergeCell ref="PET32:PFJ32"/>
    <mergeCell ref="PFK32:PGA32"/>
    <mergeCell ref="PGB32:PGR32"/>
    <mergeCell ref="PGS32:PHI32"/>
    <mergeCell ref="OZN32:PAD32"/>
    <mergeCell ref="PAE32:PAU32"/>
    <mergeCell ref="PAV32:PBL32"/>
    <mergeCell ref="PBM32:PCC32"/>
    <mergeCell ref="PCD32:PCT32"/>
    <mergeCell ref="PCU32:PDK32"/>
    <mergeCell ref="OVP32:OWF32"/>
    <mergeCell ref="OWG32:OWW32"/>
    <mergeCell ref="OWX32:OXN32"/>
    <mergeCell ref="OXO32:OYE32"/>
    <mergeCell ref="OYF32:OYV32"/>
    <mergeCell ref="OYW32:OZM32"/>
    <mergeCell ref="ORR32:OSH32"/>
    <mergeCell ref="OSI32:OSY32"/>
    <mergeCell ref="OSZ32:OTP32"/>
    <mergeCell ref="OTQ32:OUG32"/>
    <mergeCell ref="OUH32:OUX32"/>
    <mergeCell ref="OUY32:OVO32"/>
    <mergeCell ref="ONT32:OOJ32"/>
    <mergeCell ref="OOK32:OPA32"/>
    <mergeCell ref="OPB32:OPR32"/>
    <mergeCell ref="OPS32:OQI32"/>
    <mergeCell ref="OQJ32:OQZ32"/>
    <mergeCell ref="ORA32:ORQ32"/>
    <mergeCell ref="OJV32:OKL32"/>
    <mergeCell ref="OKM32:OLC32"/>
    <mergeCell ref="OLD32:OLT32"/>
    <mergeCell ref="OLU32:OMK32"/>
    <mergeCell ref="OML32:ONB32"/>
    <mergeCell ref="ONC32:ONS32"/>
    <mergeCell ref="OFX32:OGN32"/>
    <mergeCell ref="OGO32:OHE32"/>
    <mergeCell ref="OHF32:OHV32"/>
    <mergeCell ref="OHW32:OIM32"/>
    <mergeCell ref="OIN32:OJD32"/>
    <mergeCell ref="OJE32:OJU32"/>
    <mergeCell ref="OBZ32:OCP32"/>
    <mergeCell ref="OCQ32:ODG32"/>
    <mergeCell ref="ODH32:ODX32"/>
    <mergeCell ref="ODY32:OEO32"/>
    <mergeCell ref="OEP32:OFF32"/>
    <mergeCell ref="OFG32:OFW32"/>
    <mergeCell ref="NYB32:NYR32"/>
    <mergeCell ref="NYS32:NZI32"/>
    <mergeCell ref="NZJ32:NZZ32"/>
    <mergeCell ref="OAA32:OAQ32"/>
    <mergeCell ref="OAR32:OBH32"/>
    <mergeCell ref="OBI32:OBY32"/>
    <mergeCell ref="NUD32:NUT32"/>
    <mergeCell ref="NUU32:NVK32"/>
    <mergeCell ref="NVL32:NWB32"/>
    <mergeCell ref="NWC32:NWS32"/>
    <mergeCell ref="NWT32:NXJ32"/>
    <mergeCell ref="NXK32:NYA32"/>
    <mergeCell ref="NQF32:NQV32"/>
    <mergeCell ref="NQW32:NRM32"/>
    <mergeCell ref="NRN32:NSD32"/>
    <mergeCell ref="NSE32:NSU32"/>
    <mergeCell ref="NSV32:NTL32"/>
    <mergeCell ref="NTM32:NUC32"/>
    <mergeCell ref="NMH32:NMX32"/>
    <mergeCell ref="NMY32:NNO32"/>
    <mergeCell ref="NNP32:NOF32"/>
    <mergeCell ref="NOG32:NOW32"/>
    <mergeCell ref="NOX32:NPN32"/>
    <mergeCell ref="NPO32:NQE32"/>
    <mergeCell ref="NIJ32:NIZ32"/>
    <mergeCell ref="NJA32:NJQ32"/>
    <mergeCell ref="NJR32:NKH32"/>
    <mergeCell ref="NKI32:NKY32"/>
    <mergeCell ref="NKZ32:NLP32"/>
    <mergeCell ref="NLQ32:NMG32"/>
    <mergeCell ref="NEL32:NFB32"/>
    <mergeCell ref="NFC32:NFS32"/>
    <mergeCell ref="NFT32:NGJ32"/>
    <mergeCell ref="NGK32:NHA32"/>
    <mergeCell ref="NHB32:NHR32"/>
    <mergeCell ref="NHS32:NII32"/>
    <mergeCell ref="NAN32:NBD32"/>
    <mergeCell ref="NBE32:NBU32"/>
    <mergeCell ref="NBV32:NCL32"/>
    <mergeCell ref="NCM32:NDC32"/>
    <mergeCell ref="NDD32:NDT32"/>
    <mergeCell ref="NDU32:NEK32"/>
    <mergeCell ref="MWP32:MXF32"/>
    <mergeCell ref="MXG32:MXW32"/>
    <mergeCell ref="MXX32:MYN32"/>
    <mergeCell ref="MYO32:MZE32"/>
    <mergeCell ref="MZF32:MZV32"/>
    <mergeCell ref="MZW32:NAM32"/>
    <mergeCell ref="MSR32:MTH32"/>
    <mergeCell ref="MTI32:MTY32"/>
    <mergeCell ref="MTZ32:MUP32"/>
    <mergeCell ref="MUQ32:MVG32"/>
    <mergeCell ref="MVH32:MVX32"/>
    <mergeCell ref="MVY32:MWO32"/>
    <mergeCell ref="MOT32:MPJ32"/>
    <mergeCell ref="MPK32:MQA32"/>
    <mergeCell ref="MQB32:MQR32"/>
    <mergeCell ref="MQS32:MRI32"/>
    <mergeCell ref="MRJ32:MRZ32"/>
    <mergeCell ref="MSA32:MSQ32"/>
    <mergeCell ref="MKV32:MLL32"/>
    <mergeCell ref="MLM32:MMC32"/>
    <mergeCell ref="MMD32:MMT32"/>
    <mergeCell ref="MMU32:MNK32"/>
    <mergeCell ref="MNL32:MOB32"/>
    <mergeCell ref="MOC32:MOS32"/>
    <mergeCell ref="MGX32:MHN32"/>
    <mergeCell ref="MHO32:MIE32"/>
    <mergeCell ref="MIF32:MIV32"/>
    <mergeCell ref="MIW32:MJM32"/>
    <mergeCell ref="MJN32:MKD32"/>
    <mergeCell ref="MKE32:MKU32"/>
    <mergeCell ref="MCZ32:MDP32"/>
    <mergeCell ref="MDQ32:MEG32"/>
    <mergeCell ref="MEH32:MEX32"/>
    <mergeCell ref="MEY32:MFO32"/>
    <mergeCell ref="MFP32:MGF32"/>
    <mergeCell ref="MGG32:MGW32"/>
    <mergeCell ref="LZB32:LZR32"/>
    <mergeCell ref="LZS32:MAI32"/>
    <mergeCell ref="MAJ32:MAZ32"/>
    <mergeCell ref="MBA32:MBQ32"/>
    <mergeCell ref="MBR32:MCH32"/>
    <mergeCell ref="MCI32:MCY32"/>
    <mergeCell ref="LVD32:LVT32"/>
    <mergeCell ref="LVU32:LWK32"/>
    <mergeCell ref="LWL32:LXB32"/>
    <mergeCell ref="LXC32:LXS32"/>
    <mergeCell ref="LXT32:LYJ32"/>
    <mergeCell ref="LYK32:LZA32"/>
    <mergeCell ref="LRF32:LRV32"/>
    <mergeCell ref="LRW32:LSM32"/>
    <mergeCell ref="LSN32:LTD32"/>
    <mergeCell ref="LTE32:LTU32"/>
    <mergeCell ref="LTV32:LUL32"/>
    <mergeCell ref="LUM32:LVC32"/>
    <mergeCell ref="LNH32:LNX32"/>
    <mergeCell ref="LNY32:LOO32"/>
    <mergeCell ref="LOP32:LPF32"/>
    <mergeCell ref="LPG32:LPW32"/>
    <mergeCell ref="LPX32:LQN32"/>
    <mergeCell ref="LQO32:LRE32"/>
    <mergeCell ref="LJJ32:LJZ32"/>
    <mergeCell ref="LKA32:LKQ32"/>
    <mergeCell ref="LKR32:LLH32"/>
    <mergeCell ref="LLI32:LLY32"/>
    <mergeCell ref="LLZ32:LMP32"/>
    <mergeCell ref="LMQ32:LNG32"/>
    <mergeCell ref="LFL32:LGB32"/>
    <mergeCell ref="LGC32:LGS32"/>
    <mergeCell ref="LGT32:LHJ32"/>
    <mergeCell ref="LHK32:LIA32"/>
    <mergeCell ref="LIB32:LIR32"/>
    <mergeCell ref="LIS32:LJI32"/>
    <mergeCell ref="LBN32:LCD32"/>
    <mergeCell ref="LCE32:LCU32"/>
    <mergeCell ref="LCV32:LDL32"/>
    <mergeCell ref="LDM32:LEC32"/>
    <mergeCell ref="LED32:LET32"/>
    <mergeCell ref="LEU32:LFK32"/>
    <mergeCell ref="KXP32:KYF32"/>
    <mergeCell ref="KYG32:KYW32"/>
    <mergeCell ref="KYX32:KZN32"/>
    <mergeCell ref="KZO32:LAE32"/>
    <mergeCell ref="LAF32:LAV32"/>
    <mergeCell ref="LAW32:LBM32"/>
    <mergeCell ref="KTR32:KUH32"/>
    <mergeCell ref="KUI32:KUY32"/>
    <mergeCell ref="KUZ32:KVP32"/>
    <mergeCell ref="KVQ32:KWG32"/>
    <mergeCell ref="KWH32:KWX32"/>
    <mergeCell ref="KWY32:KXO32"/>
    <mergeCell ref="KPT32:KQJ32"/>
    <mergeCell ref="KQK32:KRA32"/>
    <mergeCell ref="KRB32:KRR32"/>
    <mergeCell ref="KRS32:KSI32"/>
    <mergeCell ref="KSJ32:KSZ32"/>
    <mergeCell ref="KTA32:KTQ32"/>
    <mergeCell ref="KLV32:KML32"/>
    <mergeCell ref="KMM32:KNC32"/>
    <mergeCell ref="KND32:KNT32"/>
    <mergeCell ref="KNU32:KOK32"/>
    <mergeCell ref="KOL32:KPB32"/>
    <mergeCell ref="KPC32:KPS32"/>
    <mergeCell ref="KHX32:KIN32"/>
    <mergeCell ref="KIO32:KJE32"/>
    <mergeCell ref="KJF32:KJV32"/>
    <mergeCell ref="KJW32:KKM32"/>
    <mergeCell ref="KKN32:KLD32"/>
    <mergeCell ref="KLE32:KLU32"/>
    <mergeCell ref="KDZ32:KEP32"/>
    <mergeCell ref="KEQ32:KFG32"/>
    <mergeCell ref="KFH32:KFX32"/>
    <mergeCell ref="KFY32:KGO32"/>
    <mergeCell ref="KGP32:KHF32"/>
    <mergeCell ref="KHG32:KHW32"/>
    <mergeCell ref="KAB32:KAR32"/>
    <mergeCell ref="KAS32:KBI32"/>
    <mergeCell ref="KBJ32:KBZ32"/>
    <mergeCell ref="KCA32:KCQ32"/>
    <mergeCell ref="KCR32:KDH32"/>
    <mergeCell ref="KDI32:KDY32"/>
    <mergeCell ref="JWD32:JWT32"/>
    <mergeCell ref="JWU32:JXK32"/>
    <mergeCell ref="JXL32:JYB32"/>
    <mergeCell ref="JYC32:JYS32"/>
    <mergeCell ref="JYT32:JZJ32"/>
    <mergeCell ref="JZK32:KAA32"/>
    <mergeCell ref="JSF32:JSV32"/>
    <mergeCell ref="JSW32:JTM32"/>
    <mergeCell ref="JTN32:JUD32"/>
    <mergeCell ref="JUE32:JUU32"/>
    <mergeCell ref="JUV32:JVL32"/>
    <mergeCell ref="JVM32:JWC32"/>
    <mergeCell ref="JOH32:JOX32"/>
    <mergeCell ref="JOY32:JPO32"/>
    <mergeCell ref="JPP32:JQF32"/>
    <mergeCell ref="JQG32:JQW32"/>
    <mergeCell ref="JQX32:JRN32"/>
    <mergeCell ref="JRO32:JSE32"/>
    <mergeCell ref="JKJ32:JKZ32"/>
    <mergeCell ref="JLA32:JLQ32"/>
    <mergeCell ref="JLR32:JMH32"/>
    <mergeCell ref="JMI32:JMY32"/>
    <mergeCell ref="JMZ32:JNP32"/>
    <mergeCell ref="JNQ32:JOG32"/>
    <mergeCell ref="JGL32:JHB32"/>
    <mergeCell ref="JHC32:JHS32"/>
    <mergeCell ref="JHT32:JIJ32"/>
    <mergeCell ref="JIK32:JJA32"/>
    <mergeCell ref="JJB32:JJR32"/>
    <mergeCell ref="JJS32:JKI32"/>
    <mergeCell ref="JCN32:JDD32"/>
    <mergeCell ref="JDE32:JDU32"/>
    <mergeCell ref="JDV32:JEL32"/>
    <mergeCell ref="JEM32:JFC32"/>
    <mergeCell ref="JFD32:JFT32"/>
    <mergeCell ref="JFU32:JGK32"/>
    <mergeCell ref="IYP32:IZF32"/>
    <mergeCell ref="IZG32:IZW32"/>
    <mergeCell ref="IZX32:JAN32"/>
    <mergeCell ref="JAO32:JBE32"/>
    <mergeCell ref="JBF32:JBV32"/>
    <mergeCell ref="JBW32:JCM32"/>
    <mergeCell ref="IUR32:IVH32"/>
    <mergeCell ref="IVI32:IVY32"/>
    <mergeCell ref="IVZ32:IWP32"/>
    <mergeCell ref="IWQ32:IXG32"/>
    <mergeCell ref="IXH32:IXX32"/>
    <mergeCell ref="IXY32:IYO32"/>
    <mergeCell ref="IQT32:IRJ32"/>
    <mergeCell ref="IRK32:ISA32"/>
    <mergeCell ref="ISB32:ISR32"/>
    <mergeCell ref="ISS32:ITI32"/>
    <mergeCell ref="ITJ32:ITZ32"/>
    <mergeCell ref="IUA32:IUQ32"/>
    <mergeCell ref="IMV32:INL32"/>
    <mergeCell ref="INM32:IOC32"/>
    <mergeCell ref="IOD32:IOT32"/>
    <mergeCell ref="IOU32:IPK32"/>
    <mergeCell ref="IPL32:IQB32"/>
    <mergeCell ref="IQC32:IQS32"/>
    <mergeCell ref="IIX32:IJN32"/>
    <mergeCell ref="IJO32:IKE32"/>
    <mergeCell ref="IKF32:IKV32"/>
    <mergeCell ref="IKW32:ILM32"/>
    <mergeCell ref="ILN32:IMD32"/>
    <mergeCell ref="IME32:IMU32"/>
    <mergeCell ref="IEZ32:IFP32"/>
    <mergeCell ref="IFQ32:IGG32"/>
    <mergeCell ref="IGH32:IGX32"/>
    <mergeCell ref="IGY32:IHO32"/>
    <mergeCell ref="IHP32:IIF32"/>
    <mergeCell ref="IIG32:IIW32"/>
    <mergeCell ref="IBB32:IBR32"/>
    <mergeCell ref="IBS32:ICI32"/>
    <mergeCell ref="ICJ32:ICZ32"/>
    <mergeCell ref="IDA32:IDQ32"/>
    <mergeCell ref="IDR32:IEH32"/>
    <mergeCell ref="IEI32:IEY32"/>
    <mergeCell ref="HXD32:HXT32"/>
    <mergeCell ref="HXU32:HYK32"/>
    <mergeCell ref="HYL32:HZB32"/>
    <mergeCell ref="HZC32:HZS32"/>
    <mergeCell ref="HZT32:IAJ32"/>
    <mergeCell ref="IAK32:IBA32"/>
    <mergeCell ref="HTF32:HTV32"/>
    <mergeCell ref="HTW32:HUM32"/>
    <mergeCell ref="HUN32:HVD32"/>
    <mergeCell ref="HVE32:HVU32"/>
    <mergeCell ref="HVV32:HWL32"/>
    <mergeCell ref="HWM32:HXC32"/>
    <mergeCell ref="HPH32:HPX32"/>
    <mergeCell ref="HPY32:HQO32"/>
    <mergeCell ref="HQP32:HRF32"/>
    <mergeCell ref="HRG32:HRW32"/>
    <mergeCell ref="HRX32:HSN32"/>
    <mergeCell ref="HSO32:HTE32"/>
    <mergeCell ref="HLJ32:HLZ32"/>
    <mergeCell ref="HMA32:HMQ32"/>
    <mergeCell ref="HMR32:HNH32"/>
    <mergeCell ref="HNI32:HNY32"/>
    <mergeCell ref="HNZ32:HOP32"/>
    <mergeCell ref="HOQ32:HPG32"/>
    <mergeCell ref="HHL32:HIB32"/>
    <mergeCell ref="HIC32:HIS32"/>
    <mergeCell ref="HIT32:HJJ32"/>
    <mergeCell ref="HJK32:HKA32"/>
    <mergeCell ref="HKB32:HKR32"/>
    <mergeCell ref="HKS32:HLI32"/>
    <mergeCell ref="HDN32:HED32"/>
    <mergeCell ref="HEE32:HEU32"/>
    <mergeCell ref="HEV32:HFL32"/>
    <mergeCell ref="HFM32:HGC32"/>
    <mergeCell ref="HGD32:HGT32"/>
    <mergeCell ref="HGU32:HHK32"/>
    <mergeCell ref="GZP32:HAF32"/>
    <mergeCell ref="HAG32:HAW32"/>
    <mergeCell ref="HAX32:HBN32"/>
    <mergeCell ref="HBO32:HCE32"/>
    <mergeCell ref="HCF32:HCV32"/>
    <mergeCell ref="HCW32:HDM32"/>
    <mergeCell ref="GVR32:GWH32"/>
    <mergeCell ref="GWI32:GWY32"/>
    <mergeCell ref="GWZ32:GXP32"/>
    <mergeCell ref="GXQ32:GYG32"/>
    <mergeCell ref="GYH32:GYX32"/>
    <mergeCell ref="GYY32:GZO32"/>
    <mergeCell ref="GRT32:GSJ32"/>
    <mergeCell ref="GSK32:GTA32"/>
    <mergeCell ref="GTB32:GTR32"/>
    <mergeCell ref="GTS32:GUI32"/>
    <mergeCell ref="GUJ32:GUZ32"/>
    <mergeCell ref="GVA32:GVQ32"/>
    <mergeCell ref="GNV32:GOL32"/>
    <mergeCell ref="GOM32:GPC32"/>
    <mergeCell ref="GPD32:GPT32"/>
    <mergeCell ref="GPU32:GQK32"/>
    <mergeCell ref="GQL32:GRB32"/>
    <mergeCell ref="GRC32:GRS32"/>
    <mergeCell ref="GJX32:GKN32"/>
    <mergeCell ref="GKO32:GLE32"/>
    <mergeCell ref="GLF32:GLV32"/>
    <mergeCell ref="GLW32:GMM32"/>
    <mergeCell ref="GMN32:GND32"/>
    <mergeCell ref="GNE32:GNU32"/>
    <mergeCell ref="GFZ32:GGP32"/>
    <mergeCell ref="GGQ32:GHG32"/>
    <mergeCell ref="GHH32:GHX32"/>
    <mergeCell ref="GHY32:GIO32"/>
    <mergeCell ref="GIP32:GJF32"/>
    <mergeCell ref="GJG32:GJW32"/>
    <mergeCell ref="GCB32:GCR32"/>
    <mergeCell ref="GCS32:GDI32"/>
    <mergeCell ref="GDJ32:GDZ32"/>
    <mergeCell ref="GEA32:GEQ32"/>
    <mergeCell ref="GER32:GFH32"/>
    <mergeCell ref="GFI32:GFY32"/>
    <mergeCell ref="FYD32:FYT32"/>
    <mergeCell ref="FYU32:FZK32"/>
    <mergeCell ref="FZL32:GAB32"/>
    <mergeCell ref="GAC32:GAS32"/>
    <mergeCell ref="GAT32:GBJ32"/>
    <mergeCell ref="GBK32:GCA32"/>
    <mergeCell ref="FUF32:FUV32"/>
    <mergeCell ref="FUW32:FVM32"/>
    <mergeCell ref="FVN32:FWD32"/>
    <mergeCell ref="FWE32:FWU32"/>
    <mergeCell ref="FWV32:FXL32"/>
    <mergeCell ref="FXM32:FYC32"/>
    <mergeCell ref="FQH32:FQX32"/>
    <mergeCell ref="FQY32:FRO32"/>
    <mergeCell ref="FRP32:FSF32"/>
    <mergeCell ref="FSG32:FSW32"/>
    <mergeCell ref="FSX32:FTN32"/>
    <mergeCell ref="FTO32:FUE32"/>
    <mergeCell ref="FMJ32:FMZ32"/>
    <mergeCell ref="FNA32:FNQ32"/>
    <mergeCell ref="FNR32:FOH32"/>
    <mergeCell ref="FOI32:FOY32"/>
    <mergeCell ref="FOZ32:FPP32"/>
    <mergeCell ref="FPQ32:FQG32"/>
    <mergeCell ref="FIL32:FJB32"/>
    <mergeCell ref="FJC32:FJS32"/>
    <mergeCell ref="FJT32:FKJ32"/>
    <mergeCell ref="FKK32:FLA32"/>
    <mergeCell ref="FLB32:FLR32"/>
    <mergeCell ref="FLS32:FMI32"/>
    <mergeCell ref="FEN32:FFD32"/>
    <mergeCell ref="FFE32:FFU32"/>
    <mergeCell ref="FFV32:FGL32"/>
    <mergeCell ref="FGM32:FHC32"/>
    <mergeCell ref="FHD32:FHT32"/>
    <mergeCell ref="FHU32:FIK32"/>
    <mergeCell ref="FAP32:FBF32"/>
    <mergeCell ref="FBG32:FBW32"/>
    <mergeCell ref="FBX32:FCN32"/>
    <mergeCell ref="FCO32:FDE32"/>
    <mergeCell ref="FDF32:FDV32"/>
    <mergeCell ref="FDW32:FEM32"/>
    <mergeCell ref="EWR32:EXH32"/>
    <mergeCell ref="EXI32:EXY32"/>
    <mergeCell ref="EXZ32:EYP32"/>
    <mergeCell ref="EYQ32:EZG32"/>
    <mergeCell ref="EZH32:EZX32"/>
    <mergeCell ref="EZY32:FAO32"/>
    <mergeCell ref="EST32:ETJ32"/>
    <mergeCell ref="ETK32:EUA32"/>
    <mergeCell ref="EUB32:EUR32"/>
    <mergeCell ref="EUS32:EVI32"/>
    <mergeCell ref="EVJ32:EVZ32"/>
    <mergeCell ref="EWA32:EWQ32"/>
    <mergeCell ref="EOV32:EPL32"/>
    <mergeCell ref="EPM32:EQC32"/>
    <mergeCell ref="EQD32:EQT32"/>
    <mergeCell ref="EQU32:ERK32"/>
    <mergeCell ref="ERL32:ESB32"/>
    <mergeCell ref="ESC32:ESS32"/>
    <mergeCell ref="EKX32:ELN32"/>
    <mergeCell ref="ELO32:EME32"/>
    <mergeCell ref="EMF32:EMV32"/>
    <mergeCell ref="EMW32:ENM32"/>
    <mergeCell ref="ENN32:EOD32"/>
    <mergeCell ref="EOE32:EOU32"/>
    <mergeCell ref="EGZ32:EHP32"/>
    <mergeCell ref="EHQ32:EIG32"/>
    <mergeCell ref="EIH32:EIX32"/>
    <mergeCell ref="EIY32:EJO32"/>
    <mergeCell ref="EJP32:EKF32"/>
    <mergeCell ref="EKG32:EKW32"/>
    <mergeCell ref="EDB32:EDR32"/>
    <mergeCell ref="EDS32:EEI32"/>
    <mergeCell ref="EEJ32:EEZ32"/>
    <mergeCell ref="EFA32:EFQ32"/>
    <mergeCell ref="EFR32:EGH32"/>
    <mergeCell ref="EGI32:EGY32"/>
    <mergeCell ref="DZD32:DZT32"/>
    <mergeCell ref="DZU32:EAK32"/>
    <mergeCell ref="EAL32:EBB32"/>
    <mergeCell ref="EBC32:EBS32"/>
    <mergeCell ref="EBT32:ECJ32"/>
    <mergeCell ref="ECK32:EDA32"/>
    <mergeCell ref="DVF32:DVV32"/>
    <mergeCell ref="DVW32:DWM32"/>
    <mergeCell ref="DWN32:DXD32"/>
    <mergeCell ref="DXE32:DXU32"/>
    <mergeCell ref="DXV32:DYL32"/>
    <mergeCell ref="DYM32:DZC32"/>
    <mergeCell ref="DRH32:DRX32"/>
    <mergeCell ref="DRY32:DSO32"/>
    <mergeCell ref="DSP32:DTF32"/>
    <mergeCell ref="DTG32:DTW32"/>
    <mergeCell ref="DTX32:DUN32"/>
    <mergeCell ref="DUO32:DVE32"/>
    <mergeCell ref="DNJ32:DNZ32"/>
    <mergeCell ref="DOA32:DOQ32"/>
    <mergeCell ref="DOR32:DPH32"/>
    <mergeCell ref="DPI32:DPY32"/>
    <mergeCell ref="DPZ32:DQP32"/>
    <mergeCell ref="DQQ32:DRG32"/>
    <mergeCell ref="DJL32:DKB32"/>
    <mergeCell ref="DKC32:DKS32"/>
    <mergeCell ref="DKT32:DLJ32"/>
    <mergeCell ref="DLK32:DMA32"/>
    <mergeCell ref="DMB32:DMR32"/>
    <mergeCell ref="DMS32:DNI32"/>
    <mergeCell ref="DFN32:DGD32"/>
    <mergeCell ref="DGE32:DGU32"/>
    <mergeCell ref="DGV32:DHL32"/>
    <mergeCell ref="DHM32:DIC32"/>
    <mergeCell ref="DID32:DIT32"/>
    <mergeCell ref="DIU32:DJK32"/>
    <mergeCell ref="DBP32:DCF32"/>
    <mergeCell ref="DCG32:DCW32"/>
    <mergeCell ref="DCX32:DDN32"/>
    <mergeCell ref="DDO32:DEE32"/>
    <mergeCell ref="DEF32:DEV32"/>
    <mergeCell ref="DEW32:DFM32"/>
    <mergeCell ref="CXR32:CYH32"/>
    <mergeCell ref="CYI32:CYY32"/>
    <mergeCell ref="CYZ32:CZP32"/>
    <mergeCell ref="CZQ32:DAG32"/>
    <mergeCell ref="DAH32:DAX32"/>
    <mergeCell ref="DAY32:DBO32"/>
    <mergeCell ref="CTT32:CUJ32"/>
    <mergeCell ref="CUK32:CVA32"/>
    <mergeCell ref="CVB32:CVR32"/>
    <mergeCell ref="CVS32:CWI32"/>
    <mergeCell ref="CWJ32:CWZ32"/>
    <mergeCell ref="CXA32:CXQ32"/>
    <mergeCell ref="CPV32:CQL32"/>
    <mergeCell ref="CQM32:CRC32"/>
    <mergeCell ref="CRD32:CRT32"/>
    <mergeCell ref="CRU32:CSK32"/>
    <mergeCell ref="CSL32:CTB32"/>
    <mergeCell ref="CTC32:CTS32"/>
    <mergeCell ref="CLX32:CMN32"/>
    <mergeCell ref="CMO32:CNE32"/>
    <mergeCell ref="CNF32:CNV32"/>
    <mergeCell ref="CNW32:COM32"/>
    <mergeCell ref="CON32:CPD32"/>
    <mergeCell ref="CPE32:CPU32"/>
    <mergeCell ref="CHZ32:CIP32"/>
    <mergeCell ref="CIQ32:CJG32"/>
    <mergeCell ref="CJH32:CJX32"/>
    <mergeCell ref="CJY32:CKO32"/>
    <mergeCell ref="CKP32:CLF32"/>
    <mergeCell ref="CLG32:CLW32"/>
    <mergeCell ref="CEB32:CER32"/>
    <mergeCell ref="CES32:CFI32"/>
    <mergeCell ref="CFJ32:CFZ32"/>
    <mergeCell ref="CGA32:CGQ32"/>
    <mergeCell ref="CGR32:CHH32"/>
    <mergeCell ref="CHI32:CHY32"/>
    <mergeCell ref="CAD32:CAT32"/>
    <mergeCell ref="CAU32:CBK32"/>
    <mergeCell ref="CBL32:CCB32"/>
    <mergeCell ref="CCC32:CCS32"/>
    <mergeCell ref="CCT32:CDJ32"/>
    <mergeCell ref="CDK32:CEA32"/>
    <mergeCell ref="BWF32:BWV32"/>
    <mergeCell ref="BWW32:BXM32"/>
    <mergeCell ref="BXN32:BYD32"/>
    <mergeCell ref="BYE32:BYU32"/>
    <mergeCell ref="BYV32:BZL32"/>
    <mergeCell ref="BZM32:CAC32"/>
    <mergeCell ref="BSH32:BSX32"/>
    <mergeCell ref="BSY32:BTO32"/>
    <mergeCell ref="BTP32:BUF32"/>
    <mergeCell ref="BUG32:BUW32"/>
    <mergeCell ref="BUX32:BVN32"/>
    <mergeCell ref="BVO32:BWE32"/>
    <mergeCell ref="BOJ32:BOZ32"/>
    <mergeCell ref="BPA32:BPQ32"/>
    <mergeCell ref="BPR32:BQH32"/>
    <mergeCell ref="BQI32:BQY32"/>
    <mergeCell ref="BQZ32:BRP32"/>
    <mergeCell ref="BRQ32:BSG32"/>
    <mergeCell ref="BKL32:BLB32"/>
    <mergeCell ref="BLC32:BLS32"/>
    <mergeCell ref="BLT32:BMJ32"/>
    <mergeCell ref="BMK32:BNA32"/>
    <mergeCell ref="BNB32:BNR32"/>
    <mergeCell ref="BNS32:BOI32"/>
    <mergeCell ref="BGN32:BHD32"/>
    <mergeCell ref="BHE32:BHU32"/>
    <mergeCell ref="BHV32:BIL32"/>
    <mergeCell ref="BIM32:BJC32"/>
    <mergeCell ref="BJD32:BJT32"/>
    <mergeCell ref="BJU32:BKK32"/>
    <mergeCell ref="BCP32:BDF32"/>
    <mergeCell ref="BDG32:BDW32"/>
    <mergeCell ref="BDX32:BEN32"/>
    <mergeCell ref="BEO32:BFE32"/>
    <mergeCell ref="BFF32:BFV32"/>
    <mergeCell ref="BFW32:BGM32"/>
    <mergeCell ref="AYR32:AZH32"/>
    <mergeCell ref="AZI32:AZY32"/>
    <mergeCell ref="AZZ32:BAP32"/>
    <mergeCell ref="BAQ32:BBG32"/>
    <mergeCell ref="BBH32:BBX32"/>
    <mergeCell ref="BBY32:BCO32"/>
    <mergeCell ref="AUT32:AVJ32"/>
    <mergeCell ref="AVK32:AWA32"/>
    <mergeCell ref="AWB32:AWR32"/>
    <mergeCell ref="AWS32:AXI32"/>
    <mergeCell ref="AXJ32:AXZ32"/>
    <mergeCell ref="AYA32:AYQ32"/>
    <mergeCell ref="AQV32:ARL32"/>
    <mergeCell ref="ARM32:ASC32"/>
    <mergeCell ref="ASD32:AST32"/>
    <mergeCell ref="ASU32:ATK32"/>
    <mergeCell ref="ATL32:AUB32"/>
    <mergeCell ref="AUC32:AUS32"/>
    <mergeCell ref="AMX32:ANN32"/>
    <mergeCell ref="ANO32:AOE32"/>
    <mergeCell ref="AOF32:AOV32"/>
    <mergeCell ref="AOW32:APM32"/>
    <mergeCell ref="APN32:AQD32"/>
    <mergeCell ref="AQE32:AQU32"/>
    <mergeCell ref="AIZ32:AJP32"/>
    <mergeCell ref="AJQ32:AKG32"/>
    <mergeCell ref="AKH32:AKX32"/>
    <mergeCell ref="AKY32:ALO32"/>
    <mergeCell ref="ALP32:AMF32"/>
    <mergeCell ref="AMG32:AMW32"/>
    <mergeCell ref="AFB32:AFR32"/>
    <mergeCell ref="AFS32:AGI32"/>
    <mergeCell ref="AGJ32:AGZ32"/>
    <mergeCell ref="AHA32:AHQ32"/>
    <mergeCell ref="AHR32:AIH32"/>
    <mergeCell ref="AII32:AIY32"/>
    <mergeCell ref="ABD32:ABT32"/>
    <mergeCell ref="ABU32:ACK32"/>
    <mergeCell ref="ACL32:ADB32"/>
    <mergeCell ref="ADC32:ADS32"/>
    <mergeCell ref="ADT32:AEJ32"/>
    <mergeCell ref="AEK32:AFA32"/>
    <mergeCell ref="XF32:XV32"/>
    <mergeCell ref="XW32:YM32"/>
    <mergeCell ref="YN32:ZD32"/>
    <mergeCell ref="ZE32:ZU32"/>
    <mergeCell ref="ZV32:AAL32"/>
    <mergeCell ref="AAM32:ABC32"/>
    <mergeCell ref="TH32:TX32"/>
    <mergeCell ref="TY32:UO32"/>
    <mergeCell ref="UP32:VF32"/>
    <mergeCell ref="VG32:VW32"/>
    <mergeCell ref="VX32:WN32"/>
    <mergeCell ref="WO32:XE32"/>
    <mergeCell ref="PJ32:PZ32"/>
    <mergeCell ref="QA32:QQ32"/>
    <mergeCell ref="QR32:RH32"/>
    <mergeCell ref="RI32:RY32"/>
    <mergeCell ref="RZ32:SP32"/>
    <mergeCell ref="SQ32:TG32"/>
    <mergeCell ref="LL32:MB32"/>
    <mergeCell ref="MC32:MS32"/>
    <mergeCell ref="MT32:NJ32"/>
    <mergeCell ref="NK32:OA32"/>
    <mergeCell ref="OB32:OR32"/>
    <mergeCell ref="OS32:PI32"/>
    <mergeCell ref="HN32:ID32"/>
    <mergeCell ref="IE32:IU32"/>
    <mergeCell ref="IV32:JL32"/>
    <mergeCell ref="JM32:KC32"/>
    <mergeCell ref="KD32:KT32"/>
    <mergeCell ref="KU32:LK32"/>
    <mergeCell ref="DP32:EF32"/>
    <mergeCell ref="EG32:EW32"/>
    <mergeCell ref="EX32:FN32"/>
    <mergeCell ref="FO32:GE32"/>
    <mergeCell ref="GF32:GV32"/>
    <mergeCell ref="GW32:HM32"/>
    <mergeCell ref="XDJ31:XDZ31"/>
    <mergeCell ref="XEA31:XEQ31"/>
    <mergeCell ref="XER31:XFD31"/>
    <mergeCell ref="A32:Q32"/>
    <mergeCell ref="R32:AH32"/>
    <mergeCell ref="AI32:AY32"/>
    <mergeCell ref="AZ32:BP32"/>
    <mergeCell ref="BQ32:CG32"/>
    <mergeCell ref="CH32:CX32"/>
    <mergeCell ref="CY32:DO32"/>
    <mergeCell ref="WZL31:XAB31"/>
    <mergeCell ref="XAC31:XAS31"/>
    <mergeCell ref="XAT31:XBJ31"/>
    <mergeCell ref="XBK31:XCA31"/>
    <mergeCell ref="XCB31:XCR31"/>
    <mergeCell ref="XCS31:XDI31"/>
    <mergeCell ref="WVN31:WWD31"/>
    <mergeCell ref="WWE31:WWU31"/>
    <mergeCell ref="WWV31:WXL31"/>
    <mergeCell ref="WXM31:WYC31"/>
    <mergeCell ref="WYD31:WYT31"/>
    <mergeCell ref="WYU31:WZK31"/>
    <mergeCell ref="WRP31:WSF31"/>
    <mergeCell ref="WSG31:WSW31"/>
    <mergeCell ref="WSX31:WTN31"/>
    <mergeCell ref="WTO31:WUE31"/>
    <mergeCell ref="WUF31:WUV31"/>
    <mergeCell ref="WUW31:WVM31"/>
    <mergeCell ref="WNR31:WOH31"/>
    <mergeCell ref="WOI31:WOY31"/>
    <mergeCell ref="WOZ31:WPP31"/>
    <mergeCell ref="WPQ31:WQG31"/>
    <mergeCell ref="WQH31:WQX31"/>
    <mergeCell ref="WQY31:WRO31"/>
    <mergeCell ref="WJT31:WKJ31"/>
    <mergeCell ref="WKK31:WLA31"/>
    <mergeCell ref="WLB31:WLR31"/>
    <mergeCell ref="WLS31:WMI31"/>
    <mergeCell ref="WMJ31:WMZ31"/>
    <mergeCell ref="WNA31:WNQ31"/>
    <mergeCell ref="WFV31:WGL31"/>
    <mergeCell ref="WGM31:WHC31"/>
    <mergeCell ref="WHD31:WHT31"/>
    <mergeCell ref="WHU31:WIK31"/>
    <mergeCell ref="WIL31:WJB31"/>
    <mergeCell ref="WJC31:WJS31"/>
    <mergeCell ref="WBX31:WCN31"/>
    <mergeCell ref="WCO31:WDE31"/>
    <mergeCell ref="WDF31:WDV31"/>
    <mergeCell ref="WDW31:WEM31"/>
    <mergeCell ref="WEN31:WFD31"/>
    <mergeCell ref="WFE31:WFU31"/>
    <mergeCell ref="VXZ31:VYP31"/>
    <mergeCell ref="VYQ31:VZG31"/>
    <mergeCell ref="VZH31:VZX31"/>
    <mergeCell ref="VZY31:WAO31"/>
    <mergeCell ref="WAP31:WBF31"/>
    <mergeCell ref="WBG31:WBW31"/>
    <mergeCell ref="VUB31:VUR31"/>
    <mergeCell ref="VUS31:VVI31"/>
    <mergeCell ref="VVJ31:VVZ31"/>
    <mergeCell ref="VWA31:VWQ31"/>
    <mergeCell ref="VWR31:VXH31"/>
    <mergeCell ref="VXI31:VXY31"/>
    <mergeCell ref="VQD31:VQT31"/>
    <mergeCell ref="VQU31:VRK31"/>
    <mergeCell ref="VRL31:VSB31"/>
    <mergeCell ref="VSC31:VSS31"/>
    <mergeCell ref="VST31:VTJ31"/>
    <mergeCell ref="VTK31:VUA31"/>
    <mergeCell ref="VMF31:VMV31"/>
    <mergeCell ref="VMW31:VNM31"/>
    <mergeCell ref="VNN31:VOD31"/>
    <mergeCell ref="VOE31:VOU31"/>
    <mergeCell ref="VOV31:VPL31"/>
    <mergeCell ref="VPM31:VQC31"/>
    <mergeCell ref="VIH31:VIX31"/>
    <mergeCell ref="VIY31:VJO31"/>
    <mergeCell ref="VJP31:VKF31"/>
    <mergeCell ref="VKG31:VKW31"/>
    <mergeCell ref="VKX31:VLN31"/>
    <mergeCell ref="VLO31:VME31"/>
    <mergeCell ref="VEJ31:VEZ31"/>
    <mergeCell ref="VFA31:VFQ31"/>
    <mergeCell ref="VFR31:VGH31"/>
    <mergeCell ref="VGI31:VGY31"/>
    <mergeCell ref="VGZ31:VHP31"/>
    <mergeCell ref="VHQ31:VIG31"/>
    <mergeCell ref="VAL31:VBB31"/>
    <mergeCell ref="VBC31:VBS31"/>
    <mergeCell ref="VBT31:VCJ31"/>
    <mergeCell ref="VCK31:VDA31"/>
    <mergeCell ref="VDB31:VDR31"/>
    <mergeCell ref="VDS31:VEI31"/>
    <mergeCell ref="UWN31:UXD31"/>
    <mergeCell ref="UXE31:UXU31"/>
    <mergeCell ref="UXV31:UYL31"/>
    <mergeCell ref="UYM31:UZC31"/>
    <mergeCell ref="UZD31:UZT31"/>
    <mergeCell ref="UZU31:VAK31"/>
    <mergeCell ref="USP31:UTF31"/>
    <mergeCell ref="UTG31:UTW31"/>
    <mergeCell ref="UTX31:UUN31"/>
    <mergeCell ref="UUO31:UVE31"/>
    <mergeCell ref="UVF31:UVV31"/>
    <mergeCell ref="UVW31:UWM31"/>
    <mergeCell ref="UOR31:UPH31"/>
    <mergeCell ref="UPI31:UPY31"/>
    <mergeCell ref="UPZ31:UQP31"/>
    <mergeCell ref="UQQ31:URG31"/>
    <mergeCell ref="URH31:URX31"/>
    <mergeCell ref="URY31:USO31"/>
    <mergeCell ref="UKT31:ULJ31"/>
    <mergeCell ref="ULK31:UMA31"/>
    <mergeCell ref="UMB31:UMR31"/>
    <mergeCell ref="UMS31:UNI31"/>
    <mergeCell ref="UNJ31:UNZ31"/>
    <mergeCell ref="UOA31:UOQ31"/>
    <mergeCell ref="UGV31:UHL31"/>
    <mergeCell ref="UHM31:UIC31"/>
    <mergeCell ref="UID31:UIT31"/>
    <mergeCell ref="UIU31:UJK31"/>
    <mergeCell ref="UJL31:UKB31"/>
    <mergeCell ref="UKC31:UKS31"/>
    <mergeCell ref="UCX31:UDN31"/>
    <mergeCell ref="UDO31:UEE31"/>
    <mergeCell ref="UEF31:UEV31"/>
    <mergeCell ref="UEW31:UFM31"/>
    <mergeCell ref="UFN31:UGD31"/>
    <mergeCell ref="UGE31:UGU31"/>
    <mergeCell ref="TYZ31:TZP31"/>
    <mergeCell ref="TZQ31:UAG31"/>
    <mergeCell ref="UAH31:UAX31"/>
    <mergeCell ref="UAY31:UBO31"/>
    <mergeCell ref="UBP31:UCF31"/>
    <mergeCell ref="UCG31:UCW31"/>
    <mergeCell ref="TVB31:TVR31"/>
    <mergeCell ref="TVS31:TWI31"/>
    <mergeCell ref="TWJ31:TWZ31"/>
    <mergeCell ref="TXA31:TXQ31"/>
    <mergeCell ref="TXR31:TYH31"/>
    <mergeCell ref="TYI31:TYY31"/>
    <mergeCell ref="TRD31:TRT31"/>
    <mergeCell ref="TRU31:TSK31"/>
    <mergeCell ref="TSL31:TTB31"/>
    <mergeCell ref="TTC31:TTS31"/>
    <mergeCell ref="TTT31:TUJ31"/>
    <mergeCell ref="TUK31:TVA31"/>
    <mergeCell ref="TNF31:TNV31"/>
    <mergeCell ref="TNW31:TOM31"/>
    <mergeCell ref="TON31:TPD31"/>
    <mergeCell ref="TPE31:TPU31"/>
    <mergeCell ref="TPV31:TQL31"/>
    <mergeCell ref="TQM31:TRC31"/>
    <mergeCell ref="TJH31:TJX31"/>
    <mergeCell ref="TJY31:TKO31"/>
    <mergeCell ref="TKP31:TLF31"/>
    <mergeCell ref="TLG31:TLW31"/>
    <mergeCell ref="TLX31:TMN31"/>
    <mergeCell ref="TMO31:TNE31"/>
    <mergeCell ref="TFJ31:TFZ31"/>
    <mergeCell ref="TGA31:TGQ31"/>
    <mergeCell ref="TGR31:THH31"/>
    <mergeCell ref="THI31:THY31"/>
    <mergeCell ref="THZ31:TIP31"/>
    <mergeCell ref="TIQ31:TJG31"/>
    <mergeCell ref="TBL31:TCB31"/>
    <mergeCell ref="TCC31:TCS31"/>
    <mergeCell ref="TCT31:TDJ31"/>
    <mergeCell ref="TDK31:TEA31"/>
    <mergeCell ref="TEB31:TER31"/>
    <mergeCell ref="TES31:TFI31"/>
    <mergeCell ref="SXN31:SYD31"/>
    <mergeCell ref="SYE31:SYU31"/>
    <mergeCell ref="SYV31:SZL31"/>
    <mergeCell ref="SZM31:TAC31"/>
    <mergeCell ref="TAD31:TAT31"/>
    <mergeCell ref="TAU31:TBK31"/>
    <mergeCell ref="STP31:SUF31"/>
    <mergeCell ref="SUG31:SUW31"/>
    <mergeCell ref="SUX31:SVN31"/>
    <mergeCell ref="SVO31:SWE31"/>
    <mergeCell ref="SWF31:SWV31"/>
    <mergeCell ref="SWW31:SXM31"/>
    <mergeCell ref="SPR31:SQH31"/>
    <mergeCell ref="SQI31:SQY31"/>
    <mergeCell ref="SQZ31:SRP31"/>
    <mergeCell ref="SRQ31:SSG31"/>
    <mergeCell ref="SSH31:SSX31"/>
    <mergeCell ref="SSY31:STO31"/>
    <mergeCell ref="SLT31:SMJ31"/>
    <mergeCell ref="SMK31:SNA31"/>
    <mergeCell ref="SNB31:SNR31"/>
    <mergeCell ref="SNS31:SOI31"/>
    <mergeCell ref="SOJ31:SOZ31"/>
    <mergeCell ref="SPA31:SPQ31"/>
    <mergeCell ref="SHV31:SIL31"/>
    <mergeCell ref="SIM31:SJC31"/>
    <mergeCell ref="SJD31:SJT31"/>
    <mergeCell ref="SJU31:SKK31"/>
    <mergeCell ref="SKL31:SLB31"/>
    <mergeCell ref="SLC31:SLS31"/>
    <mergeCell ref="SDX31:SEN31"/>
    <mergeCell ref="SEO31:SFE31"/>
    <mergeCell ref="SFF31:SFV31"/>
    <mergeCell ref="SFW31:SGM31"/>
    <mergeCell ref="SGN31:SHD31"/>
    <mergeCell ref="SHE31:SHU31"/>
    <mergeCell ref="RZZ31:SAP31"/>
    <mergeCell ref="SAQ31:SBG31"/>
    <mergeCell ref="SBH31:SBX31"/>
    <mergeCell ref="SBY31:SCO31"/>
    <mergeCell ref="SCP31:SDF31"/>
    <mergeCell ref="SDG31:SDW31"/>
    <mergeCell ref="RWB31:RWR31"/>
    <mergeCell ref="RWS31:RXI31"/>
    <mergeCell ref="RXJ31:RXZ31"/>
    <mergeCell ref="RYA31:RYQ31"/>
    <mergeCell ref="RYR31:RZH31"/>
    <mergeCell ref="RZI31:RZY31"/>
    <mergeCell ref="RSD31:RST31"/>
    <mergeCell ref="RSU31:RTK31"/>
    <mergeCell ref="RTL31:RUB31"/>
    <mergeCell ref="RUC31:RUS31"/>
    <mergeCell ref="RUT31:RVJ31"/>
    <mergeCell ref="RVK31:RWA31"/>
    <mergeCell ref="ROF31:ROV31"/>
    <mergeCell ref="ROW31:RPM31"/>
    <mergeCell ref="RPN31:RQD31"/>
    <mergeCell ref="RQE31:RQU31"/>
    <mergeCell ref="RQV31:RRL31"/>
    <mergeCell ref="RRM31:RSC31"/>
    <mergeCell ref="RKH31:RKX31"/>
    <mergeCell ref="RKY31:RLO31"/>
    <mergeCell ref="RLP31:RMF31"/>
    <mergeCell ref="RMG31:RMW31"/>
    <mergeCell ref="RMX31:RNN31"/>
    <mergeCell ref="RNO31:ROE31"/>
    <mergeCell ref="RGJ31:RGZ31"/>
    <mergeCell ref="RHA31:RHQ31"/>
    <mergeCell ref="RHR31:RIH31"/>
    <mergeCell ref="RII31:RIY31"/>
    <mergeCell ref="RIZ31:RJP31"/>
    <mergeCell ref="RJQ31:RKG31"/>
    <mergeCell ref="RCL31:RDB31"/>
    <mergeCell ref="RDC31:RDS31"/>
    <mergeCell ref="RDT31:REJ31"/>
    <mergeCell ref="REK31:RFA31"/>
    <mergeCell ref="RFB31:RFR31"/>
    <mergeCell ref="RFS31:RGI31"/>
    <mergeCell ref="QYN31:QZD31"/>
    <mergeCell ref="QZE31:QZU31"/>
    <mergeCell ref="QZV31:RAL31"/>
    <mergeCell ref="RAM31:RBC31"/>
    <mergeCell ref="RBD31:RBT31"/>
    <mergeCell ref="RBU31:RCK31"/>
    <mergeCell ref="QUP31:QVF31"/>
    <mergeCell ref="QVG31:QVW31"/>
    <mergeCell ref="QVX31:QWN31"/>
    <mergeCell ref="QWO31:QXE31"/>
    <mergeCell ref="QXF31:QXV31"/>
    <mergeCell ref="QXW31:QYM31"/>
    <mergeCell ref="QQR31:QRH31"/>
    <mergeCell ref="QRI31:QRY31"/>
    <mergeCell ref="QRZ31:QSP31"/>
    <mergeCell ref="QSQ31:QTG31"/>
    <mergeCell ref="QTH31:QTX31"/>
    <mergeCell ref="QTY31:QUO31"/>
    <mergeCell ref="QMT31:QNJ31"/>
    <mergeCell ref="QNK31:QOA31"/>
    <mergeCell ref="QOB31:QOR31"/>
    <mergeCell ref="QOS31:QPI31"/>
    <mergeCell ref="QPJ31:QPZ31"/>
    <mergeCell ref="QQA31:QQQ31"/>
    <mergeCell ref="QIV31:QJL31"/>
    <mergeCell ref="QJM31:QKC31"/>
    <mergeCell ref="QKD31:QKT31"/>
    <mergeCell ref="QKU31:QLK31"/>
    <mergeCell ref="QLL31:QMB31"/>
    <mergeCell ref="QMC31:QMS31"/>
    <mergeCell ref="QEX31:QFN31"/>
    <mergeCell ref="QFO31:QGE31"/>
    <mergeCell ref="QGF31:QGV31"/>
    <mergeCell ref="QGW31:QHM31"/>
    <mergeCell ref="QHN31:QID31"/>
    <mergeCell ref="QIE31:QIU31"/>
    <mergeCell ref="QAZ31:QBP31"/>
    <mergeCell ref="QBQ31:QCG31"/>
    <mergeCell ref="QCH31:QCX31"/>
    <mergeCell ref="QCY31:QDO31"/>
    <mergeCell ref="QDP31:QEF31"/>
    <mergeCell ref="QEG31:QEW31"/>
    <mergeCell ref="PXB31:PXR31"/>
    <mergeCell ref="PXS31:PYI31"/>
    <mergeCell ref="PYJ31:PYZ31"/>
    <mergeCell ref="PZA31:PZQ31"/>
    <mergeCell ref="PZR31:QAH31"/>
    <mergeCell ref="QAI31:QAY31"/>
    <mergeCell ref="PTD31:PTT31"/>
    <mergeCell ref="PTU31:PUK31"/>
    <mergeCell ref="PUL31:PVB31"/>
    <mergeCell ref="PVC31:PVS31"/>
    <mergeCell ref="PVT31:PWJ31"/>
    <mergeCell ref="PWK31:PXA31"/>
    <mergeCell ref="PPF31:PPV31"/>
    <mergeCell ref="PPW31:PQM31"/>
    <mergeCell ref="PQN31:PRD31"/>
    <mergeCell ref="PRE31:PRU31"/>
    <mergeCell ref="PRV31:PSL31"/>
    <mergeCell ref="PSM31:PTC31"/>
    <mergeCell ref="PLH31:PLX31"/>
    <mergeCell ref="PLY31:PMO31"/>
    <mergeCell ref="PMP31:PNF31"/>
    <mergeCell ref="PNG31:PNW31"/>
    <mergeCell ref="PNX31:PON31"/>
    <mergeCell ref="POO31:PPE31"/>
    <mergeCell ref="PHJ31:PHZ31"/>
    <mergeCell ref="PIA31:PIQ31"/>
    <mergeCell ref="PIR31:PJH31"/>
    <mergeCell ref="PJI31:PJY31"/>
    <mergeCell ref="PJZ31:PKP31"/>
    <mergeCell ref="PKQ31:PLG31"/>
    <mergeCell ref="PDL31:PEB31"/>
    <mergeCell ref="PEC31:PES31"/>
    <mergeCell ref="PET31:PFJ31"/>
    <mergeCell ref="PFK31:PGA31"/>
    <mergeCell ref="PGB31:PGR31"/>
    <mergeCell ref="PGS31:PHI31"/>
    <mergeCell ref="OZN31:PAD31"/>
    <mergeCell ref="PAE31:PAU31"/>
    <mergeCell ref="PAV31:PBL31"/>
    <mergeCell ref="PBM31:PCC31"/>
    <mergeCell ref="PCD31:PCT31"/>
    <mergeCell ref="PCU31:PDK31"/>
    <mergeCell ref="OVP31:OWF31"/>
    <mergeCell ref="OWG31:OWW31"/>
    <mergeCell ref="OWX31:OXN31"/>
    <mergeCell ref="OXO31:OYE31"/>
    <mergeCell ref="OYF31:OYV31"/>
    <mergeCell ref="OYW31:OZM31"/>
    <mergeCell ref="ORR31:OSH31"/>
    <mergeCell ref="OSI31:OSY31"/>
    <mergeCell ref="OSZ31:OTP31"/>
    <mergeCell ref="OTQ31:OUG31"/>
    <mergeCell ref="OUH31:OUX31"/>
    <mergeCell ref="OUY31:OVO31"/>
    <mergeCell ref="ONT31:OOJ31"/>
    <mergeCell ref="OOK31:OPA31"/>
    <mergeCell ref="OPB31:OPR31"/>
    <mergeCell ref="OPS31:OQI31"/>
    <mergeCell ref="OQJ31:OQZ31"/>
    <mergeCell ref="ORA31:ORQ31"/>
    <mergeCell ref="OJV31:OKL31"/>
    <mergeCell ref="OKM31:OLC31"/>
    <mergeCell ref="OLD31:OLT31"/>
    <mergeCell ref="OLU31:OMK31"/>
    <mergeCell ref="OML31:ONB31"/>
    <mergeCell ref="ONC31:ONS31"/>
    <mergeCell ref="OFX31:OGN31"/>
    <mergeCell ref="OGO31:OHE31"/>
    <mergeCell ref="OHF31:OHV31"/>
    <mergeCell ref="OHW31:OIM31"/>
    <mergeCell ref="OIN31:OJD31"/>
    <mergeCell ref="OJE31:OJU31"/>
    <mergeCell ref="OBZ31:OCP31"/>
    <mergeCell ref="OCQ31:ODG31"/>
    <mergeCell ref="ODH31:ODX31"/>
    <mergeCell ref="ODY31:OEO31"/>
    <mergeCell ref="OEP31:OFF31"/>
    <mergeCell ref="OFG31:OFW31"/>
    <mergeCell ref="NYB31:NYR31"/>
    <mergeCell ref="NYS31:NZI31"/>
    <mergeCell ref="NZJ31:NZZ31"/>
    <mergeCell ref="OAA31:OAQ31"/>
    <mergeCell ref="OAR31:OBH31"/>
    <mergeCell ref="OBI31:OBY31"/>
    <mergeCell ref="NUD31:NUT31"/>
    <mergeCell ref="NUU31:NVK31"/>
    <mergeCell ref="NVL31:NWB31"/>
    <mergeCell ref="NWC31:NWS31"/>
    <mergeCell ref="NWT31:NXJ31"/>
    <mergeCell ref="NXK31:NYA31"/>
    <mergeCell ref="NQF31:NQV31"/>
    <mergeCell ref="NQW31:NRM31"/>
    <mergeCell ref="NRN31:NSD31"/>
    <mergeCell ref="NSE31:NSU31"/>
    <mergeCell ref="NSV31:NTL31"/>
    <mergeCell ref="NTM31:NUC31"/>
    <mergeCell ref="NMH31:NMX31"/>
    <mergeCell ref="NMY31:NNO31"/>
    <mergeCell ref="NNP31:NOF31"/>
    <mergeCell ref="NOG31:NOW31"/>
    <mergeCell ref="NOX31:NPN31"/>
    <mergeCell ref="NPO31:NQE31"/>
    <mergeCell ref="NIJ31:NIZ31"/>
    <mergeCell ref="NJA31:NJQ31"/>
    <mergeCell ref="NJR31:NKH31"/>
    <mergeCell ref="NKI31:NKY31"/>
    <mergeCell ref="NKZ31:NLP31"/>
    <mergeCell ref="NLQ31:NMG31"/>
    <mergeCell ref="NEL31:NFB31"/>
    <mergeCell ref="NFC31:NFS31"/>
    <mergeCell ref="NFT31:NGJ31"/>
    <mergeCell ref="NGK31:NHA31"/>
    <mergeCell ref="NHB31:NHR31"/>
    <mergeCell ref="NHS31:NII31"/>
    <mergeCell ref="NAN31:NBD31"/>
    <mergeCell ref="NBE31:NBU31"/>
    <mergeCell ref="NBV31:NCL31"/>
    <mergeCell ref="NCM31:NDC31"/>
    <mergeCell ref="NDD31:NDT31"/>
    <mergeCell ref="NDU31:NEK31"/>
    <mergeCell ref="MWP31:MXF31"/>
    <mergeCell ref="MXG31:MXW31"/>
    <mergeCell ref="MXX31:MYN31"/>
    <mergeCell ref="MYO31:MZE31"/>
    <mergeCell ref="MZF31:MZV31"/>
    <mergeCell ref="MZW31:NAM31"/>
    <mergeCell ref="MSR31:MTH31"/>
    <mergeCell ref="MTI31:MTY31"/>
    <mergeCell ref="MTZ31:MUP31"/>
    <mergeCell ref="MUQ31:MVG31"/>
    <mergeCell ref="MVH31:MVX31"/>
    <mergeCell ref="MVY31:MWO31"/>
    <mergeCell ref="MOT31:MPJ31"/>
    <mergeCell ref="MPK31:MQA31"/>
    <mergeCell ref="MQB31:MQR31"/>
    <mergeCell ref="MQS31:MRI31"/>
    <mergeCell ref="MRJ31:MRZ31"/>
    <mergeCell ref="MSA31:MSQ31"/>
    <mergeCell ref="MKV31:MLL31"/>
    <mergeCell ref="MLM31:MMC31"/>
    <mergeCell ref="MMD31:MMT31"/>
    <mergeCell ref="MMU31:MNK31"/>
    <mergeCell ref="MNL31:MOB31"/>
    <mergeCell ref="MOC31:MOS31"/>
    <mergeCell ref="MGX31:MHN31"/>
    <mergeCell ref="MHO31:MIE31"/>
    <mergeCell ref="MIF31:MIV31"/>
    <mergeCell ref="MIW31:MJM31"/>
    <mergeCell ref="MJN31:MKD31"/>
    <mergeCell ref="MKE31:MKU31"/>
    <mergeCell ref="MCZ31:MDP31"/>
    <mergeCell ref="MDQ31:MEG31"/>
    <mergeCell ref="MEH31:MEX31"/>
    <mergeCell ref="MEY31:MFO31"/>
    <mergeCell ref="MFP31:MGF31"/>
    <mergeCell ref="MGG31:MGW31"/>
    <mergeCell ref="LZB31:LZR31"/>
    <mergeCell ref="LZS31:MAI31"/>
    <mergeCell ref="MAJ31:MAZ31"/>
    <mergeCell ref="MBA31:MBQ31"/>
    <mergeCell ref="MBR31:MCH31"/>
    <mergeCell ref="MCI31:MCY31"/>
    <mergeCell ref="LVD31:LVT31"/>
    <mergeCell ref="LVU31:LWK31"/>
    <mergeCell ref="LWL31:LXB31"/>
    <mergeCell ref="LXC31:LXS31"/>
    <mergeCell ref="LXT31:LYJ31"/>
    <mergeCell ref="LYK31:LZA31"/>
    <mergeCell ref="LRF31:LRV31"/>
    <mergeCell ref="LRW31:LSM31"/>
    <mergeCell ref="LSN31:LTD31"/>
    <mergeCell ref="LTE31:LTU31"/>
    <mergeCell ref="LTV31:LUL31"/>
    <mergeCell ref="LUM31:LVC31"/>
    <mergeCell ref="LNH31:LNX31"/>
    <mergeCell ref="LNY31:LOO31"/>
    <mergeCell ref="LOP31:LPF31"/>
    <mergeCell ref="LPG31:LPW31"/>
    <mergeCell ref="LPX31:LQN31"/>
    <mergeCell ref="LQO31:LRE31"/>
    <mergeCell ref="LJJ31:LJZ31"/>
    <mergeCell ref="LKA31:LKQ31"/>
    <mergeCell ref="LKR31:LLH31"/>
    <mergeCell ref="LLI31:LLY31"/>
    <mergeCell ref="LLZ31:LMP31"/>
    <mergeCell ref="LMQ31:LNG31"/>
    <mergeCell ref="LFL31:LGB31"/>
    <mergeCell ref="LGC31:LGS31"/>
    <mergeCell ref="LGT31:LHJ31"/>
    <mergeCell ref="LHK31:LIA31"/>
    <mergeCell ref="LIB31:LIR31"/>
    <mergeCell ref="LIS31:LJI31"/>
    <mergeCell ref="LBN31:LCD31"/>
    <mergeCell ref="LCE31:LCU31"/>
    <mergeCell ref="LCV31:LDL31"/>
    <mergeCell ref="LDM31:LEC31"/>
    <mergeCell ref="LED31:LET31"/>
    <mergeCell ref="LEU31:LFK31"/>
    <mergeCell ref="KXP31:KYF31"/>
    <mergeCell ref="KYG31:KYW31"/>
    <mergeCell ref="KYX31:KZN31"/>
    <mergeCell ref="KZO31:LAE31"/>
    <mergeCell ref="LAF31:LAV31"/>
    <mergeCell ref="LAW31:LBM31"/>
    <mergeCell ref="KTR31:KUH31"/>
    <mergeCell ref="KUI31:KUY31"/>
    <mergeCell ref="KUZ31:KVP31"/>
    <mergeCell ref="KVQ31:KWG31"/>
    <mergeCell ref="KWH31:KWX31"/>
    <mergeCell ref="KWY31:KXO31"/>
    <mergeCell ref="KPT31:KQJ31"/>
    <mergeCell ref="KQK31:KRA31"/>
    <mergeCell ref="KRB31:KRR31"/>
    <mergeCell ref="KRS31:KSI31"/>
    <mergeCell ref="KSJ31:KSZ31"/>
    <mergeCell ref="KTA31:KTQ31"/>
    <mergeCell ref="KLV31:KML31"/>
    <mergeCell ref="KMM31:KNC31"/>
    <mergeCell ref="KND31:KNT31"/>
    <mergeCell ref="KNU31:KOK31"/>
    <mergeCell ref="KOL31:KPB31"/>
    <mergeCell ref="KPC31:KPS31"/>
    <mergeCell ref="KHX31:KIN31"/>
    <mergeCell ref="KIO31:KJE31"/>
    <mergeCell ref="KJF31:KJV31"/>
    <mergeCell ref="KJW31:KKM31"/>
    <mergeCell ref="KKN31:KLD31"/>
    <mergeCell ref="KLE31:KLU31"/>
    <mergeCell ref="KDZ31:KEP31"/>
    <mergeCell ref="KEQ31:KFG31"/>
    <mergeCell ref="KFH31:KFX31"/>
    <mergeCell ref="KFY31:KGO31"/>
    <mergeCell ref="KGP31:KHF31"/>
    <mergeCell ref="KHG31:KHW31"/>
    <mergeCell ref="KAB31:KAR31"/>
    <mergeCell ref="KAS31:KBI31"/>
    <mergeCell ref="KBJ31:KBZ31"/>
    <mergeCell ref="KCA31:KCQ31"/>
    <mergeCell ref="KCR31:KDH31"/>
    <mergeCell ref="KDI31:KDY31"/>
    <mergeCell ref="JWD31:JWT31"/>
    <mergeCell ref="JWU31:JXK31"/>
    <mergeCell ref="JXL31:JYB31"/>
    <mergeCell ref="JYC31:JYS31"/>
    <mergeCell ref="JYT31:JZJ31"/>
    <mergeCell ref="JZK31:KAA31"/>
    <mergeCell ref="JSF31:JSV31"/>
    <mergeCell ref="JSW31:JTM31"/>
    <mergeCell ref="JTN31:JUD31"/>
    <mergeCell ref="JUE31:JUU31"/>
    <mergeCell ref="JUV31:JVL31"/>
    <mergeCell ref="JVM31:JWC31"/>
    <mergeCell ref="JOH31:JOX31"/>
    <mergeCell ref="JOY31:JPO31"/>
    <mergeCell ref="JPP31:JQF31"/>
    <mergeCell ref="JQG31:JQW31"/>
    <mergeCell ref="JQX31:JRN31"/>
    <mergeCell ref="JRO31:JSE31"/>
    <mergeCell ref="JKJ31:JKZ31"/>
    <mergeCell ref="JLA31:JLQ31"/>
    <mergeCell ref="JLR31:JMH31"/>
    <mergeCell ref="JMI31:JMY31"/>
    <mergeCell ref="JMZ31:JNP31"/>
    <mergeCell ref="JNQ31:JOG31"/>
    <mergeCell ref="JGL31:JHB31"/>
    <mergeCell ref="JHC31:JHS31"/>
    <mergeCell ref="JHT31:JIJ31"/>
    <mergeCell ref="JIK31:JJA31"/>
    <mergeCell ref="JJB31:JJR31"/>
    <mergeCell ref="JJS31:JKI31"/>
    <mergeCell ref="JCN31:JDD31"/>
    <mergeCell ref="JDE31:JDU31"/>
    <mergeCell ref="JDV31:JEL31"/>
    <mergeCell ref="JEM31:JFC31"/>
    <mergeCell ref="JFD31:JFT31"/>
    <mergeCell ref="JFU31:JGK31"/>
    <mergeCell ref="IYP31:IZF31"/>
    <mergeCell ref="IZG31:IZW31"/>
    <mergeCell ref="IZX31:JAN31"/>
    <mergeCell ref="JAO31:JBE31"/>
    <mergeCell ref="JBF31:JBV31"/>
    <mergeCell ref="JBW31:JCM31"/>
    <mergeCell ref="IUR31:IVH31"/>
    <mergeCell ref="IVI31:IVY31"/>
    <mergeCell ref="IVZ31:IWP31"/>
    <mergeCell ref="IWQ31:IXG31"/>
    <mergeCell ref="IXH31:IXX31"/>
    <mergeCell ref="IXY31:IYO31"/>
    <mergeCell ref="IQT31:IRJ31"/>
    <mergeCell ref="IRK31:ISA31"/>
    <mergeCell ref="ISB31:ISR31"/>
    <mergeCell ref="ISS31:ITI31"/>
    <mergeCell ref="ITJ31:ITZ31"/>
    <mergeCell ref="IUA31:IUQ31"/>
    <mergeCell ref="IMV31:INL31"/>
    <mergeCell ref="INM31:IOC31"/>
    <mergeCell ref="IOD31:IOT31"/>
    <mergeCell ref="IOU31:IPK31"/>
    <mergeCell ref="IPL31:IQB31"/>
    <mergeCell ref="IQC31:IQS31"/>
    <mergeCell ref="IIX31:IJN31"/>
    <mergeCell ref="IJO31:IKE31"/>
    <mergeCell ref="IKF31:IKV31"/>
    <mergeCell ref="IKW31:ILM31"/>
    <mergeCell ref="ILN31:IMD31"/>
    <mergeCell ref="IME31:IMU31"/>
    <mergeCell ref="IEZ31:IFP31"/>
    <mergeCell ref="IFQ31:IGG31"/>
    <mergeCell ref="IGH31:IGX31"/>
    <mergeCell ref="IGY31:IHO31"/>
    <mergeCell ref="IHP31:IIF31"/>
    <mergeCell ref="IIG31:IIW31"/>
    <mergeCell ref="IBB31:IBR31"/>
    <mergeCell ref="IBS31:ICI31"/>
    <mergeCell ref="ICJ31:ICZ31"/>
    <mergeCell ref="IDA31:IDQ31"/>
    <mergeCell ref="IDR31:IEH31"/>
    <mergeCell ref="IEI31:IEY31"/>
    <mergeCell ref="HXD31:HXT31"/>
    <mergeCell ref="HXU31:HYK31"/>
    <mergeCell ref="HYL31:HZB31"/>
    <mergeCell ref="HZC31:HZS31"/>
    <mergeCell ref="HZT31:IAJ31"/>
    <mergeCell ref="IAK31:IBA31"/>
    <mergeCell ref="HTF31:HTV31"/>
    <mergeCell ref="HTW31:HUM31"/>
    <mergeCell ref="HUN31:HVD31"/>
    <mergeCell ref="HVE31:HVU31"/>
    <mergeCell ref="HVV31:HWL31"/>
    <mergeCell ref="HWM31:HXC31"/>
    <mergeCell ref="HPH31:HPX31"/>
    <mergeCell ref="HPY31:HQO31"/>
    <mergeCell ref="HQP31:HRF31"/>
    <mergeCell ref="HRG31:HRW31"/>
    <mergeCell ref="HRX31:HSN31"/>
    <mergeCell ref="HSO31:HTE31"/>
    <mergeCell ref="HLJ31:HLZ31"/>
    <mergeCell ref="HMA31:HMQ31"/>
    <mergeCell ref="HMR31:HNH31"/>
    <mergeCell ref="HNI31:HNY31"/>
    <mergeCell ref="HNZ31:HOP31"/>
    <mergeCell ref="HOQ31:HPG31"/>
    <mergeCell ref="HHL31:HIB31"/>
    <mergeCell ref="HIC31:HIS31"/>
    <mergeCell ref="HIT31:HJJ31"/>
    <mergeCell ref="HJK31:HKA31"/>
    <mergeCell ref="HKB31:HKR31"/>
    <mergeCell ref="HKS31:HLI31"/>
    <mergeCell ref="HDN31:HED31"/>
    <mergeCell ref="HEE31:HEU31"/>
    <mergeCell ref="HEV31:HFL31"/>
    <mergeCell ref="HFM31:HGC31"/>
    <mergeCell ref="HGD31:HGT31"/>
    <mergeCell ref="HGU31:HHK31"/>
    <mergeCell ref="GZP31:HAF31"/>
    <mergeCell ref="HAG31:HAW31"/>
    <mergeCell ref="HAX31:HBN31"/>
    <mergeCell ref="HBO31:HCE31"/>
    <mergeCell ref="HCF31:HCV31"/>
    <mergeCell ref="HCW31:HDM31"/>
    <mergeCell ref="GVR31:GWH31"/>
    <mergeCell ref="GWI31:GWY31"/>
    <mergeCell ref="GWZ31:GXP31"/>
    <mergeCell ref="GXQ31:GYG31"/>
    <mergeCell ref="GYH31:GYX31"/>
    <mergeCell ref="GYY31:GZO31"/>
    <mergeCell ref="GRT31:GSJ31"/>
    <mergeCell ref="GSK31:GTA31"/>
    <mergeCell ref="GTB31:GTR31"/>
    <mergeCell ref="GTS31:GUI31"/>
    <mergeCell ref="GUJ31:GUZ31"/>
    <mergeCell ref="GVA31:GVQ31"/>
    <mergeCell ref="GNV31:GOL31"/>
    <mergeCell ref="GOM31:GPC31"/>
    <mergeCell ref="GPD31:GPT31"/>
    <mergeCell ref="GPU31:GQK31"/>
    <mergeCell ref="GQL31:GRB31"/>
    <mergeCell ref="GRC31:GRS31"/>
    <mergeCell ref="GJX31:GKN31"/>
    <mergeCell ref="GKO31:GLE31"/>
    <mergeCell ref="GLF31:GLV31"/>
    <mergeCell ref="GLW31:GMM31"/>
    <mergeCell ref="GMN31:GND31"/>
    <mergeCell ref="GNE31:GNU31"/>
    <mergeCell ref="GFZ31:GGP31"/>
    <mergeCell ref="GGQ31:GHG31"/>
    <mergeCell ref="GHH31:GHX31"/>
    <mergeCell ref="GHY31:GIO31"/>
    <mergeCell ref="GIP31:GJF31"/>
    <mergeCell ref="GJG31:GJW31"/>
    <mergeCell ref="GCB31:GCR31"/>
    <mergeCell ref="GCS31:GDI31"/>
    <mergeCell ref="GDJ31:GDZ31"/>
    <mergeCell ref="GEA31:GEQ31"/>
    <mergeCell ref="GER31:GFH31"/>
    <mergeCell ref="GFI31:GFY31"/>
    <mergeCell ref="FYD31:FYT31"/>
    <mergeCell ref="FYU31:FZK31"/>
    <mergeCell ref="FZL31:GAB31"/>
    <mergeCell ref="GAC31:GAS31"/>
    <mergeCell ref="GAT31:GBJ31"/>
    <mergeCell ref="GBK31:GCA31"/>
    <mergeCell ref="FUF31:FUV31"/>
    <mergeCell ref="FUW31:FVM31"/>
    <mergeCell ref="FVN31:FWD31"/>
    <mergeCell ref="FWE31:FWU31"/>
    <mergeCell ref="FWV31:FXL31"/>
    <mergeCell ref="FXM31:FYC31"/>
    <mergeCell ref="FQH31:FQX31"/>
    <mergeCell ref="FQY31:FRO31"/>
    <mergeCell ref="FRP31:FSF31"/>
    <mergeCell ref="FSG31:FSW31"/>
    <mergeCell ref="FSX31:FTN31"/>
    <mergeCell ref="FTO31:FUE31"/>
    <mergeCell ref="FMJ31:FMZ31"/>
    <mergeCell ref="FNA31:FNQ31"/>
    <mergeCell ref="FNR31:FOH31"/>
    <mergeCell ref="FOI31:FOY31"/>
    <mergeCell ref="FOZ31:FPP31"/>
    <mergeCell ref="FPQ31:FQG31"/>
    <mergeCell ref="FIL31:FJB31"/>
    <mergeCell ref="FJC31:FJS31"/>
    <mergeCell ref="FJT31:FKJ31"/>
    <mergeCell ref="FKK31:FLA31"/>
    <mergeCell ref="FLB31:FLR31"/>
    <mergeCell ref="FLS31:FMI31"/>
    <mergeCell ref="FEN31:FFD31"/>
    <mergeCell ref="FFE31:FFU31"/>
    <mergeCell ref="FFV31:FGL31"/>
    <mergeCell ref="FGM31:FHC31"/>
    <mergeCell ref="FHD31:FHT31"/>
    <mergeCell ref="FHU31:FIK31"/>
    <mergeCell ref="FAP31:FBF31"/>
    <mergeCell ref="FBG31:FBW31"/>
    <mergeCell ref="FBX31:FCN31"/>
    <mergeCell ref="FCO31:FDE31"/>
    <mergeCell ref="FDF31:FDV31"/>
    <mergeCell ref="FDW31:FEM31"/>
    <mergeCell ref="EWR31:EXH31"/>
    <mergeCell ref="EXI31:EXY31"/>
    <mergeCell ref="EXZ31:EYP31"/>
    <mergeCell ref="EYQ31:EZG31"/>
    <mergeCell ref="EZH31:EZX31"/>
    <mergeCell ref="EZY31:FAO31"/>
    <mergeCell ref="EST31:ETJ31"/>
    <mergeCell ref="ETK31:EUA31"/>
    <mergeCell ref="EUB31:EUR31"/>
    <mergeCell ref="EUS31:EVI31"/>
    <mergeCell ref="EVJ31:EVZ31"/>
    <mergeCell ref="EWA31:EWQ31"/>
    <mergeCell ref="EOV31:EPL31"/>
    <mergeCell ref="EPM31:EQC31"/>
    <mergeCell ref="EQD31:EQT31"/>
    <mergeCell ref="EQU31:ERK31"/>
    <mergeCell ref="ERL31:ESB31"/>
    <mergeCell ref="ESC31:ESS31"/>
    <mergeCell ref="EKX31:ELN31"/>
    <mergeCell ref="ELO31:EME31"/>
    <mergeCell ref="EMF31:EMV31"/>
    <mergeCell ref="EMW31:ENM31"/>
    <mergeCell ref="ENN31:EOD31"/>
    <mergeCell ref="EOE31:EOU31"/>
    <mergeCell ref="EGZ31:EHP31"/>
    <mergeCell ref="EHQ31:EIG31"/>
    <mergeCell ref="EIH31:EIX31"/>
    <mergeCell ref="EIY31:EJO31"/>
    <mergeCell ref="EJP31:EKF31"/>
    <mergeCell ref="EKG31:EKW31"/>
    <mergeCell ref="EDB31:EDR31"/>
    <mergeCell ref="EDS31:EEI31"/>
    <mergeCell ref="EEJ31:EEZ31"/>
    <mergeCell ref="EFA31:EFQ31"/>
    <mergeCell ref="EFR31:EGH31"/>
    <mergeCell ref="EGI31:EGY31"/>
    <mergeCell ref="DZD31:DZT31"/>
    <mergeCell ref="DZU31:EAK31"/>
    <mergeCell ref="EAL31:EBB31"/>
    <mergeCell ref="EBC31:EBS31"/>
    <mergeCell ref="EBT31:ECJ31"/>
    <mergeCell ref="ECK31:EDA31"/>
    <mergeCell ref="DVF31:DVV31"/>
    <mergeCell ref="DVW31:DWM31"/>
    <mergeCell ref="DWN31:DXD31"/>
    <mergeCell ref="DXE31:DXU31"/>
    <mergeCell ref="DXV31:DYL31"/>
    <mergeCell ref="DYM31:DZC31"/>
    <mergeCell ref="DRH31:DRX31"/>
    <mergeCell ref="DRY31:DSO31"/>
    <mergeCell ref="DSP31:DTF31"/>
    <mergeCell ref="DTG31:DTW31"/>
    <mergeCell ref="DTX31:DUN31"/>
    <mergeCell ref="DUO31:DVE31"/>
    <mergeCell ref="DNJ31:DNZ31"/>
    <mergeCell ref="DOA31:DOQ31"/>
    <mergeCell ref="DOR31:DPH31"/>
    <mergeCell ref="DPI31:DPY31"/>
    <mergeCell ref="DPZ31:DQP31"/>
    <mergeCell ref="DQQ31:DRG31"/>
    <mergeCell ref="DJL31:DKB31"/>
    <mergeCell ref="DKC31:DKS31"/>
    <mergeCell ref="DKT31:DLJ31"/>
    <mergeCell ref="DLK31:DMA31"/>
    <mergeCell ref="DMB31:DMR31"/>
    <mergeCell ref="DMS31:DNI31"/>
    <mergeCell ref="DFN31:DGD31"/>
    <mergeCell ref="DGE31:DGU31"/>
    <mergeCell ref="DGV31:DHL31"/>
    <mergeCell ref="DHM31:DIC31"/>
    <mergeCell ref="DID31:DIT31"/>
    <mergeCell ref="DIU31:DJK31"/>
    <mergeCell ref="DBP31:DCF31"/>
    <mergeCell ref="DCG31:DCW31"/>
    <mergeCell ref="DCX31:DDN31"/>
    <mergeCell ref="DDO31:DEE31"/>
    <mergeCell ref="DEF31:DEV31"/>
    <mergeCell ref="DEW31:DFM31"/>
    <mergeCell ref="CXR31:CYH31"/>
    <mergeCell ref="CYI31:CYY31"/>
    <mergeCell ref="CYZ31:CZP31"/>
    <mergeCell ref="CZQ31:DAG31"/>
    <mergeCell ref="DAH31:DAX31"/>
    <mergeCell ref="DAY31:DBO31"/>
    <mergeCell ref="CTT31:CUJ31"/>
    <mergeCell ref="CUK31:CVA31"/>
    <mergeCell ref="CVB31:CVR31"/>
    <mergeCell ref="CVS31:CWI31"/>
    <mergeCell ref="CWJ31:CWZ31"/>
    <mergeCell ref="CXA31:CXQ31"/>
    <mergeCell ref="CPV31:CQL31"/>
    <mergeCell ref="CQM31:CRC31"/>
    <mergeCell ref="CRD31:CRT31"/>
    <mergeCell ref="CRU31:CSK31"/>
    <mergeCell ref="CSL31:CTB31"/>
    <mergeCell ref="CTC31:CTS31"/>
    <mergeCell ref="CLX31:CMN31"/>
    <mergeCell ref="CMO31:CNE31"/>
    <mergeCell ref="CNF31:CNV31"/>
    <mergeCell ref="CNW31:COM31"/>
    <mergeCell ref="CON31:CPD31"/>
    <mergeCell ref="CPE31:CPU31"/>
    <mergeCell ref="CHZ31:CIP31"/>
    <mergeCell ref="CIQ31:CJG31"/>
    <mergeCell ref="CJH31:CJX31"/>
    <mergeCell ref="CJY31:CKO31"/>
    <mergeCell ref="CKP31:CLF31"/>
    <mergeCell ref="CLG31:CLW31"/>
    <mergeCell ref="CEB31:CER31"/>
    <mergeCell ref="CES31:CFI31"/>
    <mergeCell ref="CFJ31:CFZ31"/>
    <mergeCell ref="CGA31:CGQ31"/>
    <mergeCell ref="CGR31:CHH31"/>
    <mergeCell ref="CHI31:CHY31"/>
    <mergeCell ref="CAD31:CAT31"/>
    <mergeCell ref="CAU31:CBK31"/>
    <mergeCell ref="CBL31:CCB31"/>
    <mergeCell ref="CCC31:CCS31"/>
    <mergeCell ref="CCT31:CDJ31"/>
    <mergeCell ref="CDK31:CEA31"/>
    <mergeCell ref="BWF31:BWV31"/>
    <mergeCell ref="BWW31:BXM31"/>
    <mergeCell ref="BXN31:BYD31"/>
    <mergeCell ref="BYE31:BYU31"/>
    <mergeCell ref="BYV31:BZL31"/>
    <mergeCell ref="BZM31:CAC31"/>
    <mergeCell ref="BSH31:BSX31"/>
    <mergeCell ref="BSY31:BTO31"/>
    <mergeCell ref="BTP31:BUF31"/>
    <mergeCell ref="BUG31:BUW31"/>
    <mergeCell ref="BUX31:BVN31"/>
    <mergeCell ref="BVO31:BWE31"/>
    <mergeCell ref="BOJ31:BOZ31"/>
    <mergeCell ref="BPA31:BPQ31"/>
    <mergeCell ref="BPR31:BQH31"/>
    <mergeCell ref="BQI31:BQY31"/>
    <mergeCell ref="BQZ31:BRP31"/>
    <mergeCell ref="BRQ31:BSG31"/>
    <mergeCell ref="BKL31:BLB31"/>
    <mergeCell ref="BLC31:BLS31"/>
    <mergeCell ref="BLT31:BMJ31"/>
    <mergeCell ref="BMK31:BNA31"/>
    <mergeCell ref="BNB31:BNR31"/>
    <mergeCell ref="BNS31:BOI31"/>
    <mergeCell ref="BGN31:BHD31"/>
    <mergeCell ref="BHE31:BHU31"/>
    <mergeCell ref="BHV31:BIL31"/>
    <mergeCell ref="BIM31:BJC31"/>
    <mergeCell ref="BJD31:BJT31"/>
    <mergeCell ref="BJU31:BKK31"/>
    <mergeCell ref="BCP31:BDF31"/>
    <mergeCell ref="BDG31:BDW31"/>
    <mergeCell ref="BDX31:BEN31"/>
    <mergeCell ref="BEO31:BFE31"/>
    <mergeCell ref="BFF31:BFV31"/>
    <mergeCell ref="BFW31:BGM31"/>
    <mergeCell ref="AYR31:AZH31"/>
    <mergeCell ref="AZI31:AZY31"/>
    <mergeCell ref="AZZ31:BAP31"/>
    <mergeCell ref="BAQ31:BBG31"/>
    <mergeCell ref="BBH31:BBX31"/>
    <mergeCell ref="BBY31:BCO31"/>
    <mergeCell ref="AUT31:AVJ31"/>
    <mergeCell ref="AVK31:AWA31"/>
    <mergeCell ref="AWB31:AWR31"/>
    <mergeCell ref="AWS31:AXI31"/>
    <mergeCell ref="AXJ31:AXZ31"/>
    <mergeCell ref="AYA31:AYQ31"/>
    <mergeCell ref="AQV31:ARL31"/>
    <mergeCell ref="ARM31:ASC31"/>
    <mergeCell ref="ASD31:AST31"/>
    <mergeCell ref="ASU31:ATK31"/>
    <mergeCell ref="ATL31:AUB31"/>
    <mergeCell ref="AUC31:AUS31"/>
    <mergeCell ref="AMX31:ANN31"/>
    <mergeCell ref="ANO31:AOE31"/>
    <mergeCell ref="AOF31:AOV31"/>
    <mergeCell ref="AOW31:APM31"/>
    <mergeCell ref="APN31:AQD31"/>
    <mergeCell ref="AQE31:AQU31"/>
    <mergeCell ref="AIZ31:AJP31"/>
    <mergeCell ref="AJQ31:AKG31"/>
    <mergeCell ref="AKH31:AKX31"/>
    <mergeCell ref="AKY31:ALO31"/>
    <mergeCell ref="ALP31:AMF31"/>
    <mergeCell ref="AMG31:AMW31"/>
    <mergeCell ref="AFB31:AFR31"/>
    <mergeCell ref="AFS31:AGI31"/>
    <mergeCell ref="AGJ31:AGZ31"/>
    <mergeCell ref="AHA31:AHQ31"/>
    <mergeCell ref="AHR31:AIH31"/>
    <mergeCell ref="AII31:AIY31"/>
    <mergeCell ref="ABD31:ABT31"/>
    <mergeCell ref="ABU31:ACK31"/>
    <mergeCell ref="ACL31:ADB31"/>
    <mergeCell ref="ADC31:ADS31"/>
    <mergeCell ref="ADT31:AEJ31"/>
    <mergeCell ref="AEK31:AFA31"/>
    <mergeCell ref="XF31:XV31"/>
    <mergeCell ref="XW31:YM31"/>
    <mergeCell ref="YN31:ZD31"/>
    <mergeCell ref="ZE31:ZU31"/>
    <mergeCell ref="ZV31:AAL31"/>
    <mergeCell ref="AAM31:ABC31"/>
    <mergeCell ref="TH31:TX31"/>
    <mergeCell ref="TY31:UO31"/>
    <mergeCell ref="UP31:VF31"/>
    <mergeCell ref="VG31:VW31"/>
    <mergeCell ref="VX31:WN31"/>
    <mergeCell ref="WO31:XE31"/>
    <mergeCell ref="PJ31:PZ31"/>
    <mergeCell ref="QA31:QQ31"/>
    <mergeCell ref="QR31:RH31"/>
    <mergeCell ref="RI31:RY31"/>
    <mergeCell ref="RZ31:SP31"/>
    <mergeCell ref="SQ31:TG31"/>
    <mergeCell ref="LL31:MB31"/>
    <mergeCell ref="MC31:MS31"/>
    <mergeCell ref="MT31:NJ31"/>
    <mergeCell ref="NK31:OA31"/>
    <mergeCell ref="OB31:OR31"/>
    <mergeCell ref="OS31:PI31"/>
    <mergeCell ref="HN31:ID31"/>
    <mergeCell ref="IE31:IU31"/>
    <mergeCell ref="IV31:JL31"/>
    <mergeCell ref="JM31:KC31"/>
    <mergeCell ref="KD31:KT31"/>
    <mergeCell ref="KU31:LK31"/>
    <mergeCell ref="DP31:EF31"/>
    <mergeCell ref="EG31:EW31"/>
    <mergeCell ref="EX31:FN31"/>
    <mergeCell ref="FO31:GE31"/>
    <mergeCell ref="GF31:GV31"/>
    <mergeCell ref="GW31:HM31"/>
    <mergeCell ref="XDJ30:XDZ30"/>
    <mergeCell ref="XEA30:XEQ30"/>
    <mergeCell ref="XER30:XFD30"/>
    <mergeCell ref="A31:Q31"/>
    <mergeCell ref="R31:AH31"/>
    <mergeCell ref="AI31:AY31"/>
    <mergeCell ref="AZ31:BP31"/>
    <mergeCell ref="BQ31:CG31"/>
    <mergeCell ref="CH31:CX31"/>
    <mergeCell ref="CY31:DO31"/>
    <mergeCell ref="WZL30:XAB30"/>
    <mergeCell ref="XAC30:XAS30"/>
    <mergeCell ref="XAT30:XBJ30"/>
    <mergeCell ref="XBK30:XCA30"/>
    <mergeCell ref="XCB30:XCR30"/>
    <mergeCell ref="XCS30:XDI30"/>
    <mergeCell ref="WVN30:WWD30"/>
    <mergeCell ref="WWE30:WWU30"/>
    <mergeCell ref="WWV30:WXL30"/>
    <mergeCell ref="WXM30:WYC30"/>
    <mergeCell ref="WYD30:WYT30"/>
    <mergeCell ref="WYU30:WZK30"/>
    <mergeCell ref="WRP30:WSF30"/>
    <mergeCell ref="WSG30:WSW30"/>
    <mergeCell ref="WSX30:WTN30"/>
    <mergeCell ref="WTO30:WUE30"/>
    <mergeCell ref="WUF30:WUV30"/>
    <mergeCell ref="WUW30:WVM30"/>
    <mergeCell ref="WNR30:WOH30"/>
    <mergeCell ref="WOI30:WOY30"/>
    <mergeCell ref="WOZ30:WPP30"/>
    <mergeCell ref="WPQ30:WQG30"/>
    <mergeCell ref="WQH30:WQX30"/>
    <mergeCell ref="WQY30:WRO30"/>
    <mergeCell ref="WJT30:WKJ30"/>
    <mergeCell ref="WKK30:WLA30"/>
    <mergeCell ref="WLB30:WLR30"/>
    <mergeCell ref="WLS30:WMI30"/>
    <mergeCell ref="WMJ30:WMZ30"/>
    <mergeCell ref="WNA30:WNQ30"/>
    <mergeCell ref="WFV30:WGL30"/>
    <mergeCell ref="WGM30:WHC30"/>
    <mergeCell ref="WHD30:WHT30"/>
    <mergeCell ref="WHU30:WIK30"/>
    <mergeCell ref="WIL30:WJB30"/>
    <mergeCell ref="WJC30:WJS30"/>
    <mergeCell ref="WBX30:WCN30"/>
    <mergeCell ref="WCO30:WDE30"/>
    <mergeCell ref="WDF30:WDV30"/>
    <mergeCell ref="WDW30:WEM30"/>
    <mergeCell ref="WEN30:WFD30"/>
    <mergeCell ref="WFE30:WFU30"/>
    <mergeCell ref="VXZ30:VYP30"/>
    <mergeCell ref="VYQ30:VZG30"/>
    <mergeCell ref="VZH30:VZX30"/>
    <mergeCell ref="VZY30:WAO30"/>
    <mergeCell ref="WAP30:WBF30"/>
    <mergeCell ref="WBG30:WBW30"/>
    <mergeCell ref="VUB30:VUR30"/>
    <mergeCell ref="VUS30:VVI30"/>
    <mergeCell ref="VVJ30:VVZ30"/>
    <mergeCell ref="VWA30:VWQ30"/>
    <mergeCell ref="VWR30:VXH30"/>
    <mergeCell ref="VXI30:VXY30"/>
    <mergeCell ref="VQD30:VQT30"/>
    <mergeCell ref="VQU30:VRK30"/>
    <mergeCell ref="VRL30:VSB30"/>
    <mergeCell ref="VSC30:VSS30"/>
    <mergeCell ref="VST30:VTJ30"/>
    <mergeCell ref="VTK30:VUA30"/>
    <mergeCell ref="VMF30:VMV30"/>
    <mergeCell ref="VMW30:VNM30"/>
    <mergeCell ref="VNN30:VOD30"/>
    <mergeCell ref="VOE30:VOU30"/>
    <mergeCell ref="VOV30:VPL30"/>
    <mergeCell ref="VPM30:VQC30"/>
    <mergeCell ref="VIH30:VIX30"/>
    <mergeCell ref="VIY30:VJO30"/>
    <mergeCell ref="VJP30:VKF30"/>
    <mergeCell ref="VKG30:VKW30"/>
    <mergeCell ref="VKX30:VLN30"/>
    <mergeCell ref="VLO30:VME30"/>
    <mergeCell ref="VEJ30:VEZ30"/>
    <mergeCell ref="VFA30:VFQ30"/>
    <mergeCell ref="VFR30:VGH30"/>
    <mergeCell ref="VGI30:VGY30"/>
    <mergeCell ref="VGZ30:VHP30"/>
    <mergeCell ref="VHQ30:VIG30"/>
    <mergeCell ref="VAL30:VBB30"/>
    <mergeCell ref="VBC30:VBS30"/>
    <mergeCell ref="VBT30:VCJ30"/>
    <mergeCell ref="VCK30:VDA30"/>
    <mergeCell ref="VDB30:VDR30"/>
    <mergeCell ref="VDS30:VEI30"/>
    <mergeCell ref="UWN30:UXD30"/>
    <mergeCell ref="UXE30:UXU30"/>
    <mergeCell ref="UXV30:UYL30"/>
    <mergeCell ref="UYM30:UZC30"/>
    <mergeCell ref="UZD30:UZT30"/>
    <mergeCell ref="UZU30:VAK30"/>
    <mergeCell ref="USP30:UTF30"/>
    <mergeCell ref="UTG30:UTW30"/>
    <mergeCell ref="UTX30:UUN30"/>
    <mergeCell ref="UUO30:UVE30"/>
    <mergeCell ref="UVF30:UVV30"/>
    <mergeCell ref="UVW30:UWM30"/>
    <mergeCell ref="UOR30:UPH30"/>
    <mergeCell ref="UPI30:UPY30"/>
    <mergeCell ref="UPZ30:UQP30"/>
    <mergeCell ref="UQQ30:URG30"/>
    <mergeCell ref="URH30:URX30"/>
    <mergeCell ref="URY30:USO30"/>
    <mergeCell ref="UKT30:ULJ30"/>
    <mergeCell ref="ULK30:UMA30"/>
    <mergeCell ref="UMB30:UMR30"/>
    <mergeCell ref="UMS30:UNI30"/>
    <mergeCell ref="UNJ30:UNZ30"/>
    <mergeCell ref="UOA30:UOQ30"/>
    <mergeCell ref="UGV30:UHL30"/>
    <mergeCell ref="UHM30:UIC30"/>
    <mergeCell ref="UID30:UIT30"/>
    <mergeCell ref="UIU30:UJK30"/>
    <mergeCell ref="UJL30:UKB30"/>
    <mergeCell ref="UKC30:UKS30"/>
    <mergeCell ref="UCX30:UDN30"/>
    <mergeCell ref="UDO30:UEE30"/>
    <mergeCell ref="UEF30:UEV30"/>
    <mergeCell ref="UEW30:UFM30"/>
    <mergeCell ref="UFN30:UGD30"/>
    <mergeCell ref="UGE30:UGU30"/>
    <mergeCell ref="TYZ30:TZP30"/>
    <mergeCell ref="TZQ30:UAG30"/>
    <mergeCell ref="UAH30:UAX30"/>
    <mergeCell ref="UAY30:UBO30"/>
    <mergeCell ref="UBP30:UCF30"/>
    <mergeCell ref="UCG30:UCW30"/>
    <mergeCell ref="TVB30:TVR30"/>
    <mergeCell ref="TVS30:TWI30"/>
    <mergeCell ref="TWJ30:TWZ30"/>
    <mergeCell ref="TXA30:TXQ30"/>
    <mergeCell ref="TXR30:TYH30"/>
    <mergeCell ref="TYI30:TYY30"/>
    <mergeCell ref="TRD30:TRT30"/>
    <mergeCell ref="TRU30:TSK30"/>
    <mergeCell ref="TSL30:TTB30"/>
    <mergeCell ref="TTC30:TTS30"/>
    <mergeCell ref="TTT30:TUJ30"/>
    <mergeCell ref="TUK30:TVA30"/>
    <mergeCell ref="TNF30:TNV30"/>
    <mergeCell ref="TNW30:TOM30"/>
    <mergeCell ref="TON30:TPD30"/>
    <mergeCell ref="TPE30:TPU30"/>
    <mergeCell ref="TPV30:TQL30"/>
    <mergeCell ref="TQM30:TRC30"/>
    <mergeCell ref="TJH30:TJX30"/>
    <mergeCell ref="TJY30:TKO30"/>
    <mergeCell ref="TKP30:TLF30"/>
    <mergeCell ref="TLG30:TLW30"/>
    <mergeCell ref="TLX30:TMN30"/>
    <mergeCell ref="TMO30:TNE30"/>
    <mergeCell ref="TFJ30:TFZ30"/>
    <mergeCell ref="TGA30:TGQ30"/>
    <mergeCell ref="TGR30:THH30"/>
    <mergeCell ref="THI30:THY30"/>
    <mergeCell ref="THZ30:TIP30"/>
    <mergeCell ref="TIQ30:TJG30"/>
    <mergeCell ref="TBL30:TCB30"/>
    <mergeCell ref="TCC30:TCS30"/>
    <mergeCell ref="TCT30:TDJ30"/>
    <mergeCell ref="TDK30:TEA30"/>
    <mergeCell ref="TEB30:TER30"/>
    <mergeCell ref="TES30:TFI30"/>
    <mergeCell ref="SXN30:SYD30"/>
    <mergeCell ref="SYE30:SYU30"/>
    <mergeCell ref="SYV30:SZL30"/>
    <mergeCell ref="SZM30:TAC30"/>
    <mergeCell ref="TAD30:TAT30"/>
    <mergeCell ref="TAU30:TBK30"/>
    <mergeCell ref="STP30:SUF30"/>
    <mergeCell ref="SUG30:SUW30"/>
    <mergeCell ref="SUX30:SVN30"/>
    <mergeCell ref="SVO30:SWE30"/>
    <mergeCell ref="SWF30:SWV30"/>
    <mergeCell ref="SWW30:SXM30"/>
    <mergeCell ref="SPR30:SQH30"/>
    <mergeCell ref="SQI30:SQY30"/>
    <mergeCell ref="SQZ30:SRP30"/>
    <mergeCell ref="SRQ30:SSG30"/>
    <mergeCell ref="SSH30:SSX30"/>
    <mergeCell ref="SSY30:STO30"/>
    <mergeCell ref="SLT30:SMJ30"/>
    <mergeCell ref="SMK30:SNA30"/>
    <mergeCell ref="SNB30:SNR30"/>
    <mergeCell ref="SNS30:SOI30"/>
    <mergeCell ref="SOJ30:SOZ30"/>
    <mergeCell ref="SPA30:SPQ30"/>
    <mergeCell ref="SHV30:SIL30"/>
    <mergeCell ref="SIM30:SJC30"/>
    <mergeCell ref="SJD30:SJT30"/>
    <mergeCell ref="SJU30:SKK30"/>
    <mergeCell ref="SKL30:SLB30"/>
    <mergeCell ref="SLC30:SLS30"/>
    <mergeCell ref="SDX30:SEN30"/>
    <mergeCell ref="SEO30:SFE30"/>
    <mergeCell ref="SFF30:SFV30"/>
    <mergeCell ref="SFW30:SGM30"/>
    <mergeCell ref="SGN30:SHD30"/>
    <mergeCell ref="SHE30:SHU30"/>
    <mergeCell ref="RZZ30:SAP30"/>
    <mergeCell ref="SAQ30:SBG30"/>
    <mergeCell ref="SBH30:SBX30"/>
    <mergeCell ref="SBY30:SCO30"/>
    <mergeCell ref="SCP30:SDF30"/>
    <mergeCell ref="SDG30:SDW30"/>
    <mergeCell ref="RWB30:RWR30"/>
    <mergeCell ref="RWS30:RXI30"/>
    <mergeCell ref="RXJ30:RXZ30"/>
    <mergeCell ref="RYA30:RYQ30"/>
    <mergeCell ref="RYR30:RZH30"/>
    <mergeCell ref="RZI30:RZY30"/>
    <mergeCell ref="RSD30:RST30"/>
    <mergeCell ref="RSU30:RTK30"/>
    <mergeCell ref="RTL30:RUB30"/>
    <mergeCell ref="RUC30:RUS30"/>
    <mergeCell ref="RUT30:RVJ30"/>
    <mergeCell ref="RVK30:RWA30"/>
    <mergeCell ref="ROF30:ROV30"/>
    <mergeCell ref="ROW30:RPM30"/>
    <mergeCell ref="RPN30:RQD30"/>
    <mergeCell ref="RQE30:RQU30"/>
    <mergeCell ref="RQV30:RRL30"/>
    <mergeCell ref="RRM30:RSC30"/>
    <mergeCell ref="RKH30:RKX30"/>
    <mergeCell ref="RKY30:RLO30"/>
    <mergeCell ref="RLP30:RMF30"/>
    <mergeCell ref="RMG30:RMW30"/>
    <mergeCell ref="RMX30:RNN30"/>
    <mergeCell ref="RNO30:ROE30"/>
    <mergeCell ref="RGJ30:RGZ30"/>
    <mergeCell ref="RHA30:RHQ30"/>
    <mergeCell ref="RHR30:RIH30"/>
    <mergeCell ref="RII30:RIY30"/>
    <mergeCell ref="RIZ30:RJP30"/>
    <mergeCell ref="RJQ30:RKG30"/>
    <mergeCell ref="RCL30:RDB30"/>
    <mergeCell ref="RDC30:RDS30"/>
    <mergeCell ref="RDT30:REJ30"/>
    <mergeCell ref="REK30:RFA30"/>
    <mergeCell ref="RFB30:RFR30"/>
    <mergeCell ref="RFS30:RGI30"/>
    <mergeCell ref="QYN30:QZD30"/>
    <mergeCell ref="QZE30:QZU30"/>
    <mergeCell ref="QZV30:RAL30"/>
    <mergeCell ref="RAM30:RBC30"/>
    <mergeCell ref="RBD30:RBT30"/>
    <mergeCell ref="RBU30:RCK30"/>
    <mergeCell ref="QUP30:QVF30"/>
    <mergeCell ref="QVG30:QVW30"/>
    <mergeCell ref="QVX30:QWN30"/>
    <mergeCell ref="QWO30:QXE30"/>
    <mergeCell ref="QXF30:QXV30"/>
    <mergeCell ref="QXW30:QYM30"/>
    <mergeCell ref="QQR30:QRH30"/>
    <mergeCell ref="QRI30:QRY30"/>
    <mergeCell ref="QRZ30:QSP30"/>
    <mergeCell ref="QSQ30:QTG30"/>
    <mergeCell ref="QTH30:QTX30"/>
    <mergeCell ref="QTY30:QUO30"/>
    <mergeCell ref="QMT30:QNJ30"/>
    <mergeCell ref="QNK30:QOA30"/>
    <mergeCell ref="QOB30:QOR30"/>
    <mergeCell ref="QOS30:QPI30"/>
    <mergeCell ref="QPJ30:QPZ30"/>
    <mergeCell ref="QQA30:QQQ30"/>
    <mergeCell ref="QIV30:QJL30"/>
    <mergeCell ref="QJM30:QKC30"/>
    <mergeCell ref="QKD30:QKT30"/>
    <mergeCell ref="QKU30:QLK30"/>
    <mergeCell ref="QLL30:QMB30"/>
    <mergeCell ref="QMC30:QMS30"/>
    <mergeCell ref="QEX30:QFN30"/>
    <mergeCell ref="QFO30:QGE30"/>
    <mergeCell ref="QGF30:QGV30"/>
    <mergeCell ref="QGW30:QHM30"/>
    <mergeCell ref="QHN30:QID30"/>
    <mergeCell ref="QIE30:QIU30"/>
    <mergeCell ref="QAZ30:QBP30"/>
    <mergeCell ref="QBQ30:QCG30"/>
    <mergeCell ref="QCH30:QCX30"/>
    <mergeCell ref="QCY30:QDO30"/>
    <mergeCell ref="QDP30:QEF30"/>
    <mergeCell ref="QEG30:QEW30"/>
    <mergeCell ref="PXB30:PXR30"/>
    <mergeCell ref="PXS30:PYI30"/>
    <mergeCell ref="PYJ30:PYZ30"/>
    <mergeCell ref="PZA30:PZQ30"/>
    <mergeCell ref="PZR30:QAH30"/>
    <mergeCell ref="QAI30:QAY30"/>
    <mergeCell ref="PTD30:PTT30"/>
    <mergeCell ref="PTU30:PUK30"/>
    <mergeCell ref="PUL30:PVB30"/>
    <mergeCell ref="PVC30:PVS30"/>
    <mergeCell ref="PVT30:PWJ30"/>
    <mergeCell ref="PWK30:PXA30"/>
    <mergeCell ref="PPF30:PPV30"/>
    <mergeCell ref="PPW30:PQM30"/>
    <mergeCell ref="PQN30:PRD30"/>
    <mergeCell ref="PRE30:PRU30"/>
    <mergeCell ref="PRV30:PSL30"/>
    <mergeCell ref="PSM30:PTC30"/>
    <mergeCell ref="PLH30:PLX30"/>
    <mergeCell ref="PLY30:PMO30"/>
    <mergeCell ref="PMP30:PNF30"/>
    <mergeCell ref="PNG30:PNW30"/>
    <mergeCell ref="PNX30:PON30"/>
    <mergeCell ref="POO30:PPE30"/>
    <mergeCell ref="PHJ30:PHZ30"/>
    <mergeCell ref="PIA30:PIQ30"/>
    <mergeCell ref="PIR30:PJH30"/>
    <mergeCell ref="PJI30:PJY30"/>
    <mergeCell ref="PJZ30:PKP30"/>
    <mergeCell ref="PKQ30:PLG30"/>
    <mergeCell ref="PDL30:PEB30"/>
    <mergeCell ref="PEC30:PES30"/>
    <mergeCell ref="PET30:PFJ30"/>
    <mergeCell ref="PFK30:PGA30"/>
    <mergeCell ref="PGB30:PGR30"/>
    <mergeCell ref="PGS30:PHI30"/>
    <mergeCell ref="OZN30:PAD30"/>
    <mergeCell ref="PAE30:PAU30"/>
    <mergeCell ref="PAV30:PBL30"/>
    <mergeCell ref="PBM30:PCC30"/>
    <mergeCell ref="PCD30:PCT30"/>
    <mergeCell ref="PCU30:PDK30"/>
    <mergeCell ref="OVP30:OWF30"/>
    <mergeCell ref="OWG30:OWW30"/>
    <mergeCell ref="OWX30:OXN30"/>
    <mergeCell ref="OXO30:OYE30"/>
    <mergeCell ref="OYF30:OYV30"/>
    <mergeCell ref="OYW30:OZM30"/>
    <mergeCell ref="ORR30:OSH30"/>
    <mergeCell ref="OSI30:OSY30"/>
    <mergeCell ref="OSZ30:OTP30"/>
    <mergeCell ref="OTQ30:OUG30"/>
    <mergeCell ref="OUH30:OUX30"/>
    <mergeCell ref="OUY30:OVO30"/>
    <mergeCell ref="ONT30:OOJ30"/>
    <mergeCell ref="OOK30:OPA30"/>
    <mergeCell ref="OPB30:OPR30"/>
    <mergeCell ref="OPS30:OQI30"/>
    <mergeCell ref="OQJ30:OQZ30"/>
    <mergeCell ref="ORA30:ORQ30"/>
    <mergeCell ref="OJV30:OKL30"/>
    <mergeCell ref="OKM30:OLC30"/>
    <mergeCell ref="OLD30:OLT30"/>
    <mergeCell ref="OLU30:OMK30"/>
    <mergeCell ref="OML30:ONB30"/>
    <mergeCell ref="ONC30:ONS30"/>
    <mergeCell ref="OFX30:OGN30"/>
    <mergeCell ref="OGO30:OHE30"/>
    <mergeCell ref="OHF30:OHV30"/>
    <mergeCell ref="OHW30:OIM30"/>
    <mergeCell ref="OIN30:OJD30"/>
    <mergeCell ref="OJE30:OJU30"/>
    <mergeCell ref="OBZ30:OCP30"/>
    <mergeCell ref="OCQ30:ODG30"/>
    <mergeCell ref="ODH30:ODX30"/>
    <mergeCell ref="ODY30:OEO30"/>
    <mergeCell ref="OEP30:OFF30"/>
    <mergeCell ref="OFG30:OFW30"/>
    <mergeCell ref="NYB30:NYR30"/>
    <mergeCell ref="NYS30:NZI30"/>
    <mergeCell ref="NZJ30:NZZ30"/>
    <mergeCell ref="OAA30:OAQ30"/>
    <mergeCell ref="OAR30:OBH30"/>
    <mergeCell ref="OBI30:OBY30"/>
    <mergeCell ref="NUD30:NUT30"/>
    <mergeCell ref="NUU30:NVK30"/>
    <mergeCell ref="NVL30:NWB30"/>
    <mergeCell ref="NWC30:NWS30"/>
    <mergeCell ref="NWT30:NXJ30"/>
    <mergeCell ref="NXK30:NYA30"/>
    <mergeCell ref="NQF30:NQV30"/>
    <mergeCell ref="NQW30:NRM30"/>
    <mergeCell ref="NRN30:NSD30"/>
    <mergeCell ref="NSE30:NSU30"/>
    <mergeCell ref="NSV30:NTL30"/>
    <mergeCell ref="NTM30:NUC30"/>
    <mergeCell ref="NMH30:NMX30"/>
    <mergeCell ref="NMY30:NNO30"/>
    <mergeCell ref="NNP30:NOF30"/>
    <mergeCell ref="NOG30:NOW30"/>
    <mergeCell ref="NOX30:NPN30"/>
    <mergeCell ref="NPO30:NQE30"/>
    <mergeCell ref="NIJ30:NIZ30"/>
    <mergeCell ref="NJA30:NJQ30"/>
    <mergeCell ref="NJR30:NKH30"/>
    <mergeCell ref="NKI30:NKY30"/>
    <mergeCell ref="NKZ30:NLP30"/>
    <mergeCell ref="NLQ30:NMG30"/>
    <mergeCell ref="NEL30:NFB30"/>
    <mergeCell ref="NFC30:NFS30"/>
    <mergeCell ref="NFT30:NGJ30"/>
    <mergeCell ref="NGK30:NHA30"/>
    <mergeCell ref="NHB30:NHR30"/>
    <mergeCell ref="NHS30:NII30"/>
    <mergeCell ref="NAN30:NBD30"/>
    <mergeCell ref="NBE30:NBU30"/>
    <mergeCell ref="NBV30:NCL30"/>
    <mergeCell ref="NCM30:NDC30"/>
    <mergeCell ref="NDD30:NDT30"/>
    <mergeCell ref="NDU30:NEK30"/>
    <mergeCell ref="MWP30:MXF30"/>
    <mergeCell ref="MXG30:MXW30"/>
    <mergeCell ref="MXX30:MYN30"/>
    <mergeCell ref="MYO30:MZE30"/>
    <mergeCell ref="MZF30:MZV30"/>
    <mergeCell ref="MZW30:NAM30"/>
    <mergeCell ref="MSR30:MTH30"/>
    <mergeCell ref="MTI30:MTY30"/>
    <mergeCell ref="MTZ30:MUP30"/>
    <mergeCell ref="MUQ30:MVG30"/>
    <mergeCell ref="MVH30:MVX30"/>
    <mergeCell ref="MVY30:MWO30"/>
    <mergeCell ref="MOT30:MPJ30"/>
    <mergeCell ref="MPK30:MQA30"/>
    <mergeCell ref="MQB30:MQR30"/>
    <mergeCell ref="MQS30:MRI30"/>
    <mergeCell ref="MRJ30:MRZ30"/>
    <mergeCell ref="MSA30:MSQ30"/>
    <mergeCell ref="MKV30:MLL30"/>
    <mergeCell ref="MLM30:MMC30"/>
    <mergeCell ref="MMD30:MMT30"/>
    <mergeCell ref="MMU30:MNK30"/>
    <mergeCell ref="MNL30:MOB30"/>
    <mergeCell ref="MOC30:MOS30"/>
    <mergeCell ref="MGX30:MHN30"/>
    <mergeCell ref="MHO30:MIE30"/>
    <mergeCell ref="MIF30:MIV30"/>
    <mergeCell ref="MIW30:MJM30"/>
    <mergeCell ref="MJN30:MKD30"/>
    <mergeCell ref="MKE30:MKU30"/>
    <mergeCell ref="MCZ30:MDP30"/>
    <mergeCell ref="MDQ30:MEG30"/>
    <mergeCell ref="MEH30:MEX30"/>
    <mergeCell ref="MEY30:MFO30"/>
    <mergeCell ref="MFP30:MGF30"/>
    <mergeCell ref="MGG30:MGW30"/>
    <mergeCell ref="LZB30:LZR30"/>
    <mergeCell ref="LZS30:MAI30"/>
    <mergeCell ref="MAJ30:MAZ30"/>
    <mergeCell ref="MBA30:MBQ30"/>
    <mergeCell ref="MBR30:MCH30"/>
    <mergeCell ref="MCI30:MCY30"/>
    <mergeCell ref="LVD30:LVT30"/>
    <mergeCell ref="LVU30:LWK30"/>
    <mergeCell ref="LWL30:LXB30"/>
    <mergeCell ref="LXC30:LXS30"/>
    <mergeCell ref="LXT30:LYJ30"/>
    <mergeCell ref="LYK30:LZA30"/>
    <mergeCell ref="LRF30:LRV30"/>
    <mergeCell ref="LRW30:LSM30"/>
    <mergeCell ref="LSN30:LTD30"/>
    <mergeCell ref="LTE30:LTU30"/>
    <mergeCell ref="LTV30:LUL30"/>
    <mergeCell ref="LUM30:LVC30"/>
    <mergeCell ref="LNH30:LNX30"/>
    <mergeCell ref="LNY30:LOO30"/>
    <mergeCell ref="LOP30:LPF30"/>
    <mergeCell ref="LPG30:LPW30"/>
    <mergeCell ref="LPX30:LQN30"/>
    <mergeCell ref="LQO30:LRE30"/>
    <mergeCell ref="LJJ30:LJZ30"/>
    <mergeCell ref="LKA30:LKQ30"/>
    <mergeCell ref="LKR30:LLH30"/>
    <mergeCell ref="LLI30:LLY30"/>
    <mergeCell ref="LLZ30:LMP30"/>
    <mergeCell ref="LMQ30:LNG30"/>
    <mergeCell ref="LFL30:LGB30"/>
    <mergeCell ref="LGC30:LGS30"/>
    <mergeCell ref="LGT30:LHJ30"/>
    <mergeCell ref="LHK30:LIA30"/>
    <mergeCell ref="LIB30:LIR30"/>
    <mergeCell ref="LIS30:LJI30"/>
    <mergeCell ref="LBN30:LCD30"/>
    <mergeCell ref="LCE30:LCU30"/>
    <mergeCell ref="LCV30:LDL30"/>
    <mergeCell ref="LDM30:LEC30"/>
    <mergeCell ref="LED30:LET30"/>
    <mergeCell ref="LEU30:LFK30"/>
    <mergeCell ref="KXP30:KYF30"/>
    <mergeCell ref="KYG30:KYW30"/>
    <mergeCell ref="KYX30:KZN30"/>
    <mergeCell ref="KZO30:LAE30"/>
    <mergeCell ref="LAF30:LAV30"/>
    <mergeCell ref="LAW30:LBM30"/>
    <mergeCell ref="KTR30:KUH30"/>
    <mergeCell ref="KUI30:KUY30"/>
    <mergeCell ref="KUZ30:KVP30"/>
    <mergeCell ref="KVQ30:KWG30"/>
    <mergeCell ref="KWH30:KWX30"/>
    <mergeCell ref="KWY30:KXO30"/>
    <mergeCell ref="KPT30:KQJ30"/>
    <mergeCell ref="KQK30:KRA30"/>
    <mergeCell ref="KRB30:KRR30"/>
    <mergeCell ref="KRS30:KSI30"/>
    <mergeCell ref="KSJ30:KSZ30"/>
    <mergeCell ref="KTA30:KTQ30"/>
    <mergeCell ref="KLV30:KML30"/>
    <mergeCell ref="KMM30:KNC30"/>
    <mergeCell ref="KND30:KNT30"/>
    <mergeCell ref="KNU30:KOK30"/>
    <mergeCell ref="KOL30:KPB30"/>
    <mergeCell ref="KPC30:KPS30"/>
    <mergeCell ref="KHX30:KIN30"/>
    <mergeCell ref="KIO30:KJE30"/>
    <mergeCell ref="KJF30:KJV30"/>
    <mergeCell ref="KJW30:KKM30"/>
    <mergeCell ref="KKN30:KLD30"/>
    <mergeCell ref="KLE30:KLU30"/>
    <mergeCell ref="KDZ30:KEP30"/>
    <mergeCell ref="KEQ30:KFG30"/>
    <mergeCell ref="KFH30:KFX30"/>
    <mergeCell ref="KFY30:KGO30"/>
    <mergeCell ref="KGP30:KHF30"/>
    <mergeCell ref="KHG30:KHW30"/>
    <mergeCell ref="KAB30:KAR30"/>
    <mergeCell ref="KAS30:KBI30"/>
    <mergeCell ref="KBJ30:KBZ30"/>
    <mergeCell ref="KCA30:KCQ30"/>
    <mergeCell ref="KCR30:KDH30"/>
    <mergeCell ref="KDI30:KDY30"/>
    <mergeCell ref="JWD30:JWT30"/>
    <mergeCell ref="JWU30:JXK30"/>
    <mergeCell ref="JXL30:JYB30"/>
    <mergeCell ref="JYC30:JYS30"/>
    <mergeCell ref="JYT30:JZJ30"/>
    <mergeCell ref="JZK30:KAA30"/>
    <mergeCell ref="JSF30:JSV30"/>
    <mergeCell ref="JSW30:JTM30"/>
    <mergeCell ref="JTN30:JUD30"/>
    <mergeCell ref="JUE30:JUU30"/>
    <mergeCell ref="JUV30:JVL30"/>
    <mergeCell ref="JVM30:JWC30"/>
    <mergeCell ref="JOH30:JOX30"/>
    <mergeCell ref="JOY30:JPO30"/>
    <mergeCell ref="JPP30:JQF30"/>
    <mergeCell ref="JQG30:JQW30"/>
    <mergeCell ref="JQX30:JRN30"/>
    <mergeCell ref="JRO30:JSE30"/>
    <mergeCell ref="JKJ30:JKZ30"/>
    <mergeCell ref="JLA30:JLQ30"/>
    <mergeCell ref="JLR30:JMH30"/>
    <mergeCell ref="JMI30:JMY30"/>
    <mergeCell ref="JMZ30:JNP30"/>
    <mergeCell ref="JNQ30:JOG30"/>
    <mergeCell ref="JGL30:JHB30"/>
    <mergeCell ref="JHC30:JHS30"/>
    <mergeCell ref="JHT30:JIJ30"/>
    <mergeCell ref="JIK30:JJA30"/>
    <mergeCell ref="JJB30:JJR30"/>
    <mergeCell ref="JJS30:JKI30"/>
    <mergeCell ref="JCN30:JDD30"/>
    <mergeCell ref="JDE30:JDU30"/>
    <mergeCell ref="JDV30:JEL30"/>
    <mergeCell ref="JEM30:JFC30"/>
    <mergeCell ref="JFD30:JFT30"/>
    <mergeCell ref="JFU30:JGK30"/>
    <mergeCell ref="IYP30:IZF30"/>
    <mergeCell ref="IZG30:IZW30"/>
    <mergeCell ref="IZX30:JAN30"/>
    <mergeCell ref="JAO30:JBE30"/>
    <mergeCell ref="JBF30:JBV30"/>
    <mergeCell ref="JBW30:JCM30"/>
    <mergeCell ref="IUR30:IVH30"/>
    <mergeCell ref="IVI30:IVY30"/>
    <mergeCell ref="IVZ30:IWP30"/>
    <mergeCell ref="IWQ30:IXG30"/>
    <mergeCell ref="IXH30:IXX30"/>
    <mergeCell ref="IXY30:IYO30"/>
    <mergeCell ref="IQT30:IRJ30"/>
    <mergeCell ref="IRK30:ISA30"/>
    <mergeCell ref="ISB30:ISR30"/>
    <mergeCell ref="ISS30:ITI30"/>
    <mergeCell ref="ITJ30:ITZ30"/>
    <mergeCell ref="IUA30:IUQ30"/>
    <mergeCell ref="IMV30:INL30"/>
    <mergeCell ref="INM30:IOC30"/>
    <mergeCell ref="IOD30:IOT30"/>
    <mergeCell ref="IOU30:IPK30"/>
    <mergeCell ref="IPL30:IQB30"/>
    <mergeCell ref="IQC30:IQS30"/>
    <mergeCell ref="IIX30:IJN30"/>
    <mergeCell ref="IJO30:IKE30"/>
    <mergeCell ref="IKF30:IKV30"/>
    <mergeCell ref="IKW30:ILM30"/>
    <mergeCell ref="ILN30:IMD30"/>
    <mergeCell ref="IME30:IMU30"/>
    <mergeCell ref="IEZ30:IFP30"/>
    <mergeCell ref="IFQ30:IGG30"/>
    <mergeCell ref="IGH30:IGX30"/>
    <mergeCell ref="IGY30:IHO30"/>
    <mergeCell ref="IHP30:IIF30"/>
    <mergeCell ref="IIG30:IIW30"/>
    <mergeCell ref="IBB30:IBR30"/>
    <mergeCell ref="IBS30:ICI30"/>
    <mergeCell ref="ICJ30:ICZ30"/>
    <mergeCell ref="IDA30:IDQ30"/>
    <mergeCell ref="IDR30:IEH30"/>
    <mergeCell ref="IEI30:IEY30"/>
    <mergeCell ref="HXD30:HXT30"/>
    <mergeCell ref="HXU30:HYK30"/>
    <mergeCell ref="HYL30:HZB30"/>
    <mergeCell ref="HZC30:HZS30"/>
    <mergeCell ref="HZT30:IAJ30"/>
    <mergeCell ref="IAK30:IBA30"/>
    <mergeCell ref="HTF30:HTV30"/>
    <mergeCell ref="HTW30:HUM30"/>
    <mergeCell ref="HUN30:HVD30"/>
    <mergeCell ref="HVE30:HVU30"/>
    <mergeCell ref="HVV30:HWL30"/>
    <mergeCell ref="HWM30:HXC30"/>
    <mergeCell ref="HPH30:HPX30"/>
    <mergeCell ref="HPY30:HQO30"/>
    <mergeCell ref="HQP30:HRF30"/>
    <mergeCell ref="HRG30:HRW30"/>
    <mergeCell ref="HRX30:HSN30"/>
    <mergeCell ref="HSO30:HTE30"/>
    <mergeCell ref="HLJ30:HLZ30"/>
    <mergeCell ref="HMA30:HMQ30"/>
    <mergeCell ref="HMR30:HNH30"/>
    <mergeCell ref="HNI30:HNY30"/>
    <mergeCell ref="HNZ30:HOP30"/>
    <mergeCell ref="HOQ30:HPG30"/>
    <mergeCell ref="HHL30:HIB30"/>
    <mergeCell ref="HIC30:HIS30"/>
    <mergeCell ref="HIT30:HJJ30"/>
    <mergeCell ref="HJK30:HKA30"/>
    <mergeCell ref="HKB30:HKR30"/>
    <mergeCell ref="HKS30:HLI30"/>
    <mergeCell ref="HDN30:HED30"/>
    <mergeCell ref="HEE30:HEU30"/>
    <mergeCell ref="HEV30:HFL30"/>
    <mergeCell ref="HFM30:HGC30"/>
    <mergeCell ref="HGD30:HGT30"/>
    <mergeCell ref="HGU30:HHK30"/>
    <mergeCell ref="GZP30:HAF30"/>
    <mergeCell ref="HAG30:HAW30"/>
    <mergeCell ref="HAX30:HBN30"/>
    <mergeCell ref="HBO30:HCE30"/>
    <mergeCell ref="HCF30:HCV30"/>
    <mergeCell ref="HCW30:HDM30"/>
    <mergeCell ref="GVR30:GWH30"/>
    <mergeCell ref="GWI30:GWY30"/>
    <mergeCell ref="GWZ30:GXP30"/>
    <mergeCell ref="GXQ30:GYG30"/>
    <mergeCell ref="GYH30:GYX30"/>
    <mergeCell ref="GYY30:GZO30"/>
    <mergeCell ref="GRT30:GSJ30"/>
    <mergeCell ref="GSK30:GTA30"/>
    <mergeCell ref="GTB30:GTR30"/>
    <mergeCell ref="GTS30:GUI30"/>
    <mergeCell ref="GUJ30:GUZ30"/>
    <mergeCell ref="GVA30:GVQ30"/>
    <mergeCell ref="GNV30:GOL30"/>
    <mergeCell ref="GOM30:GPC30"/>
    <mergeCell ref="GPD30:GPT30"/>
    <mergeCell ref="GPU30:GQK30"/>
    <mergeCell ref="GQL30:GRB30"/>
    <mergeCell ref="GRC30:GRS30"/>
    <mergeCell ref="GJX30:GKN30"/>
    <mergeCell ref="GKO30:GLE30"/>
    <mergeCell ref="GLF30:GLV30"/>
    <mergeCell ref="GLW30:GMM30"/>
    <mergeCell ref="GMN30:GND30"/>
    <mergeCell ref="GNE30:GNU30"/>
    <mergeCell ref="GFZ30:GGP30"/>
    <mergeCell ref="GGQ30:GHG30"/>
    <mergeCell ref="GHH30:GHX30"/>
    <mergeCell ref="GHY30:GIO30"/>
    <mergeCell ref="GIP30:GJF30"/>
    <mergeCell ref="GJG30:GJW30"/>
    <mergeCell ref="GCB30:GCR30"/>
    <mergeCell ref="GCS30:GDI30"/>
    <mergeCell ref="GDJ30:GDZ30"/>
    <mergeCell ref="GEA30:GEQ30"/>
    <mergeCell ref="GER30:GFH30"/>
    <mergeCell ref="GFI30:GFY30"/>
    <mergeCell ref="FYD30:FYT30"/>
    <mergeCell ref="FYU30:FZK30"/>
    <mergeCell ref="FZL30:GAB30"/>
    <mergeCell ref="GAC30:GAS30"/>
    <mergeCell ref="GAT30:GBJ30"/>
    <mergeCell ref="GBK30:GCA30"/>
    <mergeCell ref="FUF30:FUV30"/>
    <mergeCell ref="FUW30:FVM30"/>
    <mergeCell ref="FVN30:FWD30"/>
    <mergeCell ref="FWE30:FWU30"/>
    <mergeCell ref="FWV30:FXL30"/>
    <mergeCell ref="FXM30:FYC30"/>
    <mergeCell ref="FQH30:FQX30"/>
    <mergeCell ref="FQY30:FRO30"/>
    <mergeCell ref="FRP30:FSF30"/>
    <mergeCell ref="FSG30:FSW30"/>
    <mergeCell ref="FSX30:FTN30"/>
    <mergeCell ref="FTO30:FUE30"/>
    <mergeCell ref="FMJ30:FMZ30"/>
    <mergeCell ref="FNA30:FNQ30"/>
    <mergeCell ref="FNR30:FOH30"/>
    <mergeCell ref="FOI30:FOY30"/>
    <mergeCell ref="FOZ30:FPP30"/>
    <mergeCell ref="FPQ30:FQG30"/>
    <mergeCell ref="FIL30:FJB30"/>
    <mergeCell ref="FJC30:FJS30"/>
    <mergeCell ref="FJT30:FKJ30"/>
    <mergeCell ref="FKK30:FLA30"/>
    <mergeCell ref="FLB30:FLR30"/>
    <mergeCell ref="FLS30:FMI30"/>
    <mergeCell ref="FEN30:FFD30"/>
    <mergeCell ref="FFE30:FFU30"/>
    <mergeCell ref="FFV30:FGL30"/>
    <mergeCell ref="FGM30:FHC30"/>
    <mergeCell ref="FHD30:FHT30"/>
    <mergeCell ref="FHU30:FIK30"/>
    <mergeCell ref="FAP30:FBF30"/>
    <mergeCell ref="FBG30:FBW30"/>
    <mergeCell ref="FBX30:FCN30"/>
    <mergeCell ref="FCO30:FDE30"/>
    <mergeCell ref="FDF30:FDV30"/>
    <mergeCell ref="FDW30:FEM30"/>
    <mergeCell ref="EWR30:EXH30"/>
    <mergeCell ref="EXI30:EXY30"/>
    <mergeCell ref="EXZ30:EYP30"/>
    <mergeCell ref="EYQ30:EZG30"/>
    <mergeCell ref="EZH30:EZX30"/>
    <mergeCell ref="EZY30:FAO30"/>
    <mergeCell ref="EST30:ETJ30"/>
    <mergeCell ref="ETK30:EUA30"/>
    <mergeCell ref="EUB30:EUR30"/>
    <mergeCell ref="EUS30:EVI30"/>
    <mergeCell ref="EVJ30:EVZ30"/>
    <mergeCell ref="EWA30:EWQ30"/>
    <mergeCell ref="EOV30:EPL30"/>
    <mergeCell ref="EPM30:EQC30"/>
    <mergeCell ref="EQD30:EQT30"/>
    <mergeCell ref="EQU30:ERK30"/>
    <mergeCell ref="ERL30:ESB30"/>
    <mergeCell ref="ESC30:ESS30"/>
    <mergeCell ref="EKX30:ELN30"/>
    <mergeCell ref="ELO30:EME30"/>
    <mergeCell ref="EMF30:EMV30"/>
    <mergeCell ref="EMW30:ENM30"/>
    <mergeCell ref="ENN30:EOD30"/>
    <mergeCell ref="EOE30:EOU30"/>
    <mergeCell ref="EGZ30:EHP30"/>
    <mergeCell ref="EHQ30:EIG30"/>
    <mergeCell ref="EIH30:EIX30"/>
    <mergeCell ref="EIY30:EJO30"/>
    <mergeCell ref="EJP30:EKF30"/>
    <mergeCell ref="EKG30:EKW30"/>
    <mergeCell ref="EDB30:EDR30"/>
    <mergeCell ref="EDS30:EEI30"/>
    <mergeCell ref="EEJ30:EEZ30"/>
    <mergeCell ref="EFA30:EFQ30"/>
    <mergeCell ref="EFR30:EGH30"/>
    <mergeCell ref="EGI30:EGY30"/>
    <mergeCell ref="DZD30:DZT30"/>
    <mergeCell ref="DZU30:EAK30"/>
    <mergeCell ref="EAL30:EBB30"/>
    <mergeCell ref="EBC30:EBS30"/>
    <mergeCell ref="EBT30:ECJ30"/>
    <mergeCell ref="ECK30:EDA30"/>
    <mergeCell ref="DVF30:DVV30"/>
    <mergeCell ref="DVW30:DWM30"/>
    <mergeCell ref="DWN30:DXD30"/>
    <mergeCell ref="DXE30:DXU30"/>
    <mergeCell ref="DXV30:DYL30"/>
    <mergeCell ref="DYM30:DZC30"/>
    <mergeCell ref="DRH30:DRX30"/>
    <mergeCell ref="DRY30:DSO30"/>
    <mergeCell ref="DSP30:DTF30"/>
    <mergeCell ref="DTG30:DTW30"/>
    <mergeCell ref="DTX30:DUN30"/>
    <mergeCell ref="DUO30:DVE30"/>
    <mergeCell ref="DNJ30:DNZ30"/>
    <mergeCell ref="DOA30:DOQ30"/>
    <mergeCell ref="DOR30:DPH30"/>
    <mergeCell ref="DPI30:DPY30"/>
    <mergeCell ref="DPZ30:DQP30"/>
    <mergeCell ref="DQQ30:DRG30"/>
    <mergeCell ref="DJL30:DKB30"/>
    <mergeCell ref="DKC30:DKS30"/>
    <mergeCell ref="DKT30:DLJ30"/>
    <mergeCell ref="DLK30:DMA30"/>
    <mergeCell ref="DMB30:DMR30"/>
    <mergeCell ref="DMS30:DNI30"/>
    <mergeCell ref="DFN30:DGD30"/>
    <mergeCell ref="DGE30:DGU30"/>
    <mergeCell ref="DGV30:DHL30"/>
    <mergeCell ref="DHM30:DIC30"/>
    <mergeCell ref="DID30:DIT30"/>
    <mergeCell ref="DIU30:DJK30"/>
    <mergeCell ref="DBP30:DCF30"/>
    <mergeCell ref="DCG30:DCW30"/>
    <mergeCell ref="DCX30:DDN30"/>
    <mergeCell ref="DDO30:DEE30"/>
    <mergeCell ref="DEF30:DEV30"/>
    <mergeCell ref="DEW30:DFM30"/>
    <mergeCell ref="CXR30:CYH30"/>
    <mergeCell ref="CYI30:CYY30"/>
    <mergeCell ref="CYZ30:CZP30"/>
    <mergeCell ref="CZQ30:DAG30"/>
    <mergeCell ref="DAH30:DAX30"/>
    <mergeCell ref="DAY30:DBO30"/>
    <mergeCell ref="CTT30:CUJ30"/>
    <mergeCell ref="CUK30:CVA30"/>
    <mergeCell ref="CVB30:CVR30"/>
    <mergeCell ref="CVS30:CWI30"/>
    <mergeCell ref="CWJ30:CWZ30"/>
    <mergeCell ref="CXA30:CXQ30"/>
    <mergeCell ref="CPV30:CQL30"/>
    <mergeCell ref="CQM30:CRC30"/>
    <mergeCell ref="CRD30:CRT30"/>
    <mergeCell ref="CRU30:CSK30"/>
    <mergeCell ref="CSL30:CTB30"/>
    <mergeCell ref="CTC30:CTS30"/>
    <mergeCell ref="CLX30:CMN30"/>
    <mergeCell ref="CMO30:CNE30"/>
    <mergeCell ref="CNF30:CNV30"/>
    <mergeCell ref="CNW30:COM30"/>
    <mergeCell ref="CON30:CPD30"/>
    <mergeCell ref="CPE30:CPU30"/>
    <mergeCell ref="CHZ30:CIP30"/>
    <mergeCell ref="CIQ30:CJG30"/>
    <mergeCell ref="CJH30:CJX30"/>
    <mergeCell ref="CJY30:CKO30"/>
    <mergeCell ref="CKP30:CLF30"/>
    <mergeCell ref="CLG30:CLW30"/>
    <mergeCell ref="CEB30:CER30"/>
    <mergeCell ref="CES30:CFI30"/>
    <mergeCell ref="CFJ30:CFZ30"/>
    <mergeCell ref="CGA30:CGQ30"/>
    <mergeCell ref="CGR30:CHH30"/>
    <mergeCell ref="CHI30:CHY30"/>
    <mergeCell ref="CAD30:CAT30"/>
    <mergeCell ref="CAU30:CBK30"/>
    <mergeCell ref="CBL30:CCB30"/>
    <mergeCell ref="CCC30:CCS30"/>
    <mergeCell ref="CCT30:CDJ30"/>
    <mergeCell ref="CDK30:CEA30"/>
    <mergeCell ref="BWF30:BWV30"/>
    <mergeCell ref="BWW30:BXM30"/>
    <mergeCell ref="BXN30:BYD30"/>
    <mergeCell ref="BYE30:BYU30"/>
    <mergeCell ref="BYV30:BZL30"/>
    <mergeCell ref="BZM30:CAC30"/>
    <mergeCell ref="BSH30:BSX30"/>
    <mergeCell ref="BSY30:BTO30"/>
    <mergeCell ref="BTP30:BUF30"/>
    <mergeCell ref="BUG30:BUW30"/>
    <mergeCell ref="BUX30:BVN30"/>
    <mergeCell ref="BVO30:BWE30"/>
    <mergeCell ref="BOJ30:BOZ30"/>
    <mergeCell ref="BPA30:BPQ30"/>
    <mergeCell ref="BPR30:BQH30"/>
    <mergeCell ref="BQI30:BQY30"/>
    <mergeCell ref="BQZ30:BRP30"/>
    <mergeCell ref="BRQ30:BSG30"/>
    <mergeCell ref="BKL30:BLB30"/>
    <mergeCell ref="BLC30:BLS30"/>
    <mergeCell ref="BLT30:BMJ30"/>
    <mergeCell ref="BMK30:BNA30"/>
    <mergeCell ref="BNB30:BNR30"/>
    <mergeCell ref="BNS30:BOI30"/>
    <mergeCell ref="BGN30:BHD30"/>
    <mergeCell ref="BHE30:BHU30"/>
    <mergeCell ref="BHV30:BIL30"/>
    <mergeCell ref="BIM30:BJC30"/>
    <mergeCell ref="BJD30:BJT30"/>
    <mergeCell ref="BJU30:BKK30"/>
    <mergeCell ref="BCP30:BDF30"/>
    <mergeCell ref="BDG30:BDW30"/>
    <mergeCell ref="BDX30:BEN30"/>
    <mergeCell ref="BEO30:BFE30"/>
    <mergeCell ref="BFF30:BFV30"/>
    <mergeCell ref="BFW30:BGM30"/>
    <mergeCell ref="AYR30:AZH30"/>
    <mergeCell ref="AZI30:AZY30"/>
    <mergeCell ref="AZZ30:BAP30"/>
    <mergeCell ref="BAQ30:BBG30"/>
    <mergeCell ref="BBH30:BBX30"/>
    <mergeCell ref="BBY30:BCO30"/>
    <mergeCell ref="AUT30:AVJ30"/>
    <mergeCell ref="AVK30:AWA30"/>
    <mergeCell ref="AWB30:AWR30"/>
    <mergeCell ref="AWS30:AXI30"/>
    <mergeCell ref="AXJ30:AXZ30"/>
    <mergeCell ref="AYA30:AYQ30"/>
    <mergeCell ref="AQV30:ARL30"/>
    <mergeCell ref="ARM30:ASC30"/>
    <mergeCell ref="ASD30:AST30"/>
    <mergeCell ref="ASU30:ATK30"/>
    <mergeCell ref="ATL30:AUB30"/>
    <mergeCell ref="AUC30:AUS30"/>
    <mergeCell ref="AMX30:ANN30"/>
    <mergeCell ref="ANO30:AOE30"/>
    <mergeCell ref="AOF30:AOV30"/>
    <mergeCell ref="AOW30:APM30"/>
    <mergeCell ref="APN30:AQD30"/>
    <mergeCell ref="AQE30:AQU30"/>
    <mergeCell ref="AIZ30:AJP30"/>
    <mergeCell ref="AJQ30:AKG30"/>
    <mergeCell ref="AKH30:AKX30"/>
    <mergeCell ref="AKY30:ALO30"/>
    <mergeCell ref="ALP30:AMF30"/>
    <mergeCell ref="AMG30:AMW30"/>
    <mergeCell ref="AFB30:AFR30"/>
    <mergeCell ref="AFS30:AGI30"/>
    <mergeCell ref="AGJ30:AGZ30"/>
    <mergeCell ref="AHA30:AHQ30"/>
    <mergeCell ref="AHR30:AIH30"/>
    <mergeCell ref="AII30:AIY30"/>
    <mergeCell ref="ABD30:ABT30"/>
    <mergeCell ref="ABU30:ACK30"/>
    <mergeCell ref="ACL30:ADB30"/>
    <mergeCell ref="ADC30:ADS30"/>
    <mergeCell ref="ADT30:AEJ30"/>
    <mergeCell ref="AEK30:AFA30"/>
    <mergeCell ref="XF30:XV30"/>
    <mergeCell ref="XW30:YM30"/>
    <mergeCell ref="YN30:ZD30"/>
    <mergeCell ref="ZE30:ZU30"/>
    <mergeCell ref="ZV30:AAL30"/>
    <mergeCell ref="AAM30:ABC30"/>
    <mergeCell ref="TH30:TX30"/>
    <mergeCell ref="TY30:UO30"/>
    <mergeCell ref="UP30:VF30"/>
    <mergeCell ref="VG30:VW30"/>
    <mergeCell ref="VX30:WN30"/>
    <mergeCell ref="WO30:XE30"/>
    <mergeCell ref="PJ30:PZ30"/>
    <mergeCell ref="QA30:QQ30"/>
    <mergeCell ref="QR30:RH30"/>
    <mergeCell ref="RI30:RY30"/>
    <mergeCell ref="RZ30:SP30"/>
    <mergeCell ref="SQ30:TG30"/>
    <mergeCell ref="LL30:MB30"/>
    <mergeCell ref="MC30:MS30"/>
    <mergeCell ref="MT30:NJ30"/>
    <mergeCell ref="NK30:OA30"/>
    <mergeCell ref="OB30:OR30"/>
    <mergeCell ref="OS30:PI30"/>
    <mergeCell ref="HN30:ID30"/>
    <mergeCell ref="IE30:IU30"/>
    <mergeCell ref="IV30:JL30"/>
    <mergeCell ref="JM30:KC30"/>
    <mergeCell ref="KD30:KT30"/>
    <mergeCell ref="KU30:LK30"/>
    <mergeCell ref="DP30:EF30"/>
    <mergeCell ref="EG30:EW30"/>
    <mergeCell ref="EX30:FN30"/>
    <mergeCell ref="FO30:GE30"/>
    <mergeCell ref="GF30:GV30"/>
    <mergeCell ref="GW30:HM30"/>
    <mergeCell ref="XEA28:XEQ28"/>
    <mergeCell ref="XER28:XFD28"/>
    <mergeCell ref="A29:Q29"/>
    <mergeCell ref="A30:Q30"/>
    <mergeCell ref="R30:AH30"/>
    <mergeCell ref="AI30:AY30"/>
    <mergeCell ref="AZ30:BP30"/>
    <mergeCell ref="BQ30:CG30"/>
    <mergeCell ref="CH30:CX30"/>
    <mergeCell ref="CY30:DO30"/>
    <mergeCell ref="XAC28:XAS28"/>
    <mergeCell ref="XAT28:XBJ28"/>
    <mergeCell ref="XBK28:XCA28"/>
    <mergeCell ref="XCB28:XCR28"/>
    <mergeCell ref="XCS28:XDI28"/>
    <mergeCell ref="XDJ28:XDZ28"/>
    <mergeCell ref="WWE28:WWU28"/>
    <mergeCell ref="WWV28:WXL28"/>
    <mergeCell ref="WXM28:WYC28"/>
    <mergeCell ref="WYD28:WYT28"/>
    <mergeCell ref="WYU28:WZK28"/>
    <mergeCell ref="WZL28:XAB28"/>
    <mergeCell ref="WSG28:WSW28"/>
    <mergeCell ref="WSX28:WTN28"/>
    <mergeCell ref="WTO28:WUE28"/>
    <mergeCell ref="WUF28:WUV28"/>
    <mergeCell ref="WUW28:WVM28"/>
    <mergeCell ref="WVN28:WWD28"/>
    <mergeCell ref="WOI28:WOY28"/>
    <mergeCell ref="WOZ28:WPP28"/>
    <mergeCell ref="WPQ28:WQG28"/>
    <mergeCell ref="WQH28:WQX28"/>
    <mergeCell ref="WQY28:WRO28"/>
    <mergeCell ref="WRP28:WSF28"/>
    <mergeCell ref="WKK28:WLA28"/>
    <mergeCell ref="WLB28:WLR28"/>
    <mergeCell ref="WLS28:WMI28"/>
    <mergeCell ref="WMJ28:WMZ28"/>
    <mergeCell ref="WNA28:WNQ28"/>
    <mergeCell ref="WNR28:WOH28"/>
    <mergeCell ref="WGM28:WHC28"/>
    <mergeCell ref="WHD28:WHT28"/>
    <mergeCell ref="WHU28:WIK28"/>
    <mergeCell ref="WIL28:WJB28"/>
    <mergeCell ref="WJC28:WJS28"/>
    <mergeCell ref="WJT28:WKJ28"/>
    <mergeCell ref="WCO28:WDE28"/>
    <mergeCell ref="WDF28:WDV28"/>
    <mergeCell ref="WDW28:WEM28"/>
    <mergeCell ref="WEN28:WFD28"/>
    <mergeCell ref="WFE28:WFU28"/>
    <mergeCell ref="WFV28:WGL28"/>
    <mergeCell ref="VYQ28:VZG28"/>
    <mergeCell ref="VZH28:VZX28"/>
    <mergeCell ref="VZY28:WAO28"/>
    <mergeCell ref="WAP28:WBF28"/>
    <mergeCell ref="WBG28:WBW28"/>
    <mergeCell ref="WBX28:WCN28"/>
    <mergeCell ref="VUS28:VVI28"/>
    <mergeCell ref="VVJ28:VVZ28"/>
    <mergeCell ref="VWA28:VWQ28"/>
    <mergeCell ref="VWR28:VXH28"/>
    <mergeCell ref="VXI28:VXY28"/>
    <mergeCell ref="VXZ28:VYP28"/>
    <mergeCell ref="VQU28:VRK28"/>
    <mergeCell ref="VRL28:VSB28"/>
    <mergeCell ref="VSC28:VSS28"/>
    <mergeCell ref="VST28:VTJ28"/>
    <mergeCell ref="VTK28:VUA28"/>
    <mergeCell ref="VUB28:VUR28"/>
    <mergeCell ref="VMW28:VNM28"/>
    <mergeCell ref="VNN28:VOD28"/>
    <mergeCell ref="VOE28:VOU28"/>
    <mergeCell ref="VOV28:VPL28"/>
    <mergeCell ref="VPM28:VQC28"/>
    <mergeCell ref="VQD28:VQT28"/>
    <mergeCell ref="VIY28:VJO28"/>
    <mergeCell ref="VJP28:VKF28"/>
    <mergeCell ref="VKG28:VKW28"/>
    <mergeCell ref="VKX28:VLN28"/>
    <mergeCell ref="VLO28:VME28"/>
    <mergeCell ref="VMF28:VMV28"/>
    <mergeCell ref="VFA28:VFQ28"/>
    <mergeCell ref="VFR28:VGH28"/>
    <mergeCell ref="VGI28:VGY28"/>
    <mergeCell ref="VGZ28:VHP28"/>
    <mergeCell ref="VHQ28:VIG28"/>
    <mergeCell ref="VIH28:VIX28"/>
    <mergeCell ref="VBC28:VBS28"/>
    <mergeCell ref="VBT28:VCJ28"/>
    <mergeCell ref="VCK28:VDA28"/>
    <mergeCell ref="VDB28:VDR28"/>
    <mergeCell ref="VDS28:VEI28"/>
    <mergeCell ref="VEJ28:VEZ28"/>
    <mergeCell ref="UXE28:UXU28"/>
    <mergeCell ref="UXV28:UYL28"/>
    <mergeCell ref="UYM28:UZC28"/>
    <mergeCell ref="UZD28:UZT28"/>
    <mergeCell ref="UZU28:VAK28"/>
    <mergeCell ref="VAL28:VBB28"/>
    <mergeCell ref="UTG28:UTW28"/>
    <mergeCell ref="UTX28:UUN28"/>
    <mergeCell ref="UUO28:UVE28"/>
    <mergeCell ref="UVF28:UVV28"/>
    <mergeCell ref="UVW28:UWM28"/>
    <mergeCell ref="UWN28:UXD28"/>
    <mergeCell ref="UPI28:UPY28"/>
    <mergeCell ref="UPZ28:UQP28"/>
    <mergeCell ref="UQQ28:URG28"/>
    <mergeCell ref="URH28:URX28"/>
    <mergeCell ref="URY28:USO28"/>
    <mergeCell ref="USP28:UTF28"/>
    <mergeCell ref="ULK28:UMA28"/>
    <mergeCell ref="UMB28:UMR28"/>
    <mergeCell ref="UMS28:UNI28"/>
    <mergeCell ref="UNJ28:UNZ28"/>
    <mergeCell ref="UOA28:UOQ28"/>
    <mergeCell ref="UOR28:UPH28"/>
    <mergeCell ref="UHM28:UIC28"/>
    <mergeCell ref="UID28:UIT28"/>
    <mergeCell ref="UIU28:UJK28"/>
    <mergeCell ref="UJL28:UKB28"/>
    <mergeCell ref="UKC28:UKS28"/>
    <mergeCell ref="UKT28:ULJ28"/>
    <mergeCell ref="UDO28:UEE28"/>
    <mergeCell ref="UEF28:UEV28"/>
    <mergeCell ref="UEW28:UFM28"/>
    <mergeCell ref="UFN28:UGD28"/>
    <mergeCell ref="UGE28:UGU28"/>
    <mergeCell ref="UGV28:UHL28"/>
    <mergeCell ref="TZQ28:UAG28"/>
    <mergeCell ref="UAH28:UAX28"/>
    <mergeCell ref="UAY28:UBO28"/>
    <mergeCell ref="UBP28:UCF28"/>
    <mergeCell ref="UCG28:UCW28"/>
    <mergeCell ref="UCX28:UDN28"/>
    <mergeCell ref="TVS28:TWI28"/>
    <mergeCell ref="TWJ28:TWZ28"/>
    <mergeCell ref="TXA28:TXQ28"/>
    <mergeCell ref="TXR28:TYH28"/>
    <mergeCell ref="TYI28:TYY28"/>
    <mergeCell ref="TYZ28:TZP28"/>
    <mergeCell ref="TRU28:TSK28"/>
    <mergeCell ref="TSL28:TTB28"/>
    <mergeCell ref="TTC28:TTS28"/>
    <mergeCell ref="TTT28:TUJ28"/>
    <mergeCell ref="TUK28:TVA28"/>
    <mergeCell ref="TVB28:TVR28"/>
    <mergeCell ref="TNW28:TOM28"/>
    <mergeCell ref="TON28:TPD28"/>
    <mergeCell ref="TPE28:TPU28"/>
    <mergeCell ref="TPV28:TQL28"/>
    <mergeCell ref="TQM28:TRC28"/>
    <mergeCell ref="TRD28:TRT28"/>
    <mergeCell ref="TJY28:TKO28"/>
    <mergeCell ref="TKP28:TLF28"/>
    <mergeCell ref="TLG28:TLW28"/>
    <mergeCell ref="TLX28:TMN28"/>
    <mergeCell ref="TMO28:TNE28"/>
    <mergeCell ref="TNF28:TNV28"/>
    <mergeCell ref="TGA28:TGQ28"/>
    <mergeCell ref="TGR28:THH28"/>
    <mergeCell ref="THI28:THY28"/>
    <mergeCell ref="THZ28:TIP28"/>
    <mergeCell ref="TIQ28:TJG28"/>
    <mergeCell ref="TJH28:TJX28"/>
    <mergeCell ref="TCC28:TCS28"/>
    <mergeCell ref="TCT28:TDJ28"/>
    <mergeCell ref="TDK28:TEA28"/>
    <mergeCell ref="TEB28:TER28"/>
    <mergeCell ref="TES28:TFI28"/>
    <mergeCell ref="TFJ28:TFZ28"/>
    <mergeCell ref="SYE28:SYU28"/>
    <mergeCell ref="SYV28:SZL28"/>
    <mergeCell ref="SZM28:TAC28"/>
    <mergeCell ref="TAD28:TAT28"/>
    <mergeCell ref="TAU28:TBK28"/>
    <mergeCell ref="TBL28:TCB28"/>
    <mergeCell ref="SUG28:SUW28"/>
    <mergeCell ref="SUX28:SVN28"/>
    <mergeCell ref="SVO28:SWE28"/>
    <mergeCell ref="SWF28:SWV28"/>
    <mergeCell ref="SWW28:SXM28"/>
    <mergeCell ref="SXN28:SYD28"/>
    <mergeCell ref="SQI28:SQY28"/>
    <mergeCell ref="SQZ28:SRP28"/>
    <mergeCell ref="SRQ28:SSG28"/>
    <mergeCell ref="SSH28:SSX28"/>
    <mergeCell ref="SSY28:STO28"/>
    <mergeCell ref="STP28:SUF28"/>
    <mergeCell ref="SMK28:SNA28"/>
    <mergeCell ref="SNB28:SNR28"/>
    <mergeCell ref="SNS28:SOI28"/>
    <mergeCell ref="SOJ28:SOZ28"/>
    <mergeCell ref="SPA28:SPQ28"/>
    <mergeCell ref="SPR28:SQH28"/>
    <mergeCell ref="SIM28:SJC28"/>
    <mergeCell ref="SJD28:SJT28"/>
    <mergeCell ref="SJU28:SKK28"/>
    <mergeCell ref="SKL28:SLB28"/>
    <mergeCell ref="SLC28:SLS28"/>
    <mergeCell ref="SLT28:SMJ28"/>
    <mergeCell ref="SEO28:SFE28"/>
    <mergeCell ref="SFF28:SFV28"/>
    <mergeCell ref="SFW28:SGM28"/>
    <mergeCell ref="SGN28:SHD28"/>
    <mergeCell ref="SHE28:SHU28"/>
    <mergeCell ref="SHV28:SIL28"/>
    <mergeCell ref="SAQ28:SBG28"/>
    <mergeCell ref="SBH28:SBX28"/>
    <mergeCell ref="SBY28:SCO28"/>
    <mergeCell ref="SCP28:SDF28"/>
    <mergeCell ref="SDG28:SDW28"/>
    <mergeCell ref="SDX28:SEN28"/>
    <mergeCell ref="RWS28:RXI28"/>
    <mergeCell ref="RXJ28:RXZ28"/>
    <mergeCell ref="RYA28:RYQ28"/>
    <mergeCell ref="RYR28:RZH28"/>
    <mergeCell ref="RZI28:RZY28"/>
    <mergeCell ref="RZZ28:SAP28"/>
    <mergeCell ref="RSU28:RTK28"/>
    <mergeCell ref="RTL28:RUB28"/>
    <mergeCell ref="RUC28:RUS28"/>
    <mergeCell ref="RUT28:RVJ28"/>
    <mergeCell ref="RVK28:RWA28"/>
    <mergeCell ref="RWB28:RWR28"/>
    <mergeCell ref="ROW28:RPM28"/>
    <mergeCell ref="RPN28:RQD28"/>
    <mergeCell ref="RQE28:RQU28"/>
    <mergeCell ref="RQV28:RRL28"/>
    <mergeCell ref="RRM28:RSC28"/>
    <mergeCell ref="RSD28:RST28"/>
    <mergeCell ref="RKY28:RLO28"/>
    <mergeCell ref="RLP28:RMF28"/>
    <mergeCell ref="RMG28:RMW28"/>
    <mergeCell ref="RMX28:RNN28"/>
    <mergeCell ref="RNO28:ROE28"/>
    <mergeCell ref="ROF28:ROV28"/>
    <mergeCell ref="RHA28:RHQ28"/>
    <mergeCell ref="RHR28:RIH28"/>
    <mergeCell ref="RII28:RIY28"/>
    <mergeCell ref="RIZ28:RJP28"/>
    <mergeCell ref="RJQ28:RKG28"/>
    <mergeCell ref="RKH28:RKX28"/>
    <mergeCell ref="RDC28:RDS28"/>
    <mergeCell ref="RDT28:REJ28"/>
    <mergeCell ref="REK28:RFA28"/>
    <mergeCell ref="RFB28:RFR28"/>
    <mergeCell ref="RFS28:RGI28"/>
    <mergeCell ref="RGJ28:RGZ28"/>
    <mergeCell ref="QZE28:QZU28"/>
    <mergeCell ref="QZV28:RAL28"/>
    <mergeCell ref="RAM28:RBC28"/>
    <mergeCell ref="RBD28:RBT28"/>
    <mergeCell ref="RBU28:RCK28"/>
    <mergeCell ref="RCL28:RDB28"/>
    <mergeCell ref="QVG28:QVW28"/>
    <mergeCell ref="QVX28:QWN28"/>
    <mergeCell ref="QWO28:QXE28"/>
    <mergeCell ref="QXF28:QXV28"/>
    <mergeCell ref="QXW28:QYM28"/>
    <mergeCell ref="QYN28:QZD28"/>
    <mergeCell ref="QRI28:QRY28"/>
    <mergeCell ref="QRZ28:QSP28"/>
    <mergeCell ref="QSQ28:QTG28"/>
    <mergeCell ref="QTH28:QTX28"/>
    <mergeCell ref="QTY28:QUO28"/>
    <mergeCell ref="QUP28:QVF28"/>
    <mergeCell ref="QNK28:QOA28"/>
    <mergeCell ref="QOB28:QOR28"/>
    <mergeCell ref="QOS28:QPI28"/>
    <mergeCell ref="QPJ28:QPZ28"/>
    <mergeCell ref="QQA28:QQQ28"/>
    <mergeCell ref="QQR28:QRH28"/>
    <mergeCell ref="QJM28:QKC28"/>
    <mergeCell ref="QKD28:QKT28"/>
    <mergeCell ref="QKU28:QLK28"/>
    <mergeCell ref="QLL28:QMB28"/>
    <mergeCell ref="QMC28:QMS28"/>
    <mergeCell ref="QMT28:QNJ28"/>
    <mergeCell ref="QFO28:QGE28"/>
    <mergeCell ref="QGF28:QGV28"/>
    <mergeCell ref="QGW28:QHM28"/>
    <mergeCell ref="QHN28:QID28"/>
    <mergeCell ref="QIE28:QIU28"/>
    <mergeCell ref="QIV28:QJL28"/>
    <mergeCell ref="QBQ28:QCG28"/>
    <mergeCell ref="QCH28:QCX28"/>
    <mergeCell ref="QCY28:QDO28"/>
    <mergeCell ref="QDP28:QEF28"/>
    <mergeCell ref="QEG28:QEW28"/>
    <mergeCell ref="QEX28:QFN28"/>
    <mergeCell ref="PXS28:PYI28"/>
    <mergeCell ref="PYJ28:PYZ28"/>
    <mergeCell ref="PZA28:PZQ28"/>
    <mergeCell ref="PZR28:QAH28"/>
    <mergeCell ref="QAI28:QAY28"/>
    <mergeCell ref="QAZ28:QBP28"/>
    <mergeCell ref="PTU28:PUK28"/>
    <mergeCell ref="PUL28:PVB28"/>
    <mergeCell ref="PVC28:PVS28"/>
    <mergeCell ref="PVT28:PWJ28"/>
    <mergeCell ref="PWK28:PXA28"/>
    <mergeCell ref="PXB28:PXR28"/>
    <mergeCell ref="PPW28:PQM28"/>
    <mergeCell ref="PQN28:PRD28"/>
    <mergeCell ref="PRE28:PRU28"/>
    <mergeCell ref="PRV28:PSL28"/>
    <mergeCell ref="PSM28:PTC28"/>
    <mergeCell ref="PTD28:PTT28"/>
    <mergeCell ref="PLY28:PMO28"/>
    <mergeCell ref="PMP28:PNF28"/>
    <mergeCell ref="PNG28:PNW28"/>
    <mergeCell ref="PNX28:PON28"/>
    <mergeCell ref="POO28:PPE28"/>
    <mergeCell ref="PPF28:PPV28"/>
    <mergeCell ref="PIA28:PIQ28"/>
    <mergeCell ref="PIR28:PJH28"/>
    <mergeCell ref="PJI28:PJY28"/>
    <mergeCell ref="PJZ28:PKP28"/>
    <mergeCell ref="PKQ28:PLG28"/>
    <mergeCell ref="PLH28:PLX28"/>
    <mergeCell ref="PEC28:PES28"/>
    <mergeCell ref="PET28:PFJ28"/>
    <mergeCell ref="PFK28:PGA28"/>
    <mergeCell ref="PGB28:PGR28"/>
    <mergeCell ref="PGS28:PHI28"/>
    <mergeCell ref="PHJ28:PHZ28"/>
    <mergeCell ref="PAE28:PAU28"/>
    <mergeCell ref="PAV28:PBL28"/>
    <mergeCell ref="PBM28:PCC28"/>
    <mergeCell ref="PCD28:PCT28"/>
    <mergeCell ref="PCU28:PDK28"/>
    <mergeCell ref="PDL28:PEB28"/>
    <mergeCell ref="OWG28:OWW28"/>
    <mergeCell ref="OWX28:OXN28"/>
    <mergeCell ref="OXO28:OYE28"/>
    <mergeCell ref="OYF28:OYV28"/>
    <mergeCell ref="OYW28:OZM28"/>
    <mergeCell ref="OZN28:PAD28"/>
    <mergeCell ref="OSI28:OSY28"/>
    <mergeCell ref="OSZ28:OTP28"/>
    <mergeCell ref="OTQ28:OUG28"/>
    <mergeCell ref="OUH28:OUX28"/>
    <mergeCell ref="OUY28:OVO28"/>
    <mergeCell ref="OVP28:OWF28"/>
    <mergeCell ref="OOK28:OPA28"/>
    <mergeCell ref="OPB28:OPR28"/>
    <mergeCell ref="OPS28:OQI28"/>
    <mergeCell ref="OQJ28:OQZ28"/>
    <mergeCell ref="ORA28:ORQ28"/>
    <mergeCell ref="ORR28:OSH28"/>
    <mergeCell ref="OKM28:OLC28"/>
    <mergeCell ref="OLD28:OLT28"/>
    <mergeCell ref="OLU28:OMK28"/>
    <mergeCell ref="OML28:ONB28"/>
    <mergeCell ref="ONC28:ONS28"/>
    <mergeCell ref="ONT28:OOJ28"/>
    <mergeCell ref="OGO28:OHE28"/>
    <mergeCell ref="OHF28:OHV28"/>
    <mergeCell ref="OHW28:OIM28"/>
    <mergeCell ref="OIN28:OJD28"/>
    <mergeCell ref="OJE28:OJU28"/>
    <mergeCell ref="OJV28:OKL28"/>
    <mergeCell ref="OCQ28:ODG28"/>
    <mergeCell ref="ODH28:ODX28"/>
    <mergeCell ref="ODY28:OEO28"/>
    <mergeCell ref="OEP28:OFF28"/>
    <mergeCell ref="OFG28:OFW28"/>
    <mergeCell ref="OFX28:OGN28"/>
    <mergeCell ref="NYS28:NZI28"/>
    <mergeCell ref="NZJ28:NZZ28"/>
    <mergeCell ref="OAA28:OAQ28"/>
    <mergeCell ref="OAR28:OBH28"/>
    <mergeCell ref="OBI28:OBY28"/>
    <mergeCell ref="OBZ28:OCP28"/>
    <mergeCell ref="NUU28:NVK28"/>
    <mergeCell ref="NVL28:NWB28"/>
    <mergeCell ref="NWC28:NWS28"/>
    <mergeCell ref="NWT28:NXJ28"/>
    <mergeCell ref="NXK28:NYA28"/>
    <mergeCell ref="NYB28:NYR28"/>
    <mergeCell ref="NQW28:NRM28"/>
    <mergeCell ref="NRN28:NSD28"/>
    <mergeCell ref="NSE28:NSU28"/>
    <mergeCell ref="NSV28:NTL28"/>
    <mergeCell ref="NTM28:NUC28"/>
    <mergeCell ref="NUD28:NUT28"/>
    <mergeCell ref="NMY28:NNO28"/>
    <mergeCell ref="NNP28:NOF28"/>
    <mergeCell ref="NOG28:NOW28"/>
    <mergeCell ref="NOX28:NPN28"/>
    <mergeCell ref="NPO28:NQE28"/>
    <mergeCell ref="NQF28:NQV28"/>
    <mergeCell ref="NJA28:NJQ28"/>
    <mergeCell ref="NJR28:NKH28"/>
    <mergeCell ref="NKI28:NKY28"/>
    <mergeCell ref="NKZ28:NLP28"/>
    <mergeCell ref="NLQ28:NMG28"/>
    <mergeCell ref="NMH28:NMX28"/>
    <mergeCell ref="NFC28:NFS28"/>
    <mergeCell ref="NFT28:NGJ28"/>
    <mergeCell ref="NGK28:NHA28"/>
    <mergeCell ref="NHB28:NHR28"/>
    <mergeCell ref="NHS28:NII28"/>
    <mergeCell ref="NIJ28:NIZ28"/>
    <mergeCell ref="NBE28:NBU28"/>
    <mergeCell ref="NBV28:NCL28"/>
    <mergeCell ref="NCM28:NDC28"/>
    <mergeCell ref="NDD28:NDT28"/>
    <mergeCell ref="NDU28:NEK28"/>
    <mergeCell ref="NEL28:NFB28"/>
    <mergeCell ref="MXG28:MXW28"/>
    <mergeCell ref="MXX28:MYN28"/>
    <mergeCell ref="MYO28:MZE28"/>
    <mergeCell ref="MZF28:MZV28"/>
    <mergeCell ref="MZW28:NAM28"/>
    <mergeCell ref="NAN28:NBD28"/>
    <mergeCell ref="MTI28:MTY28"/>
    <mergeCell ref="MTZ28:MUP28"/>
    <mergeCell ref="MUQ28:MVG28"/>
    <mergeCell ref="MVH28:MVX28"/>
    <mergeCell ref="MVY28:MWO28"/>
    <mergeCell ref="MWP28:MXF28"/>
    <mergeCell ref="MPK28:MQA28"/>
    <mergeCell ref="MQB28:MQR28"/>
    <mergeCell ref="MQS28:MRI28"/>
    <mergeCell ref="MRJ28:MRZ28"/>
    <mergeCell ref="MSA28:MSQ28"/>
    <mergeCell ref="MSR28:MTH28"/>
    <mergeCell ref="MLM28:MMC28"/>
    <mergeCell ref="MMD28:MMT28"/>
    <mergeCell ref="MMU28:MNK28"/>
    <mergeCell ref="MNL28:MOB28"/>
    <mergeCell ref="MOC28:MOS28"/>
    <mergeCell ref="MOT28:MPJ28"/>
    <mergeCell ref="MHO28:MIE28"/>
    <mergeCell ref="MIF28:MIV28"/>
    <mergeCell ref="MIW28:MJM28"/>
    <mergeCell ref="MJN28:MKD28"/>
    <mergeCell ref="MKE28:MKU28"/>
    <mergeCell ref="MKV28:MLL28"/>
    <mergeCell ref="MDQ28:MEG28"/>
    <mergeCell ref="MEH28:MEX28"/>
    <mergeCell ref="MEY28:MFO28"/>
    <mergeCell ref="MFP28:MGF28"/>
    <mergeCell ref="MGG28:MGW28"/>
    <mergeCell ref="MGX28:MHN28"/>
    <mergeCell ref="LZS28:MAI28"/>
    <mergeCell ref="MAJ28:MAZ28"/>
    <mergeCell ref="MBA28:MBQ28"/>
    <mergeCell ref="MBR28:MCH28"/>
    <mergeCell ref="MCI28:MCY28"/>
    <mergeCell ref="MCZ28:MDP28"/>
    <mergeCell ref="LVU28:LWK28"/>
    <mergeCell ref="LWL28:LXB28"/>
    <mergeCell ref="LXC28:LXS28"/>
    <mergeCell ref="LXT28:LYJ28"/>
    <mergeCell ref="LYK28:LZA28"/>
    <mergeCell ref="LZB28:LZR28"/>
    <mergeCell ref="LRW28:LSM28"/>
    <mergeCell ref="LSN28:LTD28"/>
    <mergeCell ref="LTE28:LTU28"/>
    <mergeCell ref="LTV28:LUL28"/>
    <mergeCell ref="LUM28:LVC28"/>
    <mergeCell ref="LVD28:LVT28"/>
    <mergeCell ref="LNY28:LOO28"/>
    <mergeCell ref="LOP28:LPF28"/>
    <mergeCell ref="LPG28:LPW28"/>
    <mergeCell ref="LPX28:LQN28"/>
    <mergeCell ref="LQO28:LRE28"/>
    <mergeCell ref="LRF28:LRV28"/>
    <mergeCell ref="LKA28:LKQ28"/>
    <mergeCell ref="LKR28:LLH28"/>
    <mergeCell ref="LLI28:LLY28"/>
    <mergeCell ref="LLZ28:LMP28"/>
    <mergeCell ref="LMQ28:LNG28"/>
    <mergeCell ref="LNH28:LNX28"/>
    <mergeCell ref="LGC28:LGS28"/>
    <mergeCell ref="LGT28:LHJ28"/>
    <mergeCell ref="LHK28:LIA28"/>
    <mergeCell ref="LIB28:LIR28"/>
    <mergeCell ref="LIS28:LJI28"/>
    <mergeCell ref="LJJ28:LJZ28"/>
    <mergeCell ref="LCE28:LCU28"/>
    <mergeCell ref="LCV28:LDL28"/>
    <mergeCell ref="LDM28:LEC28"/>
    <mergeCell ref="LED28:LET28"/>
    <mergeCell ref="LEU28:LFK28"/>
    <mergeCell ref="LFL28:LGB28"/>
    <mergeCell ref="KYG28:KYW28"/>
    <mergeCell ref="KYX28:KZN28"/>
    <mergeCell ref="KZO28:LAE28"/>
    <mergeCell ref="LAF28:LAV28"/>
    <mergeCell ref="LAW28:LBM28"/>
    <mergeCell ref="LBN28:LCD28"/>
    <mergeCell ref="KUI28:KUY28"/>
    <mergeCell ref="KUZ28:KVP28"/>
    <mergeCell ref="KVQ28:KWG28"/>
    <mergeCell ref="KWH28:KWX28"/>
    <mergeCell ref="KWY28:KXO28"/>
    <mergeCell ref="KXP28:KYF28"/>
    <mergeCell ref="KQK28:KRA28"/>
    <mergeCell ref="KRB28:KRR28"/>
    <mergeCell ref="KRS28:KSI28"/>
    <mergeCell ref="KSJ28:KSZ28"/>
    <mergeCell ref="KTA28:KTQ28"/>
    <mergeCell ref="KTR28:KUH28"/>
    <mergeCell ref="KMM28:KNC28"/>
    <mergeCell ref="KND28:KNT28"/>
    <mergeCell ref="KNU28:KOK28"/>
    <mergeCell ref="KOL28:KPB28"/>
    <mergeCell ref="KPC28:KPS28"/>
    <mergeCell ref="KPT28:KQJ28"/>
    <mergeCell ref="KIO28:KJE28"/>
    <mergeCell ref="KJF28:KJV28"/>
    <mergeCell ref="KJW28:KKM28"/>
    <mergeCell ref="KKN28:KLD28"/>
    <mergeCell ref="KLE28:KLU28"/>
    <mergeCell ref="KLV28:KML28"/>
    <mergeCell ref="KEQ28:KFG28"/>
    <mergeCell ref="KFH28:KFX28"/>
    <mergeCell ref="KFY28:KGO28"/>
    <mergeCell ref="KGP28:KHF28"/>
    <mergeCell ref="KHG28:KHW28"/>
    <mergeCell ref="KHX28:KIN28"/>
    <mergeCell ref="KAS28:KBI28"/>
    <mergeCell ref="KBJ28:KBZ28"/>
    <mergeCell ref="KCA28:KCQ28"/>
    <mergeCell ref="KCR28:KDH28"/>
    <mergeCell ref="KDI28:KDY28"/>
    <mergeCell ref="KDZ28:KEP28"/>
    <mergeCell ref="JWU28:JXK28"/>
    <mergeCell ref="JXL28:JYB28"/>
    <mergeCell ref="JYC28:JYS28"/>
    <mergeCell ref="JYT28:JZJ28"/>
    <mergeCell ref="JZK28:KAA28"/>
    <mergeCell ref="KAB28:KAR28"/>
    <mergeCell ref="JSW28:JTM28"/>
    <mergeCell ref="JTN28:JUD28"/>
    <mergeCell ref="JUE28:JUU28"/>
    <mergeCell ref="JUV28:JVL28"/>
    <mergeCell ref="JVM28:JWC28"/>
    <mergeCell ref="JWD28:JWT28"/>
    <mergeCell ref="JOY28:JPO28"/>
    <mergeCell ref="JPP28:JQF28"/>
    <mergeCell ref="JQG28:JQW28"/>
    <mergeCell ref="JQX28:JRN28"/>
    <mergeCell ref="JRO28:JSE28"/>
    <mergeCell ref="JSF28:JSV28"/>
    <mergeCell ref="JLA28:JLQ28"/>
    <mergeCell ref="JLR28:JMH28"/>
    <mergeCell ref="JMI28:JMY28"/>
    <mergeCell ref="JMZ28:JNP28"/>
    <mergeCell ref="JNQ28:JOG28"/>
    <mergeCell ref="JOH28:JOX28"/>
    <mergeCell ref="JHC28:JHS28"/>
    <mergeCell ref="JHT28:JIJ28"/>
    <mergeCell ref="JIK28:JJA28"/>
    <mergeCell ref="JJB28:JJR28"/>
    <mergeCell ref="JJS28:JKI28"/>
    <mergeCell ref="JKJ28:JKZ28"/>
    <mergeCell ref="JDE28:JDU28"/>
    <mergeCell ref="JDV28:JEL28"/>
    <mergeCell ref="JEM28:JFC28"/>
    <mergeCell ref="JFD28:JFT28"/>
    <mergeCell ref="JFU28:JGK28"/>
    <mergeCell ref="JGL28:JHB28"/>
    <mergeCell ref="IZG28:IZW28"/>
    <mergeCell ref="IZX28:JAN28"/>
    <mergeCell ref="JAO28:JBE28"/>
    <mergeCell ref="JBF28:JBV28"/>
    <mergeCell ref="JBW28:JCM28"/>
    <mergeCell ref="JCN28:JDD28"/>
    <mergeCell ref="IVI28:IVY28"/>
    <mergeCell ref="IVZ28:IWP28"/>
    <mergeCell ref="IWQ28:IXG28"/>
    <mergeCell ref="IXH28:IXX28"/>
    <mergeCell ref="IXY28:IYO28"/>
    <mergeCell ref="IYP28:IZF28"/>
    <mergeCell ref="IRK28:ISA28"/>
    <mergeCell ref="ISB28:ISR28"/>
    <mergeCell ref="ISS28:ITI28"/>
    <mergeCell ref="ITJ28:ITZ28"/>
    <mergeCell ref="IUA28:IUQ28"/>
    <mergeCell ref="IUR28:IVH28"/>
    <mergeCell ref="INM28:IOC28"/>
    <mergeCell ref="IOD28:IOT28"/>
    <mergeCell ref="IOU28:IPK28"/>
    <mergeCell ref="IPL28:IQB28"/>
    <mergeCell ref="IQC28:IQS28"/>
    <mergeCell ref="IQT28:IRJ28"/>
    <mergeCell ref="IJO28:IKE28"/>
    <mergeCell ref="IKF28:IKV28"/>
    <mergeCell ref="IKW28:ILM28"/>
    <mergeCell ref="ILN28:IMD28"/>
    <mergeCell ref="IME28:IMU28"/>
    <mergeCell ref="IMV28:INL28"/>
    <mergeCell ref="IFQ28:IGG28"/>
    <mergeCell ref="IGH28:IGX28"/>
    <mergeCell ref="IGY28:IHO28"/>
    <mergeCell ref="IHP28:IIF28"/>
    <mergeCell ref="IIG28:IIW28"/>
    <mergeCell ref="IIX28:IJN28"/>
    <mergeCell ref="IBS28:ICI28"/>
    <mergeCell ref="ICJ28:ICZ28"/>
    <mergeCell ref="IDA28:IDQ28"/>
    <mergeCell ref="IDR28:IEH28"/>
    <mergeCell ref="IEI28:IEY28"/>
    <mergeCell ref="IEZ28:IFP28"/>
    <mergeCell ref="HXU28:HYK28"/>
    <mergeCell ref="HYL28:HZB28"/>
    <mergeCell ref="HZC28:HZS28"/>
    <mergeCell ref="HZT28:IAJ28"/>
    <mergeCell ref="IAK28:IBA28"/>
    <mergeCell ref="IBB28:IBR28"/>
    <mergeCell ref="HTW28:HUM28"/>
    <mergeCell ref="HUN28:HVD28"/>
    <mergeCell ref="HVE28:HVU28"/>
    <mergeCell ref="HVV28:HWL28"/>
    <mergeCell ref="HWM28:HXC28"/>
    <mergeCell ref="HXD28:HXT28"/>
    <mergeCell ref="HPY28:HQO28"/>
    <mergeCell ref="HQP28:HRF28"/>
    <mergeCell ref="HRG28:HRW28"/>
    <mergeCell ref="HRX28:HSN28"/>
    <mergeCell ref="HSO28:HTE28"/>
    <mergeCell ref="HTF28:HTV28"/>
    <mergeCell ref="HMA28:HMQ28"/>
    <mergeCell ref="HMR28:HNH28"/>
    <mergeCell ref="HNI28:HNY28"/>
    <mergeCell ref="HNZ28:HOP28"/>
    <mergeCell ref="HOQ28:HPG28"/>
    <mergeCell ref="HPH28:HPX28"/>
    <mergeCell ref="HIC28:HIS28"/>
    <mergeCell ref="HIT28:HJJ28"/>
    <mergeCell ref="HJK28:HKA28"/>
    <mergeCell ref="HKB28:HKR28"/>
    <mergeCell ref="HKS28:HLI28"/>
    <mergeCell ref="HLJ28:HLZ28"/>
    <mergeCell ref="HEE28:HEU28"/>
    <mergeCell ref="HEV28:HFL28"/>
    <mergeCell ref="HFM28:HGC28"/>
    <mergeCell ref="HGD28:HGT28"/>
    <mergeCell ref="HGU28:HHK28"/>
    <mergeCell ref="HHL28:HIB28"/>
    <mergeCell ref="HAG28:HAW28"/>
    <mergeCell ref="HAX28:HBN28"/>
    <mergeCell ref="HBO28:HCE28"/>
    <mergeCell ref="HCF28:HCV28"/>
    <mergeCell ref="HCW28:HDM28"/>
    <mergeCell ref="HDN28:HED28"/>
    <mergeCell ref="GWI28:GWY28"/>
    <mergeCell ref="GWZ28:GXP28"/>
    <mergeCell ref="GXQ28:GYG28"/>
    <mergeCell ref="GYH28:GYX28"/>
    <mergeCell ref="GYY28:GZO28"/>
    <mergeCell ref="GZP28:HAF28"/>
    <mergeCell ref="GSK28:GTA28"/>
    <mergeCell ref="GTB28:GTR28"/>
    <mergeCell ref="GTS28:GUI28"/>
    <mergeCell ref="GUJ28:GUZ28"/>
    <mergeCell ref="GVA28:GVQ28"/>
    <mergeCell ref="GVR28:GWH28"/>
    <mergeCell ref="GOM28:GPC28"/>
    <mergeCell ref="GPD28:GPT28"/>
    <mergeCell ref="GPU28:GQK28"/>
    <mergeCell ref="GQL28:GRB28"/>
    <mergeCell ref="GRC28:GRS28"/>
    <mergeCell ref="GRT28:GSJ28"/>
    <mergeCell ref="GKO28:GLE28"/>
    <mergeCell ref="GLF28:GLV28"/>
    <mergeCell ref="GLW28:GMM28"/>
    <mergeCell ref="GMN28:GND28"/>
    <mergeCell ref="GNE28:GNU28"/>
    <mergeCell ref="GNV28:GOL28"/>
    <mergeCell ref="GGQ28:GHG28"/>
    <mergeCell ref="GHH28:GHX28"/>
    <mergeCell ref="GHY28:GIO28"/>
    <mergeCell ref="GIP28:GJF28"/>
    <mergeCell ref="GJG28:GJW28"/>
    <mergeCell ref="GJX28:GKN28"/>
    <mergeCell ref="GCS28:GDI28"/>
    <mergeCell ref="GDJ28:GDZ28"/>
    <mergeCell ref="GEA28:GEQ28"/>
    <mergeCell ref="GER28:GFH28"/>
    <mergeCell ref="GFI28:GFY28"/>
    <mergeCell ref="GFZ28:GGP28"/>
    <mergeCell ref="FYU28:FZK28"/>
    <mergeCell ref="FZL28:GAB28"/>
    <mergeCell ref="GAC28:GAS28"/>
    <mergeCell ref="GAT28:GBJ28"/>
    <mergeCell ref="GBK28:GCA28"/>
    <mergeCell ref="GCB28:GCR28"/>
    <mergeCell ref="FUW28:FVM28"/>
    <mergeCell ref="FVN28:FWD28"/>
    <mergeCell ref="FWE28:FWU28"/>
    <mergeCell ref="FWV28:FXL28"/>
    <mergeCell ref="FXM28:FYC28"/>
    <mergeCell ref="FYD28:FYT28"/>
    <mergeCell ref="FQY28:FRO28"/>
    <mergeCell ref="FRP28:FSF28"/>
    <mergeCell ref="FSG28:FSW28"/>
    <mergeCell ref="FSX28:FTN28"/>
    <mergeCell ref="FTO28:FUE28"/>
    <mergeCell ref="FUF28:FUV28"/>
    <mergeCell ref="FNA28:FNQ28"/>
    <mergeCell ref="FNR28:FOH28"/>
    <mergeCell ref="FOI28:FOY28"/>
    <mergeCell ref="FOZ28:FPP28"/>
    <mergeCell ref="FPQ28:FQG28"/>
    <mergeCell ref="FQH28:FQX28"/>
    <mergeCell ref="FJC28:FJS28"/>
    <mergeCell ref="FJT28:FKJ28"/>
    <mergeCell ref="FKK28:FLA28"/>
    <mergeCell ref="FLB28:FLR28"/>
    <mergeCell ref="FLS28:FMI28"/>
    <mergeCell ref="FMJ28:FMZ28"/>
    <mergeCell ref="FFE28:FFU28"/>
    <mergeCell ref="FFV28:FGL28"/>
    <mergeCell ref="FGM28:FHC28"/>
    <mergeCell ref="FHD28:FHT28"/>
    <mergeCell ref="FHU28:FIK28"/>
    <mergeCell ref="FIL28:FJB28"/>
    <mergeCell ref="FBG28:FBW28"/>
    <mergeCell ref="FBX28:FCN28"/>
    <mergeCell ref="FCO28:FDE28"/>
    <mergeCell ref="FDF28:FDV28"/>
    <mergeCell ref="FDW28:FEM28"/>
    <mergeCell ref="FEN28:FFD28"/>
    <mergeCell ref="EXI28:EXY28"/>
    <mergeCell ref="EXZ28:EYP28"/>
    <mergeCell ref="EYQ28:EZG28"/>
    <mergeCell ref="EZH28:EZX28"/>
    <mergeCell ref="EZY28:FAO28"/>
    <mergeCell ref="FAP28:FBF28"/>
    <mergeCell ref="ETK28:EUA28"/>
    <mergeCell ref="EUB28:EUR28"/>
    <mergeCell ref="EUS28:EVI28"/>
    <mergeCell ref="EVJ28:EVZ28"/>
    <mergeCell ref="EWA28:EWQ28"/>
    <mergeCell ref="EWR28:EXH28"/>
    <mergeCell ref="EPM28:EQC28"/>
    <mergeCell ref="EQD28:EQT28"/>
    <mergeCell ref="EQU28:ERK28"/>
    <mergeCell ref="ERL28:ESB28"/>
    <mergeCell ref="ESC28:ESS28"/>
    <mergeCell ref="EST28:ETJ28"/>
    <mergeCell ref="ELO28:EME28"/>
    <mergeCell ref="EMF28:EMV28"/>
    <mergeCell ref="EMW28:ENM28"/>
    <mergeCell ref="ENN28:EOD28"/>
    <mergeCell ref="EOE28:EOU28"/>
    <mergeCell ref="EOV28:EPL28"/>
    <mergeCell ref="EHQ28:EIG28"/>
    <mergeCell ref="EIH28:EIX28"/>
    <mergeCell ref="EIY28:EJO28"/>
    <mergeCell ref="EJP28:EKF28"/>
    <mergeCell ref="EKG28:EKW28"/>
    <mergeCell ref="EKX28:ELN28"/>
    <mergeCell ref="EDS28:EEI28"/>
    <mergeCell ref="EEJ28:EEZ28"/>
    <mergeCell ref="EFA28:EFQ28"/>
    <mergeCell ref="EFR28:EGH28"/>
    <mergeCell ref="EGI28:EGY28"/>
    <mergeCell ref="EGZ28:EHP28"/>
    <mergeCell ref="DZU28:EAK28"/>
    <mergeCell ref="EAL28:EBB28"/>
    <mergeCell ref="EBC28:EBS28"/>
    <mergeCell ref="EBT28:ECJ28"/>
    <mergeCell ref="ECK28:EDA28"/>
    <mergeCell ref="EDB28:EDR28"/>
    <mergeCell ref="DVW28:DWM28"/>
    <mergeCell ref="DWN28:DXD28"/>
    <mergeCell ref="DXE28:DXU28"/>
    <mergeCell ref="DXV28:DYL28"/>
    <mergeCell ref="DYM28:DZC28"/>
    <mergeCell ref="DZD28:DZT28"/>
    <mergeCell ref="DRY28:DSO28"/>
    <mergeCell ref="DSP28:DTF28"/>
    <mergeCell ref="DTG28:DTW28"/>
    <mergeCell ref="DTX28:DUN28"/>
    <mergeCell ref="DUO28:DVE28"/>
    <mergeCell ref="DVF28:DVV28"/>
    <mergeCell ref="DOA28:DOQ28"/>
    <mergeCell ref="DOR28:DPH28"/>
    <mergeCell ref="DPI28:DPY28"/>
    <mergeCell ref="DPZ28:DQP28"/>
    <mergeCell ref="DQQ28:DRG28"/>
    <mergeCell ref="DRH28:DRX28"/>
    <mergeCell ref="DKC28:DKS28"/>
    <mergeCell ref="DKT28:DLJ28"/>
    <mergeCell ref="DLK28:DMA28"/>
    <mergeCell ref="DMB28:DMR28"/>
    <mergeCell ref="DMS28:DNI28"/>
    <mergeCell ref="DNJ28:DNZ28"/>
    <mergeCell ref="DGE28:DGU28"/>
    <mergeCell ref="DGV28:DHL28"/>
    <mergeCell ref="DHM28:DIC28"/>
    <mergeCell ref="DID28:DIT28"/>
    <mergeCell ref="DIU28:DJK28"/>
    <mergeCell ref="DJL28:DKB28"/>
    <mergeCell ref="DCG28:DCW28"/>
    <mergeCell ref="DCX28:DDN28"/>
    <mergeCell ref="DDO28:DEE28"/>
    <mergeCell ref="DEF28:DEV28"/>
    <mergeCell ref="DEW28:DFM28"/>
    <mergeCell ref="DFN28:DGD28"/>
    <mergeCell ref="CYI28:CYY28"/>
    <mergeCell ref="CYZ28:CZP28"/>
    <mergeCell ref="CZQ28:DAG28"/>
    <mergeCell ref="DAH28:DAX28"/>
    <mergeCell ref="DAY28:DBO28"/>
    <mergeCell ref="DBP28:DCF28"/>
    <mergeCell ref="CUK28:CVA28"/>
    <mergeCell ref="CVB28:CVR28"/>
    <mergeCell ref="CVS28:CWI28"/>
    <mergeCell ref="CWJ28:CWZ28"/>
    <mergeCell ref="CXA28:CXQ28"/>
    <mergeCell ref="CXR28:CYH28"/>
    <mergeCell ref="CQM28:CRC28"/>
    <mergeCell ref="CRD28:CRT28"/>
    <mergeCell ref="CRU28:CSK28"/>
    <mergeCell ref="CSL28:CTB28"/>
    <mergeCell ref="CTC28:CTS28"/>
    <mergeCell ref="CTT28:CUJ28"/>
    <mergeCell ref="CMO28:CNE28"/>
    <mergeCell ref="CNF28:CNV28"/>
    <mergeCell ref="CNW28:COM28"/>
    <mergeCell ref="CON28:CPD28"/>
    <mergeCell ref="CPE28:CPU28"/>
    <mergeCell ref="CPV28:CQL28"/>
    <mergeCell ref="CIQ28:CJG28"/>
    <mergeCell ref="CJH28:CJX28"/>
    <mergeCell ref="CJY28:CKO28"/>
    <mergeCell ref="CKP28:CLF28"/>
    <mergeCell ref="CLG28:CLW28"/>
    <mergeCell ref="CLX28:CMN28"/>
    <mergeCell ref="CES28:CFI28"/>
    <mergeCell ref="CFJ28:CFZ28"/>
    <mergeCell ref="CGA28:CGQ28"/>
    <mergeCell ref="CGR28:CHH28"/>
    <mergeCell ref="CHI28:CHY28"/>
    <mergeCell ref="CHZ28:CIP28"/>
    <mergeCell ref="CAU28:CBK28"/>
    <mergeCell ref="CBL28:CCB28"/>
    <mergeCell ref="CCC28:CCS28"/>
    <mergeCell ref="CCT28:CDJ28"/>
    <mergeCell ref="CDK28:CEA28"/>
    <mergeCell ref="CEB28:CER28"/>
    <mergeCell ref="BWW28:BXM28"/>
    <mergeCell ref="BXN28:BYD28"/>
    <mergeCell ref="BYE28:BYU28"/>
    <mergeCell ref="BYV28:BZL28"/>
    <mergeCell ref="BZM28:CAC28"/>
    <mergeCell ref="CAD28:CAT28"/>
    <mergeCell ref="BSY28:BTO28"/>
    <mergeCell ref="BTP28:BUF28"/>
    <mergeCell ref="BUG28:BUW28"/>
    <mergeCell ref="BUX28:BVN28"/>
    <mergeCell ref="BVO28:BWE28"/>
    <mergeCell ref="BWF28:BWV28"/>
    <mergeCell ref="BPA28:BPQ28"/>
    <mergeCell ref="BPR28:BQH28"/>
    <mergeCell ref="BQI28:BQY28"/>
    <mergeCell ref="BQZ28:BRP28"/>
    <mergeCell ref="BRQ28:BSG28"/>
    <mergeCell ref="BSH28:BSX28"/>
    <mergeCell ref="BLC28:BLS28"/>
    <mergeCell ref="BLT28:BMJ28"/>
    <mergeCell ref="BMK28:BNA28"/>
    <mergeCell ref="BNB28:BNR28"/>
    <mergeCell ref="BNS28:BOI28"/>
    <mergeCell ref="BOJ28:BOZ28"/>
    <mergeCell ref="BHE28:BHU28"/>
    <mergeCell ref="BHV28:BIL28"/>
    <mergeCell ref="BIM28:BJC28"/>
    <mergeCell ref="BJD28:BJT28"/>
    <mergeCell ref="BJU28:BKK28"/>
    <mergeCell ref="BKL28:BLB28"/>
    <mergeCell ref="BDG28:BDW28"/>
    <mergeCell ref="BDX28:BEN28"/>
    <mergeCell ref="BEO28:BFE28"/>
    <mergeCell ref="BFF28:BFV28"/>
    <mergeCell ref="BFW28:BGM28"/>
    <mergeCell ref="BGN28:BHD28"/>
    <mergeCell ref="AZI28:AZY28"/>
    <mergeCell ref="AZZ28:BAP28"/>
    <mergeCell ref="BAQ28:BBG28"/>
    <mergeCell ref="BBH28:BBX28"/>
    <mergeCell ref="BBY28:BCO28"/>
    <mergeCell ref="BCP28:BDF28"/>
    <mergeCell ref="AVK28:AWA28"/>
    <mergeCell ref="AWB28:AWR28"/>
    <mergeCell ref="AWS28:AXI28"/>
    <mergeCell ref="AXJ28:AXZ28"/>
    <mergeCell ref="AYA28:AYQ28"/>
    <mergeCell ref="AYR28:AZH28"/>
    <mergeCell ref="ARM28:ASC28"/>
    <mergeCell ref="ASD28:AST28"/>
    <mergeCell ref="ASU28:ATK28"/>
    <mergeCell ref="ATL28:AUB28"/>
    <mergeCell ref="AUC28:AUS28"/>
    <mergeCell ref="AUT28:AVJ28"/>
    <mergeCell ref="ANO28:AOE28"/>
    <mergeCell ref="AOF28:AOV28"/>
    <mergeCell ref="AOW28:APM28"/>
    <mergeCell ref="APN28:AQD28"/>
    <mergeCell ref="AQE28:AQU28"/>
    <mergeCell ref="AQV28:ARL28"/>
    <mergeCell ref="AJQ28:AKG28"/>
    <mergeCell ref="AKH28:AKX28"/>
    <mergeCell ref="AKY28:ALO28"/>
    <mergeCell ref="ALP28:AMF28"/>
    <mergeCell ref="AMG28:AMW28"/>
    <mergeCell ref="AMX28:ANN28"/>
    <mergeCell ref="AFS28:AGI28"/>
    <mergeCell ref="AGJ28:AGZ28"/>
    <mergeCell ref="AHA28:AHQ28"/>
    <mergeCell ref="AHR28:AIH28"/>
    <mergeCell ref="AII28:AIY28"/>
    <mergeCell ref="AIZ28:AJP28"/>
    <mergeCell ref="ABU28:ACK28"/>
    <mergeCell ref="ACL28:ADB28"/>
    <mergeCell ref="ADC28:ADS28"/>
    <mergeCell ref="ADT28:AEJ28"/>
    <mergeCell ref="AEK28:AFA28"/>
    <mergeCell ref="AFB28:AFR28"/>
    <mergeCell ref="XW28:YM28"/>
    <mergeCell ref="YN28:ZD28"/>
    <mergeCell ref="ZE28:ZU28"/>
    <mergeCell ref="ZV28:AAL28"/>
    <mergeCell ref="AAM28:ABC28"/>
    <mergeCell ref="ABD28:ABT28"/>
    <mergeCell ref="TY28:UO28"/>
    <mergeCell ref="UP28:VF28"/>
    <mergeCell ref="VG28:VW28"/>
    <mergeCell ref="VX28:WN28"/>
    <mergeCell ref="WO28:XE28"/>
    <mergeCell ref="XF28:XV28"/>
    <mergeCell ref="QA28:QQ28"/>
    <mergeCell ref="QR28:RH28"/>
    <mergeCell ref="RI28:RY28"/>
    <mergeCell ref="RZ28:SP28"/>
    <mergeCell ref="SQ28:TG28"/>
    <mergeCell ref="TH28:TX28"/>
    <mergeCell ref="MC28:MS28"/>
    <mergeCell ref="MT28:NJ28"/>
    <mergeCell ref="NK28:OA28"/>
    <mergeCell ref="OB28:OR28"/>
    <mergeCell ref="OS28:PI28"/>
    <mergeCell ref="PJ28:PZ28"/>
    <mergeCell ref="IE28:IU28"/>
    <mergeCell ref="IV28:JL28"/>
    <mergeCell ref="JM28:KC28"/>
    <mergeCell ref="KD28:KT28"/>
    <mergeCell ref="KU28:LK28"/>
    <mergeCell ref="LL28:MB28"/>
    <mergeCell ref="EG28:EW28"/>
    <mergeCell ref="EX28:FN28"/>
    <mergeCell ref="FO28:GE28"/>
    <mergeCell ref="GF28:GV28"/>
    <mergeCell ref="GW28:HM28"/>
    <mergeCell ref="HN28:ID28"/>
    <mergeCell ref="A2:Q2"/>
    <mergeCell ref="A13:Q13"/>
    <mergeCell ref="A14:Q14"/>
    <mergeCell ref="A15:Q15"/>
    <mergeCell ref="A16:Q16"/>
    <mergeCell ref="A17:Q17"/>
    <mergeCell ref="AI28:AY28"/>
    <mergeCell ref="AZ28:BP28"/>
    <mergeCell ref="BQ28:CG28"/>
    <mergeCell ref="CH28:CX28"/>
    <mergeCell ref="CY28:DO28"/>
    <mergeCell ref="DP28:EF28"/>
    <mergeCell ref="A24:Q24"/>
    <mergeCell ref="A25:Q25"/>
    <mergeCell ref="A26:Q26"/>
    <mergeCell ref="A27:Q27"/>
    <mergeCell ref="A28:Q28"/>
    <mergeCell ref="R28:AH28"/>
    <mergeCell ref="A18:Q18"/>
    <mergeCell ref="A19:Q19"/>
    <mergeCell ref="A20:Q20"/>
    <mergeCell ref="A21:Q21"/>
    <mergeCell ref="A22:Q22"/>
    <mergeCell ref="A23:Q23"/>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0083CA"/>
    <pageSetUpPr fitToPage="1"/>
  </sheetPr>
  <dimension ref="A1:AJ197"/>
  <sheetViews>
    <sheetView showGridLines="0" topLeftCell="F1" zoomScale="90" zoomScaleNormal="90" workbookViewId="0">
      <selection activeCell="F2" sqref="F2"/>
    </sheetView>
  </sheetViews>
  <sheetFormatPr defaultColWidth="11.42578125" defaultRowHeight="12.75" customHeight="1" outlineLevelRow="1" outlineLevelCol="1"/>
  <cols>
    <col min="1" max="1" width="22" style="49" hidden="1" customWidth="1" outlineLevel="1"/>
    <col min="2" max="2" width="10.42578125" style="49" hidden="1" customWidth="1" outlineLevel="1"/>
    <col min="3" max="3" width="12.5703125" style="49" hidden="1" customWidth="1" outlineLevel="1"/>
    <col min="4" max="4" width="13.42578125" style="49" hidden="1" customWidth="1" outlineLevel="1"/>
    <col min="5" max="5" width="7.5703125" style="49" hidden="1" customWidth="1" outlineLevel="1"/>
    <col min="6" max="6" width="22.140625" style="50" customWidth="1" collapsed="1"/>
    <col min="7" max="7" width="15.42578125" style="50" customWidth="1"/>
    <col min="8" max="8" width="20.42578125" style="50" customWidth="1"/>
    <col min="9" max="9" width="63.5703125" style="50" customWidth="1"/>
    <col min="10" max="10" width="15.42578125" style="50" customWidth="1"/>
    <col min="11" max="11" width="11.5703125" style="50" customWidth="1"/>
    <col min="12" max="12" width="16.42578125" style="51" customWidth="1"/>
    <col min="13" max="13" width="12.42578125" style="51" customWidth="1"/>
    <col min="14" max="14" width="17.5703125" style="51" customWidth="1"/>
    <col min="15" max="15" width="26.42578125" style="51" customWidth="1"/>
    <col min="16" max="16" width="11.42578125" style="50" customWidth="1"/>
    <col min="17" max="17" width="34.42578125" style="50" customWidth="1"/>
    <col min="18" max="20" width="11.42578125" style="50"/>
    <col min="21" max="21" width="11.42578125" style="52"/>
    <col min="22" max="16384" width="11.42578125" style="50"/>
  </cols>
  <sheetData>
    <row r="1" spans="1:21" ht="15" customHeight="1">
      <c r="F1" s="26" t="s">
        <v>557</v>
      </c>
      <c r="L1" s="204">
        <v>1</v>
      </c>
    </row>
    <row r="2" spans="1:21" ht="54" customHeight="1">
      <c r="F2" s="717" t="str">
        <f>G12&amp;":"</f>
        <v>Ductless Heat Pumps:</v>
      </c>
      <c r="G2" s="1700" t="str">
        <f>INDEX('AMMO Measures'!$I:$I,MATCH(LEFT(F2,LEN(F2)-1),'AMMO Measures'!$B:$B,0))</f>
        <v>Accelerate the adoption and market acceptance of inverter-driven ductless heat pumps in electrically heated homes.</v>
      </c>
      <c r="H2" s="1700"/>
      <c r="I2" s="1700"/>
      <c r="J2" s="1700"/>
      <c r="K2" s="1700"/>
      <c r="O2" s="50"/>
      <c r="U2" s="50"/>
    </row>
    <row r="3" spans="1:21" ht="15">
      <c r="F3" s="1723"/>
      <c r="G3" s="1723"/>
      <c r="H3" s="1723"/>
      <c r="I3" s="1723"/>
      <c r="J3" s="1723"/>
      <c r="K3" s="1723"/>
      <c r="L3" s="1723"/>
      <c r="M3" s="1723"/>
      <c r="N3" s="1723"/>
      <c r="O3" s="1723"/>
      <c r="P3" s="1723"/>
      <c r="Q3" s="1723"/>
      <c r="R3" s="1723"/>
      <c r="S3" s="1723"/>
      <c r="T3" s="1723"/>
      <c r="U3" s="50"/>
    </row>
    <row r="4" spans="1:21" ht="15" hidden="1" outlineLevel="1">
      <c r="F4"/>
      <c r="G4"/>
      <c r="H4"/>
      <c r="I4"/>
      <c r="J4"/>
      <c r="K4" s="460"/>
      <c r="L4" s="460"/>
      <c r="M4" s="460"/>
      <c r="N4" s="460"/>
      <c r="O4" s="460"/>
      <c r="P4" s="460"/>
      <c r="Q4" s="460"/>
      <c r="R4" s="460"/>
      <c r="S4" s="460"/>
      <c r="T4" s="460"/>
      <c r="U4" s="50"/>
    </row>
    <row r="5" spans="1:21" ht="15" hidden="1" outlineLevel="1">
      <c r="A5" s="9" t="s">
        <v>2652</v>
      </c>
      <c r="F5"/>
      <c r="G5"/>
      <c r="H5"/>
      <c r="I5"/>
      <c r="J5"/>
      <c r="K5" s="470"/>
      <c r="L5" s="460"/>
      <c r="M5" s="460"/>
      <c r="N5" s="460"/>
      <c r="O5" s="460"/>
      <c r="P5" s="460"/>
      <c r="Q5" s="460"/>
      <c r="R5" s="460"/>
      <c r="S5" s="460"/>
      <c r="T5" s="460"/>
      <c r="U5" s="50"/>
    </row>
    <row r="6" spans="1:21" ht="15" hidden="1" outlineLevel="1">
      <c r="A6" s="667">
        <f>(B6/(SUM(B6:C6)))*D6+ (C6/SUM(B6:C6))*E6</f>
        <v>15</v>
      </c>
      <c r="B6" s="668">
        <f>SUMIFS($T$12:$T$23,$K$12:$K$23, 2024)</f>
        <v>0.35509516599536667</v>
      </c>
      <c r="C6" s="668">
        <f>SUMIFS($T$12:$T$23,$K$12:$K$23, 2025)</f>
        <v>0.43553782430627058</v>
      </c>
      <c r="D6" s="667" cm="1">
        <f t="array" ref="D6">SUMPRODUCT($J$12:$J$23,$T$12:$T$23,--($K$12:$K$23=2024))/SUMIFS($T$12:$T$23,$K$12:$K$23, 2024)</f>
        <v>15.000000000000002</v>
      </c>
      <c r="E6" s="667" cm="1">
        <f t="array" ref="E6">SUMPRODUCT($J$12:$J$23,$T$12:$T$23,--($K$12:$K$23=2025))/SUMIFS($T$12:$T$23,$K$12:$K$23, 2025)</f>
        <v>15</v>
      </c>
      <c r="F6"/>
      <c r="G6"/>
      <c r="H6"/>
      <c r="I6"/>
      <c r="J6"/>
      <c r="K6" s="471"/>
      <c r="L6" s="460"/>
      <c r="M6" s="460"/>
      <c r="N6" s="460"/>
      <c r="O6" s="460"/>
      <c r="P6" s="460"/>
      <c r="Q6" s="460"/>
      <c r="R6" s="460"/>
      <c r="S6" s="460"/>
      <c r="T6" s="460"/>
      <c r="U6" s="50"/>
    </row>
    <row r="7" spans="1:21" ht="15" hidden="1" outlineLevel="1">
      <c r="A7" s="667">
        <f>(B7/(SUM(B7:C7)))*D7+ (C7/SUM(B7:C7))*E7</f>
        <v>15.000000000000004</v>
      </c>
      <c r="B7" s="668">
        <f>SUMIFS($T$12:$T$31,$K$12:$K$31, 2026)</f>
        <v>0.42200670385839634</v>
      </c>
      <c r="C7" s="668">
        <f>SUMIFS($T$12:$T$31,$K$12:$K$31, 2027)</f>
        <v>0.4005660928298958</v>
      </c>
      <c r="D7" s="667" cm="1">
        <f t="array" ref="D7">SUMPRODUCT($J$12:$J$31,$T$12:$T$31,--($K$12:$K$31=2026))/SUMIFS($T$12:$T$31,$K$12:$K$31, 2026)</f>
        <v>15</v>
      </c>
      <c r="E7" s="667" cm="1">
        <f t="array" ref="E7">SUMPRODUCT($J$12:$J$23,$T$12:$T$23,--($K$12:$K$23=2027))/SUMIFS($T$12:$T$23,$K$12:$K$23, 2027)</f>
        <v>15.000000000000002</v>
      </c>
      <c r="F7"/>
      <c r="G7"/>
      <c r="H7"/>
      <c r="I7"/>
      <c r="J7"/>
      <c r="K7" s="472"/>
      <c r="L7" s="460"/>
      <c r="M7" s="460"/>
      <c r="N7" s="460"/>
      <c r="O7" s="460"/>
      <c r="P7" s="460"/>
      <c r="Q7" s="460"/>
      <c r="R7" s="460"/>
      <c r="S7" s="460"/>
      <c r="T7" s="460"/>
      <c r="U7" s="50"/>
    </row>
    <row r="8" spans="1:21" ht="15" hidden="1" outlineLevel="1">
      <c r="F8"/>
      <c r="G8"/>
      <c r="H8"/>
      <c r="I8"/>
      <c r="J8"/>
      <c r="K8" s="473"/>
      <c r="L8" s="460"/>
      <c r="M8" s="460"/>
      <c r="N8" s="460"/>
      <c r="O8" s="460"/>
      <c r="P8" s="460"/>
      <c r="Q8" s="460"/>
      <c r="R8" s="460"/>
      <c r="S8" s="460"/>
      <c r="T8" s="460"/>
      <c r="U8" s="50"/>
    </row>
    <row r="9" spans="1:21" ht="16.5" customHeight="1" collapsed="1">
      <c r="F9" s="122"/>
      <c r="O9" s="50"/>
      <c r="T9" s="52"/>
      <c r="U9" s="50"/>
    </row>
    <row r="10" spans="1:21" s="47" customFormat="1" ht="15.75" customHeight="1">
      <c r="A10" s="1701" t="s">
        <v>125</v>
      </c>
      <c r="B10" s="1702"/>
      <c r="C10" s="1702"/>
      <c r="D10" s="1702"/>
      <c r="E10" s="1702"/>
      <c r="F10" s="1720" t="s">
        <v>7</v>
      </c>
      <c r="G10" s="1721"/>
      <c r="H10" s="1721"/>
      <c r="I10" s="1721"/>
      <c r="J10" s="1722"/>
      <c r="K10" s="1722"/>
      <c r="L10" s="1717" t="s">
        <v>122</v>
      </c>
      <c r="M10" s="1718"/>
      <c r="N10" s="1718"/>
      <c r="O10" s="1719"/>
      <c r="P10" s="1703" t="s">
        <v>123</v>
      </c>
      <c r="Q10" s="1704"/>
      <c r="R10" s="1712" t="s">
        <v>124</v>
      </c>
      <c r="S10" s="1713"/>
      <c r="T10" s="1714"/>
    </row>
    <row r="11" spans="1:21" s="125" customFormat="1" ht="55.5" customHeight="1" thickBot="1">
      <c r="A11" s="700" t="s">
        <v>0</v>
      </c>
      <c r="B11" s="701" t="s">
        <v>10</v>
      </c>
      <c r="C11" s="701" t="s">
        <v>1</v>
      </c>
      <c r="D11" s="701" t="s">
        <v>2</v>
      </c>
      <c r="E11" s="701" t="s">
        <v>187</v>
      </c>
      <c r="F11" s="763" t="s">
        <v>3</v>
      </c>
      <c r="G11" s="763" t="s">
        <v>4</v>
      </c>
      <c r="H11" s="763" t="s">
        <v>5</v>
      </c>
      <c r="I11" s="763" t="s">
        <v>1892</v>
      </c>
      <c r="J11" s="763" t="s">
        <v>834</v>
      </c>
      <c r="K11" s="763" t="s">
        <v>8</v>
      </c>
      <c r="L11" s="764" t="s">
        <v>188</v>
      </c>
      <c r="M11" s="763" t="s">
        <v>12</v>
      </c>
      <c r="N11" s="765" t="s">
        <v>120</v>
      </c>
      <c r="O11" s="766" t="str">
        <f>"Funder Share: "&amp;Selection!A2&amp;" "&amp;Selection!A3</f>
        <v>Funder Share: Puget Sound Energy Washington</v>
      </c>
      <c r="P11" s="764" t="s">
        <v>452</v>
      </c>
      <c r="Q11" s="767" t="s">
        <v>2410</v>
      </c>
      <c r="R11" s="764" t="s">
        <v>2683</v>
      </c>
      <c r="S11" s="763" t="s">
        <v>2675</v>
      </c>
      <c r="T11" s="716" t="s">
        <v>2283</v>
      </c>
    </row>
    <row r="12" spans="1:21" ht="42.75" customHeight="1" thickTop="1">
      <c r="A12" s="81" t="s">
        <v>47</v>
      </c>
      <c r="B12" s="82" t="str">
        <f t="shared" ref="B12:B17" si="0">LEFT(A12,10)</f>
        <v>RES_200804</v>
      </c>
      <c r="C12" s="670" t="str">
        <f>INDEX('AMMO vwFlags'!$C:$C,MATCH($A12&amp;K12,'AMMO vwFlags'!$K:$K,0))</f>
        <v>0</v>
      </c>
      <c r="D12" s="670" t="str">
        <f>INDEX('AMMO vwFlags'!$D:$D,MATCH($A12&amp;$K12,'AMMO vwFlags'!$K:$K,0))</f>
        <v>0</v>
      </c>
      <c r="E12" s="82">
        <f t="shared" ref="E12:E23" si="1">COUNTIFS($A:$A,$A12,$K:$K,$K12)</f>
        <v>1</v>
      </c>
      <c r="F12" s="707" t="str">
        <f t="shared" ref="F12:F23" si="2">IF(LEFT(A12,3)="Res","Residential",IF(LEFT(A12,3)="Ind","industrial",IF(LEFT(A12,3)="Com","Commercial",IF(LEFT(A12,3)="AGR","Agriculture",""))))</f>
        <v>Residential</v>
      </c>
      <c r="G12" s="708" t="str">
        <f>INDEX('AMMO Units'!B:B,MATCH($A12,'AMMO Units'!$E:$E,0))</f>
        <v>Ductless Heat Pumps</v>
      </c>
      <c r="H12" s="709" t="str">
        <f>INDEX('AMMO Units'!C:C,MATCH($A12,'AMMO Units'!$E:$E,0))</f>
        <v>DHP Zonal</v>
      </c>
      <c r="I12" s="709" t="str">
        <f>INDEX('AMMO Measures'!G:G,MATCH($A12,'AMMO Measures'!$A:$A,0))</f>
        <v>Inverter-driven DHP of 1.0 ton or greater heating capacity must be installed in the main living area of a house heated with zonal electric heat.</v>
      </c>
      <c r="J12" s="1574">
        <f>VALUE(INDEX('AMMO Measures'!H:H,MATCH($A12,'AMMO Measures'!A:A,0)))</f>
        <v>15</v>
      </c>
      <c r="K12" s="1575">
        <v>2024</v>
      </c>
      <c r="L12" s="1576">
        <f>SUMIFS('AMMO Units'!F:F,'AMMO Units'!$A:$A,$K12,'AMMO Units'!$E:$E,$A12)</f>
        <v>17504.575845619998</v>
      </c>
      <c r="M12" s="1577">
        <f>SUMIFS('AMMO Units'!G:G,'AMMO Units'!$A:$A,$K12,'AMMO Units'!$E:$E,$A12)</f>
        <v>8069.7373964899998</v>
      </c>
      <c r="N12" s="1724" t="s">
        <v>1891</v>
      </c>
      <c r="O12" s="1578">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0.14199999999999999</v>
      </c>
      <c r="P12" s="1579">
        <f>$Q$46</f>
        <v>1561.9421957588929</v>
      </c>
      <c r="Q12" s="1727" t="s">
        <v>2718</v>
      </c>
      <c r="R12" s="1580">
        <f>(L12)*O12*P12/8760000</f>
        <v>0.44320105705060281</v>
      </c>
      <c r="S12" s="1581">
        <f>IFERROR((M12)*O12*P12/8760/1000,0)</f>
        <v>0.20431892642174845</v>
      </c>
      <c r="T12" s="1582">
        <f t="shared" ref="T12:T13" si="3">R12-S12</f>
        <v>0.23888213062885436</v>
      </c>
      <c r="U12" s="91">
        <f t="shared" ref="U12:U17" si="4">M12*P12/8760000</f>
        <v>1.4388656790263974</v>
      </c>
    </row>
    <row r="13" spans="1:21" ht="42.75" customHeight="1">
      <c r="A13" s="81" t="s">
        <v>48</v>
      </c>
      <c r="B13" s="82" t="str">
        <f t="shared" si="0"/>
        <v>RES_200804</v>
      </c>
      <c r="C13" s="670" t="str">
        <f>INDEX('AMMO vwFlags'!$C:$C,MATCH($A13&amp;K13,'AMMO vwFlags'!$K:$K,0))</f>
        <v>0</v>
      </c>
      <c r="D13" s="670" t="str">
        <f>INDEX('AMMO vwFlags'!$D:$D,MATCH($A13&amp;$K13,'AMMO vwFlags'!$K:$K,0))</f>
        <v>0</v>
      </c>
      <c r="E13" s="82">
        <f t="shared" si="1"/>
        <v>1</v>
      </c>
      <c r="F13" s="689" t="str">
        <f t="shared" si="2"/>
        <v>Residential</v>
      </c>
      <c r="G13" s="703" t="str">
        <f>INDEX('AMMO Units'!B:B,MATCH($A13,'AMMO Units'!$E:$E,0))</f>
        <v>Ductless Heat Pumps</v>
      </c>
      <c r="H13" s="680" t="str">
        <f>INDEX('AMMO Units'!C:C,MATCH($A13,'AMMO Units'!$E:$E,0))</f>
        <v>DHP FAF</v>
      </c>
      <c r="I13" s="680" t="str">
        <f>INDEX('AMMO Measures'!G:G,MATCH($A13,'AMMO Measures'!$A:$A,0))</f>
        <v>Install a 9.5 HSPF or better DHP, with nominal tonnage 3/4 ton or greater in the main living area of a house with permanently installed electric forced air furnace space heat.</v>
      </c>
      <c r="J13" s="1583">
        <f>VALUE(INDEX('AMMO Measures'!H:H,MATCH($A13,'AMMO Measures'!A:A,0)))</f>
        <v>15</v>
      </c>
      <c r="K13" s="1584">
        <v>2024</v>
      </c>
      <c r="L13" s="1585">
        <f>SUMIFS('AMMO Units'!F:F,'AMMO Units'!$A:$A,$K13,'AMMO Units'!$E:$E,$A13)</f>
        <v>2877.5569467599998</v>
      </c>
      <c r="M13" s="1586">
        <f>SUMIFS('AMMO Units'!G:G,'AMMO Units'!$A:$A,$K13,'AMMO Units'!$E:$E,$A13)</f>
        <v>1326.5747829899999</v>
      </c>
      <c r="N13" s="1725"/>
      <c r="O13" s="1587">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0.14199999999999999</v>
      </c>
      <c r="P13" s="1588">
        <f>$P$114</f>
        <v>2461.6456981980414</v>
      </c>
      <c r="Q13" s="1728"/>
      <c r="R13" s="1589">
        <f t="shared" ref="R13:R23" si="5">(L13)*O13*P13/8760000</f>
        <v>0.11482427471030289</v>
      </c>
      <c r="S13" s="1590">
        <f t="shared" ref="S13:S23" si="6">IFERROR((M13)*O13*P13/8760/1000,0)</f>
        <v>5.2934829831017959E-2</v>
      </c>
      <c r="T13" s="1591">
        <f t="shared" si="3"/>
        <v>6.1889444879284931E-2</v>
      </c>
      <c r="U13" s="91">
        <f t="shared" si="4"/>
        <v>0.37278049176773215</v>
      </c>
    </row>
    <row r="14" spans="1:21" ht="42.75" customHeight="1">
      <c r="A14" s="49" t="s">
        <v>49</v>
      </c>
      <c r="B14" s="82" t="str">
        <f t="shared" si="0"/>
        <v>RES_200804</v>
      </c>
      <c r="C14" s="670" t="str">
        <f>INDEX('AMMO vwFlags'!$C:$C,MATCH($A14&amp;K14,'AMMO vwFlags'!$K:$K,0))</f>
        <v>0</v>
      </c>
      <c r="D14" s="670" t="str">
        <f>INDEX('AMMO vwFlags'!$D:$D,MATCH($A14&amp;$K14,'AMMO vwFlags'!$K:$K,0))</f>
        <v>0</v>
      </c>
      <c r="E14" s="82">
        <f t="shared" si="1"/>
        <v>1</v>
      </c>
      <c r="F14" s="689" t="str">
        <f t="shared" si="2"/>
        <v>Residential</v>
      </c>
      <c r="G14" s="703" t="str">
        <f>INDEX('AMMO Units'!B:B,MATCH($A14,'AMMO Units'!$E:$E,0))</f>
        <v>Ductless Heat Pumps</v>
      </c>
      <c r="H14" s="680" t="str">
        <f>INDEX('AMMO Units'!C:C,MATCH($A14,'AMMO Units'!$E:$E,0))</f>
        <v>DHP MH FAF</v>
      </c>
      <c r="I14" s="680" t="str">
        <f>INDEX('AMMO Measures'!G:G,MATCH($A14,'AMMO Measures'!$A:$A,0))</f>
        <v>Install a 9.5 HSPF or better DHP, with nominal tonnage 3/4 ton or greater in the main living area of a house with permanently installed electric forced air furnace space heat.</v>
      </c>
      <c r="J14" s="1583">
        <f>VALUE(INDEX('AMMO Measures'!H:H,MATCH($A14,'AMMO Measures'!A:A,0)))</f>
        <v>15</v>
      </c>
      <c r="K14" s="1584">
        <v>2024</v>
      </c>
      <c r="L14" s="1585">
        <f>SUMIFS('AMMO Units'!F:F,'AMMO Units'!$A:$A,$K14,'AMMO Units'!$E:$E,$A14)</f>
        <v>2184.3459192400001</v>
      </c>
      <c r="M14" s="1586">
        <f>SUMIFS('AMMO Units'!G:G,'AMMO Units'!$A:$A,$K14,'AMMO Units'!$E:$E,$A14)</f>
        <v>1006.999433</v>
      </c>
      <c r="N14" s="1725"/>
      <c r="O14" s="1587">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0.14199999999999999</v>
      </c>
      <c r="P14" s="1588">
        <f>$P$160</f>
        <v>2846.4262538970579</v>
      </c>
      <c r="Q14" s="1728"/>
      <c r="R14" s="1589">
        <f t="shared" si="5"/>
        <v>0.10078724877176994</v>
      </c>
      <c r="S14" s="1590">
        <f t="shared" si="6"/>
        <v>4.6463658284542519E-2</v>
      </c>
      <c r="T14" s="1591">
        <f t="shared" ref="T14:T23" si="7">R14-S14</f>
        <v>5.4323590487227416E-2</v>
      </c>
      <c r="U14" s="91">
        <f t="shared" si="4"/>
        <v>0.32720886115875014</v>
      </c>
    </row>
    <row r="15" spans="1:21" ht="42.75" customHeight="1">
      <c r="A15" s="49" t="s">
        <v>47</v>
      </c>
      <c r="B15" s="82" t="str">
        <f t="shared" si="0"/>
        <v>RES_200804</v>
      </c>
      <c r="C15" s="670" t="str">
        <f>INDEX('AMMO vwFlags'!$C:$C,MATCH($A15&amp;K15,'AMMO vwFlags'!$K:$K,0))</f>
        <v>0</v>
      </c>
      <c r="D15" s="670" t="str">
        <f>INDEX('AMMO vwFlags'!$D:$D,MATCH($A15&amp;$K15,'AMMO vwFlags'!$K:$K,0))</f>
        <v>0</v>
      </c>
      <c r="E15" s="82">
        <f t="shared" si="1"/>
        <v>1</v>
      </c>
      <c r="F15" s="689" t="str">
        <f t="shared" si="2"/>
        <v>Residential</v>
      </c>
      <c r="G15" s="703" t="str">
        <f>INDEX('AMMO Units'!B:B,MATCH($A15,'AMMO Units'!$E:$E,0))</f>
        <v>Ductless Heat Pumps</v>
      </c>
      <c r="H15" s="680" t="str">
        <f>INDEX('AMMO Units'!C:C,MATCH($A15,'AMMO Units'!$E:$E,0))</f>
        <v>DHP Zonal</v>
      </c>
      <c r="I15" s="680" t="str">
        <f>INDEX('AMMO Measures'!G:G,MATCH($A15,'AMMO Measures'!$A:$A,0))</f>
        <v>Inverter-driven DHP of 1.0 ton or greater heating capacity must be installed in the main living area of a house heated with zonal electric heat.</v>
      </c>
      <c r="J15" s="1583">
        <f>VALUE(INDEX('AMMO Measures'!H:H,MATCH($A15,'AMMO Measures'!A:A,0)))</f>
        <v>15</v>
      </c>
      <c r="K15" s="1584">
        <v>2025</v>
      </c>
      <c r="L15" s="1585">
        <f>SUMIFS('AMMO Units'!F:F,'AMMO Units'!$A:$A,$K15,'AMMO Units'!$E:$E,$A15)</f>
        <v>17208.36919433</v>
      </c>
      <c r="M15" s="1586">
        <f>SUMIFS('AMMO Units'!G:G,'AMMO Units'!$A:$A,$K15,'AMMO Units'!$E:$E,$A15)</f>
        <v>5949.8879740700004</v>
      </c>
      <c r="N15" s="1725"/>
      <c r="O15" s="1587">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0.14199999999999999</v>
      </c>
      <c r="P15" s="1588">
        <f>$R$46</f>
        <v>1561.9421957588929</v>
      </c>
      <c r="Q15" s="1728"/>
      <c r="R15" s="1589">
        <f t="shared" si="5"/>
        <v>0.43570135513751734</v>
      </c>
      <c r="S15" s="1590">
        <f t="shared" si="6"/>
        <v>0.15064613177132907</v>
      </c>
      <c r="T15" s="1591">
        <f t="shared" si="7"/>
        <v>0.28505522336618827</v>
      </c>
      <c r="U15" s="91">
        <f t="shared" si="4"/>
        <v>1.0608882519107681</v>
      </c>
    </row>
    <row r="16" spans="1:21" ht="42.75" customHeight="1">
      <c r="A16" s="49" t="s">
        <v>48</v>
      </c>
      <c r="B16" s="82" t="str">
        <f t="shared" si="0"/>
        <v>RES_200804</v>
      </c>
      <c r="C16" s="670" t="str">
        <f>INDEX('AMMO vwFlags'!$C:$C,MATCH($A16&amp;K16,'AMMO vwFlags'!$K:$K,0))</f>
        <v>0</v>
      </c>
      <c r="D16" s="670" t="str">
        <f>INDEX('AMMO vwFlags'!$D:$D,MATCH($A16&amp;$K16,'AMMO vwFlags'!$K:$K,0))</f>
        <v>0</v>
      </c>
      <c r="E16" s="82">
        <f t="shared" si="1"/>
        <v>1</v>
      </c>
      <c r="F16" s="689" t="str">
        <f t="shared" si="2"/>
        <v>Residential</v>
      </c>
      <c r="G16" s="703" t="str">
        <f>INDEX('AMMO Units'!B:B,MATCH($A16,'AMMO Units'!$E:$E,0))</f>
        <v>Ductless Heat Pumps</v>
      </c>
      <c r="H16" s="680" t="str">
        <f>INDEX('AMMO Units'!C:C,MATCH($A16,'AMMO Units'!$E:$E,0))</f>
        <v>DHP FAF</v>
      </c>
      <c r="I16" s="680" t="str">
        <f>INDEX('AMMO Measures'!G:G,MATCH($A16,'AMMO Measures'!$A:$A,0))</f>
        <v>Install a 9.5 HSPF or better DHP, with nominal tonnage 3/4 ton or greater in the main living area of a house with permanently installed electric forced air furnace space heat.</v>
      </c>
      <c r="J16" s="1583">
        <f>VALUE(INDEX('AMMO Measures'!H:H,MATCH($A16,'AMMO Measures'!A:A,0)))</f>
        <v>15</v>
      </c>
      <c r="K16" s="1584">
        <v>2025</v>
      </c>
      <c r="L16" s="1585">
        <f>SUMIFS('AMMO Units'!F:F,'AMMO Units'!$A:$A,$K16,'AMMO Units'!$E:$E,$A16)</f>
        <v>2776.2197923099998</v>
      </c>
      <c r="M16" s="1586">
        <f>SUMIFS('AMMO Units'!G:G,'AMMO Units'!$A:$A,$K16,'AMMO Units'!$E:$E,$A16)</f>
        <v>769.17772452999998</v>
      </c>
      <c r="N16" s="1725"/>
      <c r="O16" s="1587">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0.14199999999999999</v>
      </c>
      <c r="P16" s="1588">
        <f>$Q$114</f>
        <v>2461.6456981980414</v>
      </c>
      <c r="Q16" s="1728"/>
      <c r="R16" s="1589">
        <f t="shared" si="5"/>
        <v>0.11078057879873152</v>
      </c>
      <c r="S16" s="1590">
        <f t="shared" si="6"/>
        <v>3.0692798084125866E-2</v>
      </c>
      <c r="T16" s="1591">
        <f t="shared" si="7"/>
        <v>8.008778071460565E-2</v>
      </c>
      <c r="U16" s="91">
        <f t="shared" si="4"/>
        <v>0.21614646538116808</v>
      </c>
    </row>
    <row r="17" spans="1:22" ht="42.75" customHeight="1">
      <c r="A17" s="49" t="s">
        <v>49</v>
      </c>
      <c r="B17" s="82" t="str">
        <f t="shared" si="0"/>
        <v>RES_200804</v>
      </c>
      <c r="C17" s="670" t="str">
        <f>INDEX('AMMO vwFlags'!$C:$C,MATCH($A17&amp;K17,'AMMO vwFlags'!$K:$K,0))</f>
        <v>0</v>
      </c>
      <c r="D17" s="670" t="str">
        <f>INDEX('AMMO vwFlags'!$D:$D,MATCH($A17&amp;$K17,'AMMO vwFlags'!$K:$K,0))</f>
        <v>0</v>
      </c>
      <c r="E17" s="82">
        <f t="shared" si="1"/>
        <v>1</v>
      </c>
      <c r="F17" s="695" t="str">
        <f t="shared" si="2"/>
        <v>Residential</v>
      </c>
      <c r="G17" s="705" t="str">
        <f>INDEX('AMMO Units'!B:B,MATCH($A17,'AMMO Units'!$E:$E,0))</f>
        <v>Ductless Heat Pumps</v>
      </c>
      <c r="H17" s="696" t="str">
        <f>INDEX('AMMO Units'!C:C,MATCH($A17,'AMMO Units'!$E:$E,0))</f>
        <v>DHP MH FAF</v>
      </c>
      <c r="I17" s="696" t="str">
        <f>INDEX('AMMO Measures'!G:G,MATCH($A17,'AMMO Measures'!$A:$A,0))</f>
        <v>Install a 9.5 HSPF or better DHP, with nominal tonnage 3/4 ton or greater in the main living area of a house with permanently installed electric forced air furnace space heat.</v>
      </c>
      <c r="J17" s="1592">
        <f>VALUE(INDEX('AMMO Measures'!H:H,MATCH($A17,'AMMO Measures'!A:A,0)))</f>
        <v>15</v>
      </c>
      <c r="K17" s="1593">
        <v>2025</v>
      </c>
      <c r="L17" s="1594">
        <f>SUMIFS('AMMO Units'!F:F,'AMMO Units'!$A:$A,$K17,'AMMO Units'!$E:$E,$A17)</f>
        <v>2268.0282542899999</v>
      </c>
      <c r="M17" s="1595">
        <f>SUMIFS('AMMO Units'!G:G,'AMMO Units'!$A:$A,$K17,'AMMO Units'!$E:$E,$A17)</f>
        <v>742.37257692000003</v>
      </c>
      <c r="N17" s="1725"/>
      <c r="O17" s="1596">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0.14199999999999999</v>
      </c>
      <c r="P17" s="1597">
        <f>$P$160</f>
        <v>2846.4262538970579</v>
      </c>
      <c r="Q17" s="1728"/>
      <c r="R17" s="1598">
        <f t="shared" si="5"/>
        <v>0.1046484102509103</v>
      </c>
      <c r="S17" s="1599">
        <f t="shared" si="6"/>
        <v>3.4253590025433649E-2</v>
      </c>
      <c r="T17" s="1600">
        <f t="shared" si="7"/>
        <v>7.0394820225476662E-2</v>
      </c>
      <c r="U17" s="91">
        <f t="shared" si="4"/>
        <v>0.24122246496784261</v>
      </c>
    </row>
    <row r="18" spans="1:22" ht="42.75" customHeight="1">
      <c r="A18" s="81" t="s">
        <v>47</v>
      </c>
      <c r="B18" s="82" t="str">
        <f t="shared" ref="B18:B23" si="8">LEFT(A18,10)</f>
        <v>RES_200804</v>
      </c>
      <c r="C18" s="670" t="str">
        <f>INDEX('AMMO vwFlags'!$C:$C,MATCH($A18&amp;K18,'AMMO vwFlags'!$K:$K,0))</f>
        <v>0</v>
      </c>
      <c r="D18" s="670" t="str">
        <f>INDEX('AMMO vwFlags'!$D:$D,MATCH($A18&amp;$K18,'AMMO vwFlags'!$K:$K,0))</f>
        <v>0</v>
      </c>
      <c r="E18" s="82">
        <f t="shared" si="1"/>
        <v>1</v>
      </c>
      <c r="F18" s="698" t="str">
        <f t="shared" si="2"/>
        <v>Residential</v>
      </c>
      <c r="G18" s="702" t="str">
        <f>INDEX('AMMO Units'!B:B,MATCH($A18,'AMMO Units'!$E:$E,0))</f>
        <v>Ductless Heat Pumps</v>
      </c>
      <c r="H18" s="691" t="str">
        <f>INDEX('AMMO Units'!C:C,MATCH($A18,'AMMO Units'!$E:$E,0))</f>
        <v>DHP Zonal</v>
      </c>
      <c r="I18" s="691" t="str">
        <f>INDEX('AMMO Measures'!G:G,MATCH($A18,'AMMO Measures'!$A:$A,0))</f>
        <v>Inverter-driven DHP of 1.0 ton or greater heating capacity must be installed in the main living area of a house heated with zonal electric heat.</v>
      </c>
      <c r="J18" s="1601">
        <f>VALUE(INDEX('AMMO Measures'!H:H,MATCH($A18,'AMMO Measures'!A:A,0)))</f>
        <v>15</v>
      </c>
      <c r="K18" s="1602">
        <v>2026</v>
      </c>
      <c r="L18" s="1603">
        <f>SUMIFS('AMMO Units'!F:F,'AMMO Units'!$A:$A,$K18,'AMMO Units'!$E:$E,$A18)</f>
        <v>16542.689881480001</v>
      </c>
      <c r="M18" s="1604">
        <f>SUMIFS('AMMO Units'!G:G,'AMMO Units'!$A:$A,$K18,'AMMO Units'!$E:$E,$A18)</f>
        <v>5719.72570283</v>
      </c>
      <c r="N18" s="1725"/>
      <c r="O18" s="1605">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0.14199999999999999</v>
      </c>
      <c r="P18" s="1606">
        <f>$S$46</f>
        <v>1561.9421957588929</v>
      </c>
      <c r="Q18" s="1728"/>
      <c r="R18" s="1607">
        <f>(L18)*O18*P18/8760000</f>
        <v>0.41884691789128936</v>
      </c>
      <c r="S18" s="1608">
        <f t="shared" si="6"/>
        <v>0.14481861770835558</v>
      </c>
      <c r="T18" s="1609">
        <f t="shared" si="7"/>
        <v>0.27402830018293378</v>
      </c>
      <c r="U18" s="91"/>
    </row>
    <row r="19" spans="1:22" ht="42.75" customHeight="1">
      <c r="A19" s="81" t="s">
        <v>48</v>
      </c>
      <c r="B19" s="82" t="str">
        <f t="shared" si="8"/>
        <v>RES_200804</v>
      </c>
      <c r="C19" s="670" t="str">
        <f>INDEX('AMMO vwFlags'!$C:$C,MATCH($A19&amp;K19,'AMMO vwFlags'!$K:$K,0))</f>
        <v>0</v>
      </c>
      <c r="D19" s="670" t="str">
        <f>INDEX('AMMO vwFlags'!$D:$D,MATCH($A19&amp;$K19,'AMMO vwFlags'!$K:$K,0))</f>
        <v>0</v>
      </c>
      <c r="E19" s="82">
        <f t="shared" si="1"/>
        <v>1</v>
      </c>
      <c r="F19" s="689" t="str">
        <f t="shared" si="2"/>
        <v>Residential</v>
      </c>
      <c r="G19" s="703" t="str">
        <f>INDEX('AMMO Units'!B:B,MATCH($A19,'AMMO Units'!$E:$E,0))</f>
        <v>Ductless Heat Pumps</v>
      </c>
      <c r="H19" s="680" t="str">
        <f>INDEX('AMMO Units'!C:C,MATCH($A19,'AMMO Units'!$E:$E,0))</f>
        <v>DHP FAF</v>
      </c>
      <c r="I19" s="680" t="str">
        <f>INDEX('AMMO Measures'!G:G,MATCH($A19,'AMMO Measures'!$A:$A,0))</f>
        <v>Install a 9.5 HSPF or better DHP, with nominal tonnage 3/4 ton or greater in the main living area of a house with permanently installed electric forced air furnace space heat.</v>
      </c>
      <c r="J19" s="1583">
        <f>VALUE(INDEX('AMMO Measures'!H:H,MATCH($A19,'AMMO Measures'!A:A,0)))</f>
        <v>15</v>
      </c>
      <c r="K19" s="1584">
        <v>2026</v>
      </c>
      <c r="L19" s="1585">
        <f>SUMIFS('AMMO Units'!F:F,'AMMO Units'!$A:$A,$K19,'AMMO Units'!$E:$E,$A19)</f>
        <v>2643.7637255700001</v>
      </c>
      <c r="M19" s="1586">
        <f>SUMIFS('AMMO Units'!G:G,'AMMO Units'!$A:$A,$K19,'AMMO Units'!$E:$E,$A19)</f>
        <v>732.47952926999994</v>
      </c>
      <c r="N19" s="1725"/>
      <c r="O19" s="1587">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0.14199999999999999</v>
      </c>
      <c r="P19" s="1588">
        <f>$R$114</f>
        <v>2461.6456981980414</v>
      </c>
      <c r="Q19" s="1728"/>
      <c r="R19" s="1589">
        <f t="shared" si="5"/>
        <v>0.10549513281945219</v>
      </c>
      <c r="S19" s="1590">
        <f t="shared" si="6"/>
        <v>2.9228415716766928E-2</v>
      </c>
      <c r="T19" s="1591">
        <f t="shared" si="7"/>
        <v>7.6266717102685261E-2</v>
      </c>
      <c r="U19" s="91"/>
    </row>
    <row r="20" spans="1:22" ht="42.75" customHeight="1">
      <c r="A20" s="49" t="s">
        <v>49</v>
      </c>
      <c r="B20" s="82" t="str">
        <f t="shared" si="8"/>
        <v>RES_200804</v>
      </c>
      <c r="C20" s="670" t="str">
        <f>INDEX('AMMO vwFlags'!$C:$C,MATCH($A20&amp;K20,'AMMO vwFlags'!$K:$K,0))</f>
        <v>0</v>
      </c>
      <c r="D20" s="670" t="str">
        <f>INDEX('AMMO vwFlags'!$D:$D,MATCH($A20&amp;$K20,'AMMO vwFlags'!$K:$K,0))</f>
        <v>0</v>
      </c>
      <c r="E20" s="82">
        <f t="shared" si="1"/>
        <v>1</v>
      </c>
      <c r="F20" s="689" t="str">
        <f t="shared" si="2"/>
        <v>Residential</v>
      </c>
      <c r="G20" s="703" t="str">
        <f>INDEX('AMMO Units'!B:B,MATCH($A20,'AMMO Units'!$E:$E,0))</f>
        <v>Ductless Heat Pumps</v>
      </c>
      <c r="H20" s="680" t="str">
        <f>INDEX('AMMO Units'!C:C,MATCH($A20,'AMMO Units'!$E:$E,0))</f>
        <v>DHP MH FAF</v>
      </c>
      <c r="I20" s="680" t="str">
        <f>INDEX('AMMO Measures'!G:G,MATCH($A20,'AMMO Measures'!$A:$A,0))</f>
        <v>Install a 9.5 HSPF or better DHP, with nominal tonnage 3/4 ton or greater in the main living area of a house with permanently installed electric forced air furnace space heat.</v>
      </c>
      <c r="J20" s="1583">
        <f>VALUE(INDEX('AMMO Measures'!H:H,MATCH($A20,'AMMO Measures'!A:A,0)))</f>
        <v>15</v>
      </c>
      <c r="K20" s="1584">
        <v>2026</v>
      </c>
      <c r="L20" s="1585">
        <f>SUMIFS('AMMO Units'!F:F,'AMMO Units'!$A:$A,$K20,'AMMO Units'!$E:$E,$A20)</f>
        <v>2310.4559510099998</v>
      </c>
      <c r="M20" s="1586">
        <f>SUMIFS('AMMO Units'!G:G,'AMMO Units'!$A:$A,$K20,'AMMO Units'!$E:$E,$A20)</f>
        <v>756.26003995999997</v>
      </c>
      <c r="N20" s="1725"/>
      <c r="O20" s="1587">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0.14199999999999999</v>
      </c>
      <c r="P20" s="1588">
        <f>$R$160</f>
        <v>2846.4262538970579</v>
      </c>
      <c r="Q20" s="1728"/>
      <c r="R20" s="1589">
        <f t="shared" si="5"/>
        <v>0.10660605385784398</v>
      </c>
      <c r="S20" s="1590">
        <f t="shared" si="6"/>
        <v>3.4894367285066702E-2</v>
      </c>
      <c r="T20" s="1591">
        <f t="shared" si="7"/>
        <v>7.1711686572777281E-2</v>
      </c>
      <c r="U20" s="91"/>
    </row>
    <row r="21" spans="1:22" ht="42.75" customHeight="1">
      <c r="A21" s="49" t="s">
        <v>47</v>
      </c>
      <c r="B21" s="82" t="str">
        <f t="shared" si="8"/>
        <v>RES_200804</v>
      </c>
      <c r="C21" s="670" t="str">
        <f>INDEX('AMMO vwFlags'!$C:$C,MATCH($A21&amp;K21,'AMMO vwFlags'!$K:$K,0))</f>
        <v>0</v>
      </c>
      <c r="D21" s="670" t="str">
        <f>INDEX('AMMO vwFlags'!$D:$D,MATCH($A21&amp;$K21,'AMMO vwFlags'!$K:$K,0))</f>
        <v>0</v>
      </c>
      <c r="E21" s="82">
        <f t="shared" si="1"/>
        <v>1</v>
      </c>
      <c r="F21" s="689" t="str">
        <f t="shared" si="2"/>
        <v>Residential</v>
      </c>
      <c r="G21" s="703" t="str">
        <f>INDEX('AMMO Units'!B:B,MATCH($A21,'AMMO Units'!$E:$E,0))</f>
        <v>Ductless Heat Pumps</v>
      </c>
      <c r="H21" s="680" t="str">
        <f>INDEX('AMMO Units'!C:C,MATCH($A21,'AMMO Units'!$E:$E,0))</f>
        <v>DHP Zonal</v>
      </c>
      <c r="I21" s="680" t="str">
        <f>INDEX('AMMO Measures'!G:G,MATCH($A21,'AMMO Measures'!$A:$A,0))</f>
        <v>Inverter-driven DHP of 1.0 ton or greater heating capacity must be installed in the main living area of a house heated with zonal electric heat.</v>
      </c>
      <c r="J21" s="1583">
        <f>VALUE(INDEX('AMMO Measures'!H:H,MATCH($A21,'AMMO Measures'!A:A,0)))</f>
        <v>15</v>
      </c>
      <c r="K21" s="1584">
        <v>2027</v>
      </c>
      <c r="L21" s="1585">
        <f>SUMIFS('AMMO Units'!F:F,'AMMO Units'!$A:$A,$K21,'AMMO Units'!$E:$E,$A21)</f>
        <v>15564.05950453</v>
      </c>
      <c r="M21" s="1586">
        <f>SUMIFS('AMMO Units'!G:G,'AMMO Units'!$A:$A,$K21,'AMMO Units'!$E:$E,$A21)</f>
        <v>5381.3588857799996</v>
      </c>
      <c r="N21" s="1725"/>
      <c r="O21" s="1587">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0.14199999999999999</v>
      </c>
      <c r="P21" s="1588">
        <f>T46</f>
        <v>1561.9421957588929</v>
      </c>
      <c r="Q21" s="1728"/>
      <c r="R21" s="1589">
        <f t="shared" si="5"/>
        <v>0.39406882436012863</v>
      </c>
      <c r="S21" s="1590">
        <f t="shared" si="6"/>
        <v>0.13625145605245451</v>
      </c>
      <c r="T21" s="1591">
        <f t="shared" si="7"/>
        <v>0.2578173683076741</v>
      </c>
      <c r="U21" s="91"/>
    </row>
    <row r="22" spans="1:22" ht="42.75" customHeight="1">
      <c r="A22" s="49" t="s">
        <v>48</v>
      </c>
      <c r="B22" s="82" t="str">
        <f t="shared" si="8"/>
        <v>RES_200804</v>
      </c>
      <c r="C22" s="670" t="str">
        <f>INDEX('AMMO vwFlags'!$C:$C,MATCH($A22&amp;K22,'AMMO vwFlags'!$K:$K,0))</f>
        <v>0</v>
      </c>
      <c r="D22" s="670" t="str">
        <f>INDEX('AMMO vwFlags'!$D:$D,MATCH($A22&amp;$K22,'AMMO vwFlags'!$K:$K,0))</f>
        <v>0</v>
      </c>
      <c r="E22" s="82">
        <f t="shared" si="1"/>
        <v>1</v>
      </c>
      <c r="F22" s="689" t="str">
        <f t="shared" si="2"/>
        <v>Residential</v>
      </c>
      <c r="G22" s="703" t="str">
        <f>INDEX('AMMO Units'!B:B,MATCH($A22,'AMMO Units'!$E:$E,0))</f>
        <v>Ductless Heat Pumps</v>
      </c>
      <c r="H22" s="680" t="str">
        <f>INDEX('AMMO Units'!C:C,MATCH($A22,'AMMO Units'!$E:$E,0))</f>
        <v>DHP FAF</v>
      </c>
      <c r="I22" s="680" t="str">
        <f>INDEX('AMMO Measures'!G:G,MATCH($A22,'AMMO Measures'!$A:$A,0))</f>
        <v>Install a 9.5 HSPF or better DHP, with nominal tonnage 3/4 ton or greater in the main living area of a house with permanently installed electric forced air furnace space heat.</v>
      </c>
      <c r="J22" s="1583">
        <f>VALUE(INDEX('AMMO Measures'!H:H,MATCH($A22,'AMMO Measures'!A:A,0)))</f>
        <v>15</v>
      </c>
      <c r="K22" s="1584">
        <v>2027</v>
      </c>
      <c r="L22" s="1585">
        <f>SUMIFS('AMMO Units'!F:F,'AMMO Units'!$A:$A,$K22,'AMMO Units'!$E:$E,$A22)</f>
        <v>2528.5696724600002</v>
      </c>
      <c r="M22" s="1586">
        <f>SUMIFS('AMMO Units'!G:G,'AMMO Units'!$A:$A,$K22,'AMMO Units'!$E:$E,$A22)</f>
        <v>700.56393675000004</v>
      </c>
      <c r="N22" s="1725"/>
      <c r="O22" s="1587">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0.14199999999999999</v>
      </c>
      <c r="P22" s="1588">
        <f>S114</f>
        <v>2461.6456981980414</v>
      </c>
      <c r="Q22" s="1728"/>
      <c r="R22" s="1589">
        <f t="shared" si="5"/>
        <v>0.10089849968793799</v>
      </c>
      <c r="S22" s="1590">
        <f t="shared" si="6"/>
        <v>2.795487540779586E-2</v>
      </c>
      <c r="T22" s="1591">
        <f t="shared" si="7"/>
        <v>7.294362428014213E-2</v>
      </c>
      <c r="U22" s="91"/>
    </row>
    <row r="23" spans="1:22" ht="42.75" customHeight="1">
      <c r="A23" s="49" t="s">
        <v>49</v>
      </c>
      <c r="B23" s="82" t="str">
        <f t="shared" si="8"/>
        <v>RES_200804</v>
      </c>
      <c r="C23" s="670" t="str">
        <f>INDEX('AMMO vwFlags'!$C:$C,MATCH($A23&amp;K23,'AMMO vwFlags'!$K:$K,0))</f>
        <v>0</v>
      </c>
      <c r="D23" s="670" t="str">
        <f>INDEX('AMMO vwFlags'!$D:$D,MATCH($A23&amp;$K23,'AMMO vwFlags'!$K:$K,0))</f>
        <v>0</v>
      </c>
      <c r="E23" s="82">
        <f t="shared" si="1"/>
        <v>1</v>
      </c>
      <c r="F23" s="690" t="str">
        <f t="shared" si="2"/>
        <v>Residential</v>
      </c>
      <c r="G23" s="706" t="str">
        <f>INDEX('AMMO Units'!B:B,MATCH($A23,'AMMO Units'!$E:$E,0))</f>
        <v>Ductless Heat Pumps</v>
      </c>
      <c r="H23" s="686" t="str">
        <f>INDEX('AMMO Units'!C:C,MATCH($A23,'AMMO Units'!$E:$E,0))</f>
        <v>DHP MH FAF</v>
      </c>
      <c r="I23" s="686" t="str">
        <f>INDEX('AMMO Measures'!G:G,MATCH($A23,'AMMO Measures'!$A:$A,0))</f>
        <v>Install a 9.5 HSPF or better DHP, with nominal tonnage 3/4 ton or greater in the main living area of a house with permanently installed electric forced air furnace space heat.</v>
      </c>
      <c r="J23" s="686">
        <f>VALUE(INDEX('AMMO Measures'!H:H,MATCH($A23,'AMMO Measures'!A:A,0)))</f>
        <v>15</v>
      </c>
      <c r="K23" s="1610">
        <v>2027</v>
      </c>
      <c r="L23" s="1611">
        <f>SUMIFS('AMMO Units'!F:F,'AMMO Units'!$A:$A,$K23,'AMMO Units'!$E:$E,$A23)</f>
        <v>2249.0282542899999</v>
      </c>
      <c r="M23" s="1612">
        <f>SUMIFS('AMMO Units'!G:G,'AMMO Units'!$A:$A,$K23,'AMMO Units'!$E:$E,$A23)</f>
        <v>736.15348377999999</v>
      </c>
      <c r="N23" s="1726"/>
      <c r="O23" s="1613">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0.14199999999999999</v>
      </c>
      <c r="P23" s="1614">
        <f>S160</f>
        <v>2846.4262538970579</v>
      </c>
      <c r="Q23" s="1729"/>
      <c r="R23" s="1615">
        <f t="shared" si="5"/>
        <v>0.10377173695947031</v>
      </c>
      <c r="S23" s="1616">
        <f t="shared" si="6"/>
        <v>3.3966636717390711E-2</v>
      </c>
      <c r="T23" s="1617">
        <f t="shared" si="7"/>
        <v>6.9805100242079601E-2</v>
      </c>
      <c r="U23" s="91"/>
    </row>
    <row r="24" spans="1:22" s="47" customFormat="1">
      <c r="A24" s="390"/>
      <c r="B24" s="390"/>
      <c r="C24" s="390"/>
      <c r="D24" s="390"/>
      <c r="E24" s="390"/>
      <c r="F24" s="227"/>
      <c r="G24" s="227"/>
      <c r="H24" s="227"/>
      <c r="I24" s="227"/>
      <c r="J24" s="227"/>
      <c r="K24" s="281"/>
      <c r="L24" s="282"/>
      <c r="M24" s="282"/>
      <c r="N24" s="391"/>
      <c r="O24" s="284"/>
      <c r="P24" s="282"/>
      <c r="Q24" s="290"/>
      <c r="R24" s="285"/>
      <c r="S24" s="285"/>
      <c r="T24" s="285"/>
      <c r="U24" s="392"/>
    </row>
    <row r="25" spans="1:22" ht="12.75" customHeight="1">
      <c r="F25" s="127" t="s">
        <v>671</v>
      </c>
      <c r="G25" s="125"/>
      <c r="H25" s="125"/>
      <c r="I25" s="125"/>
      <c r="J25" s="125"/>
      <c r="K25" s="15"/>
      <c r="O25" s="50"/>
      <c r="T25" s="52"/>
      <c r="U25" s="50"/>
    </row>
    <row r="26" spans="1:22" ht="57.75" customHeight="1">
      <c r="F26" s="1705" t="s">
        <v>2576</v>
      </c>
      <c r="G26" s="1706"/>
      <c r="H26" s="1706"/>
      <c r="I26" s="1706"/>
      <c r="J26" s="1707"/>
      <c r="K26" s="1706"/>
      <c r="L26" s="1706"/>
      <c r="M26" s="1706"/>
      <c r="N26" s="1706"/>
      <c r="O26" s="1706"/>
      <c r="P26" s="1706"/>
      <c r="Q26" s="1706"/>
      <c r="R26" s="1706"/>
      <c r="S26" s="1706"/>
      <c r="T26" s="1706"/>
      <c r="U26" s="1708"/>
    </row>
    <row r="28" spans="1:22" ht="16.5" customHeight="1" thickBot="1">
      <c r="F28" s="364" t="s">
        <v>2717</v>
      </c>
      <c r="G28" s="128"/>
      <c r="H28" s="128"/>
      <c r="I28" s="128"/>
      <c r="J28" s="128"/>
      <c r="K28" s="128"/>
      <c r="L28" s="128"/>
      <c r="M28" s="128"/>
      <c r="N28" s="128"/>
      <c r="O28" s="128"/>
      <c r="P28" s="128"/>
      <c r="Q28" s="128"/>
      <c r="R28" s="128"/>
      <c r="S28" s="128"/>
      <c r="T28" s="128"/>
      <c r="U28" s="128"/>
      <c r="V28" s="128"/>
    </row>
    <row r="29" spans="1:22" ht="12.75" customHeight="1" outlineLevel="1" thickTop="1"/>
    <row r="30" spans="1:22" ht="18" customHeight="1" outlineLevel="1" thickBot="1">
      <c r="F30" s="364" t="s">
        <v>487</v>
      </c>
      <c r="G30" s="128"/>
      <c r="H30" s="128"/>
      <c r="I30" s="128"/>
      <c r="J30" s="128"/>
      <c r="K30" s="128"/>
      <c r="L30" s="128"/>
      <c r="M30" s="128"/>
      <c r="N30" s="128"/>
      <c r="O30" s="128"/>
      <c r="P30" s="128"/>
      <c r="Q30" s="128"/>
      <c r="R30" s="128"/>
      <c r="S30" s="128"/>
      <c r="T30" s="128"/>
      <c r="U30" s="128"/>
      <c r="V30" s="128"/>
    </row>
    <row r="31" spans="1:22" ht="12.75" customHeight="1" outlineLevel="1" thickTop="1"/>
    <row r="32" spans="1:22" ht="68.099999999999994" customHeight="1" outlineLevel="1">
      <c r="F32" s="1715" t="s">
        <v>2779</v>
      </c>
      <c r="G32" s="1707"/>
      <c r="H32" s="1707"/>
      <c r="I32" s="1707"/>
      <c r="J32" s="1707"/>
      <c r="K32" s="1707"/>
      <c r="L32" s="1707"/>
      <c r="M32" s="1707"/>
      <c r="N32" s="1707"/>
      <c r="O32" s="1707"/>
      <c r="P32" s="1707"/>
      <c r="Q32" s="1707"/>
      <c r="R32" s="1707"/>
      <c r="S32" s="1707"/>
      <c r="T32" s="1707"/>
      <c r="U32" s="1707"/>
      <c r="V32" s="1716"/>
    </row>
    <row r="33" spans="6:36" ht="12.75" customHeight="1" outlineLevel="1"/>
    <row r="34" spans="6:36" ht="12.75" customHeight="1" outlineLevel="1">
      <c r="F34" s="365" t="s">
        <v>1960</v>
      </c>
      <c r="G34" s="4"/>
      <c r="H34" s="321">
        <v>2016</v>
      </c>
      <c r="I34" s="321">
        <v>2017</v>
      </c>
      <c r="J34" s="321"/>
      <c r="K34" s="321">
        <v>2018</v>
      </c>
      <c r="L34" s="321">
        <v>2019</v>
      </c>
      <c r="M34" s="321">
        <v>2020</v>
      </c>
      <c r="N34" s="321">
        <v>2021</v>
      </c>
      <c r="O34" s="321">
        <v>2022</v>
      </c>
      <c r="P34" s="321">
        <v>2023</v>
      </c>
      <c r="Q34" s="321">
        <v>2024</v>
      </c>
      <c r="R34" s="321">
        <v>2025</v>
      </c>
      <c r="S34" s="321">
        <v>2026</v>
      </c>
      <c r="T34" s="321">
        <v>2027</v>
      </c>
    </row>
    <row r="35" spans="6:36" ht="12.75" customHeight="1" outlineLevel="1">
      <c r="F35" s="320" t="s">
        <v>465</v>
      </c>
      <c r="G35" s="320" t="s">
        <v>466</v>
      </c>
      <c r="L35" s="50"/>
      <c r="M35" s="50"/>
      <c r="N35" s="50"/>
      <c r="O35" s="50"/>
    </row>
    <row r="36" spans="6:36" ht="12.75" customHeight="1" outlineLevel="1">
      <c r="F36" s="322">
        <v>1</v>
      </c>
      <c r="G36" s="322">
        <v>1</v>
      </c>
      <c r="H36" s="478">
        <v>1065.8314771720193</v>
      </c>
      <c r="I36" s="478">
        <v>944.56138755534255</v>
      </c>
      <c r="J36" s="478"/>
      <c r="K36" s="478">
        <v>934.09499394990826</v>
      </c>
      <c r="L36" s="478">
        <v>907.73962110315119</v>
      </c>
      <c r="M36" s="478">
        <v>864.69283799279378</v>
      </c>
      <c r="N36" s="478">
        <v>1032.8210324211495</v>
      </c>
      <c r="O36" s="478">
        <v>1032.8210324211495</v>
      </c>
      <c r="P36" s="478">
        <v>1032.8210324211495</v>
      </c>
      <c r="Q36" s="478">
        <v>1032.8210324211495</v>
      </c>
      <c r="R36" s="478">
        <v>1032.8210324211495</v>
      </c>
      <c r="S36" s="478">
        <v>1032.8210324211495</v>
      </c>
      <c r="T36" s="478">
        <v>1032.8210324211495</v>
      </c>
    </row>
    <row r="37" spans="6:36" ht="12.75" customHeight="1" outlineLevel="1">
      <c r="F37" s="322">
        <v>1</v>
      </c>
      <c r="G37" s="322">
        <v>2</v>
      </c>
      <c r="H37" s="478">
        <v>72.978249631807373</v>
      </c>
      <c r="I37" s="478">
        <v>320.31354477257537</v>
      </c>
      <c r="J37" s="478"/>
      <c r="K37" s="478">
        <v>252.30853174495442</v>
      </c>
      <c r="L37" s="478">
        <v>221.11825963572787</v>
      </c>
      <c r="M37" s="478">
        <v>284.61852455408803</v>
      </c>
      <c r="N37" s="478">
        <v>177.34515220675667</v>
      </c>
      <c r="O37" s="478">
        <v>177.34515220675667</v>
      </c>
      <c r="P37" s="478">
        <v>177.34515220675667</v>
      </c>
      <c r="Q37" s="478">
        <v>177.34515220675667</v>
      </c>
      <c r="R37" s="478">
        <v>177.34515220675667</v>
      </c>
      <c r="S37" s="478">
        <v>177.34515220675667</v>
      </c>
      <c r="T37" s="478">
        <v>177.34515220675667</v>
      </c>
    </row>
    <row r="38" spans="6:36" ht="12.75" customHeight="1" outlineLevel="1">
      <c r="F38" s="322">
        <v>1</v>
      </c>
      <c r="G38" s="322">
        <v>3</v>
      </c>
      <c r="H38" s="478">
        <v>145.98263438406502</v>
      </c>
      <c r="I38" s="478">
        <v>144.2025910315015</v>
      </c>
      <c r="J38" s="478"/>
      <c r="K38" s="478">
        <v>177.07774026056063</v>
      </c>
      <c r="L38" s="478">
        <v>184.1354650091437</v>
      </c>
      <c r="M38" s="478">
        <v>203.92216950849848</v>
      </c>
      <c r="N38" s="478">
        <v>174.52269498045763</v>
      </c>
      <c r="O38" s="478">
        <v>174.52269498045763</v>
      </c>
      <c r="P38" s="478">
        <v>174.52269498045763</v>
      </c>
      <c r="Q38" s="478">
        <v>174.52269498045763</v>
      </c>
      <c r="R38" s="478">
        <v>174.52269498045763</v>
      </c>
      <c r="S38" s="478">
        <v>174.52269498045763</v>
      </c>
      <c r="T38" s="478">
        <v>174.52269498045763</v>
      </c>
    </row>
    <row r="39" spans="6:36" ht="12.75" customHeight="1" outlineLevel="1">
      <c r="F39" s="479">
        <v>2</v>
      </c>
      <c r="G39" s="479">
        <v>1</v>
      </c>
      <c r="H39" s="478">
        <v>36.945699356558904</v>
      </c>
      <c r="I39" s="478">
        <v>27.182321157018578</v>
      </c>
      <c r="J39" s="478"/>
      <c r="K39" s="478">
        <v>31.773864843476858</v>
      </c>
      <c r="L39" s="478">
        <v>35.789565321309695</v>
      </c>
      <c r="M39" s="478">
        <v>32.203568441640726</v>
      </c>
      <c r="N39" s="478">
        <v>28.863512986812857</v>
      </c>
      <c r="O39" s="478">
        <v>28.863512986812857</v>
      </c>
      <c r="P39" s="478">
        <v>28.863512986812857</v>
      </c>
      <c r="Q39" s="478">
        <v>28.863512986812857</v>
      </c>
      <c r="R39" s="478">
        <v>28.863512986812857</v>
      </c>
      <c r="S39" s="478">
        <v>28.863512986812857</v>
      </c>
      <c r="T39" s="478">
        <v>28.863512986812857</v>
      </c>
    </row>
    <row r="40" spans="6:36" ht="12.75" customHeight="1" outlineLevel="1">
      <c r="F40" s="479">
        <v>2</v>
      </c>
      <c r="G40" s="479">
        <v>2</v>
      </c>
      <c r="H40" s="478">
        <v>136.9607220375529</v>
      </c>
      <c r="I40" s="478">
        <v>74.061739682528795</v>
      </c>
      <c r="J40" s="478"/>
      <c r="K40" s="478">
        <v>80.73307199861361</v>
      </c>
      <c r="L40" s="478">
        <v>91.773070680592298</v>
      </c>
      <c r="M40" s="478">
        <v>83.352821233363841</v>
      </c>
      <c r="N40" s="478">
        <v>80.456624600398783</v>
      </c>
      <c r="O40" s="478">
        <v>80.456624600398783</v>
      </c>
      <c r="P40" s="478">
        <v>80.456624600398783</v>
      </c>
      <c r="Q40" s="478">
        <v>80.456624600398783</v>
      </c>
      <c r="R40" s="478">
        <v>80.456624600398783</v>
      </c>
      <c r="S40" s="478">
        <v>80.456624600398783</v>
      </c>
      <c r="T40" s="478">
        <v>80.456624600398783</v>
      </c>
    </row>
    <row r="41" spans="6:36" ht="12.75" customHeight="1" outlineLevel="1">
      <c r="F41" s="479">
        <v>2</v>
      </c>
      <c r="G41" s="479">
        <v>3</v>
      </c>
      <c r="H41" s="478">
        <v>0</v>
      </c>
      <c r="I41" s="478">
        <v>19.483640441598961</v>
      </c>
      <c r="J41" s="478"/>
      <c r="K41" s="478">
        <v>21.824022798297555</v>
      </c>
      <c r="L41" s="478">
        <v>25.514706687959183</v>
      </c>
      <c r="M41" s="478">
        <v>28.014122471798622</v>
      </c>
      <c r="N41" s="478">
        <v>21.100871454699639</v>
      </c>
      <c r="O41" s="478">
        <v>21.100871454699639</v>
      </c>
      <c r="P41" s="478">
        <v>21.100871454699639</v>
      </c>
      <c r="Q41" s="478">
        <v>21.100871454699639</v>
      </c>
      <c r="R41" s="478">
        <v>21.100871454699639</v>
      </c>
      <c r="S41" s="478">
        <v>21.100871454699639</v>
      </c>
      <c r="T41" s="478">
        <v>21.100871454699639</v>
      </c>
    </row>
    <row r="42" spans="6:36" ht="12.75" customHeight="1" outlineLevel="1">
      <c r="F42" s="322">
        <v>3</v>
      </c>
      <c r="G42" s="322">
        <v>1</v>
      </c>
      <c r="H42" s="478">
        <v>21.492461181557914</v>
      </c>
      <c r="I42" s="478">
        <v>13.62405061102627</v>
      </c>
      <c r="J42" s="478"/>
      <c r="K42" s="478">
        <v>15.951359883493151</v>
      </c>
      <c r="L42" s="478">
        <v>19.7635166087884</v>
      </c>
      <c r="M42" s="478">
        <v>17.903386416574445</v>
      </c>
      <c r="N42" s="478">
        <v>15.410107273400122</v>
      </c>
      <c r="O42" s="478">
        <v>15.410107273400122</v>
      </c>
      <c r="P42" s="478">
        <v>15.410107273400122</v>
      </c>
      <c r="Q42" s="478">
        <v>15.410107273400122</v>
      </c>
      <c r="R42" s="478">
        <v>15.410107273400122</v>
      </c>
      <c r="S42" s="478">
        <v>15.410107273400122</v>
      </c>
      <c r="T42" s="478">
        <v>15.410107273400122</v>
      </c>
    </row>
    <row r="43" spans="6:36" ht="12.75" customHeight="1" outlineLevel="1">
      <c r="F43" s="322">
        <v>3</v>
      </c>
      <c r="G43" s="322">
        <v>2</v>
      </c>
      <c r="H43" s="478">
        <v>27.954639217830724</v>
      </c>
      <c r="I43" s="478">
        <v>28.612425775147862</v>
      </c>
      <c r="J43" s="478"/>
      <c r="K43" s="478">
        <v>38.989052084896869</v>
      </c>
      <c r="L43" s="478">
        <v>44.161631673463347</v>
      </c>
      <c r="M43" s="478">
        <v>36.727228120128416</v>
      </c>
      <c r="N43" s="478">
        <v>31.422199835217761</v>
      </c>
      <c r="O43" s="478">
        <v>31.422199835217761</v>
      </c>
      <c r="P43" s="478">
        <v>31.422199835217761</v>
      </c>
      <c r="Q43" s="478">
        <v>31.422199835217761</v>
      </c>
      <c r="R43" s="478">
        <v>31.422199835217761</v>
      </c>
      <c r="S43" s="478">
        <v>31.422199835217761</v>
      </c>
      <c r="T43" s="478">
        <v>31.422199835217761</v>
      </c>
    </row>
    <row r="44" spans="6:36" ht="12.75" customHeight="1" outlineLevel="1">
      <c r="F44" s="322">
        <v>3</v>
      </c>
      <c r="G44" s="322">
        <v>3</v>
      </c>
      <c r="H44" s="478">
        <v>0</v>
      </c>
      <c r="I44" s="478">
        <v>0</v>
      </c>
      <c r="J44" s="478"/>
      <c r="K44" s="478">
        <v>0</v>
      </c>
      <c r="L44" s="478">
        <v>0</v>
      </c>
      <c r="M44" s="478">
        <v>0</v>
      </c>
      <c r="N44" s="478">
        <v>0</v>
      </c>
      <c r="O44" s="478">
        <v>0</v>
      </c>
      <c r="P44" s="478">
        <v>0</v>
      </c>
      <c r="Q44" s="478">
        <v>0</v>
      </c>
      <c r="R44" s="478">
        <v>0</v>
      </c>
      <c r="S44" s="478">
        <v>0</v>
      </c>
      <c r="T44" s="478">
        <v>0</v>
      </c>
    </row>
    <row r="45" spans="6:36" ht="12.75" customHeight="1" outlineLevel="1">
      <c r="F45" s="4"/>
      <c r="G45" s="4"/>
      <c r="H45" s="4"/>
      <c r="I45" s="4"/>
      <c r="J45" s="4"/>
      <c r="K45" s="4"/>
      <c r="L45" s="4"/>
      <c r="M45" s="4"/>
      <c r="N45" s="4"/>
      <c r="O45" s="4"/>
      <c r="P45" s="4"/>
      <c r="Q45" s="4"/>
      <c r="R45" s="4"/>
      <c r="S45" s="4"/>
      <c r="T45" s="4"/>
    </row>
    <row r="46" spans="6:36" ht="12.75" customHeight="1" outlineLevel="1">
      <c r="F46" s="264" t="s">
        <v>1961</v>
      </c>
      <c r="G46" s="264"/>
      <c r="H46" s="380">
        <v>1508.1458829813919</v>
      </c>
      <c r="I46" s="380">
        <v>1572.0417010267397</v>
      </c>
      <c r="J46" s="380"/>
      <c r="K46" s="380">
        <v>1552.7526375642015</v>
      </c>
      <c r="L46" s="380">
        <v>1529.9958367201357</v>
      </c>
      <c r="M46" s="380">
        <v>1551.4346587388864</v>
      </c>
      <c r="N46" s="380">
        <v>1561.9421957588929</v>
      </c>
      <c r="O46" s="380">
        <v>1561.94219575889</v>
      </c>
      <c r="P46" s="380">
        <v>1561.9421957588929</v>
      </c>
      <c r="Q46" s="380">
        <v>1561.9421957588929</v>
      </c>
      <c r="R46" s="380">
        <v>1561.9421957588929</v>
      </c>
      <c r="S46" s="380">
        <v>1561.9421957588929</v>
      </c>
      <c r="T46" s="380">
        <v>1561.9421957588929</v>
      </c>
      <c r="U46" s="4"/>
      <c r="V46" s="4"/>
      <c r="W46" s="4"/>
      <c r="X46" s="4"/>
      <c r="Y46" s="4"/>
      <c r="Z46" s="4"/>
      <c r="AA46" s="4"/>
      <c r="AB46" s="4"/>
      <c r="AC46" s="4"/>
      <c r="AD46" s="4"/>
      <c r="AE46" s="4"/>
      <c r="AF46" s="4"/>
      <c r="AG46" s="4"/>
      <c r="AH46" s="4"/>
      <c r="AI46" s="4"/>
      <c r="AJ46" s="4"/>
    </row>
    <row r="47" spans="6:36" customFormat="1" ht="12.75" customHeight="1" outlineLevel="1"/>
    <row r="48" spans="6:36" customFormat="1" ht="12.75" customHeight="1" outlineLevel="1"/>
    <row r="49" spans="6:36" customFormat="1" ht="12.75" customHeight="1" outlineLevel="1">
      <c r="F49" s="365" t="s">
        <v>1964</v>
      </c>
    </row>
    <row r="50" spans="6:36" ht="12.75" customHeight="1" outlineLevel="1">
      <c r="F50" s="241" t="s">
        <v>939</v>
      </c>
      <c r="G50" s="241" t="s">
        <v>488</v>
      </c>
      <c r="H50" s="241" t="s">
        <v>2521</v>
      </c>
      <c r="I50" s="241"/>
      <c r="J50" s="241"/>
      <c r="K50" s="4"/>
      <c r="L50" s="4"/>
      <c r="M50" s="4"/>
      <c r="N50" s="4"/>
      <c r="O50" s="4"/>
      <c r="P50" s="4"/>
      <c r="Q50" s="4"/>
      <c r="R50" s="4"/>
      <c r="S50" s="4"/>
      <c r="T50" s="4"/>
      <c r="U50" s="4"/>
      <c r="V50" s="4"/>
      <c r="W50" s="4"/>
      <c r="X50" s="4"/>
      <c r="Y50" s="4"/>
      <c r="Z50" s="4"/>
      <c r="AA50" s="4"/>
      <c r="AB50" s="4"/>
      <c r="AC50" s="4"/>
      <c r="AD50" s="4"/>
      <c r="AE50" s="4"/>
      <c r="AF50" s="4"/>
      <c r="AG50" s="4"/>
      <c r="AH50" s="4"/>
      <c r="AI50" s="4"/>
      <c r="AJ50" s="4"/>
    </row>
    <row r="51" spans="6:36" ht="12.75" customHeight="1" outlineLevel="1">
      <c r="F51" s="4"/>
      <c r="G51" s="4"/>
      <c r="H51" s="4"/>
      <c r="I51" s="4"/>
      <c r="J51" s="4"/>
      <c r="K51" s="4"/>
      <c r="L51" s="4"/>
      <c r="M51" s="4"/>
      <c r="N51" s="4"/>
      <c r="O51" s="4"/>
      <c r="P51" s="4"/>
      <c r="Q51" s="4"/>
      <c r="R51" s="4"/>
      <c r="S51" s="205"/>
      <c r="T51" s="205"/>
      <c r="U51" s="205"/>
      <c r="V51" s="205"/>
      <c r="W51" s="4"/>
      <c r="X51" s="4"/>
      <c r="Y51" s="4"/>
      <c r="Z51" s="4"/>
      <c r="AA51" s="4"/>
      <c r="AB51" s="4"/>
      <c r="AC51" s="4"/>
      <c r="AD51" s="4"/>
      <c r="AE51" s="4"/>
      <c r="AF51" s="4"/>
      <c r="AG51" s="4"/>
      <c r="AH51" s="4"/>
      <c r="AI51" s="4"/>
      <c r="AJ51" s="4"/>
    </row>
    <row r="52" spans="6:36" ht="38.1" customHeight="1" outlineLevel="1" thickBot="1">
      <c r="F52" s="480" t="s">
        <v>465</v>
      </c>
      <c r="G52" s="480" t="s">
        <v>466</v>
      </c>
      <c r="H52" s="480"/>
      <c r="I52" s="480" t="s">
        <v>479</v>
      </c>
      <c r="J52" s="480"/>
      <c r="K52" s="480" t="s">
        <v>480</v>
      </c>
      <c r="L52" s="480" t="s">
        <v>481</v>
      </c>
      <c r="M52" s="480" t="s">
        <v>940</v>
      </c>
      <c r="N52" s="480" t="s">
        <v>941</v>
      </c>
      <c r="O52" s="480" t="s">
        <v>482</v>
      </c>
      <c r="P52" s="480" t="s">
        <v>483</v>
      </c>
      <c r="Q52" s="480" t="s">
        <v>484</v>
      </c>
      <c r="R52" s="480" t="s">
        <v>485</v>
      </c>
      <c r="S52" s="205"/>
      <c r="T52" s="205"/>
      <c r="U52" s="205"/>
      <c r="V52" s="205"/>
      <c r="W52" s="4"/>
      <c r="X52" s="4"/>
      <c r="Y52" s="4"/>
      <c r="Z52" s="4"/>
      <c r="AA52" s="4"/>
      <c r="AB52" s="4"/>
      <c r="AC52" s="4"/>
      <c r="AD52" s="4"/>
      <c r="AE52" s="4"/>
      <c r="AF52" s="4"/>
      <c r="AG52" s="4"/>
      <c r="AH52" s="4"/>
      <c r="AI52" s="4"/>
      <c r="AJ52" s="4"/>
    </row>
    <row r="53" spans="6:36" ht="15" outlineLevel="1">
      <c r="F53" s="242">
        <v>1</v>
      </c>
      <c r="G53" s="243">
        <v>1</v>
      </c>
      <c r="H53" s="243" t="s">
        <v>486</v>
      </c>
      <c r="I53" s="243" t="s">
        <v>942</v>
      </c>
      <c r="J53" s="243"/>
      <c r="K53" s="244">
        <v>1720.4446315789473</v>
      </c>
      <c r="L53" s="244">
        <v>-35.909414466490261</v>
      </c>
      <c r="M53" s="243" t="s">
        <v>199</v>
      </c>
      <c r="N53" s="243" t="s">
        <v>943</v>
      </c>
      <c r="O53" s="244">
        <v>486.49085156222907</v>
      </c>
      <c r="P53" s="244">
        <v>45.082427814878784</v>
      </c>
      <c r="Q53" s="244">
        <v>5.236110055565355</v>
      </c>
      <c r="R53" s="244">
        <v>1684.5352171124571</v>
      </c>
      <c r="S53" s="205"/>
      <c r="T53" s="205"/>
      <c r="U53" s="205"/>
      <c r="V53" s="205"/>
      <c r="W53" s="4"/>
      <c r="X53" s="4"/>
      <c r="Y53" s="4"/>
      <c r="Z53" s="4"/>
      <c r="AA53" s="4"/>
      <c r="AB53" s="4"/>
      <c r="AC53" s="4"/>
      <c r="AD53" s="4"/>
      <c r="AE53" s="4"/>
      <c r="AF53" s="4"/>
      <c r="AG53" s="4"/>
      <c r="AH53" s="4"/>
      <c r="AI53" s="4"/>
      <c r="AJ53" s="4"/>
    </row>
    <row r="54" spans="6:36" ht="12.75" customHeight="1" outlineLevel="1">
      <c r="F54" s="481">
        <v>2</v>
      </c>
      <c r="G54" s="322">
        <v>1</v>
      </c>
      <c r="H54" s="322" t="s">
        <v>486</v>
      </c>
      <c r="I54" s="322" t="s">
        <v>944</v>
      </c>
      <c r="J54" s="322"/>
      <c r="K54" s="482">
        <v>918.39080452706798</v>
      </c>
      <c r="L54" s="482">
        <v>-35.909414466490261</v>
      </c>
      <c r="M54" s="322" t="s">
        <v>201</v>
      </c>
      <c r="N54" s="322" t="s">
        <v>943</v>
      </c>
      <c r="O54" s="482">
        <v>383.50185423396442</v>
      </c>
      <c r="P54" s="482">
        <v>35.538581259761536</v>
      </c>
      <c r="Q54" s="482">
        <v>5.236110055565355</v>
      </c>
      <c r="R54" s="482">
        <v>882.48139006057772</v>
      </c>
      <c r="S54" s="205"/>
      <c r="T54" s="205"/>
      <c r="U54" s="205"/>
      <c r="V54" s="205"/>
      <c r="W54" s="4"/>
      <c r="X54" s="4"/>
      <c r="Y54" s="4"/>
      <c r="Z54" s="4"/>
      <c r="AA54" s="4"/>
      <c r="AB54" s="4"/>
      <c r="AC54" s="4"/>
      <c r="AD54" s="4"/>
      <c r="AE54" s="4"/>
      <c r="AF54" s="4"/>
      <c r="AG54" s="4"/>
      <c r="AH54" s="4"/>
      <c r="AI54" s="4"/>
      <c r="AJ54" s="4"/>
    </row>
    <row r="55" spans="6:36" ht="12.75" customHeight="1" outlineLevel="1">
      <c r="F55" s="481">
        <v>3</v>
      </c>
      <c r="G55" s="322">
        <v>1</v>
      </c>
      <c r="H55" s="322" t="s">
        <v>486</v>
      </c>
      <c r="I55" s="322" t="s">
        <v>945</v>
      </c>
      <c r="J55" s="322"/>
      <c r="K55" s="482">
        <v>892.331443818671</v>
      </c>
      <c r="L55" s="482">
        <v>-35.909414466490261</v>
      </c>
      <c r="M55" s="322" t="s">
        <v>203</v>
      </c>
      <c r="N55" s="322" t="s">
        <v>943</v>
      </c>
      <c r="O55" s="482">
        <v>1329.4924997281378</v>
      </c>
      <c r="P55" s="482">
        <v>123.2022132727603</v>
      </c>
      <c r="Q55" s="482">
        <v>5.236110055565355</v>
      </c>
      <c r="R55" s="482">
        <v>856.42202935218074</v>
      </c>
      <c r="S55" s="205"/>
      <c r="T55" s="205"/>
      <c r="U55" s="205"/>
      <c r="V55" s="205"/>
      <c r="W55" s="4"/>
      <c r="X55" s="4"/>
      <c r="Y55" s="4"/>
      <c r="Z55" s="4"/>
      <c r="AA55" s="4"/>
      <c r="AB55" s="4"/>
      <c r="AC55" s="4"/>
      <c r="AD55" s="4"/>
      <c r="AE55" s="4"/>
      <c r="AF55" s="4"/>
      <c r="AG55" s="4"/>
      <c r="AH55" s="4"/>
      <c r="AI55" s="4"/>
      <c r="AJ55" s="4"/>
    </row>
    <row r="56" spans="6:36" ht="12.75" customHeight="1" outlineLevel="1">
      <c r="F56" s="483">
        <v>1</v>
      </c>
      <c r="G56" s="479">
        <v>2</v>
      </c>
      <c r="H56" s="479" t="s">
        <v>486</v>
      </c>
      <c r="I56" s="479" t="s">
        <v>946</v>
      </c>
      <c r="J56" s="479"/>
      <c r="K56" s="484">
        <v>1720.4446315789473</v>
      </c>
      <c r="L56" s="484">
        <v>-10.675525082295508</v>
      </c>
      <c r="M56" s="479" t="s">
        <v>199</v>
      </c>
      <c r="N56" s="479" t="s">
        <v>947</v>
      </c>
      <c r="O56" s="484">
        <v>486.49085156222907</v>
      </c>
      <c r="P56" s="484">
        <v>45.082427814878784</v>
      </c>
      <c r="Q56" s="484">
        <v>7.1334107738902777</v>
      </c>
      <c r="R56" s="484">
        <v>1709.7691064966518</v>
      </c>
      <c r="S56" s="205"/>
      <c r="T56" s="205"/>
      <c r="U56" s="205"/>
      <c r="V56" s="205"/>
      <c r="W56" s="4"/>
      <c r="X56" s="4"/>
      <c r="Y56" s="4"/>
      <c r="Z56" s="4"/>
      <c r="AA56" s="4"/>
      <c r="AB56" s="4"/>
      <c r="AC56" s="4"/>
      <c r="AD56" s="4"/>
      <c r="AE56" s="4"/>
      <c r="AF56" s="4"/>
      <c r="AG56" s="4"/>
      <c r="AH56" s="4"/>
      <c r="AI56" s="4"/>
      <c r="AJ56" s="4"/>
    </row>
    <row r="57" spans="6:36" ht="12.75" customHeight="1" outlineLevel="1">
      <c r="F57" s="483">
        <v>2</v>
      </c>
      <c r="G57" s="479">
        <v>2</v>
      </c>
      <c r="H57" s="479" t="s">
        <v>486</v>
      </c>
      <c r="I57" s="479" t="s">
        <v>948</v>
      </c>
      <c r="J57" s="479"/>
      <c r="K57" s="484">
        <v>918.39080452706798</v>
      </c>
      <c r="L57" s="484">
        <v>-10.675525082295508</v>
      </c>
      <c r="M57" s="479" t="s">
        <v>201</v>
      </c>
      <c r="N57" s="479" t="s">
        <v>947</v>
      </c>
      <c r="O57" s="484">
        <v>383.50185423396442</v>
      </c>
      <c r="P57" s="484">
        <v>35.538581259761536</v>
      </c>
      <c r="Q57" s="484">
        <v>7.1334107738902777</v>
      </c>
      <c r="R57" s="484">
        <v>907.71527944477248</v>
      </c>
      <c r="S57" s="205"/>
      <c r="T57" s="205"/>
      <c r="U57" s="205"/>
      <c r="V57" s="205"/>
      <c r="W57" s="4"/>
      <c r="X57" s="4"/>
      <c r="Y57" s="4"/>
      <c r="Z57" s="4"/>
      <c r="AA57" s="4"/>
      <c r="AB57" s="4"/>
      <c r="AC57" s="4"/>
      <c r="AD57" s="4"/>
      <c r="AE57" s="4"/>
      <c r="AF57" s="4"/>
      <c r="AG57" s="4"/>
      <c r="AH57" s="4"/>
      <c r="AI57" s="4"/>
      <c r="AJ57" s="4"/>
    </row>
    <row r="58" spans="6:36" ht="12.75" customHeight="1" outlineLevel="1">
      <c r="F58" s="483">
        <v>3</v>
      </c>
      <c r="G58" s="479">
        <v>2</v>
      </c>
      <c r="H58" s="479" t="s">
        <v>486</v>
      </c>
      <c r="I58" s="479" t="s">
        <v>949</v>
      </c>
      <c r="J58" s="479"/>
      <c r="K58" s="484">
        <v>892.331443818671</v>
      </c>
      <c r="L58" s="484">
        <v>-10.675525082295508</v>
      </c>
      <c r="M58" s="479" t="s">
        <v>203</v>
      </c>
      <c r="N58" s="479" t="s">
        <v>947</v>
      </c>
      <c r="O58" s="484">
        <v>1329.4924997281378</v>
      </c>
      <c r="P58" s="484">
        <v>123.2022132727603</v>
      </c>
      <c r="Q58" s="484">
        <v>7.1334107738902777</v>
      </c>
      <c r="R58" s="484">
        <v>881.6559187363755</v>
      </c>
      <c r="S58" s="205"/>
      <c r="T58" s="205"/>
      <c r="U58" s="205"/>
      <c r="V58" s="205"/>
      <c r="W58" s="4"/>
      <c r="X58" s="4"/>
      <c r="Y58" s="4"/>
      <c r="Z58" s="4"/>
      <c r="AA58" s="4"/>
      <c r="AB58" s="4"/>
      <c r="AC58" s="4"/>
      <c r="AD58" s="4"/>
      <c r="AE58" s="4"/>
      <c r="AF58" s="205"/>
      <c r="AG58" s="205"/>
      <c r="AH58" s="4"/>
      <c r="AI58" s="4"/>
      <c r="AJ58" s="4"/>
    </row>
    <row r="59" spans="6:36" ht="12.75" customHeight="1" outlineLevel="1">
      <c r="F59" s="481">
        <v>1</v>
      </c>
      <c r="G59" s="322">
        <v>3</v>
      </c>
      <c r="H59" s="322" t="s">
        <v>486</v>
      </c>
      <c r="I59" s="322" t="s">
        <v>950</v>
      </c>
      <c r="J59" s="322"/>
      <c r="K59" s="482">
        <v>1720.4446315789473</v>
      </c>
      <c r="L59" s="482">
        <v>224.74527179318306</v>
      </c>
      <c r="M59" s="322" t="s">
        <v>199</v>
      </c>
      <c r="N59" s="322" t="s">
        <v>951</v>
      </c>
      <c r="O59" s="482">
        <v>486.49085156222907</v>
      </c>
      <c r="P59" s="482">
        <v>45.082427814878784</v>
      </c>
      <c r="Q59" s="482">
        <v>0</v>
      </c>
      <c r="R59" s="482">
        <v>1945.1899033721304</v>
      </c>
      <c r="S59" s="205"/>
      <c r="T59" s="205"/>
      <c r="U59" s="205"/>
      <c r="V59" s="205"/>
      <c r="W59" s="22"/>
      <c r="X59" s="205"/>
      <c r="Y59" s="205"/>
      <c r="Z59" s="205"/>
      <c r="AA59" s="22"/>
      <c r="AB59" s="4"/>
      <c r="AC59" s="4"/>
      <c r="AD59" s="4"/>
      <c r="AE59" s="4"/>
      <c r="AF59" s="205"/>
      <c r="AG59" s="205"/>
      <c r="AH59" s="4"/>
      <c r="AI59" s="4"/>
      <c r="AJ59" s="4"/>
    </row>
    <row r="60" spans="6:36" ht="12.75" customHeight="1" outlineLevel="1">
      <c r="F60" s="481">
        <v>2</v>
      </c>
      <c r="G60" s="322">
        <v>3</v>
      </c>
      <c r="H60" s="322" t="s">
        <v>486</v>
      </c>
      <c r="I60" s="322" t="s">
        <v>952</v>
      </c>
      <c r="J60" s="322"/>
      <c r="K60" s="482">
        <v>918.39080452706798</v>
      </c>
      <c r="L60" s="482">
        <v>224.74527179318306</v>
      </c>
      <c r="M60" s="322" t="s">
        <v>201</v>
      </c>
      <c r="N60" s="322" t="s">
        <v>951</v>
      </c>
      <c r="O60" s="482">
        <v>383.50185423396442</v>
      </c>
      <c r="P60" s="482">
        <v>35.538581259761536</v>
      </c>
      <c r="Q60" s="482">
        <v>0</v>
      </c>
      <c r="R60" s="482">
        <v>1143.136076320251</v>
      </c>
      <c r="S60" s="205"/>
      <c r="T60" s="205"/>
      <c r="U60" s="205"/>
      <c r="V60" s="205"/>
      <c r="W60" s="265"/>
      <c r="X60" s="205"/>
      <c r="Y60" s="205"/>
      <c r="Z60" s="205"/>
      <c r="AA60" s="22"/>
      <c r="AB60" s="4"/>
      <c r="AC60" s="4"/>
      <c r="AD60" s="4"/>
      <c r="AE60" s="4"/>
      <c r="AF60" s="205"/>
      <c r="AG60" s="205"/>
      <c r="AH60" s="4"/>
      <c r="AI60" s="4"/>
      <c r="AJ60" s="4"/>
    </row>
    <row r="61" spans="6:36" ht="12.75" customHeight="1" outlineLevel="1" thickBot="1">
      <c r="F61" s="485">
        <v>3</v>
      </c>
      <c r="G61" s="486">
        <v>3</v>
      </c>
      <c r="H61" s="486" t="s">
        <v>486</v>
      </c>
      <c r="I61" s="486" t="s">
        <v>953</v>
      </c>
      <c r="J61" s="486"/>
      <c r="K61" s="487">
        <v>892.331443818671</v>
      </c>
      <c r="L61" s="487">
        <v>224.74527179318306</v>
      </c>
      <c r="M61" s="486" t="s">
        <v>203</v>
      </c>
      <c r="N61" s="486" t="s">
        <v>951</v>
      </c>
      <c r="O61" s="487">
        <v>1329.4924997281378</v>
      </c>
      <c r="P61" s="487">
        <v>123.2022132727603</v>
      </c>
      <c r="Q61" s="487">
        <v>0</v>
      </c>
      <c r="R61" s="487">
        <v>1117.0767156118541</v>
      </c>
      <c r="S61" s="205"/>
      <c r="T61" s="205"/>
      <c r="U61" s="205"/>
      <c r="V61" s="205"/>
      <c r="W61" s="4"/>
      <c r="X61" s="205"/>
      <c r="Y61" s="205"/>
      <c r="Z61" s="205"/>
      <c r="AA61" s="22"/>
      <c r="AB61" s="4"/>
      <c r="AC61" s="4"/>
      <c r="AD61" s="4"/>
      <c r="AE61" s="4"/>
      <c r="AF61" s="205"/>
      <c r="AG61" s="4"/>
      <c r="AH61" s="205"/>
      <c r="AI61" s="4"/>
      <c r="AJ61" s="4"/>
    </row>
    <row r="62" spans="6:36" ht="12.75" customHeight="1" outlineLevel="1">
      <c r="F62" s="266"/>
      <c r="G62" s="266"/>
      <c r="H62" s="266"/>
      <c r="I62" s="266"/>
      <c r="J62" s="266"/>
      <c r="K62" s="266"/>
      <c r="L62" s="266"/>
      <c r="M62" s="266"/>
      <c r="N62" s="266"/>
      <c r="O62" s="267"/>
      <c r="P62" s="267"/>
      <c r="Q62" s="267"/>
      <c r="R62" s="266"/>
      <c r="S62" s="205"/>
      <c r="T62" s="205"/>
      <c r="U62" s="205"/>
      <c r="V62" s="205"/>
      <c r="W62" s="4"/>
      <c r="X62" s="205"/>
      <c r="Y62" s="205"/>
      <c r="Z62" s="205"/>
      <c r="AA62" s="22"/>
      <c r="AB62" s="4"/>
      <c r="AC62" s="4"/>
      <c r="AD62" s="4"/>
      <c r="AE62" s="4"/>
      <c r="AF62" s="205"/>
      <c r="AG62" s="4"/>
      <c r="AH62" s="205"/>
      <c r="AI62" s="4"/>
      <c r="AJ62" s="4"/>
    </row>
    <row r="63" spans="6:36" ht="12.75" customHeight="1" outlineLevel="1">
      <c r="F63" s="266"/>
      <c r="G63" s="266"/>
      <c r="H63" s="266"/>
      <c r="I63" s="266"/>
      <c r="J63" s="266"/>
      <c r="K63" s="266"/>
      <c r="L63" s="266"/>
      <c r="M63" s="266"/>
      <c r="N63" s="266"/>
      <c r="O63" s="267"/>
      <c r="P63" s="267"/>
      <c r="Q63" s="267"/>
      <c r="R63" s="266"/>
      <c r="S63" s="205"/>
      <c r="T63" s="205"/>
      <c r="U63" s="205"/>
      <c r="V63" s="205"/>
      <c r="W63" s="4"/>
      <c r="X63" s="205"/>
      <c r="Y63" s="205"/>
      <c r="Z63" s="205"/>
      <c r="AA63" s="22"/>
      <c r="AB63" s="4"/>
      <c r="AC63" s="4"/>
      <c r="AD63" s="4"/>
      <c r="AE63" s="4"/>
      <c r="AF63" s="205"/>
      <c r="AG63" s="4"/>
      <c r="AH63" s="205"/>
      <c r="AI63" s="4"/>
      <c r="AJ63" s="4"/>
    </row>
    <row r="64" spans="6:36" ht="12.75" customHeight="1" outlineLevel="1">
      <c r="F64" s="365" t="s">
        <v>1966</v>
      </c>
      <c r="G64" s="266"/>
      <c r="H64" s="266"/>
      <c r="I64" s="266"/>
      <c r="J64" s="266"/>
      <c r="K64" s="266"/>
      <c r="L64" s="266"/>
      <c r="M64" s="266"/>
      <c r="N64" s="266"/>
      <c r="O64" s="267"/>
      <c r="P64" s="267"/>
      <c r="Q64" s="267"/>
      <c r="R64" s="266"/>
      <c r="S64" s="205"/>
      <c r="T64" s="205"/>
      <c r="U64" s="205"/>
      <c r="V64" s="205"/>
      <c r="W64" s="4"/>
      <c r="X64" s="205"/>
      <c r="Y64" s="205"/>
      <c r="Z64" s="205"/>
      <c r="AA64" s="22"/>
      <c r="AB64" s="4"/>
      <c r="AC64" s="4"/>
      <c r="AD64" s="4"/>
      <c r="AE64" s="4"/>
      <c r="AF64" s="205"/>
      <c r="AG64" s="4"/>
      <c r="AH64" s="205"/>
      <c r="AI64" s="4"/>
      <c r="AJ64" s="4"/>
    </row>
    <row r="65" spans="6:36" ht="12.75" customHeight="1" outlineLevel="1" thickBot="1">
      <c r="F65" s="241" t="s">
        <v>478</v>
      </c>
      <c r="G65" s="241" t="s">
        <v>1963</v>
      </c>
      <c r="H65" s="266"/>
      <c r="I65" s="266"/>
      <c r="J65" s="266"/>
      <c r="K65" s="266"/>
      <c r="L65" s="266"/>
      <c r="M65" s="266"/>
      <c r="N65" s="266"/>
      <c r="O65" s="267"/>
      <c r="P65" s="267"/>
      <c r="Q65" s="267"/>
      <c r="R65" s="266"/>
      <c r="S65" s="205"/>
      <c r="T65" s="205"/>
      <c r="U65" s="205"/>
      <c r="V65" s="205"/>
      <c r="W65" s="4"/>
      <c r="X65" s="205"/>
      <c r="Y65" s="205"/>
      <c r="Z65" s="205"/>
      <c r="AA65" s="22"/>
      <c r="AB65" s="4"/>
      <c r="AC65" s="4"/>
      <c r="AD65" s="4"/>
      <c r="AE65" s="4"/>
      <c r="AF65" s="205"/>
      <c r="AG65" s="4"/>
      <c r="AH65" s="205"/>
      <c r="AI65" s="4"/>
      <c r="AJ65" s="4"/>
    </row>
    <row r="66" spans="6:36" ht="51" customHeight="1" outlineLevel="1">
      <c r="F66" s="245"/>
      <c r="G66" s="246"/>
      <c r="H66" s="246"/>
      <c r="I66" s="245" t="s">
        <v>954</v>
      </c>
      <c r="J66" s="246"/>
      <c r="K66" s="247"/>
      <c r="L66" s="368" t="s">
        <v>463</v>
      </c>
      <c r="N66"/>
      <c r="O66" s="50"/>
      <c r="U66" s="50"/>
      <c r="Y66" s="4"/>
      <c r="Z66" s="4"/>
      <c r="AA66" s="4"/>
      <c r="AB66" s="4"/>
      <c r="AC66" s="4"/>
      <c r="AD66" s="4"/>
      <c r="AE66" s="4"/>
      <c r="AF66" s="4"/>
      <c r="AG66" s="4"/>
      <c r="AH66" s="4"/>
      <c r="AI66" s="4"/>
      <c r="AJ66" s="4"/>
    </row>
    <row r="67" spans="6:36" ht="12.75" customHeight="1" outlineLevel="1">
      <c r="F67" s="248" t="s">
        <v>464</v>
      </c>
      <c r="G67" s="249" t="s">
        <v>465</v>
      </c>
      <c r="H67" s="249" t="s">
        <v>466</v>
      </c>
      <c r="I67" s="248" t="s">
        <v>955</v>
      </c>
      <c r="J67" s="249"/>
      <c r="K67" s="250" t="s">
        <v>467</v>
      </c>
      <c r="L67" s="251" t="s">
        <v>468</v>
      </c>
      <c r="N67"/>
      <c r="O67" s="50"/>
      <c r="U67" s="50"/>
      <c r="Y67" s="4"/>
      <c r="Z67" s="4"/>
      <c r="AA67" s="4"/>
      <c r="AB67" s="4"/>
      <c r="AC67" s="4"/>
      <c r="AD67" s="4"/>
      <c r="AE67" s="4"/>
      <c r="AF67" s="4"/>
      <c r="AG67" s="4"/>
      <c r="AH67" s="4"/>
      <c r="AI67" s="4"/>
      <c r="AJ67" s="4"/>
    </row>
    <row r="68" spans="6:36" ht="12.75" customHeight="1" outlineLevel="1">
      <c r="F68" s="252" t="s">
        <v>469</v>
      </c>
      <c r="G68" s="253">
        <v>1</v>
      </c>
      <c r="H68" s="253">
        <v>1</v>
      </c>
      <c r="I68" s="369">
        <v>319562.97232977609</v>
      </c>
      <c r="J68" s="647"/>
      <c r="K68" s="254">
        <v>0.63271546141909241</v>
      </c>
      <c r="L68" s="373">
        <v>1065.8314771720193</v>
      </c>
      <c r="N68" s="255"/>
      <c r="O68" s="50"/>
      <c r="U68" s="50"/>
      <c r="Y68" s="4"/>
      <c r="Z68" s="4"/>
      <c r="AA68" s="4"/>
      <c r="AB68" s="4"/>
      <c r="AC68" s="4"/>
      <c r="AD68" s="4"/>
      <c r="AE68" s="4"/>
      <c r="AF68" s="4"/>
      <c r="AG68" s="4"/>
      <c r="AH68" s="4"/>
      <c r="AI68" s="4"/>
      <c r="AJ68" s="4"/>
    </row>
    <row r="69" spans="6:36" ht="12.75" customHeight="1" outlineLevel="1">
      <c r="F69" s="256" t="s">
        <v>470</v>
      </c>
      <c r="G69" s="257">
        <v>1</v>
      </c>
      <c r="H69" s="257">
        <v>2</v>
      </c>
      <c r="I69" s="370">
        <v>21557.777328966586</v>
      </c>
      <c r="J69" s="648"/>
      <c r="K69" s="258">
        <v>4.2683102270657552E-2</v>
      </c>
      <c r="L69" s="374">
        <v>72.978249631807373</v>
      </c>
      <c r="N69" s="255"/>
      <c r="O69" s="50"/>
      <c r="U69" s="50"/>
      <c r="Y69" s="4"/>
      <c r="Z69" s="4"/>
      <c r="AA69" s="4"/>
      <c r="AB69" s="4"/>
      <c r="AC69" s="4"/>
      <c r="AD69" s="4"/>
      <c r="AE69" s="4"/>
      <c r="AF69" s="4"/>
      <c r="AG69" s="4"/>
      <c r="AH69" s="4"/>
      <c r="AI69" s="4"/>
      <c r="AJ69" s="4"/>
    </row>
    <row r="70" spans="6:36" ht="12.75" customHeight="1" outlineLevel="1">
      <c r="F70" s="256" t="s">
        <v>471</v>
      </c>
      <c r="G70" s="257">
        <v>1</v>
      </c>
      <c r="H70" s="257">
        <v>3</v>
      </c>
      <c r="I70" s="370">
        <v>37904.187756994404</v>
      </c>
      <c r="J70" s="648"/>
      <c r="K70" s="258">
        <v>7.5048011575113233E-2</v>
      </c>
      <c r="L70" s="374">
        <v>145.98263438406502</v>
      </c>
      <c r="N70" s="255"/>
      <c r="O70" s="50"/>
      <c r="U70" s="50"/>
      <c r="Y70" s="4"/>
      <c r="Z70" s="4"/>
      <c r="AA70" s="4"/>
      <c r="AB70" s="4"/>
      <c r="AC70" s="4"/>
      <c r="AD70" s="4"/>
      <c r="AE70" s="4"/>
      <c r="AF70" s="4"/>
      <c r="AG70" s="4"/>
      <c r="AH70" s="4"/>
      <c r="AI70" s="4"/>
      <c r="AJ70" s="4"/>
    </row>
    <row r="71" spans="6:36" ht="12.75" customHeight="1" outlineLevel="1">
      <c r="F71" s="256" t="s">
        <v>472</v>
      </c>
      <c r="G71" s="257">
        <v>2</v>
      </c>
      <c r="H71" s="257">
        <v>1</v>
      </c>
      <c r="I71" s="370">
        <v>21144.934340296924</v>
      </c>
      <c r="J71" s="648"/>
      <c r="K71" s="258">
        <v>4.1865697988285933E-2</v>
      </c>
      <c r="L71" s="374">
        <v>36.945699356558904</v>
      </c>
      <c r="N71" s="255"/>
      <c r="O71" s="50"/>
      <c r="U71" s="50"/>
      <c r="Y71" s="4"/>
      <c r="Z71" s="4"/>
      <c r="AA71" s="4"/>
      <c r="AB71" s="4"/>
      <c r="AC71" s="4"/>
      <c r="AD71" s="4"/>
      <c r="AE71" s="4"/>
      <c r="AF71" s="4"/>
      <c r="AG71" s="4"/>
      <c r="AH71" s="4"/>
      <c r="AI71" s="4"/>
      <c r="AJ71" s="4"/>
    </row>
    <row r="72" spans="6:36" ht="12.75" customHeight="1" outlineLevel="1">
      <c r="F72" s="256" t="s">
        <v>473</v>
      </c>
      <c r="G72" s="257">
        <v>2</v>
      </c>
      <c r="H72" s="257">
        <v>2</v>
      </c>
      <c r="I72" s="370">
        <v>76206.917586341122</v>
      </c>
      <c r="J72" s="648"/>
      <c r="K72" s="258">
        <v>0.15088511247858299</v>
      </c>
      <c r="L72" s="374">
        <v>136.9607220375529</v>
      </c>
      <c r="N72" s="255"/>
      <c r="O72" s="50"/>
      <c r="U72" s="50"/>
      <c r="Y72" s="4"/>
      <c r="Z72" s="4"/>
      <c r="AA72" s="4"/>
      <c r="AB72" s="4"/>
      <c r="AC72" s="4"/>
      <c r="AD72" s="4"/>
      <c r="AE72" s="4"/>
      <c r="AF72" s="4"/>
      <c r="AG72" s="4"/>
      <c r="AH72" s="4"/>
      <c r="AI72" s="4"/>
      <c r="AJ72" s="4"/>
    </row>
    <row r="73" spans="6:36" ht="12.75" customHeight="1" outlineLevel="1">
      <c r="F73" s="256" t="s">
        <v>474</v>
      </c>
      <c r="G73" s="257">
        <v>2</v>
      </c>
      <c r="H73" s="257">
        <v>3</v>
      </c>
      <c r="I73" s="370">
        <v>0</v>
      </c>
      <c r="J73" s="648"/>
      <c r="K73" s="258">
        <v>0</v>
      </c>
      <c r="L73" s="374">
        <v>0</v>
      </c>
      <c r="N73" s="255"/>
      <c r="O73" s="50"/>
      <c r="U73" s="50"/>
      <c r="Y73" s="4"/>
      <c r="Z73" s="4"/>
      <c r="AA73" s="4"/>
      <c r="AB73" s="4"/>
      <c r="AC73" s="4"/>
      <c r="AD73" s="4"/>
      <c r="AE73" s="4"/>
      <c r="AF73" s="4"/>
      <c r="AG73" s="4"/>
      <c r="AH73" s="4"/>
      <c r="AI73" s="4"/>
      <c r="AJ73" s="4"/>
    </row>
    <row r="74" spans="6:36" ht="12.75" customHeight="1" outlineLevel="1">
      <c r="F74" s="256" t="s">
        <v>475</v>
      </c>
      <c r="G74" s="257">
        <v>3</v>
      </c>
      <c r="H74" s="257">
        <v>1</v>
      </c>
      <c r="I74" s="370">
        <v>12674.952071780112</v>
      </c>
      <c r="J74" s="648"/>
      <c r="K74" s="258">
        <v>2.5095642621214862E-2</v>
      </c>
      <c r="L74" s="374">
        <v>21.492461181557914</v>
      </c>
      <c r="N74" s="255"/>
      <c r="O74" s="50"/>
      <c r="U74" s="50"/>
      <c r="Y74" s="4"/>
      <c r="Z74" s="4"/>
      <c r="AA74" s="4"/>
      <c r="AB74" s="4"/>
      <c r="AC74" s="4"/>
      <c r="AD74" s="4"/>
      <c r="AE74" s="4"/>
      <c r="AF74" s="4"/>
      <c r="AG74" s="4"/>
      <c r="AH74" s="4"/>
      <c r="AI74" s="4"/>
      <c r="AJ74" s="4"/>
    </row>
    <row r="75" spans="6:36" ht="12.75" customHeight="1" outlineLevel="1">
      <c r="F75" s="256" t="s">
        <v>476</v>
      </c>
      <c r="G75" s="257">
        <v>3</v>
      </c>
      <c r="H75" s="257">
        <v>2</v>
      </c>
      <c r="I75" s="370">
        <v>16014.108585844724</v>
      </c>
      <c r="J75" s="648"/>
      <c r="K75" s="258">
        <v>3.1706971647053002E-2</v>
      </c>
      <c r="L75" s="374">
        <v>27.954639217830724</v>
      </c>
      <c r="N75" s="255"/>
      <c r="O75" s="50"/>
      <c r="U75" s="50"/>
      <c r="Y75" s="4"/>
      <c r="Z75" s="4"/>
      <c r="AA75" s="4"/>
      <c r="AB75" s="4"/>
      <c r="AC75" s="4"/>
      <c r="AD75" s="4"/>
      <c r="AE75" s="4"/>
      <c r="AF75" s="4"/>
      <c r="AG75" s="4"/>
      <c r="AH75" s="4"/>
      <c r="AI75" s="4"/>
      <c r="AJ75" s="4"/>
    </row>
    <row r="76" spans="6:36" ht="12.75" customHeight="1" outlineLevel="1">
      <c r="F76" s="259" t="s">
        <v>477</v>
      </c>
      <c r="G76" s="260">
        <v>3</v>
      </c>
      <c r="H76" s="260">
        <v>3</v>
      </c>
      <c r="I76" s="371">
        <v>0</v>
      </c>
      <c r="J76" s="649"/>
      <c r="K76" s="261">
        <v>0</v>
      </c>
      <c r="L76" s="375">
        <v>0</v>
      </c>
      <c r="N76" s="255"/>
      <c r="O76" s="50"/>
      <c r="U76" s="50"/>
      <c r="Y76" s="4"/>
      <c r="Z76" s="4"/>
      <c r="AA76" s="4"/>
      <c r="AB76" s="4"/>
      <c r="AC76" s="4"/>
      <c r="AD76" s="4"/>
      <c r="AE76" s="4"/>
      <c r="AF76" s="4"/>
      <c r="AG76" s="4"/>
      <c r="AH76" s="4"/>
      <c r="AI76" s="4"/>
      <c r="AJ76" s="4"/>
    </row>
    <row r="77" spans="6:36" ht="12.75" customHeight="1" outlineLevel="1" thickBot="1">
      <c r="F77" s="21"/>
      <c r="G77" s="262"/>
      <c r="H77" s="262"/>
      <c r="I77" s="372">
        <v>505065.85</v>
      </c>
      <c r="J77" s="650"/>
      <c r="K77" s="263">
        <v>0.99999999999999989</v>
      </c>
      <c r="L77" s="376"/>
      <c r="N77"/>
      <c r="O77" s="50"/>
      <c r="U77" s="50"/>
      <c r="Y77" s="4"/>
      <c r="Z77" s="4"/>
      <c r="AA77" s="4"/>
      <c r="AB77" s="4"/>
      <c r="AC77" s="4"/>
      <c r="AD77" s="4"/>
      <c r="AE77" s="4"/>
      <c r="AF77" s="4"/>
      <c r="AG77" s="4"/>
      <c r="AH77" s="4"/>
      <c r="AI77" s="4"/>
      <c r="AJ77" s="4"/>
    </row>
    <row r="78" spans="6:36" ht="12.75" customHeight="1" outlineLevel="1">
      <c r="F78" s="205"/>
      <c r="G78" s="205"/>
      <c r="H78" s="205"/>
      <c r="I78" s="205"/>
      <c r="J78" s="205"/>
      <c r="K78" s="205"/>
      <c r="L78" s="205"/>
      <c r="M78" s="205"/>
      <c r="N78" s="205"/>
      <c r="O78" s="50"/>
      <c r="U78" s="50"/>
      <c r="Y78" s="4"/>
      <c r="Z78" s="4"/>
      <c r="AA78" s="4"/>
      <c r="AB78" s="4"/>
      <c r="AC78" s="4"/>
      <c r="AD78" s="4"/>
      <c r="AE78" s="4"/>
      <c r="AF78" s="4"/>
      <c r="AG78" s="4"/>
      <c r="AH78" s="4"/>
      <c r="AI78" s="4"/>
      <c r="AJ78" s="4"/>
    </row>
    <row r="79" spans="6:36" ht="12.75" customHeight="1" outlineLevel="1">
      <c r="F79" s="205"/>
      <c r="G79" s="205"/>
      <c r="H79" s="205"/>
      <c r="I79" s="205"/>
      <c r="J79" s="205"/>
      <c r="K79" s="205"/>
      <c r="L79" s="205"/>
      <c r="M79" s="205"/>
      <c r="N79" s="205"/>
      <c r="O79" s="50"/>
      <c r="U79" s="50"/>
      <c r="Y79" s="4"/>
      <c r="Z79" s="4"/>
      <c r="AA79" s="4"/>
      <c r="AB79" s="4"/>
      <c r="AC79" s="4"/>
      <c r="AD79" s="4"/>
      <c r="AE79" s="4"/>
      <c r="AF79" s="4"/>
      <c r="AG79" s="4"/>
      <c r="AH79" s="4"/>
      <c r="AI79" s="4"/>
      <c r="AJ79" s="4"/>
    </row>
    <row r="80" spans="6:36" ht="12.75" customHeight="1" outlineLevel="1">
      <c r="F80" s="365" t="s">
        <v>1967</v>
      </c>
      <c r="G80" s="266"/>
      <c r="H80" s="205"/>
      <c r="I80" s="205"/>
      <c r="J80" s="205"/>
      <c r="K80" s="205"/>
      <c r="L80" s="205"/>
      <c r="M80" s="205"/>
      <c r="N80" s="205"/>
      <c r="O80" s="50"/>
      <c r="U80" s="50"/>
      <c r="Y80" s="4"/>
      <c r="Z80" s="4"/>
      <c r="AA80" s="4"/>
      <c r="AB80" s="4"/>
      <c r="AC80" s="4"/>
      <c r="AD80" s="4"/>
      <c r="AE80" s="4"/>
      <c r="AF80" s="4"/>
      <c r="AG80" s="4"/>
      <c r="AH80" s="4"/>
      <c r="AI80" s="4"/>
      <c r="AJ80" s="4"/>
    </row>
    <row r="81" spans="6:36" ht="12.75" customHeight="1" outlineLevel="1">
      <c r="F81" s="241" t="s">
        <v>478</v>
      </c>
      <c r="G81" s="241" t="s">
        <v>1968</v>
      </c>
      <c r="H81" s="266"/>
      <c r="I81" s="266"/>
      <c r="J81" s="266"/>
      <c r="K81" s="266"/>
      <c r="L81" s="266"/>
      <c r="M81" s="266"/>
      <c r="N81" s="266"/>
      <c r="O81" s="267"/>
      <c r="P81" s="267"/>
      <c r="Q81" s="267"/>
      <c r="R81" s="266"/>
      <c r="S81" s="205"/>
      <c r="T81" s="205"/>
      <c r="U81" s="205"/>
      <c r="V81" s="205"/>
      <c r="W81" s="4"/>
      <c r="X81" s="205"/>
      <c r="Y81" s="205"/>
      <c r="Z81" s="205"/>
      <c r="AA81" s="22"/>
      <c r="AB81" s="4"/>
      <c r="AC81" s="4"/>
      <c r="AD81" s="4"/>
      <c r="AE81" s="4"/>
      <c r="AF81" s="205"/>
      <c r="AG81" s="4"/>
      <c r="AH81" s="205"/>
      <c r="AI81" s="4"/>
      <c r="AJ81" s="4"/>
    </row>
    <row r="82" spans="6:36" ht="12.75" customHeight="1" outlineLevel="1">
      <c r="F82" s="363" t="s">
        <v>1965</v>
      </c>
      <c r="G82" s="241"/>
      <c r="H82" s="266"/>
      <c r="I82" s="266"/>
      <c r="J82" s="266"/>
      <c r="K82" s="266"/>
      <c r="L82" s="266"/>
      <c r="M82" s="266"/>
      <c r="N82" s="266"/>
      <c r="O82" s="267"/>
      <c r="P82" s="267"/>
      <c r="Q82" s="267"/>
      <c r="R82" s="266"/>
      <c r="S82" s="205"/>
      <c r="T82" s="205"/>
      <c r="U82" s="205"/>
      <c r="V82" s="205"/>
      <c r="W82" s="4"/>
      <c r="X82" s="205"/>
      <c r="Y82" s="205"/>
      <c r="Z82" s="205"/>
      <c r="AA82" s="22"/>
      <c r="AB82" s="4"/>
      <c r="AC82" s="4"/>
      <c r="AD82" s="4"/>
      <c r="AE82" s="4"/>
      <c r="AF82" s="205"/>
      <c r="AG82" s="4"/>
      <c r="AH82" s="205"/>
      <c r="AI82" s="4"/>
      <c r="AJ82" s="4"/>
    </row>
    <row r="83" spans="6:36" ht="12.75" customHeight="1" outlineLevel="1">
      <c r="G83" s="266"/>
      <c r="H83" s="266"/>
      <c r="I83" s="266"/>
      <c r="J83" s="266"/>
      <c r="K83" s="266"/>
      <c r="L83" s="266"/>
      <c r="M83" s="266"/>
      <c r="N83" s="266"/>
      <c r="O83" s="267"/>
      <c r="P83" s="267"/>
      <c r="Q83" s="267"/>
      <c r="R83" s="266"/>
      <c r="S83" s="205"/>
      <c r="T83" s="205"/>
      <c r="U83" s="205"/>
      <c r="V83" s="205"/>
      <c r="W83" s="4"/>
      <c r="X83" s="205"/>
      <c r="Y83" s="205"/>
      <c r="Z83" s="205"/>
      <c r="AA83" s="22"/>
      <c r="AB83" s="4"/>
      <c r="AC83" s="4"/>
      <c r="AD83" s="4"/>
      <c r="AE83" s="4"/>
      <c r="AF83" s="205"/>
      <c r="AG83" s="4"/>
      <c r="AH83" s="205"/>
      <c r="AI83" s="4"/>
      <c r="AJ83" s="4"/>
    </row>
    <row r="84" spans="6:36" ht="12.75" customHeight="1" outlineLevel="1" thickBot="1">
      <c r="F84" s="1699" t="s">
        <v>956</v>
      </c>
      <c r="G84" s="1698"/>
      <c r="H84" s="1698"/>
      <c r="I84" s="1698"/>
      <c r="J84" s="1698"/>
      <c r="K84" s="1698"/>
      <c r="L84" s="1698"/>
      <c r="M84" s="1698"/>
      <c r="N84" s="1698"/>
      <c r="O84" s="1698"/>
      <c r="P84" s="1698"/>
      <c r="Q84" s="1698"/>
      <c r="R84" s="1698"/>
      <c r="S84" s="1698"/>
      <c r="T84" s="205"/>
      <c r="U84" s="205"/>
      <c r="V84" s="205"/>
      <c r="W84" s="4"/>
      <c r="X84" s="205"/>
      <c r="Y84" s="205"/>
      <c r="Z84" s="205"/>
      <c r="AA84" s="22"/>
      <c r="AB84" s="4"/>
      <c r="AC84" s="4"/>
      <c r="AD84" s="4"/>
      <c r="AE84" s="4"/>
      <c r="AF84" s="205"/>
      <c r="AG84" s="4"/>
      <c r="AH84" s="205"/>
      <c r="AI84" s="4"/>
      <c r="AJ84" s="4"/>
    </row>
    <row r="85" spans="6:36" ht="12.75" customHeight="1" outlineLevel="1" thickBot="1">
      <c r="F85" s="268" t="s">
        <v>465</v>
      </c>
      <c r="G85" s="1286" t="s">
        <v>466</v>
      </c>
      <c r="H85" s="1283">
        <v>2017</v>
      </c>
      <c r="I85" s="1261">
        <v>2018</v>
      </c>
      <c r="J85" s="1261"/>
      <c r="K85" s="1261">
        <v>2019</v>
      </c>
      <c r="L85" s="1261">
        <v>2020</v>
      </c>
      <c r="M85" s="1261">
        <v>2021</v>
      </c>
      <c r="N85" s="1261">
        <v>2022</v>
      </c>
      <c r="O85" s="1261">
        <v>2023</v>
      </c>
      <c r="P85" s="1261">
        <v>2024</v>
      </c>
      <c r="Q85" s="1261">
        <v>2025</v>
      </c>
      <c r="R85" s="1261">
        <v>2026</v>
      </c>
      <c r="S85" s="1282">
        <v>2027</v>
      </c>
      <c r="T85" s="205"/>
      <c r="U85" s="205"/>
      <c r="V85" s="4"/>
      <c r="W85" s="205"/>
      <c r="X85" s="205"/>
      <c r="Y85" s="205"/>
      <c r="Z85" s="22"/>
      <c r="AA85" s="4"/>
      <c r="AB85" s="4"/>
      <c r="AC85" s="4"/>
      <c r="AD85" s="4"/>
      <c r="AE85" s="205"/>
      <c r="AF85" s="4"/>
      <c r="AG85" s="205"/>
      <c r="AH85" s="4"/>
      <c r="AI85" s="4"/>
    </row>
    <row r="86" spans="6:36" ht="12.75" customHeight="1" outlineLevel="1">
      <c r="F86" s="269">
        <v>1</v>
      </c>
      <c r="G86" s="1285">
        <v>1</v>
      </c>
      <c r="H86" s="1274">
        <v>0.53277213392671074</v>
      </c>
      <c r="I86" s="1263">
        <v>0.52468344245578002</v>
      </c>
      <c r="J86" s="1263"/>
      <c r="K86" s="1263">
        <v>0.48668095243739251</v>
      </c>
      <c r="L86" s="1263">
        <v>0.46381245065235699</v>
      </c>
      <c r="M86" s="1263">
        <v>0.60337423143203361</v>
      </c>
      <c r="N86" s="1263">
        <v>0.56029283429459109</v>
      </c>
      <c r="O86" s="1263">
        <v>0.56029283429459109</v>
      </c>
      <c r="P86" s="1263">
        <v>0.56029283429459109</v>
      </c>
      <c r="Q86" s="1263">
        <v>0.56029283429459109</v>
      </c>
      <c r="R86" s="1263">
        <v>0.56029283429459109</v>
      </c>
      <c r="S86" s="1264">
        <v>0.56029283429459109</v>
      </c>
      <c r="T86" s="205"/>
      <c r="U86" s="205"/>
      <c r="V86" s="4"/>
      <c r="W86" s="205"/>
      <c r="X86" s="205"/>
      <c r="Y86" s="205"/>
      <c r="Z86" s="22"/>
      <c r="AA86" s="4"/>
      <c r="AB86" s="4"/>
      <c r="AC86" s="4"/>
      <c r="AD86" s="4"/>
      <c r="AE86" s="205"/>
      <c r="AF86" s="4"/>
      <c r="AG86" s="205"/>
      <c r="AH86" s="4"/>
      <c r="AI86" s="4"/>
    </row>
    <row r="87" spans="6:36" ht="12.75" customHeight="1" outlineLevel="1">
      <c r="F87" s="270">
        <v>1</v>
      </c>
      <c r="G87" s="273">
        <v>2</v>
      </c>
      <c r="H87" s="1275">
        <v>0.24351321435802942</v>
      </c>
      <c r="I87" s="271">
        <v>0.18757452865917917</v>
      </c>
      <c r="J87" s="271"/>
      <c r="K87" s="271">
        <v>0.17750517365976501</v>
      </c>
      <c r="L87" s="271">
        <v>0.21778176520262182</v>
      </c>
      <c r="M87" s="271">
        <v>0.13408019127562831</v>
      </c>
      <c r="N87" s="271">
        <v>0.14893412599584321</v>
      </c>
      <c r="O87" s="271">
        <v>0.14893412599584321</v>
      </c>
      <c r="P87" s="271">
        <v>0.14893412599584321</v>
      </c>
      <c r="Q87" s="271">
        <v>0.14893412599584321</v>
      </c>
      <c r="R87" s="271">
        <v>0.14893412599584321</v>
      </c>
      <c r="S87" s="1265">
        <v>0.14893412599584321</v>
      </c>
      <c r="T87" s="205"/>
      <c r="U87" s="205"/>
      <c r="V87" s="4"/>
      <c r="W87" s="205"/>
      <c r="X87" s="205"/>
      <c r="Y87" s="205"/>
      <c r="Z87" s="22"/>
      <c r="AA87" s="4"/>
      <c r="AB87" s="4"/>
      <c r="AC87" s="4"/>
      <c r="AD87" s="4"/>
      <c r="AE87" s="205"/>
      <c r="AF87" s="4"/>
      <c r="AG87" s="205"/>
      <c r="AH87" s="4"/>
      <c r="AI87" s="4"/>
    </row>
    <row r="88" spans="6:36" ht="12.75" customHeight="1" outlineLevel="1">
      <c r="F88" s="270">
        <v>1</v>
      </c>
      <c r="G88" s="273">
        <v>3</v>
      </c>
      <c r="H88" s="1275">
        <v>7.3777587328418048E-2</v>
      </c>
      <c r="I88" s="271">
        <v>9.7130934417340886E-2</v>
      </c>
      <c r="J88" s="271"/>
      <c r="K88" s="271">
        <v>0.10556845570751386</v>
      </c>
      <c r="L88" s="271">
        <v>0.11718223346849597</v>
      </c>
      <c r="M88" s="271">
        <v>9.701648701475904E-2</v>
      </c>
      <c r="N88" s="271">
        <v>0.10764618811695195</v>
      </c>
      <c r="O88" s="271">
        <v>0.10764618811695195</v>
      </c>
      <c r="P88" s="271">
        <v>0.10764618811695195</v>
      </c>
      <c r="Q88" s="271">
        <v>0.10764618811695195</v>
      </c>
      <c r="R88" s="271">
        <v>0.10764618811695195</v>
      </c>
      <c r="S88" s="1265">
        <v>0.10764618811695195</v>
      </c>
      <c r="T88" s="205"/>
      <c r="U88" s="205"/>
      <c r="V88" s="4"/>
      <c r="W88" s="205"/>
      <c r="X88" s="205"/>
      <c r="Y88" s="205"/>
      <c r="Z88" s="22"/>
      <c r="AA88" s="4"/>
      <c r="AB88" s="4"/>
      <c r="AC88" s="4"/>
      <c r="AD88" s="4"/>
      <c r="AE88" s="205"/>
      <c r="AF88" s="4"/>
      <c r="AG88" s="205"/>
      <c r="AH88" s="4"/>
      <c r="AI88" s="4"/>
    </row>
    <row r="89" spans="6:36" ht="12.75" customHeight="1" outlineLevel="1">
      <c r="F89" s="270">
        <v>2</v>
      </c>
      <c r="G89" s="273">
        <v>1</v>
      </c>
      <c r="H89" s="1275">
        <v>2.6506280047697284E-2</v>
      </c>
      <c r="I89" s="271">
        <v>3.3769789581341685E-2</v>
      </c>
      <c r="J89" s="271"/>
      <c r="K89" s="271">
        <v>3.9827113468073633E-2</v>
      </c>
      <c r="L89" s="271">
        <v>3.4264361427496379E-2</v>
      </c>
      <c r="M89" s="271">
        <v>2.8152765438493332E-2</v>
      </c>
      <c r="N89" s="271">
        <v>3.1543227996038106E-2</v>
      </c>
      <c r="O89" s="271">
        <v>3.1543227996038106E-2</v>
      </c>
      <c r="P89" s="271">
        <v>3.1543227996038106E-2</v>
      </c>
      <c r="Q89" s="271">
        <v>3.1543227996038106E-2</v>
      </c>
      <c r="R89" s="271">
        <v>3.1543227996038106E-2</v>
      </c>
      <c r="S89" s="1265">
        <v>3.1543227996038106E-2</v>
      </c>
      <c r="T89" s="205"/>
      <c r="U89" s="205"/>
      <c r="V89" s="4"/>
      <c r="W89" s="205"/>
      <c r="X89" s="205"/>
      <c r="Y89" s="205"/>
      <c r="Z89" s="22"/>
      <c r="AA89" s="4"/>
      <c r="AB89" s="4"/>
      <c r="AC89" s="4"/>
      <c r="AD89" s="4"/>
      <c r="AE89" s="205"/>
      <c r="AF89" s="4"/>
      <c r="AG89" s="205"/>
      <c r="AH89" s="4"/>
      <c r="AI89" s="4"/>
    </row>
    <row r="90" spans="6:36" ht="12.75" customHeight="1" outlineLevel="1">
      <c r="F90" s="270">
        <v>2</v>
      </c>
      <c r="G90" s="273">
        <v>2</v>
      </c>
      <c r="H90" s="1275">
        <v>5.4685311381668524E-2</v>
      </c>
      <c r="I90" s="271">
        <v>6.5314072731284173E-2</v>
      </c>
      <c r="J90" s="271"/>
      <c r="K90" s="271">
        <v>7.3421773178557609E-2</v>
      </c>
      <c r="L90" s="271">
        <v>6.7343830814288436E-2</v>
      </c>
      <c r="M90" s="271">
        <v>5.7680515909170206E-2</v>
      </c>
      <c r="N90" s="271">
        <v>5.810979491587398E-2</v>
      </c>
      <c r="O90" s="271">
        <v>5.810979491587398E-2</v>
      </c>
      <c r="P90" s="271">
        <v>5.810979491587398E-2</v>
      </c>
      <c r="Q90" s="271">
        <v>5.810979491587398E-2</v>
      </c>
      <c r="R90" s="271">
        <v>5.810979491587398E-2</v>
      </c>
      <c r="S90" s="1265">
        <v>5.810979491587398E-2</v>
      </c>
      <c r="T90" s="205"/>
      <c r="U90" s="205"/>
      <c r="V90" s="4"/>
      <c r="W90" s="205"/>
      <c r="X90" s="205"/>
      <c r="Y90" s="205"/>
      <c r="Z90" s="22"/>
      <c r="AA90" s="4"/>
      <c r="AB90" s="4"/>
      <c r="AC90" s="4"/>
      <c r="AD90" s="4"/>
      <c r="AE90" s="205"/>
      <c r="AF90" s="4"/>
      <c r="AG90" s="205"/>
      <c r="AH90" s="4"/>
      <c r="AI90" s="4"/>
    </row>
    <row r="91" spans="6:36" ht="12.75" customHeight="1" outlineLevel="1">
      <c r="F91" s="270">
        <v>2</v>
      </c>
      <c r="G91" s="273">
        <v>3</v>
      </c>
      <c r="H91" s="1275">
        <v>2.3662050473600163E-2</v>
      </c>
      <c r="I91" s="271">
        <v>2.6373234573146154E-2</v>
      </c>
      <c r="J91" s="271"/>
      <c r="K91" s="271">
        <v>3.4731116158709878E-2</v>
      </c>
      <c r="L91" s="271">
        <v>3.4665787498771868E-2</v>
      </c>
      <c r="M91" s="271">
        <v>2.7638183481030792E-2</v>
      </c>
      <c r="N91" s="271">
        <v>3.7645882385678703E-2</v>
      </c>
      <c r="O91" s="271">
        <v>3.7645882385678703E-2</v>
      </c>
      <c r="P91" s="271">
        <v>3.7645882385678703E-2</v>
      </c>
      <c r="Q91" s="271">
        <v>3.7645882385678703E-2</v>
      </c>
      <c r="R91" s="271">
        <v>3.7645882385678703E-2</v>
      </c>
      <c r="S91" s="1265">
        <v>3.7645882385678703E-2</v>
      </c>
      <c r="T91" s="205"/>
      <c r="U91" s="205"/>
      <c r="V91" s="4"/>
      <c r="W91" s="205"/>
      <c r="X91" s="205"/>
      <c r="Y91" s="205"/>
      <c r="Z91" s="22"/>
      <c r="AA91" s="4"/>
      <c r="AB91" s="4"/>
      <c r="AC91" s="4"/>
      <c r="AD91" s="4"/>
      <c r="AE91" s="205"/>
      <c r="AF91" s="4"/>
      <c r="AG91" s="205"/>
      <c r="AH91" s="4"/>
      <c r="AI91" s="4"/>
    </row>
    <row r="92" spans="6:36" ht="12.75" customHeight="1" outlineLevel="1">
      <c r="F92" s="270">
        <v>3</v>
      </c>
      <c r="G92" s="273">
        <v>1</v>
      </c>
      <c r="H92" s="1275">
        <v>1.2340674303166042E-2</v>
      </c>
      <c r="I92" s="271">
        <v>1.6157757228777846E-2</v>
      </c>
      <c r="J92" s="271"/>
      <c r="K92" s="271">
        <v>2.1954270884202272E-2</v>
      </c>
      <c r="L92" s="271">
        <v>1.9167527159239122E-2</v>
      </c>
      <c r="M92" s="271">
        <v>1.4461783773670585E-2</v>
      </c>
      <c r="N92" s="271">
        <v>1.6333335379491123E-2</v>
      </c>
      <c r="O92" s="271">
        <v>1.6333335379491123E-2</v>
      </c>
      <c r="P92" s="271">
        <v>1.6333335379491123E-2</v>
      </c>
      <c r="Q92" s="271">
        <v>1.6333335379491123E-2</v>
      </c>
      <c r="R92" s="271">
        <v>1.6333335379491123E-2</v>
      </c>
      <c r="S92" s="1265">
        <v>1.6333335379491123E-2</v>
      </c>
      <c r="T92" s="205"/>
      <c r="U92" s="205"/>
      <c r="V92" s="4"/>
      <c r="W92" s="205"/>
      <c r="X92" s="205"/>
      <c r="Y92" s="205"/>
      <c r="Z92" s="22"/>
      <c r="AA92" s="4"/>
      <c r="AB92" s="4"/>
      <c r="AC92" s="4"/>
      <c r="AD92" s="4"/>
      <c r="AE92" s="205"/>
      <c r="AF92" s="4"/>
      <c r="AG92" s="205"/>
      <c r="AH92" s="4"/>
      <c r="AI92" s="4"/>
    </row>
    <row r="93" spans="6:36" ht="12.75" customHeight="1" outlineLevel="1">
      <c r="F93" s="270">
        <v>3</v>
      </c>
      <c r="G93" s="273">
        <v>2</v>
      </c>
      <c r="H93" s="1275">
        <v>3.2742748180709956E-2</v>
      </c>
      <c r="I93" s="271">
        <v>4.8996240353150061E-2</v>
      </c>
      <c r="J93" s="271"/>
      <c r="K93" s="271">
        <v>6.0311144505785563E-2</v>
      </c>
      <c r="L93" s="271">
        <v>4.5782043776729467E-2</v>
      </c>
      <c r="M93" s="271">
        <v>3.7595841675214341E-2</v>
      </c>
      <c r="N93" s="271">
        <v>3.9494610915532267E-2</v>
      </c>
      <c r="O93" s="271">
        <v>3.9494610915532267E-2</v>
      </c>
      <c r="P93" s="271">
        <v>3.9494610915532267E-2</v>
      </c>
      <c r="Q93" s="271">
        <v>3.9494610915532267E-2</v>
      </c>
      <c r="R93" s="271">
        <v>3.9494610915532267E-2</v>
      </c>
      <c r="S93" s="1265">
        <v>3.9494610915532267E-2</v>
      </c>
      <c r="T93" s="205"/>
      <c r="U93" s="205"/>
      <c r="V93" s="4"/>
      <c r="W93" s="205"/>
      <c r="X93" s="205"/>
      <c r="Y93" s="205"/>
      <c r="Z93" s="22"/>
      <c r="AA93" s="4"/>
      <c r="AB93" s="4"/>
      <c r="AC93" s="4"/>
      <c r="AD93" s="4"/>
      <c r="AE93" s="205"/>
      <c r="AF93" s="4"/>
      <c r="AG93" s="205"/>
      <c r="AH93" s="4"/>
      <c r="AI93" s="4"/>
    </row>
    <row r="94" spans="6:36" ht="12.75" customHeight="1" outlineLevel="1" thickBot="1">
      <c r="F94" s="272">
        <v>3</v>
      </c>
      <c r="G94" s="1284">
        <v>3</v>
      </c>
      <c r="H94" s="1276">
        <v>0</v>
      </c>
      <c r="I94" s="1266">
        <v>0</v>
      </c>
      <c r="J94" s="1266"/>
      <c r="K94" s="1266">
        <v>0</v>
      </c>
      <c r="L94" s="1266">
        <v>0</v>
      </c>
      <c r="M94" s="1266">
        <v>0</v>
      </c>
      <c r="N94" s="1266">
        <v>0</v>
      </c>
      <c r="O94" s="1266">
        <v>0</v>
      </c>
      <c r="P94" s="1266">
        <v>0</v>
      </c>
      <c r="Q94" s="1266">
        <v>0</v>
      </c>
      <c r="R94" s="1266">
        <v>0</v>
      </c>
      <c r="S94" s="1267">
        <v>0</v>
      </c>
      <c r="T94" s="205"/>
      <c r="U94" s="205"/>
      <c r="V94" s="4"/>
      <c r="W94" s="205"/>
      <c r="X94" s="205"/>
      <c r="Y94" s="205"/>
      <c r="Z94" s="22"/>
      <c r="AA94" s="4"/>
      <c r="AB94" s="4"/>
      <c r="AC94" s="4"/>
      <c r="AD94" s="4"/>
      <c r="AE94" s="205"/>
      <c r="AF94" s="4"/>
      <c r="AG94" s="205"/>
      <c r="AH94" s="4"/>
      <c r="AI94" s="4"/>
    </row>
    <row r="95" spans="6:36" ht="12.75" customHeight="1" outlineLevel="1">
      <c r="F95" s="273"/>
      <c r="G95" s="273"/>
      <c r="H95" s="271"/>
      <c r="I95" s="271"/>
      <c r="J95" s="271"/>
      <c r="K95" s="266"/>
      <c r="L95" s="266"/>
      <c r="M95" s="266"/>
      <c r="N95" s="266"/>
      <c r="O95" s="267"/>
      <c r="P95" s="267"/>
      <c r="Q95" s="267"/>
      <c r="R95" s="266"/>
      <c r="S95" s="205"/>
      <c r="T95" s="205"/>
      <c r="U95" s="205"/>
      <c r="V95" s="205"/>
      <c r="W95" s="4"/>
      <c r="X95" s="205"/>
      <c r="Y95" s="205"/>
      <c r="Z95" s="205"/>
      <c r="AA95" s="22"/>
      <c r="AB95" s="4"/>
      <c r="AC95" s="4"/>
      <c r="AD95" s="4"/>
      <c r="AE95" s="4"/>
      <c r="AF95" s="205"/>
      <c r="AG95" s="4"/>
      <c r="AH95" s="205"/>
      <c r="AI95" s="4"/>
      <c r="AJ95" s="4"/>
    </row>
    <row r="96" spans="6:36" ht="12.75" customHeight="1" outlineLevel="1">
      <c r="F96" s="363" t="s">
        <v>1959</v>
      </c>
      <c r="G96" s="273"/>
      <c r="H96" s="273"/>
      <c r="I96" s="273"/>
      <c r="J96" s="273"/>
      <c r="K96" s="266"/>
      <c r="L96" s="266"/>
      <c r="M96" s="266"/>
      <c r="N96" s="266"/>
      <c r="O96" s="267"/>
      <c r="P96" s="267"/>
      <c r="Q96" s="267"/>
      <c r="R96" s="266"/>
      <c r="S96" s="205"/>
      <c r="T96" s="205"/>
      <c r="U96" s="205"/>
      <c r="V96" s="205"/>
      <c r="W96" s="4"/>
      <c r="X96" s="205"/>
      <c r="Y96" s="205"/>
      <c r="Z96" s="205"/>
      <c r="AA96" s="22"/>
      <c r="AB96" s="4"/>
      <c r="AC96" s="4"/>
      <c r="AD96" s="4"/>
      <c r="AE96" s="4"/>
      <c r="AF96" s="205"/>
      <c r="AG96" s="4"/>
      <c r="AH96" s="205"/>
      <c r="AI96" s="4"/>
      <c r="AJ96" s="4"/>
    </row>
    <row r="97" spans="6:36" ht="12.75" customHeight="1" outlineLevel="1" thickBot="1">
      <c r="F97" s="1730" t="s">
        <v>957</v>
      </c>
      <c r="G97" s="1697"/>
      <c r="H97" s="1697"/>
      <c r="I97" s="1697"/>
      <c r="J97" s="1697"/>
      <c r="K97" s="1697"/>
      <c r="L97" s="1697"/>
      <c r="M97" s="1697"/>
      <c r="N97" s="1697"/>
      <c r="O97" s="1697"/>
      <c r="P97" s="1697"/>
      <c r="Q97" s="1697"/>
      <c r="R97" s="1697"/>
      <c r="S97" s="205"/>
      <c r="T97" s="205"/>
      <c r="U97" s="205"/>
      <c r="V97" s="205"/>
      <c r="W97" s="4"/>
      <c r="X97" s="205"/>
      <c r="Y97" s="205"/>
      <c r="Z97" s="205"/>
      <c r="AA97" s="22"/>
      <c r="AB97" s="4"/>
      <c r="AC97" s="4"/>
      <c r="AD97" s="4"/>
      <c r="AE97" s="4"/>
      <c r="AF97" s="205"/>
      <c r="AG97" s="4"/>
      <c r="AH97" s="205"/>
      <c r="AI97" s="4"/>
      <c r="AJ97" s="4"/>
    </row>
    <row r="98" spans="6:36" ht="12.75" customHeight="1" outlineLevel="1" thickBot="1">
      <c r="F98" s="1291" t="s">
        <v>958</v>
      </c>
      <c r="G98" s="1281">
        <v>2017</v>
      </c>
      <c r="H98" s="1292">
        <v>2018</v>
      </c>
      <c r="I98" s="1292">
        <v>2019</v>
      </c>
      <c r="J98" s="1292"/>
      <c r="K98" s="1292">
        <v>2020</v>
      </c>
      <c r="L98" s="1292">
        <v>2021</v>
      </c>
      <c r="M98" s="1292">
        <v>2022</v>
      </c>
      <c r="N98" s="1292">
        <v>2023</v>
      </c>
      <c r="O98" s="1292">
        <v>2024</v>
      </c>
      <c r="P98" s="1292">
        <v>2025</v>
      </c>
      <c r="Q98" s="1292">
        <v>2026</v>
      </c>
      <c r="R98" s="1287">
        <v>2027</v>
      </c>
      <c r="S98" s="205"/>
      <c r="T98" s="205"/>
      <c r="U98" s="205"/>
      <c r="V98" s="205"/>
      <c r="W98" s="4"/>
      <c r="X98" s="205"/>
      <c r="Y98" s="205"/>
      <c r="Z98" s="205"/>
      <c r="AA98" s="22"/>
      <c r="AB98" s="4"/>
      <c r="AC98" s="4"/>
      <c r="AD98" s="4"/>
      <c r="AE98" s="4"/>
      <c r="AF98" s="205"/>
      <c r="AG98" s="4"/>
      <c r="AH98" s="205"/>
      <c r="AI98" s="4"/>
      <c r="AJ98" s="4"/>
    </row>
    <row r="99" spans="6:36" ht="12.75" customHeight="1" outlineLevel="1">
      <c r="F99" s="270" t="s">
        <v>959</v>
      </c>
      <c r="G99" s="1274">
        <v>0.7203105886781852</v>
      </c>
      <c r="H99" s="1263">
        <v>0.72389150176866324</v>
      </c>
      <c r="I99" s="1263">
        <v>0.6426491074679237</v>
      </c>
      <c r="J99" s="1263"/>
      <c r="K99" s="1263">
        <v>0.70693261970217802</v>
      </c>
      <c r="L99" s="1263">
        <v>0.66787158302415506</v>
      </c>
      <c r="M99" s="1294">
        <v>0.56914482527121424</v>
      </c>
      <c r="N99" s="1263">
        <v>0.56914482527121424</v>
      </c>
      <c r="O99" s="1263">
        <v>0.56914482527121424</v>
      </c>
      <c r="P99" s="1263">
        <v>0.56914482527121424</v>
      </c>
      <c r="Q99" s="1263">
        <v>0.56914482527121424</v>
      </c>
      <c r="R99" s="1264">
        <v>0.56914482527121424</v>
      </c>
      <c r="S99" s="205"/>
      <c r="T99" s="205"/>
      <c r="U99" s="205"/>
      <c r="V99" s="205"/>
      <c r="W99" s="4"/>
      <c r="X99" s="205"/>
      <c r="Y99" s="205"/>
      <c r="Z99" s="205"/>
      <c r="AA99" s="22"/>
      <c r="AB99" s="4"/>
      <c r="AC99" s="4"/>
      <c r="AD99" s="4"/>
      <c r="AE99" s="4"/>
      <c r="AF99" s="205"/>
      <c r="AG99" s="4"/>
      <c r="AH99" s="205"/>
      <c r="AI99" s="4"/>
      <c r="AJ99" s="4"/>
    </row>
    <row r="100" spans="6:36" ht="12.75" customHeight="1" outlineLevel="1" thickBot="1">
      <c r="F100" s="272" t="s">
        <v>960</v>
      </c>
      <c r="G100" s="1298">
        <v>0.2796894113218148</v>
      </c>
      <c r="H100" s="1266">
        <v>0.27610849823133676</v>
      </c>
      <c r="I100" s="1266">
        <v>0.3573508925320763</v>
      </c>
      <c r="J100" s="1266"/>
      <c r="K100" s="1266">
        <v>0.29306738029782198</v>
      </c>
      <c r="L100" s="1266">
        <v>0.33212841697584494</v>
      </c>
      <c r="M100" s="1295">
        <v>0.43085517472878576</v>
      </c>
      <c r="N100" s="1266">
        <v>0.43085517472878576</v>
      </c>
      <c r="O100" s="1266">
        <v>0.43085517472878576</v>
      </c>
      <c r="P100" s="1266">
        <v>0.43085517472878576</v>
      </c>
      <c r="Q100" s="1266">
        <v>0.43085517472878576</v>
      </c>
      <c r="R100" s="1267">
        <v>0.43085517472878576</v>
      </c>
      <c r="S100" s="205"/>
      <c r="T100" s="205"/>
      <c r="U100" s="205"/>
      <c r="V100" s="205"/>
      <c r="W100" s="4"/>
      <c r="X100" s="205"/>
      <c r="Y100" s="205"/>
      <c r="Z100" s="205"/>
      <c r="AA100" s="22"/>
      <c r="AB100" s="4"/>
      <c r="AC100" s="4"/>
      <c r="AD100" s="4"/>
      <c r="AE100" s="4"/>
      <c r="AF100" s="205"/>
      <c r="AG100" s="4"/>
      <c r="AH100" s="205"/>
      <c r="AI100" s="4"/>
      <c r="AJ100" s="4"/>
    </row>
    <row r="101" spans="6:36" ht="12.75" customHeight="1" outlineLevel="1">
      <c r="M101" s="47"/>
      <c r="N101" s="47"/>
      <c r="S101" s="205"/>
      <c r="T101" s="205"/>
      <c r="U101" s="205"/>
      <c r="V101" s="205"/>
    </row>
    <row r="102" spans="6:36" ht="12.75" customHeight="1" outlineLevel="1">
      <c r="U102" s="50"/>
    </row>
    <row r="103" spans="6:36" ht="16.5" customHeight="1" outlineLevel="1" thickBot="1">
      <c r="F103" s="366" t="s">
        <v>1957</v>
      </c>
      <c r="G103" s="128"/>
      <c r="H103" s="128"/>
      <c r="I103" s="128"/>
      <c r="J103" s="128"/>
      <c r="K103" s="128"/>
      <c r="L103" s="128"/>
      <c r="M103" s="128"/>
      <c r="N103" s="128"/>
      <c r="O103" s="128"/>
      <c r="P103" s="128"/>
      <c r="Q103" s="128"/>
      <c r="R103" s="128"/>
      <c r="S103" s="128"/>
      <c r="T103" s="128"/>
      <c r="U103" s="128"/>
      <c r="V103" s="128"/>
    </row>
    <row r="104" spans="6:36" ht="12.75" customHeight="1" outlineLevel="1" thickTop="1"/>
    <row r="105" spans="6:36" ht="24.75" customHeight="1" outlineLevel="1">
      <c r="F105" s="1709" t="s">
        <v>2378</v>
      </c>
      <c r="G105" s="1710"/>
      <c r="H105" s="1710"/>
      <c r="I105" s="1710"/>
      <c r="J105" s="1710"/>
      <c r="K105" s="1710"/>
      <c r="L105" s="1710"/>
      <c r="M105" s="1710"/>
      <c r="N105" s="1710"/>
      <c r="O105" s="1710"/>
      <c r="P105" s="1710"/>
      <c r="Q105" s="1710"/>
      <c r="R105" s="1710"/>
      <c r="S105" s="1710"/>
      <c r="T105" s="1710"/>
      <c r="U105" s="1710"/>
      <c r="V105" s="1711"/>
    </row>
    <row r="106" spans="6:36" ht="12.75" customHeight="1" outlineLevel="1"/>
    <row r="107" spans="6:36" ht="12.75" customHeight="1" outlineLevel="1">
      <c r="F107" s="365" t="s">
        <v>1960</v>
      </c>
      <c r="H107" s="47"/>
    </row>
    <row r="108" spans="6:36" ht="12.75" customHeight="1" outlineLevel="1">
      <c r="G108" s="321">
        <v>2016</v>
      </c>
      <c r="H108" s="321">
        <v>2017</v>
      </c>
      <c r="I108" s="321">
        <v>2018</v>
      </c>
      <c r="J108" s="321"/>
      <c r="K108" s="321">
        <v>2019</v>
      </c>
      <c r="L108" s="321">
        <v>2020</v>
      </c>
      <c r="M108" s="321">
        <v>2021</v>
      </c>
      <c r="N108" s="321">
        <v>2022</v>
      </c>
      <c r="O108" s="321">
        <v>2023</v>
      </c>
      <c r="P108" s="321">
        <v>2024</v>
      </c>
      <c r="Q108" s="321">
        <v>2025</v>
      </c>
      <c r="R108" s="321">
        <v>2026</v>
      </c>
      <c r="S108" s="321">
        <v>2027</v>
      </c>
      <c r="U108" s="350"/>
    </row>
    <row r="109" spans="6:36" ht="12.75" customHeight="1" outlineLevel="1">
      <c r="F109" s="320" t="s">
        <v>465</v>
      </c>
      <c r="L109" s="50"/>
      <c r="M109" s="50"/>
      <c r="N109" s="50"/>
      <c r="O109" s="50"/>
      <c r="T109" s="352"/>
      <c r="U109" s="352"/>
      <c r="V109" s="352"/>
      <c r="W109" s="352"/>
      <c r="X109" s="352"/>
      <c r="Y109" s="352"/>
      <c r="Z109" s="352"/>
      <c r="AA109" s="7"/>
    </row>
    <row r="110" spans="6:36" ht="12.75" customHeight="1" outlineLevel="1">
      <c r="F110" s="322">
        <v>1</v>
      </c>
      <c r="G110" s="323">
        <v>2050.4263337344228</v>
      </c>
      <c r="H110" s="323">
        <v>2138.8109844926362</v>
      </c>
      <c r="I110" s="323">
        <v>2046.5041925599985</v>
      </c>
      <c r="J110" s="323"/>
      <c r="K110" s="323">
        <v>2020.4144500133282</v>
      </c>
      <c r="L110" s="323">
        <v>2210.1212923318435</v>
      </c>
      <c r="M110" s="323">
        <v>2197.3520102935581</v>
      </c>
      <c r="N110" s="323">
        <v>2197.3520102935581</v>
      </c>
      <c r="O110" s="323">
        <v>2197.3520102935581</v>
      </c>
      <c r="P110" s="323">
        <v>2197.3520102935581</v>
      </c>
      <c r="Q110" s="323">
        <v>2197.3520102935581</v>
      </c>
      <c r="R110" s="323">
        <v>2197.3520102935581</v>
      </c>
      <c r="S110" s="323">
        <v>2197.3520102935581</v>
      </c>
      <c r="T110" s="351"/>
      <c r="U110" s="351"/>
      <c r="V110" s="351"/>
      <c r="W110" s="351"/>
      <c r="X110" s="351"/>
      <c r="Y110" s="351"/>
      <c r="Z110" s="351"/>
      <c r="AA110" s="4"/>
    </row>
    <row r="111" spans="6:36" ht="12.75" customHeight="1" outlineLevel="1">
      <c r="F111" s="322">
        <v>2</v>
      </c>
      <c r="G111" s="323">
        <v>405.88101140702685</v>
      </c>
      <c r="H111" s="323">
        <v>300.32954992622291</v>
      </c>
      <c r="I111" s="323">
        <v>353.76370065786989</v>
      </c>
      <c r="J111" s="323"/>
      <c r="K111" s="323">
        <v>380.42795298152311</v>
      </c>
      <c r="L111" s="323">
        <v>268.2703297716883</v>
      </c>
      <c r="M111" s="323">
        <v>264.29368790448325</v>
      </c>
      <c r="N111" s="323">
        <v>264.29368790448325</v>
      </c>
      <c r="O111" s="323">
        <v>264.29368790448325</v>
      </c>
      <c r="P111" s="323">
        <v>264.29368790448325</v>
      </c>
      <c r="Q111" s="323">
        <v>264.29368790448325</v>
      </c>
      <c r="R111" s="323">
        <v>264.29368790448325</v>
      </c>
      <c r="S111" s="323">
        <v>264.29368790448325</v>
      </c>
      <c r="T111" s="351"/>
      <c r="U111" s="351"/>
      <c r="V111" s="351"/>
      <c r="W111" s="351"/>
      <c r="X111" s="351"/>
      <c r="Y111" s="351"/>
      <c r="Z111" s="351"/>
      <c r="AA111" s="4"/>
    </row>
    <row r="112" spans="6:36" ht="12.75" customHeight="1" outlineLevel="1">
      <c r="F112" s="322">
        <v>3</v>
      </c>
      <c r="G112" s="323">
        <v>0</v>
      </c>
      <c r="H112" s="323">
        <v>0</v>
      </c>
      <c r="I112" s="323">
        <v>0</v>
      </c>
      <c r="J112" s="323"/>
      <c r="K112" s="323">
        <v>0</v>
      </c>
      <c r="L112" s="323">
        <v>0</v>
      </c>
      <c r="M112" s="323">
        <v>0</v>
      </c>
      <c r="N112" s="323">
        <v>0</v>
      </c>
      <c r="O112" s="323">
        <v>0</v>
      </c>
      <c r="P112" s="323">
        <v>0</v>
      </c>
      <c r="Q112" s="323">
        <v>0</v>
      </c>
      <c r="R112" s="323">
        <v>0</v>
      </c>
      <c r="S112" s="323">
        <v>0</v>
      </c>
      <c r="T112" s="351"/>
      <c r="U112" s="351"/>
      <c r="V112" s="351"/>
      <c r="W112" s="351"/>
      <c r="X112" s="351"/>
      <c r="Y112" s="351"/>
      <c r="Z112" s="351"/>
      <c r="AA112" s="4"/>
    </row>
    <row r="113" spans="1:27" ht="12.75" customHeight="1" outlineLevel="1">
      <c r="F113" s="4"/>
      <c r="G113" s="4"/>
      <c r="H113" s="4"/>
      <c r="I113" s="4"/>
      <c r="J113" s="4"/>
      <c r="K113" s="4"/>
      <c r="L113" s="4"/>
      <c r="M113" s="4"/>
      <c r="N113" s="4"/>
      <c r="O113" s="4"/>
      <c r="P113" s="4"/>
      <c r="Q113" s="4"/>
      <c r="R113" s="4"/>
      <c r="S113" s="4"/>
      <c r="T113" s="4"/>
      <c r="U113" s="4"/>
      <c r="V113" s="4"/>
      <c r="W113" s="4"/>
      <c r="X113" s="4"/>
      <c r="Y113" s="4"/>
      <c r="Z113" s="4"/>
      <c r="AA113" s="4"/>
    </row>
    <row r="114" spans="1:27" ht="12.75" customHeight="1" outlineLevel="1">
      <c r="F114" s="264" t="s">
        <v>489</v>
      </c>
      <c r="G114" s="380">
        <v>2456.3073451414498</v>
      </c>
      <c r="H114" s="380">
        <v>2439.1405344188593</v>
      </c>
      <c r="I114" s="380">
        <v>2400.2678932178683</v>
      </c>
      <c r="J114" s="380"/>
      <c r="K114" s="380">
        <v>2400.8424029948515</v>
      </c>
      <c r="L114" s="380">
        <v>2478.391622103532</v>
      </c>
      <c r="M114" s="380">
        <v>2461.6456981980414</v>
      </c>
      <c r="N114" s="450">
        <v>2461.6456981980414</v>
      </c>
      <c r="O114" s="380">
        <v>2461.6456981980414</v>
      </c>
      <c r="P114" s="380">
        <v>2461.6456981980414</v>
      </c>
      <c r="Q114" s="380">
        <v>2461.6456981980414</v>
      </c>
      <c r="R114" s="380">
        <v>2461.6456981980414</v>
      </c>
      <c r="S114" s="380">
        <v>2461.6456981980414</v>
      </c>
      <c r="T114" s="353"/>
      <c r="U114" s="353"/>
      <c r="V114" s="353"/>
      <c r="W114" s="353"/>
      <c r="X114" s="353"/>
      <c r="Y114" s="353"/>
      <c r="Z114" s="353"/>
      <c r="AA114" s="4"/>
    </row>
    <row r="115" spans="1:27" ht="12.75" customHeight="1" outlineLevel="1">
      <c r="F115" s="4"/>
      <c r="G115" s="4"/>
      <c r="H115" s="4"/>
      <c r="I115" s="4"/>
      <c r="J115" s="4"/>
      <c r="K115" s="4"/>
      <c r="L115" s="4"/>
      <c r="M115" s="4"/>
      <c r="N115" s="4"/>
      <c r="O115" s="4"/>
      <c r="P115" s="4"/>
      <c r="Q115" s="4"/>
      <c r="R115" s="4"/>
      <c r="S115" s="4"/>
      <c r="T115" s="4"/>
      <c r="U115" s="4"/>
      <c r="V115" s="4"/>
      <c r="W115" s="4"/>
      <c r="X115" s="4"/>
      <c r="Y115" s="4"/>
      <c r="Z115" s="4"/>
      <c r="AA115" s="4"/>
    </row>
    <row r="116" spans="1:27" ht="12.75" customHeight="1" outlineLevel="1" thickBot="1">
      <c r="F116" s="365" t="s">
        <v>1964</v>
      </c>
      <c r="U116" s="50"/>
    </row>
    <row r="117" spans="1:27" ht="12.75" customHeight="1" outlineLevel="1" thickTop="1" thickBot="1">
      <c r="F117" s="47" t="s">
        <v>478</v>
      </c>
      <c r="G117" s="1693" t="s">
        <v>2522</v>
      </c>
      <c r="H117" s="1694"/>
      <c r="I117" s="1695"/>
      <c r="J117" s="651"/>
      <c r="P117" s="51"/>
      <c r="Q117" s="51"/>
      <c r="R117" s="51"/>
      <c r="S117" s="51"/>
      <c r="U117" s="50"/>
    </row>
    <row r="118" spans="1:27" ht="12.75" customHeight="1" outlineLevel="1" thickTop="1">
      <c r="L118" s="50"/>
      <c r="M118" s="50"/>
      <c r="N118" s="50"/>
      <c r="O118" s="50"/>
      <c r="U118" s="50"/>
    </row>
    <row r="119" spans="1:27" ht="12.75" customHeight="1" outlineLevel="1">
      <c r="F119" s="488" t="s">
        <v>438</v>
      </c>
      <c r="G119" s="489"/>
      <c r="H119" s="489"/>
      <c r="I119" s="489"/>
      <c r="J119" s="489"/>
      <c r="K119" s="489"/>
      <c r="L119" s="489"/>
      <c r="M119" s="490"/>
      <c r="N119" s="331"/>
      <c r="O119" s="4"/>
      <c r="U119" s="50"/>
    </row>
    <row r="120" spans="1:27" s="125" customFormat="1" ht="30.75" customHeight="1" outlineLevel="1">
      <c r="A120" s="124"/>
      <c r="B120" s="124"/>
      <c r="C120" s="124"/>
      <c r="D120" s="124"/>
      <c r="E120" s="124"/>
      <c r="F120" s="332" t="s">
        <v>190</v>
      </c>
      <c r="G120" s="332" t="s">
        <v>191</v>
      </c>
      <c r="H120" s="332" t="s">
        <v>192</v>
      </c>
      <c r="I120" s="332" t="s">
        <v>193</v>
      </c>
      <c r="J120" s="332"/>
      <c r="K120" s="332" t="s">
        <v>194</v>
      </c>
      <c r="L120" s="333" t="s">
        <v>195</v>
      </c>
      <c r="M120" s="332" t="s">
        <v>196</v>
      </c>
      <c r="N120" s="334" t="s">
        <v>197</v>
      </c>
      <c r="O120" s="343" t="s">
        <v>465</v>
      </c>
      <c r="P120" s="344"/>
      <c r="Q120" s="344"/>
      <c r="R120" s="344"/>
      <c r="S120" s="344"/>
      <c r="T120" s="344"/>
      <c r="U120" s="345"/>
      <c r="V120" s="344"/>
    </row>
    <row r="121" spans="1:27" ht="51" outlineLevel="1">
      <c r="F121" s="354" t="s">
        <v>198</v>
      </c>
      <c r="G121" s="354" t="s">
        <v>846</v>
      </c>
      <c r="H121" s="355">
        <v>2550</v>
      </c>
      <c r="I121" s="356">
        <v>15</v>
      </c>
      <c r="J121" s="356"/>
      <c r="K121" s="357"/>
      <c r="L121" s="358">
        <v>0</v>
      </c>
      <c r="M121" s="359" t="s">
        <v>199</v>
      </c>
      <c r="N121" s="360">
        <v>101.74008926976593</v>
      </c>
      <c r="O121" s="342">
        <v>1</v>
      </c>
      <c r="P121" s="346"/>
      <c r="Q121" s="346"/>
      <c r="R121" s="346"/>
      <c r="S121" s="346"/>
      <c r="T121" s="346"/>
      <c r="U121" s="346"/>
      <c r="V121" s="346"/>
    </row>
    <row r="122" spans="1:27" ht="51" outlineLevel="1">
      <c r="F122" s="354" t="s">
        <v>200</v>
      </c>
      <c r="G122" s="354" t="s">
        <v>846</v>
      </c>
      <c r="H122" s="355">
        <v>2570</v>
      </c>
      <c r="I122" s="356">
        <v>15</v>
      </c>
      <c r="J122" s="356"/>
      <c r="K122" s="357"/>
      <c r="L122" s="358">
        <v>0</v>
      </c>
      <c r="M122" s="359" t="s">
        <v>201</v>
      </c>
      <c r="N122" s="360">
        <v>123.6750527339677</v>
      </c>
      <c r="O122" s="342">
        <v>2</v>
      </c>
      <c r="P122" s="346"/>
      <c r="Q122" s="346"/>
      <c r="R122" s="346"/>
      <c r="S122" s="346"/>
      <c r="T122" s="346"/>
      <c r="U122" s="346"/>
      <c r="V122" s="346"/>
    </row>
    <row r="123" spans="1:27" ht="51" outlineLevel="1">
      <c r="F123" s="354" t="s">
        <v>202</v>
      </c>
      <c r="G123" s="354" t="s">
        <v>846</v>
      </c>
      <c r="H123" s="355">
        <v>0</v>
      </c>
      <c r="I123" s="356">
        <v>15</v>
      </c>
      <c r="J123" s="356"/>
      <c r="K123" s="357"/>
      <c r="L123" s="358">
        <v>0</v>
      </c>
      <c r="M123" s="359" t="s">
        <v>203</v>
      </c>
      <c r="N123" s="360">
        <v>110.47081207370928</v>
      </c>
      <c r="O123" s="342">
        <v>3</v>
      </c>
      <c r="P123" s="346"/>
      <c r="Q123" s="346"/>
      <c r="R123" s="346"/>
      <c r="S123" s="346"/>
      <c r="T123" s="346"/>
      <c r="U123" s="346"/>
      <c r="V123" s="346"/>
    </row>
    <row r="124" spans="1:27" ht="15" outlineLevel="1">
      <c r="F124" s="354"/>
      <c r="G124" s="354"/>
      <c r="H124" s="355"/>
      <c r="I124" s="356"/>
      <c r="J124" s="356"/>
      <c r="K124" s="357"/>
      <c r="L124" s="358"/>
      <c r="M124" s="359"/>
      <c r="N124" s="360"/>
      <c r="O124" s="342"/>
      <c r="P124" s="346"/>
      <c r="Q124" s="346"/>
      <c r="R124" s="346"/>
      <c r="S124" s="346"/>
      <c r="T124" s="346"/>
      <c r="U124" s="346"/>
      <c r="V124" s="346"/>
    </row>
    <row r="125" spans="1:27" ht="29.25" customHeight="1" outlineLevel="1">
      <c r="F125" s="365" t="s">
        <v>1966</v>
      </c>
      <c r="G125" s="127"/>
      <c r="H125" s="347"/>
      <c r="I125" s="347"/>
      <c r="J125" s="347"/>
      <c r="K125" s="347"/>
      <c r="L125" s="347"/>
      <c r="M125" s="346"/>
      <c r="N125" s="348"/>
      <c r="O125" s="346"/>
      <c r="P125" s="346"/>
      <c r="Q125" s="346"/>
      <c r="R125" s="346"/>
      <c r="S125" s="346"/>
      <c r="T125" s="346"/>
      <c r="U125" s="346"/>
      <c r="V125" s="346"/>
    </row>
    <row r="126" spans="1:27" ht="12.75" customHeight="1" outlineLevel="1" thickBot="1">
      <c r="F126" s="363" t="s">
        <v>1962</v>
      </c>
      <c r="G126" s="4"/>
      <c r="H126" s="4"/>
      <c r="I126" s="4"/>
      <c r="J126" s="4"/>
      <c r="K126" s="4"/>
      <c r="L126" s="4"/>
      <c r="M126" s="4"/>
      <c r="N126" s="22"/>
      <c r="O126" s="50"/>
      <c r="P126" s="52"/>
      <c r="U126" s="50"/>
    </row>
    <row r="127" spans="1:27" ht="45" outlineLevel="1">
      <c r="F127" s="245"/>
      <c r="G127" s="246"/>
      <c r="H127" s="246"/>
      <c r="I127" s="1690" t="s">
        <v>954</v>
      </c>
      <c r="J127" s="1691"/>
      <c r="K127" s="1692"/>
      <c r="L127" s="368" t="s">
        <v>463</v>
      </c>
      <c r="M127" s="50"/>
      <c r="N127"/>
      <c r="O127" s="50"/>
      <c r="P127" s="52"/>
      <c r="U127" s="50"/>
    </row>
    <row r="128" spans="1:27" ht="45.75" customHeight="1" outlineLevel="1">
      <c r="F128" s="248"/>
      <c r="G128" s="249" t="s">
        <v>465</v>
      </c>
      <c r="H128" s="249"/>
      <c r="I128" s="361" t="s">
        <v>955</v>
      </c>
      <c r="J128" s="652"/>
      <c r="K128" s="362" t="s">
        <v>467</v>
      </c>
      <c r="L128" s="367" t="s">
        <v>468</v>
      </c>
      <c r="M128" s="50"/>
      <c r="N128"/>
      <c r="O128" s="50"/>
      <c r="P128" s="52"/>
      <c r="U128" s="50"/>
    </row>
    <row r="129" spans="6:27" ht="12.75" customHeight="1" outlineLevel="1">
      <c r="F129" s="252"/>
      <c r="G129" s="253">
        <v>1</v>
      </c>
      <c r="H129" s="253"/>
      <c r="I129" s="369">
        <v>179296.51542056288</v>
      </c>
      <c r="J129" s="647"/>
      <c r="K129" s="377">
        <v>0.8040887583272246</v>
      </c>
      <c r="L129" s="373">
        <v>2050.4263337344228</v>
      </c>
      <c r="M129" s="50"/>
      <c r="N129"/>
      <c r="O129" s="50"/>
      <c r="P129" s="52"/>
      <c r="U129" s="50"/>
    </row>
    <row r="130" spans="6:27" ht="12.75" customHeight="1" outlineLevel="1">
      <c r="F130" s="256"/>
      <c r="G130" s="257">
        <v>2</v>
      </c>
      <c r="H130" s="257"/>
      <c r="I130" s="370">
        <v>35215.468406439788</v>
      </c>
      <c r="J130" s="648"/>
      <c r="K130" s="378">
        <v>0.15793035463308439</v>
      </c>
      <c r="L130" s="374">
        <v>405.88101140702685</v>
      </c>
      <c r="M130" s="50"/>
      <c r="N130"/>
      <c r="O130" s="50"/>
      <c r="P130" s="52"/>
      <c r="U130" s="50"/>
    </row>
    <row r="131" spans="6:27" ht="12.75" customHeight="1" outlineLevel="1">
      <c r="F131" s="256"/>
      <c r="G131" s="257">
        <v>3</v>
      </c>
      <c r="H131" s="257"/>
      <c r="I131" s="370">
        <v>8469.0161729973315</v>
      </c>
      <c r="J131" s="648"/>
      <c r="K131" s="378">
        <v>3.7980887039690971E-2</v>
      </c>
      <c r="L131" s="374">
        <v>0</v>
      </c>
      <c r="M131" s="50"/>
      <c r="N131"/>
      <c r="O131" s="50"/>
      <c r="P131" s="52"/>
      <c r="U131" s="50"/>
    </row>
    <row r="132" spans="6:27" ht="12.75" customHeight="1" outlineLevel="1" thickBot="1">
      <c r="F132" s="21"/>
      <c r="G132" s="262"/>
      <c r="H132" s="262"/>
      <c r="I132" s="372">
        <v>222981</v>
      </c>
      <c r="J132" s="650"/>
      <c r="K132" s="379">
        <v>0.99999999999999989</v>
      </c>
      <c r="L132" s="376"/>
      <c r="M132" s="50"/>
      <c r="N132"/>
      <c r="O132" s="50"/>
      <c r="P132" s="52"/>
      <c r="U132" s="50"/>
    </row>
    <row r="133" spans="6:27" ht="12.75" customHeight="1" outlineLevel="1">
      <c r="G133" s="51"/>
      <c r="H133" s="51"/>
      <c r="I133" s="51"/>
      <c r="J133" s="51"/>
      <c r="L133" s="349"/>
      <c r="M133" s="50"/>
      <c r="N133"/>
      <c r="O133" s="50"/>
      <c r="P133" s="52"/>
      <c r="U133" s="50"/>
    </row>
    <row r="134" spans="6:27" ht="12.75" customHeight="1" outlineLevel="1">
      <c r="F134" s="365" t="s">
        <v>1967</v>
      </c>
      <c r="G134" s="51"/>
      <c r="H134" s="51"/>
      <c r="I134" s="51"/>
      <c r="J134" s="51"/>
      <c r="L134" s="50"/>
      <c r="M134" s="50"/>
      <c r="N134"/>
      <c r="O134" s="50"/>
      <c r="P134" s="52"/>
      <c r="U134" s="50"/>
    </row>
    <row r="135" spans="6:27" ht="12.75" customHeight="1" outlineLevel="1">
      <c r="F135" s="241" t="s">
        <v>478</v>
      </c>
      <c r="G135" s="241" t="s">
        <v>1968</v>
      </c>
      <c r="H135" s="4"/>
      <c r="I135" s="4"/>
      <c r="J135" s="4"/>
      <c r="K135" s="4"/>
      <c r="L135" s="4"/>
      <c r="M135" s="4"/>
      <c r="N135"/>
      <c r="O135" s="4"/>
      <c r="P135" s="4"/>
      <c r="Q135" s="4"/>
      <c r="R135" s="4"/>
      <c r="S135" s="4"/>
      <c r="T135" s="4"/>
      <c r="U135" s="4"/>
      <c r="V135" s="4"/>
      <c r="W135" s="4"/>
      <c r="X135" s="4"/>
      <c r="Y135" s="4"/>
      <c r="Z135" s="4"/>
      <c r="AA135" s="4"/>
    </row>
    <row r="136" spans="6:27" ht="12.75" customHeight="1" outlineLevel="1">
      <c r="F136" s="363" t="s">
        <v>1959</v>
      </c>
      <c r="G136" s="4"/>
      <c r="H136" s="4"/>
      <c r="I136" s="4"/>
      <c r="J136" s="4"/>
      <c r="K136" s="4"/>
      <c r="L136" s="4"/>
      <c r="M136" s="4"/>
      <c r="N136" s="4"/>
      <c r="O136" s="4"/>
      <c r="P136" s="4"/>
      <c r="Q136" s="4"/>
      <c r="R136" s="4"/>
      <c r="S136" s="4"/>
      <c r="T136" s="4"/>
      <c r="U136" s="4"/>
      <c r="V136" s="4"/>
      <c r="W136" s="4"/>
      <c r="X136" s="4"/>
      <c r="Y136" s="4"/>
      <c r="Z136" s="4"/>
      <c r="AA136" s="4"/>
    </row>
    <row r="137" spans="6:27" ht="12.75" customHeight="1" outlineLevel="1">
      <c r="F137" s="363"/>
      <c r="G137" s="4"/>
      <c r="H137" s="4"/>
      <c r="I137" s="4"/>
      <c r="J137" s="4"/>
      <c r="K137" s="4"/>
      <c r="L137" s="4"/>
      <c r="M137" s="4"/>
      <c r="N137" s="4"/>
      <c r="O137" s="4"/>
      <c r="P137" s="4"/>
      <c r="Q137" s="4"/>
      <c r="R137" s="4"/>
      <c r="S137" s="4"/>
      <c r="T137" s="4"/>
      <c r="U137" s="4"/>
      <c r="V137" s="4"/>
      <c r="W137" s="4"/>
      <c r="X137" s="4"/>
      <c r="Y137" s="4"/>
      <c r="Z137" s="4"/>
      <c r="AA137" s="4"/>
    </row>
    <row r="138" spans="6:27" ht="12.75" customHeight="1" outlineLevel="1" thickBot="1">
      <c r="F138" s="1698" t="s">
        <v>1955</v>
      </c>
      <c r="G138" s="1698"/>
      <c r="H138" s="1698"/>
      <c r="I138" s="1698"/>
      <c r="J138" s="1698"/>
      <c r="K138" s="1698"/>
      <c r="L138" s="1698"/>
      <c r="M138" s="1698"/>
      <c r="N138" s="1698"/>
      <c r="O138" s="1698"/>
      <c r="P138" s="1698"/>
      <c r="Q138" s="1698"/>
      <c r="R138" s="1698"/>
      <c r="S138" s="4"/>
      <c r="T138" s="4"/>
      <c r="U138" s="4"/>
      <c r="V138" s="4"/>
      <c r="W138" s="4"/>
      <c r="X138" s="4"/>
      <c r="Y138" s="4"/>
      <c r="Z138" s="4"/>
      <c r="AA138" s="4"/>
    </row>
    <row r="139" spans="6:27" ht="12.75" customHeight="1" outlineLevel="1" thickBot="1">
      <c r="F139" s="324" t="s">
        <v>465</v>
      </c>
      <c r="G139" s="325">
        <v>2017</v>
      </c>
      <c r="H139" s="326">
        <v>2018</v>
      </c>
      <c r="I139" s="326">
        <v>2019</v>
      </c>
      <c r="J139" s="326"/>
      <c r="K139" s="326">
        <v>2020</v>
      </c>
      <c r="L139" s="326">
        <v>2121</v>
      </c>
      <c r="M139" s="326">
        <v>2022</v>
      </c>
      <c r="N139" s="326">
        <v>2023</v>
      </c>
      <c r="O139" s="326">
        <v>2024</v>
      </c>
      <c r="P139" s="326">
        <v>2025</v>
      </c>
      <c r="Q139" s="326">
        <v>2026</v>
      </c>
      <c r="R139" s="327">
        <v>2027</v>
      </c>
      <c r="S139" s="4"/>
      <c r="T139" s="4"/>
      <c r="U139" s="4"/>
      <c r="V139" s="4"/>
      <c r="W139" s="4"/>
      <c r="X139" s="4"/>
      <c r="Y139" s="4"/>
      <c r="Z139" s="4"/>
      <c r="AA139" s="4"/>
    </row>
    <row r="140" spans="6:27" ht="12.75" customHeight="1" outlineLevel="1">
      <c r="F140" s="328">
        <v>1</v>
      </c>
      <c r="G140" s="1290">
        <v>0.84761235001560653</v>
      </c>
      <c r="H140" s="1270">
        <v>0.80200676934066839</v>
      </c>
      <c r="I140" s="1270">
        <v>0.78412214542804382</v>
      </c>
      <c r="J140" s="1270"/>
      <c r="K140" s="1270">
        <v>0.9103322534006193</v>
      </c>
      <c r="L140" s="1270">
        <v>0.89023110774014469</v>
      </c>
      <c r="M140" s="1270">
        <v>0.85147063008957591</v>
      </c>
      <c r="N140" s="1270">
        <v>0.85147063008957591</v>
      </c>
      <c r="O140" s="1270">
        <v>0.85147063008957591</v>
      </c>
      <c r="P140" s="1270">
        <v>0.85147063008957591</v>
      </c>
      <c r="Q140" s="1270">
        <v>0.85147063008957591</v>
      </c>
      <c r="R140" s="1271">
        <v>0.85147063008957591</v>
      </c>
      <c r="S140" s="4"/>
      <c r="T140" s="4"/>
      <c r="U140" s="4"/>
      <c r="V140" s="4"/>
      <c r="W140" s="4"/>
      <c r="X140" s="4"/>
      <c r="Y140" s="4"/>
      <c r="Z140" s="4"/>
      <c r="AA140" s="4"/>
    </row>
    <row r="141" spans="6:27" ht="12.75" customHeight="1" outlineLevel="1">
      <c r="F141" s="329">
        <v>2</v>
      </c>
      <c r="G141" s="1290">
        <v>0.10635773579706201</v>
      </c>
      <c r="H141" s="1270">
        <v>0.13048023375299003</v>
      </c>
      <c r="I141" s="1270">
        <v>0.14112846318521433</v>
      </c>
      <c r="J141" s="1270"/>
      <c r="K141" s="1270">
        <v>6.709177263432381E-2</v>
      </c>
      <c r="L141" s="1270">
        <v>7.5563886780366379E-2</v>
      </c>
      <c r="M141" s="1270">
        <v>9.9566678863951666E-2</v>
      </c>
      <c r="N141" s="1270">
        <v>9.9566678863951666E-2</v>
      </c>
      <c r="O141" s="1270">
        <v>9.9566678863951666E-2</v>
      </c>
      <c r="P141" s="1270">
        <v>9.9566678863951666E-2</v>
      </c>
      <c r="Q141" s="1270">
        <v>9.9566678863951666E-2</v>
      </c>
      <c r="R141" s="1271">
        <v>9.9566678863951666E-2</v>
      </c>
      <c r="S141" s="4"/>
      <c r="T141" s="4"/>
      <c r="U141" s="4"/>
      <c r="V141" s="4"/>
      <c r="W141" s="4"/>
      <c r="X141" s="4"/>
      <c r="Y141" s="4"/>
      <c r="Z141" s="4"/>
      <c r="AA141" s="4"/>
    </row>
    <row r="142" spans="6:27" ht="12.75" customHeight="1" outlineLevel="1" thickBot="1">
      <c r="F142" s="330">
        <v>3</v>
      </c>
      <c r="G142" s="1293">
        <v>4.6029914187331461E-2</v>
      </c>
      <c r="H142" s="1272">
        <v>6.7512996906341535E-2</v>
      </c>
      <c r="I142" s="1272">
        <v>7.4749391386741776E-2</v>
      </c>
      <c r="J142" s="1272"/>
      <c r="K142" s="1272">
        <v>2.2575973965056964E-2</v>
      </c>
      <c r="L142" s="1272">
        <v>3.4205005479489202E-2</v>
      </c>
      <c r="M142" s="1272">
        <v>4.8962691046472738E-2</v>
      </c>
      <c r="N142" s="1272">
        <v>4.8962691046472738E-2</v>
      </c>
      <c r="O142" s="1272">
        <v>4.8962691046472738E-2</v>
      </c>
      <c r="P142" s="1272">
        <v>4.8962691046472738E-2</v>
      </c>
      <c r="Q142" s="1272">
        <v>4.8962691046472738E-2</v>
      </c>
      <c r="R142" s="1273">
        <v>4.8962691046472738E-2</v>
      </c>
      <c r="S142" s="4"/>
      <c r="T142" s="4"/>
      <c r="U142" s="4"/>
      <c r="V142" s="4"/>
      <c r="W142" s="4"/>
      <c r="X142" s="4"/>
      <c r="Y142" s="4"/>
      <c r="Z142" s="4"/>
      <c r="AA142" s="4"/>
    </row>
    <row r="143" spans="6:27" ht="12.75" customHeight="1" outlineLevel="1">
      <c r="G143" s="4"/>
      <c r="H143" s="4"/>
      <c r="I143" s="4"/>
      <c r="J143" s="4"/>
      <c r="K143" s="4"/>
      <c r="L143" s="4"/>
      <c r="M143" s="4"/>
      <c r="N143" s="4"/>
      <c r="O143" s="4"/>
      <c r="P143" s="4"/>
      <c r="Q143" s="4"/>
      <c r="R143" s="4"/>
      <c r="S143" s="4"/>
      <c r="T143" s="4"/>
      <c r="U143" s="4"/>
      <c r="V143" s="4"/>
      <c r="W143" s="4"/>
      <c r="X143" s="4"/>
      <c r="Y143" s="4"/>
      <c r="Z143" s="4"/>
      <c r="AA143" s="4"/>
    </row>
    <row r="144" spans="6:27" ht="12.75" customHeight="1" outlineLevel="1">
      <c r="F144" s="4"/>
      <c r="G144" s="4"/>
      <c r="H144" s="4"/>
      <c r="I144" s="4"/>
      <c r="J144" s="4"/>
      <c r="K144" s="4"/>
      <c r="L144" s="4"/>
      <c r="M144" s="4"/>
      <c r="N144" s="4"/>
      <c r="O144" s="4"/>
      <c r="P144" s="4"/>
      <c r="Q144" s="4"/>
      <c r="R144" s="4"/>
      <c r="S144" s="4"/>
      <c r="T144" s="4"/>
      <c r="U144" s="4"/>
      <c r="V144" s="4"/>
      <c r="W144" s="4"/>
      <c r="X144" s="4"/>
      <c r="Y144" s="4"/>
      <c r="Z144" s="4"/>
      <c r="AA144" s="4"/>
    </row>
    <row r="145" spans="6:27" ht="12.75" customHeight="1" outlineLevel="1" thickBot="1">
      <c r="F145" s="1697" t="s">
        <v>1956</v>
      </c>
      <c r="G145" s="1697"/>
      <c r="H145" s="1697"/>
      <c r="I145" s="1697"/>
      <c r="J145" s="1697"/>
      <c r="K145" s="1697"/>
      <c r="L145" s="1697"/>
      <c r="M145" s="1697"/>
      <c r="N145" s="1697"/>
      <c r="O145" s="1697"/>
      <c r="P145" s="1697"/>
      <c r="Q145" s="1697"/>
      <c r="R145" s="1697"/>
      <c r="S145" s="4"/>
      <c r="T145" s="4"/>
      <c r="U145" s="4"/>
      <c r="V145" s="4"/>
      <c r="W145" s="4"/>
      <c r="X145" s="4"/>
      <c r="Y145" s="4"/>
      <c r="Z145" s="4"/>
      <c r="AA145" s="4"/>
    </row>
    <row r="146" spans="6:27" ht="12.75" customHeight="1" outlineLevel="1" thickBot="1">
      <c r="F146" s="317" t="s">
        <v>958</v>
      </c>
      <c r="G146" s="1291">
        <v>2017</v>
      </c>
      <c r="H146" s="1296">
        <v>2018</v>
      </c>
      <c r="I146" s="1296">
        <v>2019</v>
      </c>
      <c r="J146" s="1296"/>
      <c r="K146" s="1296">
        <v>2020</v>
      </c>
      <c r="L146" s="1296">
        <v>2021</v>
      </c>
      <c r="M146" s="1296">
        <v>2022</v>
      </c>
      <c r="N146" s="1296">
        <v>2023</v>
      </c>
      <c r="O146" s="1296">
        <v>2024</v>
      </c>
      <c r="P146" s="1296">
        <v>2025</v>
      </c>
      <c r="Q146" s="1296">
        <v>2026</v>
      </c>
      <c r="R146" s="1297">
        <v>2027</v>
      </c>
      <c r="S146" s="4"/>
      <c r="T146" s="4"/>
      <c r="U146" s="4"/>
      <c r="V146" s="4"/>
      <c r="W146" s="4"/>
      <c r="X146" s="4"/>
      <c r="Y146" s="4"/>
      <c r="Z146" s="4"/>
      <c r="AA146" s="4"/>
    </row>
    <row r="147" spans="6:27" ht="12.75" customHeight="1" outlineLevel="1">
      <c r="F147" s="318" t="s">
        <v>959</v>
      </c>
      <c r="G147" s="1275">
        <v>0.79636459243354196</v>
      </c>
      <c r="H147" s="271">
        <v>0.73876211072070852</v>
      </c>
      <c r="I147" s="271">
        <v>0.58945231344761462</v>
      </c>
      <c r="J147" s="271"/>
      <c r="K147" s="271">
        <v>0.63991447342759222</v>
      </c>
      <c r="L147" s="271">
        <v>0.64588184144073424</v>
      </c>
      <c r="M147" s="271">
        <v>0.45606481719417491</v>
      </c>
      <c r="N147" s="271">
        <v>0.45606481719417491</v>
      </c>
      <c r="O147" s="271">
        <v>0.45606481719417491</v>
      </c>
      <c r="P147" s="271">
        <v>0.45606481719417491</v>
      </c>
      <c r="Q147" s="271">
        <v>0.45606481719417491</v>
      </c>
      <c r="R147" s="1265">
        <v>0.45606481719417491</v>
      </c>
      <c r="S147" s="4"/>
      <c r="T147" s="4"/>
      <c r="U147" s="4"/>
      <c r="V147" s="4"/>
      <c r="W147" s="4"/>
      <c r="X147" s="4"/>
      <c r="Y147" s="4"/>
      <c r="Z147" s="4"/>
      <c r="AA147" s="4"/>
    </row>
    <row r="148" spans="6:27" ht="12.75" customHeight="1" outlineLevel="1" thickBot="1">
      <c r="F148" s="319" t="s">
        <v>960</v>
      </c>
      <c r="G148" s="1298">
        <v>0.20363540756645804</v>
      </c>
      <c r="H148" s="1266">
        <v>0.26123788927929148</v>
      </c>
      <c r="I148" s="1266">
        <v>0.41054768655238538</v>
      </c>
      <c r="J148" s="1266"/>
      <c r="K148" s="1266">
        <v>0.36008552657240778</v>
      </c>
      <c r="L148" s="1266">
        <v>0.35411815855926576</v>
      </c>
      <c r="M148" s="1266">
        <v>0.54393518280582509</v>
      </c>
      <c r="N148" s="1266">
        <v>0.54393518280582509</v>
      </c>
      <c r="O148" s="1266">
        <v>0.54393518280582509</v>
      </c>
      <c r="P148" s="1266">
        <v>0.54393518280582509</v>
      </c>
      <c r="Q148" s="1266">
        <v>0.54393518280582509</v>
      </c>
      <c r="R148" s="1267">
        <v>0.54393518280582509</v>
      </c>
      <c r="S148" s="4"/>
      <c r="T148" s="4"/>
      <c r="U148" s="4"/>
      <c r="V148" s="4"/>
      <c r="W148" s="4"/>
      <c r="X148" s="4"/>
      <c r="Y148" s="4"/>
      <c r="Z148" s="4"/>
      <c r="AA148" s="4"/>
    </row>
    <row r="149" spans="6:27" ht="12.75" customHeight="1" outlineLevel="1">
      <c r="F149" s="363"/>
    </row>
    <row r="150" spans="6:27" ht="12.75" customHeight="1" outlineLevel="1"/>
    <row r="151" spans="6:27" ht="12.75" customHeight="1" outlineLevel="1" thickBot="1">
      <c r="F151" s="366" t="s">
        <v>1958</v>
      </c>
      <c r="G151" s="128"/>
      <c r="H151" s="128"/>
      <c r="I151" s="128"/>
      <c r="J151" s="128"/>
      <c r="K151" s="128"/>
      <c r="L151" s="128"/>
      <c r="M151" s="128"/>
      <c r="N151" s="128"/>
      <c r="O151" s="128"/>
      <c r="P151" s="128"/>
      <c r="Q151" s="128"/>
      <c r="R151" s="128"/>
      <c r="S151" s="128"/>
      <c r="T151" s="128"/>
      <c r="U151" s="128"/>
      <c r="V151" s="128"/>
    </row>
    <row r="152" spans="6:27" ht="12.75" customHeight="1" outlineLevel="1" thickTop="1"/>
    <row r="153" spans="6:27" ht="12.75" customHeight="1" outlineLevel="1">
      <c r="F153" s="365" t="s">
        <v>1960</v>
      </c>
      <c r="H153" s="47"/>
    </row>
    <row r="154" spans="6:27" ht="12.75" customHeight="1" outlineLevel="1">
      <c r="G154" s="321">
        <v>2016</v>
      </c>
      <c r="H154" s="321">
        <v>2017</v>
      </c>
      <c r="I154" s="321">
        <v>2018</v>
      </c>
      <c r="J154" s="321"/>
      <c r="K154" s="321">
        <v>2019</v>
      </c>
      <c r="L154" s="321">
        <v>2020</v>
      </c>
      <c r="M154" s="321">
        <v>2021</v>
      </c>
      <c r="N154" s="321">
        <v>2022</v>
      </c>
      <c r="O154" s="321">
        <v>2023</v>
      </c>
      <c r="P154" s="321">
        <v>2024</v>
      </c>
      <c r="Q154" s="321">
        <v>2025</v>
      </c>
      <c r="R154" s="321">
        <v>2026</v>
      </c>
      <c r="S154" s="321">
        <v>2027</v>
      </c>
    </row>
    <row r="155" spans="6:27" ht="12.75" customHeight="1" outlineLevel="1">
      <c r="F155" s="320" t="s">
        <v>465</v>
      </c>
      <c r="L155" s="50"/>
      <c r="M155" s="50"/>
      <c r="N155" s="50"/>
      <c r="O155" s="50"/>
    </row>
    <row r="156" spans="6:27" ht="12.75" customHeight="1" outlineLevel="1">
      <c r="F156" s="322">
        <v>1</v>
      </c>
      <c r="G156" s="323">
        <v>2193.3492589284215</v>
      </c>
      <c r="H156" s="323">
        <v>2211.1168651817961</v>
      </c>
      <c r="I156" s="323">
        <v>2238.1387500110195</v>
      </c>
      <c r="J156" s="323"/>
      <c r="K156" s="323">
        <v>2349.6267874767591</v>
      </c>
      <c r="L156" s="323">
        <v>2338.7656379696164</v>
      </c>
      <c r="M156" s="323">
        <v>2343.8374773667538</v>
      </c>
      <c r="N156" s="323">
        <v>2343.8374773667538</v>
      </c>
      <c r="O156" s="323">
        <v>2343.8374773667538</v>
      </c>
      <c r="P156" s="323">
        <v>2343.8374773667538</v>
      </c>
      <c r="Q156" s="323">
        <v>2343.8374773667538</v>
      </c>
      <c r="R156" s="323">
        <v>2343.8374773667538</v>
      </c>
      <c r="S156" s="323">
        <v>2343.8374773667538</v>
      </c>
    </row>
    <row r="157" spans="6:27" ht="12.75" customHeight="1" outlineLevel="1">
      <c r="F157" s="322">
        <v>2</v>
      </c>
      <c r="G157" s="323">
        <v>667.82005194365706</v>
      </c>
      <c r="H157" s="323">
        <v>549.02889628643368</v>
      </c>
      <c r="I157" s="323">
        <v>558.87310457522221</v>
      </c>
      <c r="J157" s="323"/>
      <c r="K157" s="323">
        <v>478.49742955280146</v>
      </c>
      <c r="L157" s="323">
        <v>508.32941325327067</v>
      </c>
      <c r="M157" s="323">
        <v>502.58877653030413</v>
      </c>
      <c r="N157" s="323">
        <v>502.58877653030413</v>
      </c>
      <c r="O157" s="323">
        <v>502.58877653030413</v>
      </c>
      <c r="P157" s="323">
        <v>502.58877653030413</v>
      </c>
      <c r="Q157" s="323">
        <v>502.58877653030413</v>
      </c>
      <c r="R157" s="323">
        <v>502.58877653030413</v>
      </c>
      <c r="S157" s="323">
        <v>502.58877653030413</v>
      </c>
    </row>
    <row r="158" spans="6:27" ht="12.75" customHeight="1" outlineLevel="1">
      <c r="F158" s="322">
        <v>3</v>
      </c>
      <c r="G158" s="323">
        <v>0</v>
      </c>
      <c r="H158" s="323">
        <v>0</v>
      </c>
      <c r="I158" s="323">
        <v>0</v>
      </c>
      <c r="J158" s="323"/>
      <c r="K158" s="323">
        <v>0</v>
      </c>
      <c r="L158" s="323">
        <v>0</v>
      </c>
      <c r="M158" s="323">
        <v>0</v>
      </c>
      <c r="N158" s="323">
        <v>0</v>
      </c>
      <c r="O158" s="323">
        <v>0</v>
      </c>
      <c r="P158" s="323">
        <v>0</v>
      </c>
      <c r="Q158" s="323">
        <v>0</v>
      </c>
      <c r="R158" s="323">
        <v>0</v>
      </c>
      <c r="S158" s="323">
        <v>0</v>
      </c>
    </row>
    <row r="159" spans="6:27" ht="12.75" customHeight="1" outlineLevel="1">
      <c r="F159" s="4"/>
      <c r="G159" s="4"/>
      <c r="H159" s="4"/>
      <c r="I159" s="4"/>
      <c r="J159" s="4"/>
      <c r="K159" s="4"/>
      <c r="L159" s="4"/>
      <c r="M159" s="4"/>
      <c r="N159" s="4"/>
      <c r="O159" s="4"/>
      <c r="P159" s="4"/>
      <c r="Q159" s="4"/>
      <c r="R159" s="4"/>
      <c r="S159" s="4"/>
    </row>
    <row r="160" spans="6:27" ht="12.75" customHeight="1" outlineLevel="1">
      <c r="F160" s="264" t="s">
        <v>489</v>
      </c>
      <c r="G160" s="380">
        <v>2861.1693108720783</v>
      </c>
      <c r="H160" s="380">
        <v>2760.1457614682299</v>
      </c>
      <c r="I160" s="380">
        <v>2797.0118545862415</v>
      </c>
      <c r="J160" s="380"/>
      <c r="K160" s="380">
        <v>2828.1242170295604</v>
      </c>
      <c r="L160" s="380">
        <v>2847.0950512228869</v>
      </c>
      <c r="M160" s="380">
        <v>2846.4262538970579</v>
      </c>
      <c r="N160" s="380">
        <v>2846.4262538970579</v>
      </c>
      <c r="O160" s="380">
        <v>2846.4262538970579</v>
      </c>
      <c r="P160" s="380">
        <v>2846.4262538970579</v>
      </c>
      <c r="Q160" s="380">
        <v>2846.4262538970579</v>
      </c>
      <c r="R160" s="380">
        <v>2846.4262538970579</v>
      </c>
      <c r="S160" s="380">
        <v>2846.4262538970579</v>
      </c>
    </row>
    <row r="161" spans="6:16" ht="12.75" customHeight="1" outlineLevel="1">
      <c r="F161" s="4"/>
      <c r="G161" s="4"/>
      <c r="H161" s="4"/>
      <c r="I161" s="4"/>
      <c r="J161" s="4"/>
      <c r="K161" s="4"/>
      <c r="L161" s="4"/>
      <c r="M161" s="4"/>
      <c r="N161" s="4"/>
      <c r="O161" s="4"/>
      <c r="P161" s="4"/>
    </row>
    <row r="162" spans="6:16" ht="12.75" customHeight="1" outlineLevel="1">
      <c r="F162" s="4"/>
      <c r="G162" s="4"/>
      <c r="H162" s="4"/>
      <c r="I162" s="4"/>
      <c r="J162" s="4"/>
      <c r="K162" s="4"/>
      <c r="L162" s="4"/>
      <c r="M162" s="4"/>
      <c r="N162" s="4"/>
      <c r="O162" s="4"/>
      <c r="P162" s="4"/>
    </row>
    <row r="163" spans="6:16" ht="12.75" customHeight="1" outlineLevel="1" thickBot="1">
      <c r="F163" s="365" t="s">
        <v>1964</v>
      </c>
    </row>
    <row r="164" spans="6:16" ht="12.75" customHeight="1" outlineLevel="1" thickTop="1" thickBot="1">
      <c r="F164" s="47" t="s">
        <v>478</v>
      </c>
      <c r="G164" s="1693" t="s">
        <v>2522</v>
      </c>
      <c r="H164" s="1694"/>
      <c r="I164" s="1695"/>
      <c r="J164" s="651"/>
      <c r="P164" s="51"/>
    </row>
    <row r="165" spans="6:16" ht="12.75" customHeight="1" outlineLevel="1" thickTop="1">
      <c r="L165" s="50"/>
      <c r="M165" s="50"/>
      <c r="N165" s="50"/>
      <c r="O165" s="50"/>
    </row>
    <row r="166" spans="6:16" ht="12.75" customHeight="1" outlineLevel="1">
      <c r="F166" s="488" t="s">
        <v>438</v>
      </c>
      <c r="G166" s="489"/>
      <c r="H166" s="489"/>
      <c r="I166" s="489"/>
      <c r="J166" s="489"/>
      <c r="K166" s="489"/>
      <c r="L166" s="489"/>
      <c r="M166" s="490"/>
      <c r="N166" s="331"/>
      <c r="O166" s="4"/>
    </row>
    <row r="167" spans="6:16" ht="12.75" customHeight="1" outlineLevel="1">
      <c r="F167" s="332" t="s">
        <v>190</v>
      </c>
      <c r="G167" s="332" t="s">
        <v>191</v>
      </c>
      <c r="H167" s="332" t="s">
        <v>192</v>
      </c>
      <c r="I167" s="332" t="s">
        <v>193</v>
      </c>
      <c r="J167" s="332"/>
      <c r="K167" s="332" t="s">
        <v>194</v>
      </c>
      <c r="L167" s="333" t="s">
        <v>195</v>
      </c>
      <c r="M167" s="332" t="s">
        <v>196</v>
      </c>
      <c r="N167" s="334" t="s">
        <v>197</v>
      </c>
      <c r="O167" s="343" t="s">
        <v>465</v>
      </c>
      <c r="P167" s="344"/>
    </row>
    <row r="168" spans="6:16" ht="63.75" outlineLevel="1">
      <c r="F168" s="335" t="s">
        <v>204</v>
      </c>
      <c r="G168" s="335" t="s">
        <v>846</v>
      </c>
      <c r="H168" s="336">
        <v>3055</v>
      </c>
      <c r="I168" s="337">
        <v>15</v>
      </c>
      <c r="J168" s="337"/>
      <c r="K168" s="338"/>
      <c r="L168" s="339">
        <v>0</v>
      </c>
      <c r="M168" s="340" t="s">
        <v>199</v>
      </c>
      <c r="N168" s="341">
        <v>29.551850363589864</v>
      </c>
      <c r="O168" s="342">
        <v>1</v>
      </c>
      <c r="P168" s="346"/>
    </row>
    <row r="169" spans="6:16" ht="63.75" outlineLevel="1">
      <c r="F169" s="335" t="s">
        <v>205</v>
      </c>
      <c r="G169" s="335" t="s">
        <v>846</v>
      </c>
      <c r="H169" s="336">
        <v>2825</v>
      </c>
      <c r="I169" s="337">
        <v>15</v>
      </c>
      <c r="J169" s="337"/>
      <c r="K169" s="338"/>
      <c r="L169" s="339">
        <v>0</v>
      </c>
      <c r="M169" s="340" t="s">
        <v>201</v>
      </c>
      <c r="N169" s="341">
        <v>37.134509330835805</v>
      </c>
      <c r="O169" s="342">
        <v>2</v>
      </c>
      <c r="P169" s="346"/>
    </row>
    <row r="170" spans="6:16" ht="63.75" outlineLevel="1">
      <c r="F170" s="335" t="s">
        <v>206</v>
      </c>
      <c r="G170" s="335" t="s">
        <v>846</v>
      </c>
      <c r="H170" s="336">
        <v>0</v>
      </c>
      <c r="I170" s="337">
        <v>15</v>
      </c>
      <c r="J170" s="337"/>
      <c r="K170" s="338"/>
      <c r="L170" s="339">
        <v>0</v>
      </c>
      <c r="M170" s="340" t="s">
        <v>203</v>
      </c>
      <c r="N170" s="341">
        <v>32.64688726809969</v>
      </c>
      <c r="O170" s="342">
        <v>3</v>
      </c>
      <c r="P170" s="346"/>
    </row>
    <row r="171" spans="6:16" ht="12.75" customHeight="1" outlineLevel="1">
      <c r="F171" s="1696"/>
      <c r="G171" s="1696"/>
      <c r="H171" s="347"/>
      <c r="I171" s="347"/>
      <c r="J171" s="347"/>
      <c r="K171" s="347"/>
      <c r="L171" s="347"/>
      <c r="M171" s="346"/>
      <c r="N171" s="348"/>
      <c r="O171" s="346"/>
      <c r="P171" s="346"/>
    </row>
    <row r="172" spans="6:16" ht="12.75" customHeight="1" outlineLevel="1">
      <c r="F172" s="365" t="s">
        <v>1966</v>
      </c>
      <c r="G172" s="445"/>
      <c r="H172" s="347"/>
      <c r="I172" s="347"/>
      <c r="J172" s="347"/>
      <c r="K172" s="347"/>
      <c r="L172" s="347"/>
      <c r="M172" s="346"/>
      <c r="N172"/>
      <c r="O172" s="346"/>
      <c r="P172" s="346"/>
    </row>
    <row r="173" spans="6:16" ht="12.75" customHeight="1" outlineLevel="1" thickBot="1">
      <c r="F173" s="363" t="s">
        <v>1962</v>
      </c>
      <c r="G173" s="4"/>
      <c r="H173" s="4"/>
      <c r="I173" s="4"/>
      <c r="J173" s="4"/>
      <c r="K173" s="4"/>
      <c r="L173" s="4"/>
      <c r="M173" s="4"/>
      <c r="N173"/>
      <c r="O173" s="50"/>
      <c r="P173" s="52"/>
    </row>
    <row r="174" spans="6:16" ht="45" outlineLevel="1">
      <c r="F174" s="245"/>
      <c r="G174" s="246"/>
      <c r="H174" s="246"/>
      <c r="I174" s="245" t="s">
        <v>954</v>
      </c>
      <c r="J174" s="246"/>
      <c r="K174" s="247"/>
      <c r="L174" s="368" t="s">
        <v>463</v>
      </c>
      <c r="M174" s="50"/>
      <c r="N174"/>
      <c r="O174" s="50"/>
      <c r="P174" s="52"/>
    </row>
    <row r="175" spans="6:16" ht="53.25" customHeight="1" outlineLevel="1">
      <c r="F175" s="248"/>
      <c r="G175" s="249" t="s">
        <v>465</v>
      </c>
      <c r="H175" s="249"/>
      <c r="I175" s="361" t="s">
        <v>955</v>
      </c>
      <c r="J175" s="652"/>
      <c r="K175" s="362" t="s">
        <v>467</v>
      </c>
      <c r="L175" s="367" t="s">
        <v>468</v>
      </c>
      <c r="M175" s="50"/>
      <c r="N175"/>
      <c r="O175" s="50"/>
      <c r="P175" s="52"/>
    </row>
    <row r="176" spans="6:16" ht="12.75" customHeight="1" outlineLevel="1">
      <c r="F176" s="252"/>
      <c r="G176" s="253">
        <v>1</v>
      </c>
      <c r="H176" s="253"/>
      <c r="I176" s="369">
        <v>160090.08546812384</v>
      </c>
      <c r="J176" s="647"/>
      <c r="K176" s="377">
        <v>0.71795393090946691</v>
      </c>
      <c r="L176" s="373">
        <v>2193.3492589284215</v>
      </c>
      <c r="M176" s="50"/>
      <c r="N176"/>
      <c r="O176" s="50"/>
      <c r="P176" s="52"/>
    </row>
    <row r="177" spans="6:18" ht="12.75" customHeight="1" outlineLevel="1">
      <c r="F177" s="256"/>
      <c r="G177" s="257">
        <v>2</v>
      </c>
      <c r="H177" s="257"/>
      <c r="I177" s="370">
        <v>52711.92318670747</v>
      </c>
      <c r="J177" s="648"/>
      <c r="K177" s="378">
        <v>0.23639647856412641</v>
      </c>
      <c r="L177" s="374">
        <v>667.82005194365706</v>
      </c>
      <c r="M177" s="50"/>
      <c r="N177"/>
      <c r="O177" s="50"/>
      <c r="P177" s="52"/>
    </row>
    <row r="178" spans="6:18" ht="12.75" customHeight="1" outlineLevel="1">
      <c r="F178" s="256"/>
      <c r="G178" s="257">
        <v>3</v>
      </c>
      <c r="H178" s="257"/>
      <c r="I178" s="370">
        <v>10178.991345168679</v>
      </c>
      <c r="J178" s="648"/>
      <c r="K178" s="378">
        <v>4.5649590526406637E-2</v>
      </c>
      <c r="L178" s="374">
        <v>0</v>
      </c>
      <c r="M178" s="50"/>
      <c r="N178"/>
      <c r="O178" s="50"/>
      <c r="P178" s="52"/>
    </row>
    <row r="179" spans="6:18" ht="12.75" customHeight="1" outlineLevel="1" thickBot="1">
      <c r="F179" s="21"/>
      <c r="G179" s="262"/>
      <c r="H179" s="262"/>
      <c r="I179" s="372">
        <v>280858.15999999997</v>
      </c>
      <c r="J179" s="650"/>
      <c r="K179" s="379">
        <v>0.99999999999999989</v>
      </c>
      <c r="L179" s="376"/>
      <c r="M179" s="50"/>
      <c r="N179"/>
      <c r="O179" s="50"/>
      <c r="P179" s="52"/>
    </row>
    <row r="180" spans="6:18" ht="12.75" customHeight="1" outlineLevel="1">
      <c r="G180" s="51"/>
      <c r="H180" s="51"/>
      <c r="I180" s="51"/>
      <c r="J180" s="51"/>
      <c r="L180" s="349"/>
      <c r="M180" s="50"/>
      <c r="N180"/>
      <c r="O180" s="50"/>
      <c r="P180" s="52"/>
    </row>
    <row r="181" spans="6:18" ht="12.75" customHeight="1" outlineLevel="1">
      <c r="F181" s="365" t="s">
        <v>1967</v>
      </c>
      <c r="G181" s="51"/>
      <c r="H181" s="51"/>
      <c r="I181" s="51"/>
      <c r="J181" s="51"/>
      <c r="L181" s="349"/>
      <c r="M181" s="50"/>
      <c r="N181"/>
      <c r="O181" s="50"/>
      <c r="P181" s="52"/>
    </row>
    <row r="182" spans="6:18" ht="12.75" customHeight="1" outlineLevel="1">
      <c r="F182" s="241" t="s">
        <v>478</v>
      </c>
      <c r="G182" s="241" t="s">
        <v>1968</v>
      </c>
      <c r="H182" s="51"/>
      <c r="I182" s="51"/>
      <c r="J182" s="51"/>
      <c r="L182" s="50"/>
      <c r="M182" s="50"/>
      <c r="N182" s="50"/>
      <c r="O182" s="50"/>
      <c r="P182" s="52"/>
    </row>
    <row r="183" spans="6:18" ht="12.75" customHeight="1" outlineLevel="1">
      <c r="F183" s="363" t="s">
        <v>1959</v>
      </c>
      <c r="G183" s="4"/>
      <c r="H183" s="4"/>
      <c r="I183" s="4"/>
      <c r="J183" s="4"/>
      <c r="K183" s="4"/>
      <c r="L183" s="4"/>
      <c r="M183" s="4"/>
      <c r="N183" s="4"/>
      <c r="O183" s="4"/>
      <c r="P183" s="4"/>
    </row>
    <row r="184" spans="6:18" ht="12.75" customHeight="1" outlineLevel="1">
      <c r="F184" s="363"/>
      <c r="G184" s="4"/>
      <c r="H184" s="4"/>
      <c r="I184" s="4"/>
      <c r="J184" s="4"/>
      <c r="K184" s="4"/>
      <c r="L184" s="4"/>
      <c r="M184" s="4"/>
      <c r="N184" s="4"/>
      <c r="O184" s="4"/>
      <c r="P184" s="4"/>
    </row>
    <row r="185" spans="6:18" ht="12.75" customHeight="1" outlineLevel="1" thickBot="1">
      <c r="F185" s="1698" t="s">
        <v>1955</v>
      </c>
      <c r="G185" s="1698"/>
      <c r="H185" s="1698"/>
      <c r="I185" s="1698"/>
      <c r="J185" s="1698"/>
      <c r="K185" s="1698"/>
      <c r="L185" s="1698"/>
      <c r="M185" s="1698"/>
      <c r="N185" s="1698"/>
      <c r="O185" s="1698"/>
      <c r="P185" s="1698"/>
      <c r="Q185" s="1698"/>
      <c r="R185" s="1698"/>
    </row>
    <row r="186" spans="6:18" ht="12.75" customHeight="1" outlineLevel="1" thickBot="1">
      <c r="F186" s="325" t="s">
        <v>465</v>
      </c>
      <c r="G186" s="1277">
        <v>2017</v>
      </c>
      <c r="H186" s="1289">
        <v>2018</v>
      </c>
      <c r="I186" s="1289">
        <v>2019</v>
      </c>
      <c r="J186" s="1289"/>
      <c r="K186" s="1289">
        <v>2020</v>
      </c>
      <c r="L186" s="1289">
        <v>2121</v>
      </c>
      <c r="M186" s="1289">
        <v>2022</v>
      </c>
      <c r="N186" s="1289">
        <v>2023</v>
      </c>
      <c r="O186" s="1289">
        <v>2024</v>
      </c>
      <c r="P186" s="1289">
        <v>2025</v>
      </c>
      <c r="Q186" s="1289">
        <v>2026</v>
      </c>
      <c r="R186" s="1262">
        <v>2027</v>
      </c>
    </row>
    <row r="187" spans="6:18" ht="12.75" customHeight="1" outlineLevel="1">
      <c r="F187" s="1280">
        <v>1</v>
      </c>
      <c r="G187" s="1288">
        <v>0.72697043901503067</v>
      </c>
      <c r="H187" s="1268">
        <v>0.74000489432152283</v>
      </c>
      <c r="I187" s="1268">
        <v>0.79714240509634238</v>
      </c>
      <c r="J187" s="1268"/>
      <c r="K187" s="1268">
        <v>0.81231479777286031</v>
      </c>
      <c r="L187" s="1268">
        <v>0.81117455506384628</v>
      </c>
      <c r="M187" s="1268">
        <v>0.84066823363696908</v>
      </c>
      <c r="N187" s="1268">
        <v>0.84066823363696908</v>
      </c>
      <c r="O187" s="1268">
        <v>0.84066823363696908</v>
      </c>
      <c r="P187" s="1268">
        <v>0.84066823363696908</v>
      </c>
      <c r="Q187" s="1268">
        <v>0.84066823363696908</v>
      </c>
      <c r="R187" s="1269">
        <v>0.84066823363696908</v>
      </c>
    </row>
    <row r="188" spans="6:18" ht="12.75" customHeight="1" outlineLevel="1">
      <c r="F188" s="1279">
        <v>2</v>
      </c>
      <c r="G188" s="1290">
        <v>0.17120567625671076</v>
      </c>
      <c r="H188" s="1270">
        <v>0.17839230153965296</v>
      </c>
      <c r="I188" s="1270">
        <v>0.13265302187370434</v>
      </c>
      <c r="J188" s="1270"/>
      <c r="K188" s="1270">
        <v>0.12447677392815741</v>
      </c>
      <c r="L188" s="1270">
        <v>0.12571001213359034</v>
      </c>
      <c r="M188" s="1270">
        <v>0.10827002391190998</v>
      </c>
      <c r="N188" s="1270">
        <v>0.10827002391190998</v>
      </c>
      <c r="O188" s="1270">
        <v>0.10827002391190998</v>
      </c>
      <c r="P188" s="1270">
        <v>0.10827002391190998</v>
      </c>
      <c r="Q188" s="1270">
        <v>0.10827002391190998</v>
      </c>
      <c r="R188" s="1271">
        <v>0.10827002391190998</v>
      </c>
    </row>
    <row r="189" spans="6:18" ht="12.75" customHeight="1" outlineLevel="1" thickBot="1">
      <c r="F189" s="1278">
        <v>3</v>
      </c>
      <c r="G189" s="1293">
        <v>0.10182388472825869</v>
      </c>
      <c r="H189" s="1272">
        <v>8.1602804138824148E-2</v>
      </c>
      <c r="I189" s="1272">
        <v>7.0204573029953407E-2</v>
      </c>
      <c r="J189" s="1272"/>
      <c r="K189" s="1272">
        <v>6.3208428298982072E-2</v>
      </c>
      <c r="L189" s="1272">
        <v>6.3115432802563404E-2</v>
      </c>
      <c r="M189" s="1272">
        <v>5.1061742451120919E-2</v>
      </c>
      <c r="N189" s="1272">
        <v>5.1061742451120919E-2</v>
      </c>
      <c r="O189" s="1272">
        <v>5.1061742451120919E-2</v>
      </c>
      <c r="P189" s="1272">
        <v>5.1061742451120919E-2</v>
      </c>
      <c r="Q189" s="1272">
        <v>5.1061742451120919E-2</v>
      </c>
      <c r="R189" s="1273">
        <v>5.1061742451120919E-2</v>
      </c>
    </row>
    <row r="190" spans="6:18" ht="12.75" customHeight="1" outlineLevel="1">
      <c r="F190" s="363"/>
      <c r="G190" s="4"/>
      <c r="H190" s="4"/>
      <c r="I190" s="4"/>
      <c r="J190" s="4"/>
      <c r="K190" s="4"/>
      <c r="L190" s="4"/>
      <c r="M190" s="4"/>
      <c r="N190" s="4"/>
      <c r="O190" s="4"/>
      <c r="P190" s="4"/>
    </row>
    <row r="191" spans="6:18" ht="12.75" customHeight="1" outlineLevel="1">
      <c r="F191" s="4"/>
      <c r="G191" s="4"/>
      <c r="H191" s="4"/>
      <c r="I191" s="4"/>
      <c r="J191" s="4"/>
      <c r="K191" s="4"/>
      <c r="L191" s="4"/>
      <c r="M191" s="4"/>
      <c r="N191" s="4"/>
      <c r="O191" s="4"/>
      <c r="P191" s="4"/>
    </row>
    <row r="192" spans="6:18" ht="12.75" customHeight="1" outlineLevel="1" thickBot="1">
      <c r="F192" s="1697" t="s">
        <v>1956</v>
      </c>
      <c r="G192" s="1697"/>
      <c r="H192" s="1697"/>
      <c r="I192" s="1697"/>
      <c r="J192" s="1697"/>
      <c r="K192" s="1697"/>
      <c r="L192" s="1697"/>
      <c r="M192" s="1697"/>
      <c r="N192" s="1697"/>
      <c r="O192" s="1697"/>
      <c r="P192" s="1697"/>
      <c r="Q192" s="1697"/>
      <c r="R192" s="1697"/>
    </row>
    <row r="193" spans="6:18" ht="12.75" customHeight="1" outlineLevel="1" thickBot="1">
      <c r="F193" s="1291" t="s">
        <v>958</v>
      </c>
      <c r="G193" s="1281">
        <v>2017</v>
      </c>
      <c r="H193" s="1292">
        <v>2018</v>
      </c>
      <c r="I193" s="1292">
        <v>2019</v>
      </c>
      <c r="J193" s="1292"/>
      <c r="K193" s="1292">
        <v>2020</v>
      </c>
      <c r="L193" s="1292">
        <v>2021</v>
      </c>
      <c r="M193" s="1292">
        <v>2022</v>
      </c>
      <c r="N193" s="1292">
        <v>2023</v>
      </c>
      <c r="O193" s="1292">
        <v>2024</v>
      </c>
      <c r="P193" s="1292">
        <v>2025</v>
      </c>
      <c r="Q193" s="1292">
        <v>2026</v>
      </c>
      <c r="R193" s="1287">
        <v>2027</v>
      </c>
    </row>
    <row r="194" spans="6:18" ht="12.75" customHeight="1" outlineLevel="1">
      <c r="F194" s="270" t="s">
        <v>959</v>
      </c>
      <c r="G194" s="1274">
        <v>0.64502913165625464</v>
      </c>
      <c r="H194" s="1263">
        <v>0.66487092968492745</v>
      </c>
      <c r="I194" s="1263">
        <v>0.64598635539465232</v>
      </c>
      <c r="J194" s="1263"/>
      <c r="K194" s="1263">
        <v>0.42854836242854688</v>
      </c>
      <c r="L194" s="1263">
        <v>0.50292907318373081</v>
      </c>
      <c r="M194" s="1263">
        <v>0.48357627578164664</v>
      </c>
      <c r="N194" s="1263">
        <v>0.48357627578164664</v>
      </c>
      <c r="O194" s="1263">
        <v>0.48357627578164664</v>
      </c>
      <c r="P194" s="1263">
        <v>0.48357627578164664</v>
      </c>
      <c r="Q194" s="1263">
        <v>0.48357627578164664</v>
      </c>
      <c r="R194" s="1264">
        <v>0.48357627578164664</v>
      </c>
    </row>
    <row r="195" spans="6:18" ht="12.75" customHeight="1" outlineLevel="1" thickBot="1">
      <c r="F195" s="272" t="s">
        <v>960</v>
      </c>
      <c r="G195" s="1298">
        <v>0.35497086834374536</v>
      </c>
      <c r="H195" s="1266">
        <v>0.33512907031507255</v>
      </c>
      <c r="I195" s="1266">
        <v>0.35401364460534768</v>
      </c>
      <c r="J195" s="1266"/>
      <c r="K195" s="1266">
        <v>0.57145163757145312</v>
      </c>
      <c r="L195" s="1266">
        <v>0.49707092681626919</v>
      </c>
      <c r="M195" s="1266">
        <v>0.51642372421835336</v>
      </c>
      <c r="N195" s="1266">
        <v>0.51642372421835336</v>
      </c>
      <c r="O195" s="1266">
        <v>0.51642372421835336</v>
      </c>
      <c r="P195" s="1266">
        <v>0.51642372421835336</v>
      </c>
      <c r="Q195" s="1266">
        <v>0.51642372421835336</v>
      </c>
      <c r="R195" s="1267">
        <v>0.51642372421835336</v>
      </c>
    </row>
    <row r="196" spans="6:18" ht="12.75" customHeight="1" outlineLevel="1">
      <c r="F196" s="363"/>
    </row>
    <row r="197" spans="6:18" ht="12.75" customHeight="1" outlineLevel="1"/>
  </sheetData>
  <autoFilter ref="A11:T11" xr:uid="{00000000-0001-0000-1100-000000000000}"/>
  <dataConsolidate/>
  <mergeCells count="22">
    <mergeCell ref="F84:S84"/>
    <mergeCell ref="F192:R192"/>
    <mergeCell ref="F185:R185"/>
    <mergeCell ref="G2:K2"/>
    <mergeCell ref="A10:E10"/>
    <mergeCell ref="P10:Q10"/>
    <mergeCell ref="F26:U26"/>
    <mergeCell ref="F105:V105"/>
    <mergeCell ref="R10:T10"/>
    <mergeCell ref="F32:V32"/>
    <mergeCell ref="L10:O10"/>
    <mergeCell ref="F10:K10"/>
    <mergeCell ref="F3:T3"/>
    <mergeCell ref="N12:N23"/>
    <mergeCell ref="Q12:Q23"/>
    <mergeCell ref="F97:R97"/>
    <mergeCell ref="I127:K127"/>
    <mergeCell ref="G117:I117"/>
    <mergeCell ref="G164:I164"/>
    <mergeCell ref="F171:G171"/>
    <mergeCell ref="F145:R145"/>
    <mergeCell ref="F138:R138"/>
  </mergeCells>
  <phoneticPr fontId="119" type="noConversion"/>
  <hyperlinks>
    <hyperlink ref="F1" location="'2024-2025 Summary'!C1" display="Summary Page" xr:uid="{1D549658-2377-4991-BDFE-4B46DE0ABAB1}"/>
  </hyperlinks>
  <pageMargins left="0.7" right="0.7" top="0.75" bottom="0.75" header="0.3" footer="0.3"/>
  <pageSetup scale="29"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375E6-195B-4E6A-87EC-46A10EC02797}">
  <sheetPr>
    <tabColor theme="1"/>
  </sheetPr>
  <dimension ref="A1:H896"/>
  <sheetViews>
    <sheetView workbookViewId="0">
      <selection activeCell="G1" sqref="G1"/>
    </sheetView>
  </sheetViews>
  <sheetFormatPr defaultRowHeight="15"/>
  <cols>
    <col min="1" max="1" width="20.5703125" bestFit="1" customWidth="1"/>
    <col min="2" max="2" width="7.140625" bestFit="1" customWidth="1"/>
    <col min="3" max="6" width="15.28515625" bestFit="1" customWidth="1"/>
    <col min="7" max="7" width="15.42578125" bestFit="1" customWidth="1"/>
    <col min="8" max="8" width="20.42578125" style="674" bestFit="1" customWidth="1"/>
    <col min="9" max="10" width="20.42578125" bestFit="1" customWidth="1"/>
    <col min="11" max="11" width="12" bestFit="1" customWidth="1"/>
    <col min="12" max="15" width="10.85546875" bestFit="1" customWidth="1"/>
  </cols>
  <sheetData>
    <row r="1" spans="1:8">
      <c r="A1" s="13" t="s">
        <v>0</v>
      </c>
      <c r="B1" s="13" t="s">
        <v>2349</v>
      </c>
      <c r="C1" t="s">
        <v>2670</v>
      </c>
      <c r="D1" t="s">
        <v>2671</v>
      </c>
      <c r="E1" t="s">
        <v>2672</v>
      </c>
      <c r="F1" t="s">
        <v>2673</v>
      </c>
      <c r="H1" s="674" t="s">
        <v>2674</v>
      </c>
    </row>
    <row r="2" spans="1:8">
      <c r="A2" t="s">
        <v>879</v>
      </c>
      <c r="B2">
        <v>2024</v>
      </c>
      <c r="C2" s="643">
        <v>0</v>
      </c>
      <c r="D2" s="643">
        <v>0</v>
      </c>
      <c r="E2" s="643">
        <v>1</v>
      </c>
      <c r="F2" s="643">
        <v>0</v>
      </c>
      <c r="H2" s="674" t="str">
        <f>A2&amp;B2</f>
        <v>COM_200202_P1T62024</v>
      </c>
    </row>
    <row r="3" spans="1:8">
      <c r="A3" t="s">
        <v>879</v>
      </c>
      <c r="B3">
        <v>2025</v>
      </c>
      <c r="C3" s="643">
        <v>0</v>
      </c>
      <c r="D3" s="643">
        <v>0</v>
      </c>
      <c r="E3" s="643">
        <v>1</v>
      </c>
      <c r="F3" s="643">
        <v>0</v>
      </c>
      <c r="H3" s="674" t="str">
        <f t="shared" ref="H3:H66" si="0">A3&amp;B3</f>
        <v>COM_200202_P1T62025</v>
      </c>
    </row>
    <row r="4" spans="1:8">
      <c r="A4" t="s">
        <v>879</v>
      </c>
      <c r="B4">
        <v>2026</v>
      </c>
      <c r="C4" s="643">
        <v>0</v>
      </c>
      <c r="D4" s="643">
        <v>0</v>
      </c>
      <c r="E4" s="643">
        <v>1</v>
      </c>
      <c r="F4" s="643">
        <v>0</v>
      </c>
      <c r="H4" s="674" t="str">
        <f t="shared" si="0"/>
        <v>COM_200202_P1T62026</v>
      </c>
    </row>
    <row r="5" spans="1:8">
      <c r="A5" t="s">
        <v>879</v>
      </c>
      <c r="B5">
        <v>2027</v>
      </c>
      <c r="C5" s="643">
        <v>0</v>
      </c>
      <c r="D5" s="643">
        <v>0</v>
      </c>
      <c r="E5" s="643">
        <v>1</v>
      </c>
      <c r="F5" s="643">
        <v>0</v>
      </c>
      <c r="H5" s="674" t="str">
        <f t="shared" si="0"/>
        <v>COM_200202_P1T62027</v>
      </c>
    </row>
    <row r="6" spans="1:8">
      <c r="A6" t="s">
        <v>693</v>
      </c>
      <c r="B6">
        <v>2024</v>
      </c>
      <c r="C6" s="643">
        <v>0</v>
      </c>
      <c r="D6" s="643">
        <v>0</v>
      </c>
      <c r="E6" s="643">
        <v>1</v>
      </c>
      <c r="F6" s="643">
        <v>0</v>
      </c>
      <c r="H6" s="674" t="str">
        <f t="shared" si="0"/>
        <v>COM_200202_P1T72024</v>
      </c>
    </row>
    <row r="7" spans="1:8">
      <c r="A7" t="s">
        <v>693</v>
      </c>
      <c r="B7">
        <v>2025</v>
      </c>
      <c r="C7" s="643">
        <v>0</v>
      </c>
      <c r="D7" s="643">
        <v>0</v>
      </c>
      <c r="E7" s="643">
        <v>1</v>
      </c>
      <c r="F7" s="643">
        <v>0</v>
      </c>
      <c r="H7" s="674" t="str">
        <f t="shared" si="0"/>
        <v>COM_200202_P1T72025</v>
      </c>
    </row>
    <row r="8" spans="1:8">
      <c r="A8" t="s">
        <v>693</v>
      </c>
      <c r="B8">
        <v>2026</v>
      </c>
      <c r="C8" s="643">
        <v>0</v>
      </c>
      <c r="D8" s="643">
        <v>0</v>
      </c>
      <c r="E8" s="643">
        <v>1</v>
      </c>
      <c r="F8" s="643">
        <v>0</v>
      </c>
      <c r="H8" s="674" t="str">
        <f t="shared" si="0"/>
        <v>COM_200202_P1T72026</v>
      </c>
    </row>
    <row r="9" spans="1:8">
      <c r="A9" t="s">
        <v>693</v>
      </c>
      <c r="B9">
        <v>2027</v>
      </c>
      <c r="C9" s="643">
        <v>0</v>
      </c>
      <c r="D9" s="643">
        <v>0</v>
      </c>
      <c r="E9" s="643">
        <v>1</v>
      </c>
      <c r="F9" s="643">
        <v>0</v>
      </c>
      <c r="H9" s="674" t="str">
        <f t="shared" si="0"/>
        <v>COM_200202_P1T72027</v>
      </c>
    </row>
    <row r="10" spans="1:8">
      <c r="A10" t="s">
        <v>19</v>
      </c>
      <c r="B10">
        <v>2024</v>
      </c>
      <c r="C10" s="643">
        <v>0</v>
      </c>
      <c r="D10" s="643">
        <v>0</v>
      </c>
      <c r="E10" s="643">
        <v>1</v>
      </c>
      <c r="F10" s="643">
        <v>0</v>
      </c>
      <c r="H10" s="674" t="str">
        <f t="shared" si="0"/>
        <v>COM_200202_P2T42024</v>
      </c>
    </row>
    <row r="11" spans="1:8">
      <c r="A11" t="s">
        <v>19</v>
      </c>
      <c r="B11">
        <v>2025</v>
      </c>
      <c r="C11" s="643">
        <v>0</v>
      </c>
      <c r="D11" s="643">
        <v>0</v>
      </c>
      <c r="E11" s="643">
        <v>1</v>
      </c>
      <c r="F11" s="643">
        <v>0</v>
      </c>
      <c r="H11" s="674" t="str">
        <f t="shared" si="0"/>
        <v>COM_200202_P2T42025</v>
      </c>
    </row>
    <row r="12" spans="1:8">
      <c r="A12" t="s">
        <v>19</v>
      </c>
      <c r="B12">
        <v>2026</v>
      </c>
      <c r="C12" s="643">
        <v>0</v>
      </c>
      <c r="D12" s="643">
        <v>0</v>
      </c>
      <c r="E12" s="643">
        <v>1</v>
      </c>
      <c r="F12" s="643">
        <v>0</v>
      </c>
      <c r="H12" s="674" t="str">
        <f t="shared" si="0"/>
        <v>COM_200202_P2T42026</v>
      </c>
    </row>
    <row r="13" spans="1:8">
      <c r="A13" t="s">
        <v>19</v>
      </c>
      <c r="B13">
        <v>2027</v>
      </c>
      <c r="C13" s="643">
        <v>0</v>
      </c>
      <c r="D13" s="643">
        <v>0</v>
      </c>
      <c r="E13" s="643">
        <v>1</v>
      </c>
      <c r="F13" s="643">
        <v>0</v>
      </c>
      <c r="H13" s="674" t="str">
        <f t="shared" si="0"/>
        <v>COM_200202_P2T42027</v>
      </c>
    </row>
    <row r="14" spans="1:8">
      <c r="A14" t="s">
        <v>885</v>
      </c>
      <c r="B14">
        <v>2024</v>
      </c>
      <c r="C14" s="643">
        <v>0</v>
      </c>
      <c r="D14" s="643">
        <v>0</v>
      </c>
      <c r="E14" s="643">
        <v>1</v>
      </c>
      <c r="F14" s="643">
        <v>0</v>
      </c>
      <c r="H14" s="674" t="str">
        <f t="shared" si="0"/>
        <v>COM_200202_P2T52024</v>
      </c>
    </row>
    <row r="15" spans="1:8">
      <c r="A15" t="s">
        <v>885</v>
      </c>
      <c r="B15">
        <v>2025</v>
      </c>
      <c r="C15" s="643">
        <v>0</v>
      </c>
      <c r="D15" s="643">
        <v>0</v>
      </c>
      <c r="E15" s="643">
        <v>1</v>
      </c>
      <c r="F15" s="643">
        <v>0</v>
      </c>
      <c r="H15" s="674" t="str">
        <f t="shared" si="0"/>
        <v>COM_200202_P2T52025</v>
      </c>
    </row>
    <row r="16" spans="1:8">
      <c r="A16" t="s">
        <v>885</v>
      </c>
      <c r="B16">
        <v>2026</v>
      </c>
      <c r="C16" s="643">
        <v>0</v>
      </c>
      <c r="D16" s="643">
        <v>0</v>
      </c>
      <c r="E16" s="643">
        <v>1</v>
      </c>
      <c r="F16" s="643">
        <v>0</v>
      </c>
      <c r="H16" s="674" t="str">
        <f t="shared" si="0"/>
        <v>COM_200202_P2T52026</v>
      </c>
    </row>
    <row r="17" spans="1:8">
      <c r="A17" t="s">
        <v>885</v>
      </c>
      <c r="B17">
        <v>2027</v>
      </c>
      <c r="C17" s="643">
        <v>0</v>
      </c>
      <c r="D17" s="643">
        <v>0</v>
      </c>
      <c r="E17" s="643">
        <v>1</v>
      </c>
      <c r="F17" s="643">
        <v>0</v>
      </c>
      <c r="H17" s="674" t="str">
        <f t="shared" si="0"/>
        <v>COM_200202_P2T52027</v>
      </c>
    </row>
    <row r="18" spans="1:8">
      <c r="A18" t="s">
        <v>890</v>
      </c>
      <c r="B18">
        <v>2024</v>
      </c>
      <c r="C18" s="643">
        <v>0</v>
      </c>
      <c r="D18" s="643">
        <v>0</v>
      </c>
      <c r="E18" s="643">
        <v>1</v>
      </c>
      <c r="F18" s="643">
        <v>0</v>
      </c>
      <c r="H18" s="674" t="str">
        <f t="shared" si="0"/>
        <v>COM_200202_P3T62024</v>
      </c>
    </row>
    <row r="19" spans="1:8">
      <c r="A19" t="s">
        <v>890</v>
      </c>
      <c r="B19">
        <v>2025</v>
      </c>
      <c r="C19" s="643">
        <v>0</v>
      </c>
      <c r="D19" s="643">
        <v>0</v>
      </c>
      <c r="E19" s="643">
        <v>1</v>
      </c>
      <c r="F19" s="643">
        <v>0</v>
      </c>
      <c r="H19" s="674" t="str">
        <f t="shared" si="0"/>
        <v>COM_200202_P3T62025</v>
      </c>
    </row>
    <row r="20" spans="1:8">
      <c r="A20" t="s">
        <v>890</v>
      </c>
      <c r="B20">
        <v>2026</v>
      </c>
      <c r="C20" s="643">
        <v>0</v>
      </c>
      <c r="D20" s="643">
        <v>0</v>
      </c>
      <c r="E20" s="643">
        <v>1</v>
      </c>
      <c r="F20" s="643">
        <v>0</v>
      </c>
      <c r="H20" s="674" t="str">
        <f t="shared" si="0"/>
        <v>COM_200202_P3T62026</v>
      </c>
    </row>
    <row r="21" spans="1:8">
      <c r="A21" t="s">
        <v>890</v>
      </c>
      <c r="B21">
        <v>2027</v>
      </c>
      <c r="C21" s="643">
        <v>0</v>
      </c>
      <c r="D21" s="643">
        <v>0</v>
      </c>
      <c r="E21" s="643">
        <v>1</v>
      </c>
      <c r="F21" s="643">
        <v>0</v>
      </c>
      <c r="H21" s="674" t="str">
        <f t="shared" si="0"/>
        <v>COM_200202_P3T62027</v>
      </c>
    </row>
    <row r="22" spans="1:8">
      <c r="A22" t="s">
        <v>891</v>
      </c>
      <c r="B22">
        <v>2024</v>
      </c>
      <c r="C22" s="643">
        <v>0</v>
      </c>
      <c r="D22" s="643">
        <v>0</v>
      </c>
      <c r="E22" s="643">
        <v>1</v>
      </c>
      <c r="F22" s="643">
        <v>0</v>
      </c>
      <c r="H22" s="674" t="str">
        <f t="shared" si="0"/>
        <v>COM_200202_P3T72024</v>
      </c>
    </row>
    <row r="23" spans="1:8">
      <c r="A23" t="s">
        <v>891</v>
      </c>
      <c r="B23">
        <v>2025</v>
      </c>
      <c r="C23" s="643">
        <v>0</v>
      </c>
      <c r="D23" s="643">
        <v>0</v>
      </c>
      <c r="E23" s="643">
        <v>1</v>
      </c>
      <c r="F23" s="643">
        <v>0</v>
      </c>
      <c r="H23" s="674" t="str">
        <f t="shared" si="0"/>
        <v>COM_200202_P3T72025</v>
      </c>
    </row>
    <row r="24" spans="1:8">
      <c r="A24" t="s">
        <v>891</v>
      </c>
      <c r="B24">
        <v>2026</v>
      </c>
      <c r="C24" s="643">
        <v>0</v>
      </c>
      <c r="D24" s="643">
        <v>0</v>
      </c>
      <c r="E24" s="643">
        <v>1</v>
      </c>
      <c r="F24" s="643">
        <v>0</v>
      </c>
      <c r="H24" s="674" t="str">
        <f t="shared" si="0"/>
        <v>COM_200202_P3T72026</v>
      </c>
    </row>
    <row r="25" spans="1:8">
      <c r="A25" t="s">
        <v>891</v>
      </c>
      <c r="B25">
        <v>2027</v>
      </c>
      <c r="C25" s="643">
        <v>0</v>
      </c>
      <c r="D25" s="643">
        <v>0</v>
      </c>
      <c r="E25" s="643">
        <v>1</v>
      </c>
      <c r="F25" s="643">
        <v>0</v>
      </c>
      <c r="H25" s="674" t="str">
        <f t="shared" si="0"/>
        <v>COM_200202_P3T72027</v>
      </c>
    </row>
    <row r="26" spans="1:8">
      <c r="A26" t="s">
        <v>703</v>
      </c>
      <c r="B26">
        <v>2024</v>
      </c>
      <c r="C26" s="643">
        <v>0</v>
      </c>
      <c r="D26" s="643">
        <v>0</v>
      </c>
      <c r="E26" s="643">
        <v>1</v>
      </c>
      <c r="F26" s="643">
        <v>0</v>
      </c>
      <c r="H26" s="674" t="str">
        <f t="shared" si="0"/>
        <v>COM_200202_P4T82024</v>
      </c>
    </row>
    <row r="27" spans="1:8">
      <c r="A27" t="s">
        <v>703</v>
      </c>
      <c r="B27">
        <v>2025</v>
      </c>
      <c r="C27" s="643">
        <v>0</v>
      </c>
      <c r="D27" s="643">
        <v>0</v>
      </c>
      <c r="E27" s="643">
        <v>1</v>
      </c>
      <c r="F27" s="643">
        <v>0</v>
      </c>
      <c r="H27" s="674" t="str">
        <f t="shared" si="0"/>
        <v>COM_200202_P4T82025</v>
      </c>
    </row>
    <row r="28" spans="1:8">
      <c r="A28" t="s">
        <v>703</v>
      </c>
      <c r="B28">
        <v>2026</v>
      </c>
      <c r="C28" s="643">
        <v>0</v>
      </c>
      <c r="D28" s="643">
        <v>0</v>
      </c>
      <c r="E28" s="643">
        <v>1</v>
      </c>
      <c r="F28" s="643">
        <v>0</v>
      </c>
      <c r="H28" s="674" t="str">
        <f t="shared" si="0"/>
        <v>COM_200202_P4T82026</v>
      </c>
    </row>
    <row r="29" spans="1:8">
      <c r="A29" t="s">
        <v>703</v>
      </c>
      <c r="B29">
        <v>2027</v>
      </c>
      <c r="C29" s="643">
        <v>0</v>
      </c>
      <c r="D29" s="643">
        <v>0</v>
      </c>
      <c r="E29" s="643">
        <v>1</v>
      </c>
      <c r="F29" s="643">
        <v>0</v>
      </c>
      <c r="H29" s="674" t="str">
        <f t="shared" si="0"/>
        <v>COM_200202_P4T82027</v>
      </c>
    </row>
    <row r="30" spans="1:8">
      <c r="A30" t="s">
        <v>704</v>
      </c>
      <c r="B30">
        <v>2026</v>
      </c>
      <c r="C30" s="643">
        <v>0</v>
      </c>
      <c r="D30" s="643">
        <v>0</v>
      </c>
      <c r="E30" s="643">
        <v>0</v>
      </c>
      <c r="F30" s="643">
        <v>1</v>
      </c>
      <c r="H30" s="674" t="str">
        <f t="shared" si="0"/>
        <v>COM_200202_P4T92026</v>
      </c>
    </row>
    <row r="31" spans="1:8">
      <c r="A31" t="s">
        <v>704</v>
      </c>
      <c r="B31">
        <v>2027</v>
      </c>
      <c r="C31" s="643">
        <v>0</v>
      </c>
      <c r="D31" s="643">
        <v>0</v>
      </c>
      <c r="E31" s="643">
        <v>0</v>
      </c>
      <c r="F31" s="643">
        <v>1</v>
      </c>
      <c r="H31" s="674" t="str">
        <f t="shared" si="0"/>
        <v>COM_200202_P4T92027</v>
      </c>
    </row>
    <row r="32" spans="1:8">
      <c r="A32" t="s">
        <v>1586</v>
      </c>
      <c r="B32">
        <v>2025</v>
      </c>
      <c r="C32" s="643">
        <v>0</v>
      </c>
      <c r="D32" s="643">
        <v>0</v>
      </c>
      <c r="E32" s="643">
        <v>1</v>
      </c>
      <c r="F32" s="643">
        <v>0</v>
      </c>
      <c r="H32" s="674" t="str">
        <f t="shared" si="0"/>
        <v>COM_201304_P16T12025</v>
      </c>
    </row>
    <row r="33" spans="1:8">
      <c r="A33" t="s">
        <v>1586</v>
      </c>
      <c r="B33">
        <v>2026</v>
      </c>
      <c r="C33" s="643">
        <v>0</v>
      </c>
      <c r="D33" s="643">
        <v>0</v>
      </c>
      <c r="E33" s="643">
        <v>1</v>
      </c>
      <c r="F33" s="643">
        <v>0</v>
      </c>
      <c r="H33" s="674" t="str">
        <f t="shared" si="0"/>
        <v>COM_201304_P16T12026</v>
      </c>
    </row>
    <row r="34" spans="1:8">
      <c r="A34" t="s">
        <v>1586</v>
      </c>
      <c r="B34">
        <v>2027</v>
      </c>
      <c r="C34" s="643">
        <v>0</v>
      </c>
      <c r="D34" s="643">
        <v>0</v>
      </c>
      <c r="E34" s="643">
        <v>1</v>
      </c>
      <c r="F34" s="643">
        <v>0</v>
      </c>
      <c r="H34" s="674" t="str">
        <f t="shared" si="0"/>
        <v>COM_201304_P16T12027</v>
      </c>
    </row>
    <row r="35" spans="1:8">
      <c r="A35" t="s">
        <v>1587</v>
      </c>
      <c r="B35">
        <v>2024</v>
      </c>
      <c r="C35" s="643">
        <v>0</v>
      </c>
      <c r="D35" s="643">
        <v>0</v>
      </c>
      <c r="E35" s="643">
        <v>1</v>
      </c>
      <c r="F35" s="643">
        <v>0</v>
      </c>
      <c r="H35" s="674" t="str">
        <f t="shared" si="0"/>
        <v>COM_201304_P17T12024</v>
      </c>
    </row>
    <row r="36" spans="1:8">
      <c r="A36" t="s">
        <v>1587</v>
      </c>
      <c r="B36">
        <v>2025</v>
      </c>
      <c r="C36" s="643">
        <v>0</v>
      </c>
      <c r="D36" s="643">
        <v>0</v>
      </c>
      <c r="E36" s="643">
        <v>1</v>
      </c>
      <c r="F36" s="643">
        <v>0</v>
      </c>
      <c r="H36" s="674" t="str">
        <f t="shared" si="0"/>
        <v>COM_201304_P17T12025</v>
      </c>
    </row>
    <row r="37" spans="1:8">
      <c r="A37" t="s">
        <v>1587</v>
      </c>
      <c r="B37">
        <v>2026</v>
      </c>
      <c r="C37" s="643">
        <v>0</v>
      </c>
      <c r="D37" s="643">
        <v>0</v>
      </c>
      <c r="E37" s="643">
        <v>1</v>
      </c>
      <c r="F37" s="643">
        <v>0</v>
      </c>
      <c r="H37" s="674" t="str">
        <f t="shared" si="0"/>
        <v>COM_201304_P17T12026</v>
      </c>
    </row>
    <row r="38" spans="1:8">
      <c r="A38" t="s">
        <v>1587</v>
      </c>
      <c r="B38">
        <v>2027</v>
      </c>
      <c r="C38" s="643">
        <v>0</v>
      </c>
      <c r="D38" s="643">
        <v>0</v>
      </c>
      <c r="E38" s="643">
        <v>1</v>
      </c>
      <c r="F38" s="643">
        <v>0</v>
      </c>
      <c r="H38" s="674" t="str">
        <f t="shared" si="0"/>
        <v>COM_201304_P17T12027</v>
      </c>
    </row>
    <row r="39" spans="1:8">
      <c r="A39" t="s">
        <v>2106</v>
      </c>
      <c r="B39">
        <v>2024</v>
      </c>
      <c r="C39" s="643">
        <v>0</v>
      </c>
      <c r="D39" s="643">
        <v>0</v>
      </c>
      <c r="E39" s="643">
        <v>1</v>
      </c>
      <c r="F39" s="643">
        <v>0</v>
      </c>
      <c r="H39" s="674" t="str">
        <f t="shared" si="0"/>
        <v>COM_201304_P20T12024</v>
      </c>
    </row>
    <row r="40" spans="1:8">
      <c r="A40" t="s">
        <v>2106</v>
      </c>
      <c r="B40">
        <v>2025</v>
      </c>
      <c r="C40" s="643">
        <v>0</v>
      </c>
      <c r="D40" s="643">
        <v>0</v>
      </c>
      <c r="E40" s="643">
        <v>1</v>
      </c>
      <c r="F40" s="643">
        <v>0</v>
      </c>
      <c r="H40" s="674" t="str">
        <f t="shared" si="0"/>
        <v>COM_201304_P20T12025</v>
      </c>
    </row>
    <row r="41" spans="1:8">
      <c r="A41" t="s">
        <v>2106</v>
      </c>
      <c r="B41">
        <v>2026</v>
      </c>
      <c r="C41" s="643">
        <v>0</v>
      </c>
      <c r="D41" s="643">
        <v>0</v>
      </c>
      <c r="E41" s="643">
        <v>1</v>
      </c>
      <c r="F41" s="643">
        <v>0</v>
      </c>
      <c r="H41" s="674" t="str">
        <f t="shared" si="0"/>
        <v>COM_201304_P20T12026</v>
      </c>
    </row>
    <row r="42" spans="1:8">
      <c r="A42" t="s">
        <v>2106</v>
      </c>
      <c r="B42">
        <v>2027</v>
      </c>
      <c r="C42" s="643">
        <v>0</v>
      </c>
      <c r="D42" s="643">
        <v>0</v>
      </c>
      <c r="E42" s="643">
        <v>1</v>
      </c>
      <c r="F42" s="643">
        <v>0</v>
      </c>
      <c r="H42" s="674" t="str">
        <f t="shared" si="0"/>
        <v>COM_201304_P20T12027</v>
      </c>
    </row>
    <row r="43" spans="1:8">
      <c r="A43" t="s">
        <v>2110</v>
      </c>
      <c r="B43">
        <v>2024</v>
      </c>
      <c r="C43" s="643">
        <v>0</v>
      </c>
      <c r="D43" s="643">
        <v>0</v>
      </c>
      <c r="E43" s="643">
        <v>1</v>
      </c>
      <c r="F43" s="643">
        <v>0</v>
      </c>
      <c r="H43" s="674" t="str">
        <f t="shared" si="0"/>
        <v>COM_201304_P22T12024</v>
      </c>
    </row>
    <row r="44" spans="1:8">
      <c r="A44" t="s">
        <v>2110</v>
      </c>
      <c r="B44">
        <v>2025</v>
      </c>
      <c r="C44" s="643">
        <v>0</v>
      </c>
      <c r="D44" s="643">
        <v>0</v>
      </c>
      <c r="E44" s="643">
        <v>1</v>
      </c>
      <c r="F44" s="643">
        <v>0</v>
      </c>
      <c r="H44" s="674" t="str">
        <f t="shared" si="0"/>
        <v>COM_201304_P22T12025</v>
      </c>
    </row>
    <row r="45" spans="1:8">
      <c r="A45" t="s">
        <v>2110</v>
      </c>
      <c r="B45">
        <v>2026</v>
      </c>
      <c r="C45" s="643">
        <v>0</v>
      </c>
      <c r="D45" s="643">
        <v>0</v>
      </c>
      <c r="E45" s="643">
        <v>1</v>
      </c>
      <c r="F45" s="643">
        <v>0</v>
      </c>
      <c r="H45" s="674" t="str">
        <f t="shared" si="0"/>
        <v>COM_201304_P22T12026</v>
      </c>
    </row>
    <row r="46" spans="1:8">
      <c r="A46" t="s">
        <v>2110</v>
      </c>
      <c r="B46">
        <v>2027</v>
      </c>
      <c r="C46" s="643">
        <v>0</v>
      </c>
      <c r="D46" s="643">
        <v>0</v>
      </c>
      <c r="E46" s="643">
        <v>1</v>
      </c>
      <c r="F46" s="643">
        <v>0</v>
      </c>
      <c r="H46" s="674" t="str">
        <f t="shared" si="0"/>
        <v>COM_201304_P22T12027</v>
      </c>
    </row>
    <row r="47" spans="1:8">
      <c r="A47" t="s">
        <v>2315</v>
      </c>
      <c r="B47">
        <v>2024</v>
      </c>
      <c r="C47" s="643">
        <v>0</v>
      </c>
      <c r="D47" s="643">
        <v>0</v>
      </c>
      <c r="E47" s="643">
        <v>1</v>
      </c>
      <c r="F47" s="643">
        <v>0</v>
      </c>
      <c r="H47" s="674" t="str">
        <f t="shared" si="0"/>
        <v>COM_201304_P24T12024</v>
      </c>
    </row>
    <row r="48" spans="1:8">
      <c r="A48" t="s">
        <v>2315</v>
      </c>
      <c r="B48">
        <v>2025</v>
      </c>
      <c r="C48" s="643">
        <v>0</v>
      </c>
      <c r="D48" s="643">
        <v>0</v>
      </c>
      <c r="E48" s="643">
        <v>1</v>
      </c>
      <c r="F48" s="643">
        <v>0</v>
      </c>
      <c r="H48" s="674" t="str">
        <f t="shared" si="0"/>
        <v>COM_201304_P24T12025</v>
      </c>
    </row>
    <row r="49" spans="1:8">
      <c r="A49" t="s">
        <v>2315</v>
      </c>
      <c r="B49">
        <v>2026</v>
      </c>
      <c r="C49" s="643">
        <v>0</v>
      </c>
      <c r="D49" s="643">
        <v>0</v>
      </c>
      <c r="E49" s="643">
        <v>1</v>
      </c>
      <c r="F49" s="643">
        <v>0</v>
      </c>
      <c r="H49" s="674" t="str">
        <f t="shared" si="0"/>
        <v>COM_201304_P24T12026</v>
      </c>
    </row>
    <row r="50" spans="1:8">
      <c r="A50" t="s">
        <v>2315</v>
      </c>
      <c r="B50">
        <v>2027</v>
      </c>
      <c r="C50" s="643">
        <v>0</v>
      </c>
      <c r="D50" s="643">
        <v>0</v>
      </c>
      <c r="E50" s="643">
        <v>1</v>
      </c>
      <c r="F50" s="643">
        <v>0</v>
      </c>
      <c r="H50" s="674" t="str">
        <f t="shared" si="0"/>
        <v>COM_201304_P24T12027</v>
      </c>
    </row>
    <row r="51" spans="1:8">
      <c r="A51" t="s">
        <v>2322</v>
      </c>
      <c r="B51">
        <v>2024</v>
      </c>
      <c r="C51" s="643">
        <v>0</v>
      </c>
      <c r="D51" s="643">
        <v>0</v>
      </c>
      <c r="E51" s="643">
        <v>1</v>
      </c>
      <c r="F51" s="643">
        <v>0</v>
      </c>
      <c r="H51" s="674" t="str">
        <f t="shared" si="0"/>
        <v>COM_201304_P26T12024</v>
      </c>
    </row>
    <row r="52" spans="1:8">
      <c r="A52" t="s">
        <v>2322</v>
      </c>
      <c r="B52">
        <v>2025</v>
      </c>
      <c r="C52" s="643">
        <v>0</v>
      </c>
      <c r="D52" s="643">
        <v>0</v>
      </c>
      <c r="E52" s="643">
        <v>1</v>
      </c>
      <c r="F52" s="643">
        <v>0</v>
      </c>
      <c r="H52" s="674" t="str">
        <f t="shared" si="0"/>
        <v>COM_201304_P26T12025</v>
      </c>
    </row>
    <row r="53" spans="1:8">
      <c r="A53" t="s">
        <v>2322</v>
      </c>
      <c r="B53">
        <v>2026</v>
      </c>
      <c r="C53" s="643">
        <v>0</v>
      </c>
      <c r="D53" s="643">
        <v>0</v>
      </c>
      <c r="E53" s="643">
        <v>1</v>
      </c>
      <c r="F53" s="643">
        <v>0</v>
      </c>
      <c r="H53" s="674" t="str">
        <f t="shared" si="0"/>
        <v>COM_201304_P26T12026</v>
      </c>
    </row>
    <row r="54" spans="1:8">
      <c r="A54" t="s">
        <v>2322</v>
      </c>
      <c r="B54">
        <v>2027</v>
      </c>
      <c r="C54" s="643">
        <v>0</v>
      </c>
      <c r="D54" s="643">
        <v>0</v>
      </c>
      <c r="E54" s="643">
        <v>1</v>
      </c>
      <c r="F54" s="643">
        <v>0</v>
      </c>
      <c r="H54" s="674" t="str">
        <f t="shared" si="0"/>
        <v>COM_201304_P26T12027</v>
      </c>
    </row>
    <row r="55" spans="1:8">
      <c r="A55" t="s">
        <v>26</v>
      </c>
      <c r="B55">
        <v>2024</v>
      </c>
      <c r="C55" s="643">
        <v>0</v>
      </c>
      <c r="D55" s="643">
        <v>0</v>
      </c>
      <c r="E55" s="643">
        <v>1</v>
      </c>
      <c r="F55" s="643">
        <v>0</v>
      </c>
      <c r="H55" s="674" t="str">
        <f t="shared" si="0"/>
        <v>COM_201401_P1T12024</v>
      </c>
    </row>
    <row r="56" spans="1:8">
      <c r="A56" t="s">
        <v>26</v>
      </c>
      <c r="B56">
        <v>2025</v>
      </c>
      <c r="C56" s="643">
        <v>0</v>
      </c>
      <c r="D56" s="643">
        <v>0</v>
      </c>
      <c r="E56" s="643">
        <v>1</v>
      </c>
      <c r="F56" s="643">
        <v>0</v>
      </c>
      <c r="H56" s="674" t="str">
        <f t="shared" si="0"/>
        <v>COM_201401_P1T12025</v>
      </c>
    </row>
    <row r="57" spans="1:8">
      <c r="A57" t="s">
        <v>26</v>
      </c>
      <c r="B57">
        <v>2026</v>
      </c>
      <c r="C57" s="643">
        <v>0</v>
      </c>
      <c r="D57" s="643">
        <v>0</v>
      </c>
      <c r="E57" s="643">
        <v>1</v>
      </c>
      <c r="F57" s="643">
        <v>0</v>
      </c>
      <c r="H57" s="674" t="str">
        <f t="shared" si="0"/>
        <v>COM_201401_P1T12026</v>
      </c>
    </row>
    <row r="58" spans="1:8">
      <c r="A58" t="s">
        <v>26</v>
      </c>
      <c r="B58">
        <v>2027</v>
      </c>
      <c r="C58" s="643">
        <v>0</v>
      </c>
      <c r="D58" s="643">
        <v>0</v>
      </c>
      <c r="E58" s="643">
        <v>1</v>
      </c>
      <c r="F58" s="643">
        <v>0</v>
      </c>
      <c r="H58" s="674" t="str">
        <f t="shared" si="0"/>
        <v>COM_201401_P1T12027</v>
      </c>
    </row>
    <row r="59" spans="1:8">
      <c r="A59" t="s">
        <v>362</v>
      </c>
      <c r="B59">
        <v>2024</v>
      </c>
      <c r="C59" s="643">
        <v>1</v>
      </c>
      <c r="D59" s="643">
        <v>0</v>
      </c>
      <c r="E59" s="643">
        <v>0</v>
      </c>
      <c r="F59" s="643">
        <v>0</v>
      </c>
      <c r="H59" s="674" t="str">
        <f t="shared" si="0"/>
        <v>COM_201405_P1T12024</v>
      </c>
    </row>
    <row r="60" spans="1:8">
      <c r="A60" t="s">
        <v>341</v>
      </c>
      <c r="B60">
        <v>2024</v>
      </c>
      <c r="C60" s="643">
        <v>1</v>
      </c>
      <c r="D60" s="643">
        <v>0</v>
      </c>
      <c r="E60" s="643">
        <v>0</v>
      </c>
      <c r="F60" s="643">
        <v>0</v>
      </c>
      <c r="H60" s="674" t="str">
        <f t="shared" si="0"/>
        <v>COM_201405_P2T12024</v>
      </c>
    </row>
    <row r="61" spans="1:8">
      <c r="A61" t="s">
        <v>2351</v>
      </c>
      <c r="B61">
        <v>2024</v>
      </c>
      <c r="C61" s="643">
        <v>0</v>
      </c>
      <c r="D61" s="643">
        <v>0</v>
      </c>
      <c r="E61" s="643">
        <v>1</v>
      </c>
      <c r="F61" s="643">
        <v>0</v>
      </c>
      <c r="H61" s="674" t="str">
        <f t="shared" si="0"/>
        <v>COM_202201_P1T12024</v>
      </c>
    </row>
    <row r="62" spans="1:8">
      <c r="A62" t="s">
        <v>2351</v>
      </c>
      <c r="B62">
        <v>2025</v>
      </c>
      <c r="C62" s="643">
        <v>0</v>
      </c>
      <c r="D62" s="643">
        <v>0</v>
      </c>
      <c r="E62" s="643">
        <v>1</v>
      </c>
      <c r="F62" s="643">
        <v>0</v>
      </c>
      <c r="H62" s="674" t="str">
        <f t="shared" si="0"/>
        <v>COM_202201_P1T12025</v>
      </c>
    </row>
    <row r="63" spans="1:8">
      <c r="A63" t="s">
        <v>2351</v>
      </c>
      <c r="B63">
        <v>2026</v>
      </c>
      <c r="C63" s="643">
        <v>0</v>
      </c>
      <c r="D63" s="643">
        <v>0</v>
      </c>
      <c r="E63" s="643">
        <v>1</v>
      </c>
      <c r="F63" s="643">
        <v>0</v>
      </c>
      <c r="H63" s="674" t="str">
        <f t="shared" si="0"/>
        <v>COM_202201_P1T12026</v>
      </c>
    </row>
    <row r="64" spans="1:8">
      <c r="A64" t="s">
        <v>2351</v>
      </c>
      <c r="B64">
        <v>2027</v>
      </c>
      <c r="C64" s="643">
        <v>0</v>
      </c>
      <c r="D64" s="643">
        <v>0</v>
      </c>
      <c r="E64" s="643">
        <v>1</v>
      </c>
      <c r="F64" s="643">
        <v>0</v>
      </c>
      <c r="H64" s="674" t="str">
        <f t="shared" si="0"/>
        <v>COM_202201_P1T12027</v>
      </c>
    </row>
    <row r="65" spans="1:8">
      <c r="A65" t="s">
        <v>2438</v>
      </c>
      <c r="B65">
        <v>2024</v>
      </c>
      <c r="C65" s="643">
        <v>0</v>
      </c>
      <c r="D65" s="643">
        <v>0</v>
      </c>
      <c r="E65" s="643">
        <v>1</v>
      </c>
      <c r="F65" s="643">
        <v>0</v>
      </c>
      <c r="H65" s="674" t="str">
        <f t="shared" si="0"/>
        <v>COM_202201_P3T12024</v>
      </c>
    </row>
    <row r="66" spans="1:8">
      <c r="A66" t="s">
        <v>2438</v>
      </c>
      <c r="B66">
        <v>2025</v>
      </c>
      <c r="C66" s="643">
        <v>0</v>
      </c>
      <c r="D66" s="643">
        <v>0</v>
      </c>
      <c r="E66" s="643">
        <v>1</v>
      </c>
      <c r="F66" s="643">
        <v>0</v>
      </c>
      <c r="H66" s="674" t="str">
        <f t="shared" si="0"/>
        <v>COM_202201_P3T12025</v>
      </c>
    </row>
    <row r="67" spans="1:8">
      <c r="A67" t="s">
        <v>2438</v>
      </c>
      <c r="B67">
        <v>2026</v>
      </c>
      <c r="C67" s="643">
        <v>0</v>
      </c>
      <c r="D67" s="643">
        <v>0</v>
      </c>
      <c r="E67" s="643">
        <v>1</v>
      </c>
      <c r="F67" s="643">
        <v>0</v>
      </c>
      <c r="H67" s="674" t="str">
        <f t="shared" ref="H67:H130" si="1">A67&amp;B67</f>
        <v>COM_202201_P3T12026</v>
      </c>
    </row>
    <row r="68" spans="1:8">
      <c r="A68" t="s">
        <v>2438</v>
      </c>
      <c r="B68">
        <v>2027</v>
      </c>
      <c r="C68" s="643">
        <v>0</v>
      </c>
      <c r="D68" s="643">
        <v>0</v>
      </c>
      <c r="E68" s="643">
        <v>1</v>
      </c>
      <c r="F68" s="643">
        <v>0</v>
      </c>
      <c r="H68" s="674" t="str">
        <f t="shared" si="1"/>
        <v>COM_202201_P3T12027</v>
      </c>
    </row>
    <row r="69" spans="1:8">
      <c r="A69" t="s">
        <v>2444</v>
      </c>
      <c r="B69">
        <v>2024</v>
      </c>
      <c r="C69" s="643">
        <v>0</v>
      </c>
      <c r="D69" s="643">
        <v>0</v>
      </c>
      <c r="E69" s="643">
        <v>1</v>
      </c>
      <c r="F69" s="643">
        <v>0</v>
      </c>
      <c r="H69" s="674" t="str">
        <f t="shared" si="1"/>
        <v>COM_202201_P4T12024</v>
      </c>
    </row>
    <row r="70" spans="1:8">
      <c r="A70" t="s">
        <v>2444</v>
      </c>
      <c r="B70">
        <v>2025</v>
      </c>
      <c r="C70" s="643">
        <v>0</v>
      </c>
      <c r="D70" s="643">
        <v>0</v>
      </c>
      <c r="E70" s="643">
        <v>1</v>
      </c>
      <c r="F70" s="643">
        <v>0</v>
      </c>
      <c r="H70" s="674" t="str">
        <f t="shared" si="1"/>
        <v>COM_202201_P4T12025</v>
      </c>
    </row>
    <row r="71" spans="1:8">
      <c r="A71" t="s">
        <v>2444</v>
      </c>
      <c r="B71">
        <v>2026</v>
      </c>
      <c r="C71" s="643">
        <v>0</v>
      </c>
      <c r="D71" s="643">
        <v>0</v>
      </c>
      <c r="E71" s="643">
        <v>1</v>
      </c>
      <c r="F71" s="643">
        <v>0</v>
      </c>
      <c r="H71" s="674" t="str">
        <f t="shared" si="1"/>
        <v>COM_202201_P4T12026</v>
      </c>
    </row>
    <row r="72" spans="1:8">
      <c r="A72" t="s">
        <v>2444</v>
      </c>
      <c r="B72">
        <v>2027</v>
      </c>
      <c r="C72" s="643">
        <v>0</v>
      </c>
      <c r="D72" s="643">
        <v>0</v>
      </c>
      <c r="E72" s="643">
        <v>1</v>
      </c>
      <c r="F72" s="643">
        <v>0</v>
      </c>
      <c r="H72" s="674" t="str">
        <f t="shared" si="1"/>
        <v>COM_202201_P4T12027</v>
      </c>
    </row>
    <row r="73" spans="1:8">
      <c r="A73" t="s">
        <v>2447</v>
      </c>
      <c r="B73">
        <v>2024</v>
      </c>
      <c r="C73" s="643">
        <v>0</v>
      </c>
      <c r="D73" s="643">
        <v>0</v>
      </c>
      <c r="E73" s="643">
        <v>1</v>
      </c>
      <c r="F73" s="643">
        <v>0</v>
      </c>
      <c r="H73" s="674" t="str">
        <f t="shared" si="1"/>
        <v>COM_202201_P5T12024</v>
      </c>
    </row>
    <row r="74" spans="1:8">
      <c r="A74" t="s">
        <v>2447</v>
      </c>
      <c r="B74">
        <v>2025</v>
      </c>
      <c r="C74" s="643">
        <v>0</v>
      </c>
      <c r="D74" s="643">
        <v>0</v>
      </c>
      <c r="E74" s="643">
        <v>1</v>
      </c>
      <c r="F74" s="643">
        <v>0</v>
      </c>
      <c r="H74" s="674" t="str">
        <f t="shared" si="1"/>
        <v>COM_202201_P5T12025</v>
      </c>
    </row>
    <row r="75" spans="1:8">
      <c r="A75" t="s">
        <v>2447</v>
      </c>
      <c r="B75">
        <v>2026</v>
      </c>
      <c r="C75" s="643">
        <v>0</v>
      </c>
      <c r="D75" s="643">
        <v>0</v>
      </c>
      <c r="E75" s="643">
        <v>1</v>
      </c>
      <c r="F75" s="643">
        <v>0</v>
      </c>
      <c r="H75" s="674" t="str">
        <f t="shared" si="1"/>
        <v>COM_202201_P5T12026</v>
      </c>
    </row>
    <row r="76" spans="1:8">
      <c r="A76" t="s">
        <v>2447</v>
      </c>
      <c r="B76">
        <v>2027</v>
      </c>
      <c r="C76" s="643">
        <v>0</v>
      </c>
      <c r="D76" s="643">
        <v>0</v>
      </c>
      <c r="E76" s="643">
        <v>1</v>
      </c>
      <c r="F76" s="643">
        <v>0</v>
      </c>
      <c r="H76" s="674" t="str">
        <f t="shared" si="1"/>
        <v>COM_202201_P5T12027</v>
      </c>
    </row>
    <row r="77" spans="1:8">
      <c r="A77" t="s">
        <v>2452</v>
      </c>
      <c r="B77">
        <v>2024</v>
      </c>
      <c r="C77" s="643">
        <v>0</v>
      </c>
      <c r="D77" s="643">
        <v>0</v>
      </c>
      <c r="E77" s="643">
        <v>1</v>
      </c>
      <c r="F77" s="643">
        <v>0</v>
      </c>
      <c r="H77" s="674" t="str">
        <f t="shared" si="1"/>
        <v>COM_202201_P6T12024</v>
      </c>
    </row>
    <row r="78" spans="1:8">
      <c r="A78" t="s">
        <v>2452</v>
      </c>
      <c r="B78">
        <v>2025</v>
      </c>
      <c r="C78" s="643">
        <v>0</v>
      </c>
      <c r="D78" s="643">
        <v>0</v>
      </c>
      <c r="E78" s="643">
        <v>1</v>
      </c>
      <c r="F78" s="643">
        <v>0</v>
      </c>
      <c r="H78" s="674" t="str">
        <f t="shared" si="1"/>
        <v>COM_202201_P6T12025</v>
      </c>
    </row>
    <row r="79" spans="1:8">
      <c r="A79" t="s">
        <v>2452</v>
      </c>
      <c r="B79">
        <v>2026</v>
      </c>
      <c r="C79" s="643">
        <v>0</v>
      </c>
      <c r="D79" s="643">
        <v>0</v>
      </c>
      <c r="E79" s="643">
        <v>1</v>
      </c>
      <c r="F79" s="643">
        <v>0</v>
      </c>
      <c r="H79" s="674" t="str">
        <f t="shared" si="1"/>
        <v>COM_202201_P6T12026</v>
      </c>
    </row>
    <row r="80" spans="1:8">
      <c r="A80" t="s">
        <v>2452</v>
      </c>
      <c r="B80">
        <v>2027</v>
      </c>
      <c r="C80" s="643">
        <v>0</v>
      </c>
      <c r="D80" s="643">
        <v>0</v>
      </c>
      <c r="E80" s="643">
        <v>1</v>
      </c>
      <c r="F80" s="643">
        <v>0</v>
      </c>
      <c r="H80" s="674" t="str">
        <f t="shared" si="1"/>
        <v>COM_202201_P6T12027</v>
      </c>
    </row>
    <row r="81" spans="1:8">
      <c r="A81" t="s">
        <v>70</v>
      </c>
      <c r="B81">
        <v>2024</v>
      </c>
      <c r="C81" s="643">
        <v>0</v>
      </c>
      <c r="D81" s="643">
        <v>0</v>
      </c>
      <c r="E81" s="643">
        <v>1</v>
      </c>
      <c r="F81" s="643">
        <v>0</v>
      </c>
      <c r="H81" s="674" t="str">
        <f t="shared" si="1"/>
        <v>RES_200601_P1T52024</v>
      </c>
    </row>
    <row r="82" spans="1:8">
      <c r="A82" t="s">
        <v>70</v>
      </c>
      <c r="B82">
        <v>2025</v>
      </c>
      <c r="C82" s="643">
        <v>0</v>
      </c>
      <c r="D82" s="643">
        <v>0</v>
      </c>
      <c r="E82" s="643">
        <v>1</v>
      </c>
      <c r="F82" s="643">
        <v>0</v>
      </c>
      <c r="H82" s="674" t="str">
        <f t="shared" si="1"/>
        <v>RES_200601_P1T52025</v>
      </c>
    </row>
    <row r="83" spans="1:8">
      <c r="A83" t="s">
        <v>70</v>
      </c>
      <c r="B83">
        <v>2026</v>
      </c>
      <c r="C83" s="643">
        <v>0</v>
      </c>
      <c r="D83" s="643">
        <v>0</v>
      </c>
      <c r="E83" s="643">
        <v>1</v>
      </c>
      <c r="F83" s="643">
        <v>0</v>
      </c>
      <c r="H83" s="674" t="str">
        <f t="shared" si="1"/>
        <v>RES_200601_P1T52026</v>
      </c>
    </row>
    <row r="84" spans="1:8">
      <c r="A84" t="s">
        <v>70</v>
      </c>
      <c r="B84">
        <v>2027</v>
      </c>
      <c r="C84" s="643">
        <v>0</v>
      </c>
      <c r="D84" s="643">
        <v>0</v>
      </c>
      <c r="E84" s="643">
        <v>1</v>
      </c>
      <c r="F84" s="643">
        <v>0</v>
      </c>
      <c r="H84" s="674" t="str">
        <f t="shared" si="1"/>
        <v>RES_200601_P1T52027</v>
      </c>
    </row>
    <row r="85" spans="1:8">
      <c r="A85" t="s">
        <v>966</v>
      </c>
      <c r="B85">
        <v>2027</v>
      </c>
      <c r="C85" s="643">
        <v>0</v>
      </c>
      <c r="D85" s="643">
        <v>0</v>
      </c>
      <c r="E85" s="643">
        <v>0</v>
      </c>
      <c r="F85" s="643">
        <v>1</v>
      </c>
      <c r="H85" s="674" t="str">
        <f t="shared" si="1"/>
        <v>RES_200601_P1T62027</v>
      </c>
    </row>
    <row r="86" spans="1:8">
      <c r="A86" t="s">
        <v>71</v>
      </c>
      <c r="B86">
        <v>2024</v>
      </c>
      <c r="C86" s="643">
        <v>0</v>
      </c>
      <c r="D86" s="643">
        <v>0</v>
      </c>
      <c r="E86" s="643">
        <v>1</v>
      </c>
      <c r="F86" s="643">
        <v>0</v>
      </c>
      <c r="H86" s="674" t="str">
        <f t="shared" si="1"/>
        <v>RES_200601_P2T52024</v>
      </c>
    </row>
    <row r="87" spans="1:8">
      <c r="A87" t="s">
        <v>71</v>
      </c>
      <c r="B87">
        <v>2025</v>
      </c>
      <c r="C87" s="643">
        <v>0</v>
      </c>
      <c r="D87" s="643">
        <v>0</v>
      </c>
      <c r="E87" s="643">
        <v>1</v>
      </c>
      <c r="F87" s="643">
        <v>0</v>
      </c>
      <c r="H87" s="674" t="str">
        <f t="shared" si="1"/>
        <v>RES_200601_P2T52025</v>
      </c>
    </row>
    <row r="88" spans="1:8">
      <c r="A88" t="s">
        <v>71</v>
      </c>
      <c r="B88">
        <v>2026</v>
      </c>
      <c r="C88" s="643">
        <v>0</v>
      </c>
      <c r="D88" s="643">
        <v>0</v>
      </c>
      <c r="E88" s="643">
        <v>1</v>
      </c>
      <c r="F88" s="643">
        <v>0</v>
      </c>
      <c r="H88" s="674" t="str">
        <f t="shared" si="1"/>
        <v>RES_200601_P2T52026</v>
      </c>
    </row>
    <row r="89" spans="1:8">
      <c r="A89" t="s">
        <v>71</v>
      </c>
      <c r="B89">
        <v>2027</v>
      </c>
      <c r="C89" s="643">
        <v>0</v>
      </c>
      <c r="D89" s="643">
        <v>0</v>
      </c>
      <c r="E89" s="643">
        <v>1</v>
      </c>
      <c r="F89" s="643">
        <v>0</v>
      </c>
      <c r="H89" s="674" t="str">
        <f t="shared" si="1"/>
        <v>RES_200601_P2T52027</v>
      </c>
    </row>
    <row r="90" spans="1:8">
      <c r="A90" t="s">
        <v>967</v>
      </c>
      <c r="B90">
        <v>2024</v>
      </c>
      <c r="C90" s="643">
        <v>0</v>
      </c>
      <c r="D90" s="643">
        <v>0</v>
      </c>
      <c r="E90" s="643">
        <v>1</v>
      </c>
      <c r="F90" s="643">
        <v>0</v>
      </c>
      <c r="H90" s="674" t="str">
        <f t="shared" si="1"/>
        <v>RES_200601_P2T62024</v>
      </c>
    </row>
    <row r="91" spans="1:8">
      <c r="A91" t="s">
        <v>967</v>
      </c>
      <c r="B91">
        <v>2025</v>
      </c>
      <c r="C91" s="643">
        <v>0</v>
      </c>
      <c r="D91" s="643">
        <v>0</v>
      </c>
      <c r="E91" s="643">
        <v>1</v>
      </c>
      <c r="F91" s="643">
        <v>0</v>
      </c>
      <c r="H91" s="674" t="str">
        <f t="shared" si="1"/>
        <v>RES_200601_P2T62025</v>
      </c>
    </row>
    <row r="92" spans="1:8">
      <c r="A92" t="s">
        <v>967</v>
      </c>
      <c r="B92">
        <v>2026</v>
      </c>
      <c r="C92" s="643">
        <v>0</v>
      </c>
      <c r="D92" s="643">
        <v>0</v>
      </c>
      <c r="E92" s="643">
        <v>1</v>
      </c>
      <c r="F92" s="643">
        <v>0</v>
      </c>
      <c r="H92" s="674" t="str">
        <f t="shared" si="1"/>
        <v>RES_200601_P2T62026</v>
      </c>
    </row>
    <row r="93" spans="1:8">
      <c r="A93" t="s">
        <v>967</v>
      </c>
      <c r="B93">
        <v>2027</v>
      </c>
      <c r="C93" s="643">
        <v>0</v>
      </c>
      <c r="D93" s="643">
        <v>0</v>
      </c>
      <c r="E93" s="643">
        <v>1</v>
      </c>
      <c r="F93" s="643">
        <v>0</v>
      </c>
      <c r="H93" s="674" t="str">
        <f t="shared" si="1"/>
        <v>RES_200601_P2T62027</v>
      </c>
    </row>
    <row r="94" spans="1:8">
      <c r="A94" t="s">
        <v>866</v>
      </c>
      <c r="B94">
        <v>2024</v>
      </c>
      <c r="C94" s="643">
        <v>0</v>
      </c>
      <c r="D94" s="643">
        <v>0</v>
      </c>
      <c r="E94" s="643">
        <v>1</v>
      </c>
      <c r="F94" s="643">
        <v>0</v>
      </c>
      <c r="H94" s="674" t="str">
        <f t="shared" si="1"/>
        <v>RES_200601_P3T52024</v>
      </c>
    </row>
    <row r="95" spans="1:8">
      <c r="A95" t="s">
        <v>866</v>
      </c>
      <c r="B95">
        <v>2025</v>
      </c>
      <c r="C95" s="643">
        <v>0</v>
      </c>
      <c r="D95" s="643">
        <v>0</v>
      </c>
      <c r="E95" s="643">
        <v>1</v>
      </c>
      <c r="F95" s="643">
        <v>0</v>
      </c>
      <c r="H95" s="674" t="str">
        <f t="shared" si="1"/>
        <v>RES_200601_P3T52025</v>
      </c>
    </row>
    <row r="96" spans="1:8">
      <c r="A96" t="s">
        <v>866</v>
      </c>
      <c r="B96">
        <v>2026</v>
      </c>
      <c r="C96" s="643">
        <v>0</v>
      </c>
      <c r="D96" s="643">
        <v>0</v>
      </c>
      <c r="E96" s="643">
        <v>1</v>
      </c>
      <c r="F96" s="643">
        <v>0</v>
      </c>
      <c r="H96" s="674" t="str">
        <f t="shared" si="1"/>
        <v>RES_200601_P3T52026</v>
      </c>
    </row>
    <row r="97" spans="1:8">
      <c r="A97" t="s">
        <v>866</v>
      </c>
      <c r="B97">
        <v>2027</v>
      </c>
      <c r="C97" s="643">
        <v>0</v>
      </c>
      <c r="D97" s="643">
        <v>0</v>
      </c>
      <c r="E97" s="643">
        <v>1</v>
      </c>
      <c r="F97" s="643">
        <v>0</v>
      </c>
      <c r="H97" s="674" t="str">
        <f t="shared" si="1"/>
        <v>RES_200601_P3T52027</v>
      </c>
    </row>
    <row r="98" spans="1:8">
      <c r="A98" t="s">
        <v>971</v>
      </c>
      <c r="B98">
        <v>2024</v>
      </c>
      <c r="C98" s="643">
        <v>0</v>
      </c>
      <c r="D98" s="643">
        <v>0</v>
      </c>
      <c r="E98" s="643">
        <v>1</v>
      </c>
      <c r="F98" s="643">
        <v>0</v>
      </c>
      <c r="H98" s="674" t="str">
        <f t="shared" si="1"/>
        <v>RES_200601_P3T62024</v>
      </c>
    </row>
    <row r="99" spans="1:8">
      <c r="A99" t="s">
        <v>971</v>
      </c>
      <c r="B99">
        <v>2025</v>
      </c>
      <c r="C99" s="643">
        <v>0</v>
      </c>
      <c r="D99" s="643">
        <v>0</v>
      </c>
      <c r="E99" s="643">
        <v>1</v>
      </c>
      <c r="F99" s="643">
        <v>0</v>
      </c>
      <c r="H99" s="674" t="str">
        <f t="shared" si="1"/>
        <v>RES_200601_P3T62025</v>
      </c>
    </row>
    <row r="100" spans="1:8">
      <c r="A100" t="s">
        <v>971</v>
      </c>
      <c r="B100">
        <v>2026</v>
      </c>
      <c r="C100" s="643">
        <v>0</v>
      </c>
      <c r="D100" s="643">
        <v>0</v>
      </c>
      <c r="E100" s="643">
        <v>1</v>
      </c>
      <c r="F100" s="643">
        <v>0</v>
      </c>
      <c r="H100" s="674" t="str">
        <f t="shared" si="1"/>
        <v>RES_200601_P3T62026</v>
      </c>
    </row>
    <row r="101" spans="1:8">
      <c r="A101" t="s">
        <v>971</v>
      </c>
      <c r="B101">
        <v>2027</v>
      </c>
      <c r="C101" s="643">
        <v>0</v>
      </c>
      <c r="D101" s="643">
        <v>0</v>
      </c>
      <c r="E101" s="643">
        <v>1</v>
      </c>
      <c r="F101" s="643">
        <v>0</v>
      </c>
      <c r="H101" s="674" t="str">
        <f t="shared" si="1"/>
        <v>RES_200601_P3T62027</v>
      </c>
    </row>
    <row r="102" spans="1:8">
      <c r="A102" t="s">
        <v>972</v>
      </c>
      <c r="B102">
        <v>2024</v>
      </c>
      <c r="C102" s="643">
        <v>0</v>
      </c>
      <c r="D102" s="643">
        <v>0</v>
      </c>
      <c r="E102" s="643">
        <v>1</v>
      </c>
      <c r="F102" s="643">
        <v>0</v>
      </c>
      <c r="H102" s="674" t="str">
        <f t="shared" si="1"/>
        <v>RES_200601_P4T62024</v>
      </c>
    </row>
    <row r="103" spans="1:8">
      <c r="A103" t="s">
        <v>972</v>
      </c>
      <c r="B103">
        <v>2025</v>
      </c>
      <c r="C103" s="643">
        <v>0</v>
      </c>
      <c r="D103" s="643">
        <v>0</v>
      </c>
      <c r="E103" s="643">
        <v>1</v>
      </c>
      <c r="F103" s="643">
        <v>0</v>
      </c>
      <c r="H103" s="674" t="str">
        <f t="shared" si="1"/>
        <v>RES_200601_P4T62025</v>
      </c>
    </row>
    <row r="104" spans="1:8">
      <c r="A104" t="s">
        <v>972</v>
      </c>
      <c r="B104">
        <v>2026</v>
      </c>
      <c r="C104" s="643">
        <v>0</v>
      </c>
      <c r="D104" s="643">
        <v>0</v>
      </c>
      <c r="E104" s="643">
        <v>1</v>
      </c>
      <c r="F104" s="643">
        <v>0</v>
      </c>
      <c r="H104" s="674" t="str">
        <f t="shared" si="1"/>
        <v>RES_200601_P4T62026</v>
      </c>
    </row>
    <row r="105" spans="1:8">
      <c r="A105" t="s">
        <v>972</v>
      </c>
      <c r="B105">
        <v>2027</v>
      </c>
      <c r="C105" s="643">
        <v>0</v>
      </c>
      <c r="D105" s="643">
        <v>0</v>
      </c>
      <c r="E105" s="643">
        <v>1</v>
      </c>
      <c r="F105" s="643">
        <v>0</v>
      </c>
      <c r="H105" s="674" t="str">
        <f t="shared" si="1"/>
        <v>RES_200601_P4T62027</v>
      </c>
    </row>
    <row r="106" spans="1:8">
      <c r="A106" t="s">
        <v>47</v>
      </c>
      <c r="B106">
        <v>2024</v>
      </c>
      <c r="C106" s="643">
        <v>0</v>
      </c>
      <c r="D106" s="643">
        <v>1</v>
      </c>
      <c r="E106" s="643">
        <v>0</v>
      </c>
      <c r="F106" s="643">
        <v>0</v>
      </c>
      <c r="H106" s="674" t="str">
        <f t="shared" si="1"/>
        <v>RES_200804_P1T12024</v>
      </c>
    </row>
    <row r="107" spans="1:8">
      <c r="A107" t="s">
        <v>47</v>
      </c>
      <c r="B107">
        <v>2025</v>
      </c>
      <c r="C107" s="643">
        <v>0</v>
      </c>
      <c r="D107" s="643">
        <v>1</v>
      </c>
      <c r="E107" s="643">
        <v>0</v>
      </c>
      <c r="F107" s="643">
        <v>0</v>
      </c>
      <c r="H107" s="674" t="str">
        <f t="shared" si="1"/>
        <v>RES_200804_P1T12025</v>
      </c>
    </row>
    <row r="108" spans="1:8">
      <c r="A108" t="s">
        <v>47</v>
      </c>
      <c r="B108">
        <v>2026</v>
      </c>
      <c r="C108" s="643">
        <v>0</v>
      </c>
      <c r="D108" s="643">
        <v>1</v>
      </c>
      <c r="E108" s="643">
        <v>0</v>
      </c>
      <c r="F108" s="643">
        <v>0</v>
      </c>
      <c r="H108" s="674" t="str">
        <f t="shared" si="1"/>
        <v>RES_200804_P1T12026</v>
      </c>
    </row>
    <row r="109" spans="1:8">
      <c r="A109" t="s">
        <v>47</v>
      </c>
      <c r="B109">
        <v>2027</v>
      </c>
      <c r="C109" s="643">
        <v>0</v>
      </c>
      <c r="D109" s="643">
        <v>1</v>
      </c>
      <c r="E109" s="643">
        <v>0</v>
      </c>
      <c r="F109" s="643">
        <v>0</v>
      </c>
      <c r="H109" s="674" t="str">
        <f t="shared" si="1"/>
        <v>RES_200804_P1T12027</v>
      </c>
    </row>
    <row r="110" spans="1:8">
      <c r="A110" t="s">
        <v>48</v>
      </c>
      <c r="B110">
        <v>2024</v>
      </c>
      <c r="C110" s="643">
        <v>0</v>
      </c>
      <c r="D110" s="643">
        <v>1</v>
      </c>
      <c r="E110" s="643">
        <v>0</v>
      </c>
      <c r="F110" s="643">
        <v>0</v>
      </c>
      <c r="H110" s="674" t="str">
        <f t="shared" si="1"/>
        <v>RES_200804_P2T12024</v>
      </c>
    </row>
    <row r="111" spans="1:8">
      <c r="A111" t="s">
        <v>48</v>
      </c>
      <c r="B111">
        <v>2025</v>
      </c>
      <c r="C111" s="643">
        <v>0</v>
      </c>
      <c r="D111" s="643">
        <v>1</v>
      </c>
      <c r="E111" s="643">
        <v>0</v>
      </c>
      <c r="F111" s="643">
        <v>0</v>
      </c>
      <c r="H111" s="674" t="str">
        <f t="shared" si="1"/>
        <v>RES_200804_P2T12025</v>
      </c>
    </row>
    <row r="112" spans="1:8">
      <c r="A112" t="s">
        <v>48</v>
      </c>
      <c r="B112">
        <v>2026</v>
      </c>
      <c r="C112" s="643">
        <v>0</v>
      </c>
      <c r="D112" s="643">
        <v>1</v>
      </c>
      <c r="E112" s="643">
        <v>0</v>
      </c>
      <c r="F112" s="643">
        <v>0</v>
      </c>
      <c r="H112" s="674" t="str">
        <f t="shared" si="1"/>
        <v>RES_200804_P2T12026</v>
      </c>
    </row>
    <row r="113" spans="1:8">
      <c r="A113" t="s">
        <v>48</v>
      </c>
      <c r="B113">
        <v>2027</v>
      </c>
      <c r="C113" s="643">
        <v>0</v>
      </c>
      <c r="D113" s="643">
        <v>1</v>
      </c>
      <c r="E113" s="643">
        <v>0</v>
      </c>
      <c r="F113" s="643">
        <v>0</v>
      </c>
      <c r="H113" s="674" t="str">
        <f t="shared" si="1"/>
        <v>RES_200804_P2T12027</v>
      </c>
    </row>
    <row r="114" spans="1:8">
      <c r="A114" t="s">
        <v>49</v>
      </c>
      <c r="B114">
        <v>2024</v>
      </c>
      <c r="C114" s="643">
        <v>0</v>
      </c>
      <c r="D114" s="643">
        <v>1</v>
      </c>
      <c r="E114" s="643">
        <v>0</v>
      </c>
      <c r="F114" s="643">
        <v>0</v>
      </c>
      <c r="H114" s="674" t="str">
        <f t="shared" si="1"/>
        <v>RES_200804_P3T12024</v>
      </c>
    </row>
    <row r="115" spans="1:8">
      <c r="A115" t="s">
        <v>49</v>
      </c>
      <c r="B115">
        <v>2025</v>
      </c>
      <c r="C115" s="643">
        <v>0</v>
      </c>
      <c r="D115" s="643">
        <v>1</v>
      </c>
      <c r="E115" s="643">
        <v>0</v>
      </c>
      <c r="F115" s="643">
        <v>0</v>
      </c>
      <c r="H115" s="674" t="str">
        <f t="shared" si="1"/>
        <v>RES_200804_P3T12025</v>
      </c>
    </row>
    <row r="116" spans="1:8">
      <c r="A116" t="s">
        <v>49</v>
      </c>
      <c r="B116">
        <v>2026</v>
      </c>
      <c r="C116" s="643">
        <v>0</v>
      </c>
      <c r="D116" s="643">
        <v>1</v>
      </c>
      <c r="E116" s="643">
        <v>0</v>
      </c>
      <c r="F116" s="643">
        <v>0</v>
      </c>
      <c r="H116" s="674" t="str">
        <f t="shared" si="1"/>
        <v>RES_200804_P3T12026</v>
      </c>
    </row>
    <row r="117" spans="1:8">
      <c r="A117" t="s">
        <v>49</v>
      </c>
      <c r="B117">
        <v>2027</v>
      </c>
      <c r="C117" s="643">
        <v>0</v>
      </c>
      <c r="D117" s="643">
        <v>1</v>
      </c>
      <c r="E117" s="643">
        <v>0</v>
      </c>
      <c r="F117" s="643">
        <v>0</v>
      </c>
      <c r="H117" s="674" t="str">
        <f t="shared" si="1"/>
        <v>RES_200804_P3T12027</v>
      </c>
    </row>
    <row r="118" spans="1:8">
      <c r="A118" t="s">
        <v>51</v>
      </c>
      <c r="B118">
        <v>2024</v>
      </c>
      <c r="C118" s="643">
        <v>0</v>
      </c>
      <c r="D118" s="643">
        <v>0</v>
      </c>
      <c r="E118" s="643">
        <v>1</v>
      </c>
      <c r="F118" s="643">
        <v>0</v>
      </c>
      <c r="H118" s="674" t="str">
        <f t="shared" si="1"/>
        <v>RES_201202_P1T12024</v>
      </c>
    </row>
    <row r="119" spans="1:8">
      <c r="A119" t="s">
        <v>51</v>
      </c>
      <c r="B119">
        <v>2025</v>
      </c>
      <c r="C119" s="643">
        <v>0</v>
      </c>
      <c r="D119" s="643">
        <v>0</v>
      </c>
      <c r="E119" s="643">
        <v>1</v>
      </c>
      <c r="F119" s="643">
        <v>0</v>
      </c>
      <c r="H119" s="674" t="str">
        <f t="shared" si="1"/>
        <v>RES_201202_P1T12025</v>
      </c>
    </row>
    <row r="120" spans="1:8">
      <c r="A120" t="s">
        <v>51</v>
      </c>
      <c r="B120">
        <v>2026</v>
      </c>
      <c r="C120" s="643">
        <v>0</v>
      </c>
      <c r="D120" s="643">
        <v>0</v>
      </c>
      <c r="E120" s="643">
        <v>1</v>
      </c>
      <c r="F120" s="643">
        <v>0</v>
      </c>
      <c r="H120" s="674" t="str">
        <f t="shared" si="1"/>
        <v>RES_201202_P1T12026</v>
      </c>
    </row>
    <row r="121" spans="1:8">
      <c r="A121" t="s">
        <v>51</v>
      </c>
      <c r="B121">
        <v>2027</v>
      </c>
      <c r="C121" s="643">
        <v>0</v>
      </c>
      <c r="D121" s="643">
        <v>0</v>
      </c>
      <c r="E121" s="643">
        <v>1</v>
      </c>
      <c r="F121" s="643">
        <v>0</v>
      </c>
      <c r="H121" s="674" t="str">
        <f t="shared" si="1"/>
        <v>RES_201202_P1T12027</v>
      </c>
    </row>
    <row r="122" spans="1:8">
      <c r="A122" t="s">
        <v>52</v>
      </c>
      <c r="B122">
        <v>2024</v>
      </c>
      <c r="C122" s="643">
        <v>0</v>
      </c>
      <c r="D122" s="643">
        <v>0</v>
      </c>
      <c r="E122" s="643">
        <v>1</v>
      </c>
      <c r="F122" s="643">
        <v>0</v>
      </c>
      <c r="H122" s="674" t="str">
        <f t="shared" si="1"/>
        <v>RES_201202_P1T22024</v>
      </c>
    </row>
    <row r="123" spans="1:8">
      <c r="A123" t="s">
        <v>52</v>
      </c>
      <c r="B123">
        <v>2025</v>
      </c>
      <c r="C123" s="643">
        <v>0</v>
      </c>
      <c r="D123" s="643">
        <v>0</v>
      </c>
      <c r="E123" s="643">
        <v>1</v>
      </c>
      <c r="F123" s="643">
        <v>0</v>
      </c>
      <c r="H123" s="674" t="str">
        <f t="shared" si="1"/>
        <v>RES_201202_P1T22025</v>
      </c>
    </row>
    <row r="124" spans="1:8">
      <c r="A124" t="s">
        <v>52</v>
      </c>
      <c r="B124">
        <v>2026</v>
      </c>
      <c r="C124" s="643">
        <v>0</v>
      </c>
      <c r="D124" s="643">
        <v>0</v>
      </c>
      <c r="E124" s="643">
        <v>1</v>
      </c>
      <c r="F124" s="643">
        <v>0</v>
      </c>
      <c r="H124" s="674" t="str">
        <f t="shared" si="1"/>
        <v>RES_201202_P1T22026</v>
      </c>
    </row>
    <row r="125" spans="1:8">
      <c r="A125" t="s">
        <v>52</v>
      </c>
      <c r="B125">
        <v>2027</v>
      </c>
      <c r="C125" s="643">
        <v>0</v>
      </c>
      <c r="D125" s="643">
        <v>0</v>
      </c>
      <c r="E125" s="643">
        <v>1</v>
      </c>
      <c r="F125" s="643">
        <v>0</v>
      </c>
      <c r="H125" s="674" t="str">
        <f t="shared" si="1"/>
        <v>RES_201202_P1T22027</v>
      </c>
    </row>
    <row r="126" spans="1:8">
      <c r="A126" t="s">
        <v>630</v>
      </c>
      <c r="B126">
        <v>2024</v>
      </c>
      <c r="C126" s="643">
        <v>0</v>
      </c>
      <c r="D126" s="643">
        <v>0</v>
      </c>
      <c r="E126" s="643">
        <v>1</v>
      </c>
      <c r="F126" s="643">
        <v>0</v>
      </c>
      <c r="H126" s="674" t="str">
        <f t="shared" si="1"/>
        <v>RES_201202_P1T32024</v>
      </c>
    </row>
    <row r="127" spans="1:8">
      <c r="A127" t="s">
        <v>630</v>
      </c>
      <c r="B127">
        <v>2025</v>
      </c>
      <c r="C127" s="643">
        <v>0</v>
      </c>
      <c r="D127" s="643">
        <v>0</v>
      </c>
      <c r="E127" s="643">
        <v>1</v>
      </c>
      <c r="F127" s="643">
        <v>0</v>
      </c>
      <c r="H127" s="674" t="str">
        <f t="shared" si="1"/>
        <v>RES_201202_P1T32025</v>
      </c>
    </row>
    <row r="128" spans="1:8">
      <c r="A128" t="s">
        <v>630</v>
      </c>
      <c r="B128">
        <v>2026</v>
      </c>
      <c r="C128" s="643">
        <v>0</v>
      </c>
      <c r="D128" s="643">
        <v>0</v>
      </c>
      <c r="E128" s="643">
        <v>1</v>
      </c>
      <c r="F128" s="643">
        <v>0</v>
      </c>
      <c r="H128" s="674" t="str">
        <f t="shared" si="1"/>
        <v>RES_201202_P1T32026</v>
      </c>
    </row>
    <row r="129" spans="1:8">
      <c r="A129" t="s">
        <v>630</v>
      </c>
      <c r="B129">
        <v>2027</v>
      </c>
      <c r="C129" s="643">
        <v>0</v>
      </c>
      <c r="D129" s="643">
        <v>0</v>
      </c>
      <c r="E129" s="643">
        <v>1</v>
      </c>
      <c r="F129" s="643">
        <v>0</v>
      </c>
      <c r="H129" s="674" t="str">
        <f t="shared" si="1"/>
        <v>RES_201202_P1T32027</v>
      </c>
    </row>
    <row r="130" spans="1:8">
      <c r="A130" t="s">
        <v>631</v>
      </c>
      <c r="B130">
        <v>2024</v>
      </c>
      <c r="C130" s="643">
        <v>0</v>
      </c>
      <c r="D130" s="643">
        <v>0</v>
      </c>
      <c r="E130" s="643">
        <v>1</v>
      </c>
      <c r="F130" s="643">
        <v>0</v>
      </c>
      <c r="H130" s="674" t="str">
        <f t="shared" si="1"/>
        <v>RES_201202_P1T42024</v>
      </c>
    </row>
    <row r="131" spans="1:8">
      <c r="A131" t="s">
        <v>631</v>
      </c>
      <c r="B131">
        <v>2025</v>
      </c>
      <c r="C131" s="643">
        <v>0</v>
      </c>
      <c r="D131" s="643">
        <v>0</v>
      </c>
      <c r="E131" s="643">
        <v>1</v>
      </c>
      <c r="F131" s="643">
        <v>0</v>
      </c>
      <c r="H131" s="674" t="str">
        <f t="shared" ref="H131:H194" si="2">A131&amp;B131</f>
        <v>RES_201202_P1T42025</v>
      </c>
    </row>
    <row r="132" spans="1:8">
      <c r="A132" t="s">
        <v>631</v>
      </c>
      <c r="B132">
        <v>2026</v>
      </c>
      <c r="C132" s="643">
        <v>0</v>
      </c>
      <c r="D132" s="643">
        <v>0</v>
      </c>
      <c r="E132" s="643">
        <v>1</v>
      </c>
      <c r="F132" s="643">
        <v>0</v>
      </c>
      <c r="H132" s="674" t="str">
        <f t="shared" si="2"/>
        <v>RES_201202_P1T42026</v>
      </c>
    </row>
    <row r="133" spans="1:8">
      <c r="A133" t="s">
        <v>631</v>
      </c>
      <c r="B133">
        <v>2027</v>
      </c>
      <c r="C133" s="643">
        <v>0</v>
      </c>
      <c r="D133" s="643">
        <v>0</v>
      </c>
      <c r="E133" s="643">
        <v>1</v>
      </c>
      <c r="F133" s="643">
        <v>0</v>
      </c>
      <c r="H133" s="674" t="str">
        <f t="shared" si="2"/>
        <v>RES_201202_P1T42027</v>
      </c>
    </row>
    <row r="134" spans="1:8">
      <c r="A134" t="s">
        <v>721</v>
      </c>
      <c r="B134">
        <v>2026</v>
      </c>
      <c r="C134" s="643">
        <v>0</v>
      </c>
      <c r="D134" s="643">
        <v>0</v>
      </c>
      <c r="E134" s="643">
        <v>1</v>
      </c>
      <c r="F134" s="643">
        <v>0</v>
      </c>
      <c r="H134" s="674" t="str">
        <f t="shared" si="2"/>
        <v>RES_201202_P1T52026</v>
      </c>
    </row>
    <row r="135" spans="1:8">
      <c r="A135" t="s">
        <v>721</v>
      </c>
      <c r="B135">
        <v>2027</v>
      </c>
      <c r="C135" s="643">
        <v>0</v>
      </c>
      <c r="D135" s="643">
        <v>0</v>
      </c>
      <c r="E135" s="643">
        <v>1</v>
      </c>
      <c r="F135" s="643">
        <v>0</v>
      </c>
      <c r="H135" s="674" t="str">
        <f t="shared" si="2"/>
        <v>RES_201202_P1T52027</v>
      </c>
    </row>
    <row r="136" spans="1:8">
      <c r="A136" t="s">
        <v>53</v>
      </c>
      <c r="B136">
        <v>2024</v>
      </c>
      <c r="C136" s="643">
        <v>0</v>
      </c>
      <c r="D136" s="643">
        <v>0</v>
      </c>
      <c r="E136" s="643">
        <v>1</v>
      </c>
      <c r="F136" s="643">
        <v>0</v>
      </c>
      <c r="H136" s="674" t="str">
        <f t="shared" si="2"/>
        <v>RES_201202_P2T12024</v>
      </c>
    </row>
    <row r="137" spans="1:8">
      <c r="A137" t="s">
        <v>53</v>
      </c>
      <c r="B137">
        <v>2025</v>
      </c>
      <c r="C137" s="643">
        <v>0</v>
      </c>
      <c r="D137" s="643">
        <v>0</v>
      </c>
      <c r="E137" s="643">
        <v>1</v>
      </c>
      <c r="F137" s="643">
        <v>0</v>
      </c>
      <c r="H137" s="674" t="str">
        <f t="shared" si="2"/>
        <v>RES_201202_P2T12025</v>
      </c>
    </row>
    <row r="138" spans="1:8">
      <c r="A138" t="s">
        <v>53</v>
      </c>
      <c r="B138">
        <v>2026</v>
      </c>
      <c r="C138" s="643">
        <v>0</v>
      </c>
      <c r="D138" s="643">
        <v>0</v>
      </c>
      <c r="E138" s="643">
        <v>1</v>
      </c>
      <c r="F138" s="643">
        <v>0</v>
      </c>
      <c r="H138" s="674" t="str">
        <f t="shared" si="2"/>
        <v>RES_201202_P2T12026</v>
      </c>
    </row>
    <row r="139" spans="1:8">
      <c r="A139" t="s">
        <v>53</v>
      </c>
      <c r="B139">
        <v>2027</v>
      </c>
      <c r="C139" s="643">
        <v>0</v>
      </c>
      <c r="D139" s="643">
        <v>0</v>
      </c>
      <c r="E139" s="643">
        <v>1</v>
      </c>
      <c r="F139" s="643">
        <v>0</v>
      </c>
      <c r="H139" s="674" t="str">
        <f t="shared" si="2"/>
        <v>RES_201202_P2T12027</v>
      </c>
    </row>
    <row r="140" spans="1:8">
      <c r="A140" t="s">
        <v>54</v>
      </c>
      <c r="B140">
        <v>2024</v>
      </c>
      <c r="C140" s="643">
        <v>0</v>
      </c>
      <c r="D140" s="643">
        <v>0</v>
      </c>
      <c r="E140" s="643">
        <v>1</v>
      </c>
      <c r="F140" s="643">
        <v>0</v>
      </c>
      <c r="H140" s="674" t="str">
        <f t="shared" si="2"/>
        <v>RES_201202_P2T22024</v>
      </c>
    </row>
    <row r="141" spans="1:8">
      <c r="A141" t="s">
        <v>54</v>
      </c>
      <c r="B141">
        <v>2025</v>
      </c>
      <c r="C141" s="643">
        <v>0</v>
      </c>
      <c r="D141" s="643">
        <v>0</v>
      </c>
      <c r="E141" s="643">
        <v>1</v>
      </c>
      <c r="F141" s="643">
        <v>0</v>
      </c>
      <c r="H141" s="674" t="str">
        <f t="shared" si="2"/>
        <v>RES_201202_P2T22025</v>
      </c>
    </row>
    <row r="142" spans="1:8">
      <c r="A142" t="s">
        <v>54</v>
      </c>
      <c r="B142">
        <v>2026</v>
      </c>
      <c r="C142" s="643">
        <v>0</v>
      </c>
      <c r="D142" s="643">
        <v>0</v>
      </c>
      <c r="E142" s="643">
        <v>1</v>
      </c>
      <c r="F142" s="643">
        <v>0</v>
      </c>
      <c r="H142" s="674" t="str">
        <f t="shared" si="2"/>
        <v>RES_201202_P2T22026</v>
      </c>
    </row>
    <row r="143" spans="1:8">
      <c r="A143" t="s">
        <v>54</v>
      </c>
      <c r="B143">
        <v>2027</v>
      </c>
      <c r="C143" s="643">
        <v>0</v>
      </c>
      <c r="D143" s="643">
        <v>0</v>
      </c>
      <c r="E143" s="643">
        <v>1</v>
      </c>
      <c r="F143" s="643">
        <v>0</v>
      </c>
      <c r="H143" s="674" t="str">
        <f t="shared" si="2"/>
        <v>RES_201202_P2T22027</v>
      </c>
    </row>
    <row r="144" spans="1:8">
      <c r="A144" t="s">
        <v>622</v>
      </c>
      <c r="B144">
        <v>2024</v>
      </c>
      <c r="C144" s="643">
        <v>0</v>
      </c>
      <c r="D144" s="643">
        <v>0</v>
      </c>
      <c r="E144" s="643">
        <v>1</v>
      </c>
      <c r="F144" s="643">
        <v>0</v>
      </c>
      <c r="H144" s="674" t="str">
        <f t="shared" si="2"/>
        <v>RES_201202_P2T32024</v>
      </c>
    </row>
    <row r="145" spans="1:8">
      <c r="A145" t="s">
        <v>622</v>
      </c>
      <c r="B145">
        <v>2025</v>
      </c>
      <c r="C145" s="643">
        <v>0</v>
      </c>
      <c r="D145" s="643">
        <v>0</v>
      </c>
      <c r="E145" s="643">
        <v>1</v>
      </c>
      <c r="F145" s="643">
        <v>0</v>
      </c>
      <c r="H145" s="674" t="str">
        <f t="shared" si="2"/>
        <v>RES_201202_P2T32025</v>
      </c>
    </row>
    <row r="146" spans="1:8">
      <c r="A146" t="s">
        <v>622</v>
      </c>
      <c r="B146">
        <v>2026</v>
      </c>
      <c r="C146" s="643">
        <v>0</v>
      </c>
      <c r="D146" s="643">
        <v>0</v>
      </c>
      <c r="E146" s="643">
        <v>1</v>
      </c>
      <c r="F146" s="643">
        <v>0</v>
      </c>
      <c r="H146" s="674" t="str">
        <f t="shared" si="2"/>
        <v>RES_201202_P2T32026</v>
      </c>
    </row>
    <row r="147" spans="1:8">
      <c r="A147" t="s">
        <v>622</v>
      </c>
      <c r="B147">
        <v>2027</v>
      </c>
      <c r="C147" s="643">
        <v>0</v>
      </c>
      <c r="D147" s="643">
        <v>0</v>
      </c>
      <c r="E147" s="643">
        <v>1</v>
      </c>
      <c r="F147" s="643">
        <v>0</v>
      </c>
      <c r="H147" s="674" t="str">
        <f t="shared" si="2"/>
        <v>RES_201202_P2T32027</v>
      </c>
    </row>
    <row r="148" spans="1:8">
      <c r="A148" t="s">
        <v>623</v>
      </c>
      <c r="B148">
        <v>2024</v>
      </c>
      <c r="C148" s="643">
        <v>0</v>
      </c>
      <c r="D148" s="643">
        <v>0</v>
      </c>
      <c r="E148" s="643">
        <v>1</v>
      </c>
      <c r="F148" s="643">
        <v>0</v>
      </c>
      <c r="H148" s="674" t="str">
        <f t="shared" si="2"/>
        <v>RES_201202_P2T42024</v>
      </c>
    </row>
    <row r="149" spans="1:8">
      <c r="A149" t="s">
        <v>623</v>
      </c>
      <c r="B149">
        <v>2025</v>
      </c>
      <c r="C149" s="643">
        <v>0</v>
      </c>
      <c r="D149" s="643">
        <v>0</v>
      </c>
      <c r="E149" s="643">
        <v>1</v>
      </c>
      <c r="F149" s="643">
        <v>0</v>
      </c>
      <c r="H149" s="674" t="str">
        <f t="shared" si="2"/>
        <v>RES_201202_P2T42025</v>
      </c>
    </row>
    <row r="150" spans="1:8">
      <c r="A150" t="s">
        <v>623</v>
      </c>
      <c r="B150">
        <v>2026</v>
      </c>
      <c r="C150" s="643">
        <v>0</v>
      </c>
      <c r="D150" s="643">
        <v>0</v>
      </c>
      <c r="E150" s="643">
        <v>1</v>
      </c>
      <c r="F150" s="643">
        <v>0</v>
      </c>
      <c r="H150" s="674" t="str">
        <f t="shared" si="2"/>
        <v>RES_201202_P2T42026</v>
      </c>
    </row>
    <row r="151" spans="1:8">
      <c r="A151" t="s">
        <v>623</v>
      </c>
      <c r="B151">
        <v>2027</v>
      </c>
      <c r="C151" s="643">
        <v>0</v>
      </c>
      <c r="D151" s="643">
        <v>0</v>
      </c>
      <c r="E151" s="643">
        <v>1</v>
      </c>
      <c r="F151" s="643">
        <v>0</v>
      </c>
      <c r="H151" s="674" t="str">
        <f t="shared" si="2"/>
        <v>RES_201202_P2T42027</v>
      </c>
    </row>
    <row r="152" spans="1:8">
      <c r="A152" t="s">
        <v>723</v>
      </c>
      <c r="B152">
        <v>2026</v>
      </c>
      <c r="C152" s="643">
        <v>0</v>
      </c>
      <c r="D152" s="643">
        <v>0</v>
      </c>
      <c r="E152" s="643">
        <v>1</v>
      </c>
      <c r="F152" s="643">
        <v>0</v>
      </c>
      <c r="H152" s="674" t="str">
        <f t="shared" si="2"/>
        <v>RES_201202_P2T52026</v>
      </c>
    </row>
    <row r="153" spans="1:8">
      <c r="A153" t="s">
        <v>723</v>
      </c>
      <c r="B153">
        <v>2027</v>
      </c>
      <c r="C153" s="643">
        <v>0</v>
      </c>
      <c r="D153" s="643">
        <v>0</v>
      </c>
      <c r="E153" s="643">
        <v>1</v>
      </c>
      <c r="F153" s="643">
        <v>0</v>
      </c>
      <c r="H153" s="674" t="str">
        <f t="shared" si="2"/>
        <v>RES_201202_P2T52027</v>
      </c>
    </row>
    <row r="154" spans="1:8">
      <c r="A154" t="s">
        <v>612</v>
      </c>
      <c r="B154">
        <v>2024</v>
      </c>
      <c r="C154" s="643">
        <v>0</v>
      </c>
      <c r="D154" s="643">
        <v>0</v>
      </c>
      <c r="E154" s="643">
        <v>1</v>
      </c>
      <c r="F154" s="643">
        <v>0</v>
      </c>
      <c r="H154" s="674" t="str">
        <f t="shared" si="2"/>
        <v>RES_201202_P3T12024</v>
      </c>
    </row>
    <row r="155" spans="1:8">
      <c r="A155" t="s">
        <v>612</v>
      </c>
      <c r="B155">
        <v>2025</v>
      </c>
      <c r="C155" s="643">
        <v>0</v>
      </c>
      <c r="D155" s="643">
        <v>0</v>
      </c>
      <c r="E155" s="643">
        <v>1</v>
      </c>
      <c r="F155" s="643">
        <v>0</v>
      </c>
      <c r="H155" s="674" t="str">
        <f t="shared" si="2"/>
        <v>RES_201202_P3T12025</v>
      </c>
    </row>
    <row r="156" spans="1:8">
      <c r="A156" t="s">
        <v>612</v>
      </c>
      <c r="B156">
        <v>2026</v>
      </c>
      <c r="C156" s="643">
        <v>0</v>
      </c>
      <c r="D156" s="643">
        <v>0</v>
      </c>
      <c r="E156" s="643">
        <v>1</v>
      </c>
      <c r="F156" s="643">
        <v>0</v>
      </c>
      <c r="H156" s="674" t="str">
        <f t="shared" si="2"/>
        <v>RES_201202_P3T12026</v>
      </c>
    </row>
    <row r="157" spans="1:8">
      <c r="A157" t="s">
        <v>612</v>
      </c>
      <c r="B157">
        <v>2027</v>
      </c>
      <c r="C157" s="643">
        <v>0</v>
      </c>
      <c r="D157" s="643">
        <v>0</v>
      </c>
      <c r="E157" s="643">
        <v>1</v>
      </c>
      <c r="F157" s="643">
        <v>0</v>
      </c>
      <c r="H157" s="674" t="str">
        <f t="shared" si="2"/>
        <v>RES_201202_P3T12027</v>
      </c>
    </row>
    <row r="158" spans="1:8">
      <c r="A158" t="s">
        <v>613</v>
      </c>
      <c r="B158">
        <v>2024</v>
      </c>
      <c r="C158" s="643">
        <v>0</v>
      </c>
      <c r="D158" s="643">
        <v>0</v>
      </c>
      <c r="E158" s="643">
        <v>1</v>
      </c>
      <c r="F158" s="643">
        <v>0</v>
      </c>
      <c r="H158" s="674" t="str">
        <f t="shared" si="2"/>
        <v>RES_201202_P3T22024</v>
      </c>
    </row>
    <row r="159" spans="1:8">
      <c r="A159" t="s">
        <v>613</v>
      </c>
      <c r="B159">
        <v>2025</v>
      </c>
      <c r="C159" s="643">
        <v>0</v>
      </c>
      <c r="D159" s="643">
        <v>0</v>
      </c>
      <c r="E159" s="643">
        <v>1</v>
      </c>
      <c r="F159" s="643">
        <v>0</v>
      </c>
      <c r="H159" s="674" t="str">
        <f t="shared" si="2"/>
        <v>RES_201202_P3T22025</v>
      </c>
    </row>
    <row r="160" spans="1:8">
      <c r="A160" t="s">
        <v>613</v>
      </c>
      <c r="B160">
        <v>2026</v>
      </c>
      <c r="C160" s="643">
        <v>0</v>
      </c>
      <c r="D160" s="643">
        <v>0</v>
      </c>
      <c r="E160" s="643">
        <v>1</v>
      </c>
      <c r="F160" s="643">
        <v>0</v>
      </c>
      <c r="H160" s="674" t="str">
        <f t="shared" si="2"/>
        <v>RES_201202_P3T22026</v>
      </c>
    </row>
    <row r="161" spans="1:8">
      <c r="A161" t="s">
        <v>613</v>
      </c>
      <c r="B161">
        <v>2027</v>
      </c>
      <c r="C161" s="643">
        <v>0</v>
      </c>
      <c r="D161" s="643">
        <v>0</v>
      </c>
      <c r="E161" s="643">
        <v>1</v>
      </c>
      <c r="F161" s="643">
        <v>0</v>
      </c>
      <c r="H161" s="674" t="str">
        <f t="shared" si="2"/>
        <v>RES_201202_P3T22027</v>
      </c>
    </row>
    <row r="162" spans="1:8">
      <c r="A162" t="s">
        <v>624</v>
      </c>
      <c r="B162">
        <v>2024</v>
      </c>
      <c r="C162" s="643">
        <v>0</v>
      </c>
      <c r="D162" s="643">
        <v>0</v>
      </c>
      <c r="E162" s="643">
        <v>1</v>
      </c>
      <c r="F162" s="643">
        <v>0</v>
      </c>
      <c r="H162" s="674" t="str">
        <f t="shared" si="2"/>
        <v>RES_201202_P3T32024</v>
      </c>
    </row>
    <row r="163" spans="1:8">
      <c r="A163" t="s">
        <v>624</v>
      </c>
      <c r="B163">
        <v>2025</v>
      </c>
      <c r="C163" s="643">
        <v>0</v>
      </c>
      <c r="D163" s="643">
        <v>0</v>
      </c>
      <c r="E163" s="643">
        <v>1</v>
      </c>
      <c r="F163" s="643">
        <v>0</v>
      </c>
      <c r="H163" s="674" t="str">
        <f t="shared" si="2"/>
        <v>RES_201202_P3T32025</v>
      </c>
    </row>
    <row r="164" spans="1:8">
      <c r="A164" t="s">
        <v>624</v>
      </c>
      <c r="B164">
        <v>2026</v>
      </c>
      <c r="C164" s="643">
        <v>0</v>
      </c>
      <c r="D164" s="643">
        <v>0</v>
      </c>
      <c r="E164" s="643">
        <v>1</v>
      </c>
      <c r="F164" s="643">
        <v>0</v>
      </c>
      <c r="H164" s="674" t="str">
        <f t="shared" si="2"/>
        <v>RES_201202_P3T32026</v>
      </c>
    </row>
    <row r="165" spans="1:8">
      <c r="A165" t="s">
        <v>624</v>
      </c>
      <c r="B165">
        <v>2027</v>
      </c>
      <c r="C165" s="643">
        <v>0</v>
      </c>
      <c r="D165" s="643">
        <v>0</v>
      </c>
      <c r="E165" s="643">
        <v>1</v>
      </c>
      <c r="F165" s="643">
        <v>0</v>
      </c>
      <c r="H165" s="674" t="str">
        <f t="shared" si="2"/>
        <v>RES_201202_P3T32027</v>
      </c>
    </row>
    <row r="166" spans="1:8">
      <c r="A166" t="s">
        <v>625</v>
      </c>
      <c r="B166">
        <v>2024</v>
      </c>
      <c r="C166" s="643">
        <v>0</v>
      </c>
      <c r="D166" s="643">
        <v>0</v>
      </c>
      <c r="E166" s="643">
        <v>1</v>
      </c>
      <c r="F166" s="643">
        <v>0</v>
      </c>
      <c r="H166" s="674" t="str">
        <f t="shared" si="2"/>
        <v>RES_201202_P3T42024</v>
      </c>
    </row>
    <row r="167" spans="1:8">
      <c r="A167" t="s">
        <v>625</v>
      </c>
      <c r="B167">
        <v>2025</v>
      </c>
      <c r="C167" s="643">
        <v>0</v>
      </c>
      <c r="D167" s="643">
        <v>0</v>
      </c>
      <c r="E167" s="643">
        <v>1</v>
      </c>
      <c r="F167" s="643">
        <v>0</v>
      </c>
      <c r="H167" s="674" t="str">
        <f t="shared" si="2"/>
        <v>RES_201202_P3T42025</v>
      </c>
    </row>
    <row r="168" spans="1:8">
      <c r="A168" t="s">
        <v>625</v>
      </c>
      <c r="B168">
        <v>2026</v>
      </c>
      <c r="C168" s="643">
        <v>0</v>
      </c>
      <c r="D168" s="643">
        <v>0</v>
      </c>
      <c r="E168" s="643">
        <v>1</v>
      </c>
      <c r="F168" s="643">
        <v>0</v>
      </c>
      <c r="H168" s="674" t="str">
        <f t="shared" si="2"/>
        <v>RES_201202_P3T42026</v>
      </c>
    </row>
    <row r="169" spans="1:8">
      <c r="A169" t="s">
        <v>625</v>
      </c>
      <c r="B169">
        <v>2027</v>
      </c>
      <c r="C169" s="643">
        <v>0</v>
      </c>
      <c r="D169" s="643">
        <v>0</v>
      </c>
      <c r="E169" s="643">
        <v>1</v>
      </c>
      <c r="F169" s="643">
        <v>0</v>
      </c>
      <c r="H169" s="674" t="str">
        <f t="shared" si="2"/>
        <v>RES_201202_P3T42027</v>
      </c>
    </row>
    <row r="170" spans="1:8">
      <c r="A170" t="s">
        <v>724</v>
      </c>
      <c r="B170">
        <v>2026</v>
      </c>
      <c r="C170" s="643">
        <v>0</v>
      </c>
      <c r="D170" s="643">
        <v>0</v>
      </c>
      <c r="E170" s="643">
        <v>1</v>
      </c>
      <c r="F170" s="643">
        <v>0</v>
      </c>
      <c r="H170" s="674" t="str">
        <f t="shared" si="2"/>
        <v>RES_201202_P3T52026</v>
      </c>
    </row>
    <row r="171" spans="1:8">
      <c r="A171" t="s">
        <v>724</v>
      </c>
      <c r="B171">
        <v>2027</v>
      </c>
      <c r="C171" s="643">
        <v>0</v>
      </c>
      <c r="D171" s="643">
        <v>0</v>
      </c>
      <c r="E171" s="643">
        <v>1</v>
      </c>
      <c r="F171" s="643">
        <v>0</v>
      </c>
      <c r="H171" s="674" t="str">
        <f t="shared" si="2"/>
        <v>RES_201202_P3T52027</v>
      </c>
    </row>
    <row r="172" spans="1:8">
      <c r="A172" t="s">
        <v>626</v>
      </c>
      <c r="B172">
        <v>2024</v>
      </c>
      <c r="C172" s="643">
        <v>0</v>
      </c>
      <c r="D172" s="643">
        <v>0</v>
      </c>
      <c r="E172" s="643">
        <v>1</v>
      </c>
      <c r="F172" s="643">
        <v>0</v>
      </c>
      <c r="H172" s="674" t="str">
        <f t="shared" si="2"/>
        <v>RES_201202_P4T12024</v>
      </c>
    </row>
    <row r="173" spans="1:8">
      <c r="A173" t="s">
        <v>626</v>
      </c>
      <c r="B173">
        <v>2025</v>
      </c>
      <c r="C173" s="643">
        <v>0</v>
      </c>
      <c r="D173" s="643">
        <v>0</v>
      </c>
      <c r="E173" s="643">
        <v>1</v>
      </c>
      <c r="F173" s="643">
        <v>0</v>
      </c>
      <c r="H173" s="674" t="str">
        <f t="shared" si="2"/>
        <v>RES_201202_P4T12025</v>
      </c>
    </row>
    <row r="174" spans="1:8">
      <c r="A174" t="s">
        <v>626</v>
      </c>
      <c r="B174">
        <v>2026</v>
      </c>
      <c r="C174" s="643">
        <v>0</v>
      </c>
      <c r="D174" s="643">
        <v>0</v>
      </c>
      <c r="E174" s="643">
        <v>1</v>
      </c>
      <c r="F174" s="643">
        <v>0</v>
      </c>
      <c r="H174" s="674" t="str">
        <f t="shared" si="2"/>
        <v>RES_201202_P4T12026</v>
      </c>
    </row>
    <row r="175" spans="1:8">
      <c r="A175" t="s">
        <v>626</v>
      </c>
      <c r="B175">
        <v>2027</v>
      </c>
      <c r="C175" s="643">
        <v>0</v>
      </c>
      <c r="D175" s="643">
        <v>0</v>
      </c>
      <c r="E175" s="643">
        <v>1</v>
      </c>
      <c r="F175" s="643">
        <v>0</v>
      </c>
      <c r="H175" s="674" t="str">
        <f t="shared" si="2"/>
        <v>RES_201202_P4T12027</v>
      </c>
    </row>
    <row r="176" spans="1:8">
      <c r="A176" t="s">
        <v>627</v>
      </c>
      <c r="B176">
        <v>2024</v>
      </c>
      <c r="C176" s="643">
        <v>0</v>
      </c>
      <c r="D176" s="643">
        <v>0</v>
      </c>
      <c r="E176" s="643">
        <v>1</v>
      </c>
      <c r="F176" s="643">
        <v>0</v>
      </c>
      <c r="H176" s="674" t="str">
        <f t="shared" si="2"/>
        <v>RES_201202_P4T22024</v>
      </c>
    </row>
    <row r="177" spans="1:8">
      <c r="A177" t="s">
        <v>627</v>
      </c>
      <c r="B177">
        <v>2025</v>
      </c>
      <c r="C177" s="643">
        <v>0</v>
      </c>
      <c r="D177" s="643">
        <v>0</v>
      </c>
      <c r="E177" s="643">
        <v>1</v>
      </c>
      <c r="F177" s="643">
        <v>0</v>
      </c>
      <c r="H177" s="674" t="str">
        <f t="shared" si="2"/>
        <v>RES_201202_P4T22025</v>
      </c>
    </row>
    <row r="178" spans="1:8">
      <c r="A178" t="s">
        <v>627</v>
      </c>
      <c r="B178">
        <v>2026</v>
      </c>
      <c r="C178" s="643">
        <v>0</v>
      </c>
      <c r="D178" s="643">
        <v>0</v>
      </c>
      <c r="E178" s="643">
        <v>1</v>
      </c>
      <c r="F178" s="643">
        <v>0</v>
      </c>
      <c r="H178" s="674" t="str">
        <f t="shared" si="2"/>
        <v>RES_201202_P4T22026</v>
      </c>
    </row>
    <row r="179" spans="1:8">
      <c r="A179" t="s">
        <v>627</v>
      </c>
      <c r="B179">
        <v>2027</v>
      </c>
      <c r="C179" s="643">
        <v>0</v>
      </c>
      <c r="D179" s="643">
        <v>0</v>
      </c>
      <c r="E179" s="643">
        <v>1</v>
      </c>
      <c r="F179" s="643">
        <v>0</v>
      </c>
      <c r="H179" s="674" t="str">
        <f t="shared" si="2"/>
        <v>RES_201202_P4T22027</v>
      </c>
    </row>
    <row r="180" spans="1:8">
      <c r="A180" t="s">
        <v>628</v>
      </c>
      <c r="B180">
        <v>2024</v>
      </c>
      <c r="C180" s="643">
        <v>0</v>
      </c>
      <c r="D180" s="643">
        <v>0</v>
      </c>
      <c r="E180" s="643">
        <v>1</v>
      </c>
      <c r="F180" s="643">
        <v>0</v>
      </c>
      <c r="H180" s="674" t="str">
        <f t="shared" si="2"/>
        <v>RES_201202_P4T32024</v>
      </c>
    </row>
    <row r="181" spans="1:8">
      <c r="A181" t="s">
        <v>628</v>
      </c>
      <c r="B181">
        <v>2025</v>
      </c>
      <c r="C181" s="643">
        <v>0</v>
      </c>
      <c r="D181" s="643">
        <v>0</v>
      </c>
      <c r="E181" s="643">
        <v>1</v>
      </c>
      <c r="F181" s="643">
        <v>0</v>
      </c>
      <c r="H181" s="674" t="str">
        <f t="shared" si="2"/>
        <v>RES_201202_P4T32025</v>
      </c>
    </row>
    <row r="182" spans="1:8">
      <c r="A182" t="s">
        <v>628</v>
      </c>
      <c r="B182">
        <v>2026</v>
      </c>
      <c r="C182" s="643">
        <v>0</v>
      </c>
      <c r="D182" s="643">
        <v>0</v>
      </c>
      <c r="E182" s="643">
        <v>1</v>
      </c>
      <c r="F182" s="643">
        <v>0</v>
      </c>
      <c r="H182" s="674" t="str">
        <f t="shared" si="2"/>
        <v>RES_201202_P4T32026</v>
      </c>
    </row>
    <row r="183" spans="1:8">
      <c r="A183" t="s">
        <v>628</v>
      </c>
      <c r="B183">
        <v>2027</v>
      </c>
      <c r="C183" s="643">
        <v>0</v>
      </c>
      <c r="D183" s="643">
        <v>0</v>
      </c>
      <c r="E183" s="643">
        <v>1</v>
      </c>
      <c r="F183" s="643">
        <v>0</v>
      </c>
      <c r="H183" s="674" t="str">
        <f t="shared" si="2"/>
        <v>RES_201202_P4T32027</v>
      </c>
    </row>
    <row r="184" spans="1:8">
      <c r="A184" t="s">
        <v>629</v>
      </c>
      <c r="B184">
        <v>2024</v>
      </c>
      <c r="C184" s="643">
        <v>0</v>
      </c>
      <c r="D184" s="643">
        <v>0</v>
      </c>
      <c r="E184" s="643">
        <v>1</v>
      </c>
      <c r="F184" s="643">
        <v>0</v>
      </c>
      <c r="H184" s="674" t="str">
        <f t="shared" si="2"/>
        <v>RES_201202_P4T42024</v>
      </c>
    </row>
    <row r="185" spans="1:8">
      <c r="A185" t="s">
        <v>629</v>
      </c>
      <c r="B185">
        <v>2025</v>
      </c>
      <c r="C185" s="643">
        <v>0</v>
      </c>
      <c r="D185" s="643">
        <v>0</v>
      </c>
      <c r="E185" s="643">
        <v>1</v>
      </c>
      <c r="F185" s="643">
        <v>0</v>
      </c>
      <c r="H185" s="674" t="str">
        <f t="shared" si="2"/>
        <v>RES_201202_P4T42025</v>
      </c>
    </row>
    <row r="186" spans="1:8">
      <c r="A186" t="s">
        <v>629</v>
      </c>
      <c r="B186">
        <v>2026</v>
      </c>
      <c r="C186" s="643">
        <v>0</v>
      </c>
      <c r="D186" s="643">
        <v>0</v>
      </c>
      <c r="E186" s="643">
        <v>1</v>
      </c>
      <c r="F186" s="643">
        <v>0</v>
      </c>
      <c r="H186" s="674" t="str">
        <f t="shared" si="2"/>
        <v>RES_201202_P4T42026</v>
      </c>
    </row>
    <row r="187" spans="1:8">
      <c r="A187" t="s">
        <v>629</v>
      </c>
      <c r="B187">
        <v>2027</v>
      </c>
      <c r="C187" s="643">
        <v>0</v>
      </c>
      <c r="D187" s="643">
        <v>0</v>
      </c>
      <c r="E187" s="643">
        <v>1</v>
      </c>
      <c r="F187" s="643">
        <v>0</v>
      </c>
      <c r="H187" s="674" t="str">
        <f t="shared" si="2"/>
        <v>RES_201202_P4T42027</v>
      </c>
    </row>
    <row r="188" spans="1:8">
      <c r="A188" t="s">
        <v>725</v>
      </c>
      <c r="B188">
        <v>2026</v>
      </c>
      <c r="C188" s="643">
        <v>0</v>
      </c>
      <c r="D188" s="643">
        <v>0</v>
      </c>
      <c r="E188" s="643">
        <v>1</v>
      </c>
      <c r="F188" s="643">
        <v>0</v>
      </c>
      <c r="H188" s="674" t="str">
        <f t="shared" si="2"/>
        <v>RES_201202_P4T52026</v>
      </c>
    </row>
    <row r="189" spans="1:8">
      <c r="A189" t="s">
        <v>725</v>
      </c>
      <c r="B189">
        <v>2027</v>
      </c>
      <c r="C189" s="643">
        <v>0</v>
      </c>
      <c r="D189" s="643">
        <v>0</v>
      </c>
      <c r="E189" s="643">
        <v>1</v>
      </c>
      <c r="F189" s="643">
        <v>0</v>
      </c>
      <c r="H189" s="674" t="str">
        <f t="shared" si="2"/>
        <v>RES_201202_P4T52027</v>
      </c>
    </row>
    <row r="190" spans="1:8">
      <c r="A190" t="s">
        <v>58</v>
      </c>
      <c r="B190">
        <v>2024</v>
      </c>
      <c r="C190" s="643">
        <v>0</v>
      </c>
      <c r="D190" s="643">
        <v>0</v>
      </c>
      <c r="E190" s="643">
        <v>1</v>
      </c>
      <c r="F190" s="643">
        <v>0</v>
      </c>
      <c r="H190" s="674" t="str">
        <f t="shared" si="2"/>
        <v>RES_201301_P1T52024</v>
      </c>
    </row>
    <row r="191" spans="1:8">
      <c r="A191" t="s">
        <v>58</v>
      </c>
      <c r="B191">
        <v>2025</v>
      </c>
      <c r="C191" s="643">
        <v>0</v>
      </c>
      <c r="D191" s="643">
        <v>0</v>
      </c>
      <c r="E191" s="643">
        <v>1</v>
      </c>
      <c r="F191" s="643">
        <v>0</v>
      </c>
      <c r="H191" s="674" t="str">
        <f t="shared" si="2"/>
        <v>RES_201301_P1T52025</v>
      </c>
    </row>
    <row r="192" spans="1:8">
      <c r="A192" t="s">
        <v>58</v>
      </c>
      <c r="B192">
        <v>2026</v>
      </c>
      <c r="C192" s="643">
        <v>0</v>
      </c>
      <c r="D192" s="643">
        <v>0</v>
      </c>
      <c r="E192" s="643">
        <v>1</v>
      </c>
      <c r="F192" s="643">
        <v>0</v>
      </c>
      <c r="H192" s="674" t="str">
        <f t="shared" si="2"/>
        <v>RES_201301_P1T52026</v>
      </c>
    </row>
    <row r="193" spans="1:8">
      <c r="A193" t="s">
        <v>58</v>
      </c>
      <c r="B193">
        <v>2027</v>
      </c>
      <c r="C193" s="643">
        <v>0</v>
      </c>
      <c r="D193" s="643">
        <v>0</v>
      </c>
      <c r="E193" s="643">
        <v>1</v>
      </c>
      <c r="F193" s="643">
        <v>0</v>
      </c>
      <c r="H193" s="674" t="str">
        <f t="shared" si="2"/>
        <v>RES_201301_P1T52027</v>
      </c>
    </row>
    <row r="194" spans="1:8">
      <c r="A194" t="s">
        <v>1611</v>
      </c>
      <c r="B194">
        <v>2027</v>
      </c>
      <c r="C194" s="643">
        <v>0</v>
      </c>
      <c r="D194" s="643">
        <v>0</v>
      </c>
      <c r="E194" s="643">
        <v>0</v>
      </c>
      <c r="F194" s="643">
        <v>1</v>
      </c>
      <c r="H194" s="674" t="str">
        <f t="shared" si="2"/>
        <v>RES_201301_P1T62027</v>
      </c>
    </row>
    <row r="195" spans="1:8">
      <c r="A195" t="s">
        <v>59</v>
      </c>
      <c r="B195">
        <v>2024</v>
      </c>
      <c r="C195" s="643">
        <v>0</v>
      </c>
      <c r="D195" s="643">
        <v>0</v>
      </c>
      <c r="E195" s="643">
        <v>1</v>
      </c>
      <c r="F195" s="643">
        <v>0</v>
      </c>
      <c r="H195" s="674" t="str">
        <f t="shared" ref="H195:H258" si="3">A195&amp;B195</f>
        <v>RES_201301_P2T42024</v>
      </c>
    </row>
    <row r="196" spans="1:8">
      <c r="A196" t="s">
        <v>59</v>
      </c>
      <c r="B196">
        <v>2025</v>
      </c>
      <c r="C196" s="643">
        <v>0</v>
      </c>
      <c r="D196" s="643">
        <v>0</v>
      </c>
      <c r="E196" s="643">
        <v>1</v>
      </c>
      <c r="F196" s="643">
        <v>0</v>
      </c>
      <c r="H196" s="674" t="str">
        <f t="shared" si="3"/>
        <v>RES_201301_P2T42025</v>
      </c>
    </row>
    <row r="197" spans="1:8">
      <c r="A197" t="s">
        <v>59</v>
      </c>
      <c r="B197">
        <v>2026</v>
      </c>
      <c r="C197" s="643">
        <v>0</v>
      </c>
      <c r="D197" s="643">
        <v>0</v>
      </c>
      <c r="E197" s="643">
        <v>1</v>
      </c>
      <c r="F197" s="643">
        <v>0</v>
      </c>
      <c r="H197" s="674" t="str">
        <f t="shared" si="3"/>
        <v>RES_201301_P2T42026</v>
      </c>
    </row>
    <row r="198" spans="1:8">
      <c r="A198" t="s">
        <v>59</v>
      </c>
      <c r="B198">
        <v>2027</v>
      </c>
      <c r="C198" s="643">
        <v>0</v>
      </c>
      <c r="D198" s="643">
        <v>0</v>
      </c>
      <c r="E198" s="643">
        <v>1</v>
      </c>
      <c r="F198" s="643">
        <v>0</v>
      </c>
      <c r="H198" s="674" t="str">
        <f t="shared" si="3"/>
        <v>RES_201301_P2T42027</v>
      </c>
    </row>
    <row r="199" spans="1:8">
      <c r="A199" t="s">
        <v>60</v>
      </c>
      <c r="B199">
        <v>2024</v>
      </c>
      <c r="C199" s="643">
        <v>0</v>
      </c>
      <c r="D199" s="643">
        <v>0</v>
      </c>
      <c r="E199" s="643">
        <v>1</v>
      </c>
      <c r="F199" s="643">
        <v>0</v>
      </c>
      <c r="H199" s="674" t="str">
        <f t="shared" si="3"/>
        <v>RES_201301_P2T52024</v>
      </c>
    </row>
    <row r="200" spans="1:8">
      <c r="A200" t="s">
        <v>60</v>
      </c>
      <c r="B200">
        <v>2025</v>
      </c>
      <c r="C200" s="643">
        <v>0</v>
      </c>
      <c r="D200" s="643">
        <v>0</v>
      </c>
      <c r="E200" s="643">
        <v>1</v>
      </c>
      <c r="F200" s="643">
        <v>0</v>
      </c>
      <c r="H200" s="674" t="str">
        <f t="shared" si="3"/>
        <v>RES_201301_P2T52025</v>
      </c>
    </row>
    <row r="201" spans="1:8">
      <c r="A201" t="s">
        <v>60</v>
      </c>
      <c r="B201">
        <v>2026</v>
      </c>
      <c r="C201" s="643">
        <v>0</v>
      </c>
      <c r="D201" s="643">
        <v>0</v>
      </c>
      <c r="E201" s="643">
        <v>1</v>
      </c>
      <c r="F201" s="643">
        <v>0</v>
      </c>
      <c r="H201" s="674" t="str">
        <f t="shared" si="3"/>
        <v>RES_201301_P2T52026</v>
      </c>
    </row>
    <row r="202" spans="1:8">
      <c r="A202" t="s">
        <v>60</v>
      </c>
      <c r="B202">
        <v>2027</v>
      </c>
      <c r="C202" s="643">
        <v>0</v>
      </c>
      <c r="D202" s="643">
        <v>0</v>
      </c>
      <c r="E202" s="643">
        <v>1</v>
      </c>
      <c r="F202" s="643">
        <v>0</v>
      </c>
      <c r="H202" s="674" t="str">
        <f t="shared" si="3"/>
        <v>RES_201301_P2T52027</v>
      </c>
    </row>
    <row r="203" spans="1:8">
      <c r="A203" t="s">
        <v>1617</v>
      </c>
      <c r="B203">
        <v>2026</v>
      </c>
      <c r="C203" s="643">
        <v>0</v>
      </c>
      <c r="D203" s="643">
        <v>0</v>
      </c>
      <c r="E203" s="643">
        <v>0</v>
      </c>
      <c r="F203" s="643">
        <v>1</v>
      </c>
      <c r="H203" s="674" t="str">
        <f t="shared" si="3"/>
        <v>RES_201301_P2T62026</v>
      </c>
    </row>
    <row r="204" spans="1:8">
      <c r="A204" t="s">
        <v>1617</v>
      </c>
      <c r="B204">
        <v>2027</v>
      </c>
      <c r="C204" s="643">
        <v>0</v>
      </c>
      <c r="D204" s="643">
        <v>0</v>
      </c>
      <c r="E204" s="643">
        <v>0</v>
      </c>
      <c r="F204" s="643">
        <v>1</v>
      </c>
      <c r="H204" s="674" t="str">
        <f t="shared" si="3"/>
        <v>RES_201301_P2T62027</v>
      </c>
    </row>
    <row r="205" spans="1:8">
      <c r="A205" t="s">
        <v>61</v>
      </c>
      <c r="B205">
        <v>2024</v>
      </c>
      <c r="C205" s="643">
        <v>0</v>
      </c>
      <c r="D205" s="643">
        <v>0</v>
      </c>
      <c r="E205" s="643">
        <v>1</v>
      </c>
      <c r="F205" s="643">
        <v>0</v>
      </c>
      <c r="H205" s="674" t="str">
        <f t="shared" si="3"/>
        <v>RES_201301_P3T42024</v>
      </c>
    </row>
    <row r="206" spans="1:8">
      <c r="A206" t="s">
        <v>61</v>
      </c>
      <c r="B206">
        <v>2025</v>
      </c>
      <c r="C206" s="643">
        <v>0</v>
      </c>
      <c r="D206" s="643">
        <v>0</v>
      </c>
      <c r="E206" s="643">
        <v>1</v>
      </c>
      <c r="F206" s="643">
        <v>0</v>
      </c>
      <c r="H206" s="674" t="str">
        <f t="shared" si="3"/>
        <v>RES_201301_P3T42025</v>
      </c>
    </row>
    <row r="207" spans="1:8">
      <c r="A207" t="s">
        <v>61</v>
      </c>
      <c r="B207">
        <v>2026</v>
      </c>
      <c r="C207" s="643">
        <v>0</v>
      </c>
      <c r="D207" s="643">
        <v>0</v>
      </c>
      <c r="E207" s="643">
        <v>1</v>
      </c>
      <c r="F207" s="643">
        <v>0</v>
      </c>
      <c r="H207" s="674" t="str">
        <f t="shared" si="3"/>
        <v>RES_201301_P3T42026</v>
      </c>
    </row>
    <row r="208" spans="1:8">
      <c r="A208" t="s">
        <v>61</v>
      </c>
      <c r="B208">
        <v>2027</v>
      </c>
      <c r="C208" s="643">
        <v>0</v>
      </c>
      <c r="D208" s="643">
        <v>0</v>
      </c>
      <c r="E208" s="643">
        <v>1</v>
      </c>
      <c r="F208" s="643">
        <v>0</v>
      </c>
      <c r="H208" s="674" t="str">
        <f t="shared" si="3"/>
        <v>RES_201301_P3T42027</v>
      </c>
    </row>
    <row r="209" spans="1:8">
      <c r="A209" t="s">
        <v>62</v>
      </c>
      <c r="B209">
        <v>2024</v>
      </c>
      <c r="C209" s="643">
        <v>0</v>
      </c>
      <c r="D209" s="643">
        <v>0</v>
      </c>
      <c r="E209" s="643">
        <v>1</v>
      </c>
      <c r="F209" s="643">
        <v>0</v>
      </c>
      <c r="H209" s="674" t="str">
        <f t="shared" si="3"/>
        <v>RES_201301_P3T52024</v>
      </c>
    </row>
    <row r="210" spans="1:8">
      <c r="A210" t="s">
        <v>62</v>
      </c>
      <c r="B210">
        <v>2025</v>
      </c>
      <c r="C210" s="643">
        <v>0</v>
      </c>
      <c r="D210" s="643">
        <v>0</v>
      </c>
      <c r="E210" s="643">
        <v>1</v>
      </c>
      <c r="F210" s="643">
        <v>0</v>
      </c>
      <c r="H210" s="674" t="str">
        <f t="shared" si="3"/>
        <v>RES_201301_P3T52025</v>
      </c>
    </row>
    <row r="211" spans="1:8">
      <c r="A211" t="s">
        <v>62</v>
      </c>
      <c r="B211">
        <v>2026</v>
      </c>
      <c r="C211" s="643">
        <v>0</v>
      </c>
      <c r="D211" s="643">
        <v>0</v>
      </c>
      <c r="E211" s="643">
        <v>1</v>
      </c>
      <c r="F211" s="643">
        <v>0</v>
      </c>
      <c r="H211" s="674" t="str">
        <f t="shared" si="3"/>
        <v>RES_201301_P3T52026</v>
      </c>
    </row>
    <row r="212" spans="1:8">
      <c r="A212" t="s">
        <v>62</v>
      </c>
      <c r="B212">
        <v>2027</v>
      </c>
      <c r="C212" s="643">
        <v>0</v>
      </c>
      <c r="D212" s="643">
        <v>0</v>
      </c>
      <c r="E212" s="643">
        <v>1</v>
      </c>
      <c r="F212" s="643">
        <v>0</v>
      </c>
      <c r="H212" s="674" t="str">
        <f t="shared" si="3"/>
        <v>RES_201301_P3T52027</v>
      </c>
    </row>
    <row r="213" spans="1:8">
      <c r="A213" t="s">
        <v>1619</v>
      </c>
      <c r="B213">
        <v>2027</v>
      </c>
      <c r="C213" s="643">
        <v>0</v>
      </c>
      <c r="D213" s="643">
        <v>0</v>
      </c>
      <c r="E213" s="643">
        <v>0</v>
      </c>
      <c r="F213" s="643">
        <v>1</v>
      </c>
      <c r="H213" s="674" t="str">
        <f t="shared" si="3"/>
        <v>RES_201301_P3T62027</v>
      </c>
    </row>
    <row r="214" spans="1:8">
      <c r="A214" t="s">
        <v>399</v>
      </c>
      <c r="B214">
        <v>2024</v>
      </c>
      <c r="C214" s="643">
        <v>0</v>
      </c>
      <c r="D214" s="643">
        <v>0</v>
      </c>
      <c r="E214" s="643">
        <v>1</v>
      </c>
      <c r="F214" s="643">
        <v>0</v>
      </c>
      <c r="H214" s="674" t="str">
        <f t="shared" si="3"/>
        <v>RES_201301_P4T62024</v>
      </c>
    </row>
    <row r="215" spans="1:8">
      <c r="A215" t="s">
        <v>399</v>
      </c>
      <c r="B215">
        <v>2025</v>
      </c>
      <c r="C215" s="643">
        <v>0</v>
      </c>
      <c r="D215" s="643">
        <v>0</v>
      </c>
      <c r="E215" s="643">
        <v>1</v>
      </c>
      <c r="F215" s="643">
        <v>0</v>
      </c>
      <c r="H215" s="674" t="str">
        <f t="shared" si="3"/>
        <v>RES_201301_P4T62025</v>
      </c>
    </row>
    <row r="216" spans="1:8">
      <c r="A216" t="s">
        <v>399</v>
      </c>
      <c r="B216">
        <v>2026</v>
      </c>
      <c r="C216" s="643">
        <v>0</v>
      </c>
      <c r="D216" s="643">
        <v>0</v>
      </c>
      <c r="E216" s="643">
        <v>1</v>
      </c>
      <c r="F216" s="643">
        <v>0</v>
      </c>
      <c r="H216" s="674" t="str">
        <f t="shared" si="3"/>
        <v>RES_201301_P4T62026</v>
      </c>
    </row>
    <row r="217" spans="1:8">
      <c r="A217" t="s">
        <v>399</v>
      </c>
      <c r="B217">
        <v>2027</v>
      </c>
      <c r="C217" s="643">
        <v>0</v>
      </c>
      <c r="D217" s="643">
        <v>0</v>
      </c>
      <c r="E217" s="643">
        <v>1</v>
      </c>
      <c r="F217" s="643">
        <v>0</v>
      </c>
      <c r="H217" s="674" t="str">
        <f t="shared" si="3"/>
        <v>RES_201301_P4T62027</v>
      </c>
    </row>
    <row r="218" spans="1:8">
      <c r="A218" t="s">
        <v>1621</v>
      </c>
      <c r="B218">
        <v>2027</v>
      </c>
      <c r="C218" s="643">
        <v>0</v>
      </c>
      <c r="D218" s="643">
        <v>0</v>
      </c>
      <c r="E218" s="643">
        <v>0</v>
      </c>
      <c r="F218" s="643">
        <v>1</v>
      </c>
      <c r="H218" s="674" t="str">
        <f t="shared" si="3"/>
        <v>RES_201301_P4T72027</v>
      </c>
    </row>
    <row r="219" spans="1:8">
      <c r="A219" t="s">
        <v>1624</v>
      </c>
      <c r="B219">
        <v>2025</v>
      </c>
      <c r="C219" s="643">
        <v>0</v>
      </c>
      <c r="D219" s="643">
        <v>0</v>
      </c>
      <c r="E219" s="643">
        <v>1</v>
      </c>
      <c r="F219" s="643">
        <v>0</v>
      </c>
      <c r="H219" s="674" t="str">
        <f t="shared" si="3"/>
        <v>RES_201402_P11T12025</v>
      </c>
    </row>
    <row r="220" spans="1:8">
      <c r="A220" t="s">
        <v>1624</v>
      </c>
      <c r="B220">
        <v>2026</v>
      </c>
      <c r="C220" s="643">
        <v>0</v>
      </c>
      <c r="D220" s="643">
        <v>0</v>
      </c>
      <c r="E220" s="643">
        <v>1</v>
      </c>
      <c r="F220" s="643">
        <v>0</v>
      </c>
      <c r="H220" s="674" t="str">
        <f t="shared" si="3"/>
        <v>RES_201402_P11T12026</v>
      </c>
    </row>
    <row r="221" spans="1:8">
      <c r="A221" t="s">
        <v>1624</v>
      </c>
      <c r="B221">
        <v>2027</v>
      </c>
      <c r="C221" s="643">
        <v>0</v>
      </c>
      <c r="D221" s="643">
        <v>0</v>
      </c>
      <c r="E221" s="643">
        <v>1</v>
      </c>
      <c r="F221" s="643">
        <v>0</v>
      </c>
      <c r="H221" s="674" t="str">
        <f t="shared" si="3"/>
        <v>RES_201402_P11T12027</v>
      </c>
    </row>
    <row r="222" spans="1:8">
      <c r="A222" t="s">
        <v>1625</v>
      </c>
      <c r="B222">
        <v>2024</v>
      </c>
      <c r="C222" s="643">
        <v>0</v>
      </c>
      <c r="D222" s="643">
        <v>0</v>
      </c>
      <c r="E222" s="643">
        <v>1</v>
      </c>
      <c r="F222" s="643">
        <v>0</v>
      </c>
      <c r="H222" s="674" t="str">
        <f t="shared" si="3"/>
        <v>RES_201402_P12T12024</v>
      </c>
    </row>
    <row r="223" spans="1:8">
      <c r="A223" t="s">
        <v>1625</v>
      </c>
      <c r="B223">
        <v>2025</v>
      </c>
      <c r="C223" s="643">
        <v>0</v>
      </c>
      <c r="D223" s="643">
        <v>0</v>
      </c>
      <c r="E223" s="643">
        <v>1</v>
      </c>
      <c r="F223" s="643">
        <v>0</v>
      </c>
      <c r="H223" s="674" t="str">
        <f t="shared" si="3"/>
        <v>RES_201402_P12T12025</v>
      </c>
    </row>
    <row r="224" spans="1:8">
      <c r="A224" t="s">
        <v>1625</v>
      </c>
      <c r="B224">
        <v>2026</v>
      </c>
      <c r="C224" s="643">
        <v>0</v>
      </c>
      <c r="D224" s="643">
        <v>0</v>
      </c>
      <c r="E224" s="643">
        <v>1</v>
      </c>
      <c r="F224" s="643">
        <v>0</v>
      </c>
      <c r="H224" s="674" t="str">
        <f t="shared" si="3"/>
        <v>RES_201402_P12T12026</v>
      </c>
    </row>
    <row r="225" spans="1:8">
      <c r="A225" t="s">
        <v>1625</v>
      </c>
      <c r="B225">
        <v>2027</v>
      </c>
      <c r="C225" s="643">
        <v>0</v>
      </c>
      <c r="D225" s="643">
        <v>0</v>
      </c>
      <c r="E225" s="643">
        <v>1</v>
      </c>
      <c r="F225" s="643">
        <v>0</v>
      </c>
      <c r="H225" s="674" t="str">
        <f t="shared" si="3"/>
        <v>RES_201402_P12T12027</v>
      </c>
    </row>
    <row r="226" spans="1:8">
      <c r="A226" t="s">
        <v>111</v>
      </c>
      <c r="B226">
        <v>2024</v>
      </c>
      <c r="C226" s="643">
        <v>0</v>
      </c>
      <c r="D226" s="643">
        <v>0</v>
      </c>
      <c r="E226" s="643">
        <v>1</v>
      </c>
      <c r="F226" s="643">
        <v>0</v>
      </c>
      <c r="H226" s="674" t="str">
        <f t="shared" si="3"/>
        <v>RES_201403_P10T02024</v>
      </c>
    </row>
    <row r="227" spans="1:8">
      <c r="A227" t="s">
        <v>111</v>
      </c>
      <c r="B227">
        <v>2025</v>
      </c>
      <c r="C227" s="643">
        <v>0</v>
      </c>
      <c r="D227" s="643">
        <v>0</v>
      </c>
      <c r="E227" s="643">
        <v>1</v>
      </c>
      <c r="F227" s="643">
        <v>0</v>
      </c>
      <c r="H227" s="674" t="str">
        <f t="shared" si="3"/>
        <v>RES_201403_P10T02025</v>
      </c>
    </row>
    <row r="228" spans="1:8">
      <c r="A228" t="s">
        <v>111</v>
      </c>
      <c r="B228">
        <v>2026</v>
      </c>
      <c r="C228" s="643">
        <v>0</v>
      </c>
      <c r="D228" s="643">
        <v>0</v>
      </c>
      <c r="E228" s="643">
        <v>1</v>
      </c>
      <c r="F228" s="643">
        <v>0</v>
      </c>
      <c r="H228" s="674" t="str">
        <f t="shared" si="3"/>
        <v>RES_201403_P10T02026</v>
      </c>
    </row>
    <row r="229" spans="1:8">
      <c r="A229" t="s">
        <v>111</v>
      </c>
      <c r="B229">
        <v>2027</v>
      </c>
      <c r="C229" s="643">
        <v>0</v>
      </c>
      <c r="D229" s="643">
        <v>0</v>
      </c>
      <c r="E229" s="643">
        <v>1</v>
      </c>
      <c r="F229" s="643">
        <v>0</v>
      </c>
      <c r="H229" s="674" t="str">
        <f t="shared" si="3"/>
        <v>RES_201403_P10T02027</v>
      </c>
    </row>
    <row r="230" spans="1:8">
      <c r="A230" t="s">
        <v>110</v>
      </c>
      <c r="B230">
        <v>2024</v>
      </c>
      <c r="C230" s="643">
        <v>0</v>
      </c>
      <c r="D230" s="643">
        <v>0</v>
      </c>
      <c r="E230" s="643">
        <v>1</v>
      </c>
      <c r="F230" s="643">
        <v>0</v>
      </c>
      <c r="H230" s="674" t="str">
        <f t="shared" si="3"/>
        <v>RES_201403_P10T12024</v>
      </c>
    </row>
    <row r="231" spans="1:8">
      <c r="A231" t="s">
        <v>110</v>
      </c>
      <c r="B231">
        <v>2025</v>
      </c>
      <c r="C231" s="643">
        <v>0</v>
      </c>
      <c r="D231" s="643">
        <v>0</v>
      </c>
      <c r="E231" s="643">
        <v>1</v>
      </c>
      <c r="F231" s="643">
        <v>0</v>
      </c>
      <c r="H231" s="674" t="str">
        <f t="shared" si="3"/>
        <v>RES_201403_P10T12025</v>
      </c>
    </row>
    <row r="232" spans="1:8">
      <c r="A232" t="s">
        <v>110</v>
      </c>
      <c r="B232">
        <v>2026</v>
      </c>
      <c r="C232" s="643">
        <v>0</v>
      </c>
      <c r="D232" s="643">
        <v>0</v>
      </c>
      <c r="E232" s="643">
        <v>1</v>
      </c>
      <c r="F232" s="643">
        <v>0</v>
      </c>
      <c r="H232" s="674" t="str">
        <f t="shared" si="3"/>
        <v>RES_201403_P10T12026</v>
      </c>
    </row>
    <row r="233" spans="1:8">
      <c r="A233" t="s">
        <v>110</v>
      </c>
      <c r="B233">
        <v>2027</v>
      </c>
      <c r="C233" s="643">
        <v>0</v>
      </c>
      <c r="D233" s="643">
        <v>0</v>
      </c>
      <c r="E233" s="643">
        <v>1</v>
      </c>
      <c r="F233" s="643">
        <v>0</v>
      </c>
      <c r="H233" s="674" t="str">
        <f t="shared" si="3"/>
        <v>RES_201403_P10T12027</v>
      </c>
    </row>
    <row r="234" spans="1:8">
      <c r="A234" t="s">
        <v>1235</v>
      </c>
      <c r="B234">
        <v>2024</v>
      </c>
      <c r="C234" s="643">
        <v>0</v>
      </c>
      <c r="D234" s="643">
        <v>0</v>
      </c>
      <c r="E234" s="643">
        <v>1</v>
      </c>
      <c r="F234" s="643">
        <v>0</v>
      </c>
      <c r="H234" s="674" t="str">
        <f t="shared" si="3"/>
        <v>RES_201403_P11T02024</v>
      </c>
    </row>
    <row r="235" spans="1:8">
      <c r="A235" t="s">
        <v>1235</v>
      </c>
      <c r="B235">
        <v>2025</v>
      </c>
      <c r="C235" s="643">
        <v>0</v>
      </c>
      <c r="D235" s="643">
        <v>0</v>
      </c>
      <c r="E235" s="643">
        <v>1</v>
      </c>
      <c r="F235" s="643">
        <v>0</v>
      </c>
      <c r="H235" s="674" t="str">
        <f t="shared" si="3"/>
        <v>RES_201403_P11T02025</v>
      </c>
    </row>
    <row r="236" spans="1:8">
      <c r="A236" t="s">
        <v>1235</v>
      </c>
      <c r="B236">
        <v>2026</v>
      </c>
      <c r="C236" s="643">
        <v>0</v>
      </c>
      <c r="D236" s="643">
        <v>0</v>
      </c>
      <c r="E236" s="643">
        <v>1</v>
      </c>
      <c r="F236" s="643">
        <v>0</v>
      </c>
      <c r="H236" s="674" t="str">
        <f t="shared" si="3"/>
        <v>RES_201403_P11T02026</v>
      </c>
    </row>
    <row r="237" spans="1:8">
      <c r="A237" t="s">
        <v>1235</v>
      </c>
      <c r="B237">
        <v>2027</v>
      </c>
      <c r="C237" s="643">
        <v>0</v>
      </c>
      <c r="D237" s="643">
        <v>0</v>
      </c>
      <c r="E237" s="643">
        <v>1</v>
      </c>
      <c r="F237" s="643">
        <v>0</v>
      </c>
      <c r="H237" s="674" t="str">
        <f t="shared" si="3"/>
        <v>RES_201403_P11T02027</v>
      </c>
    </row>
    <row r="238" spans="1:8">
      <c r="A238" t="s">
        <v>229</v>
      </c>
      <c r="B238">
        <v>2024</v>
      </c>
      <c r="C238" s="643">
        <v>0</v>
      </c>
      <c r="D238" s="643">
        <v>0</v>
      </c>
      <c r="E238" s="643">
        <v>1</v>
      </c>
      <c r="F238" s="643">
        <v>0</v>
      </c>
      <c r="H238" s="674" t="str">
        <f t="shared" si="3"/>
        <v>RES_201403_P11T12024</v>
      </c>
    </row>
    <row r="239" spans="1:8">
      <c r="A239" t="s">
        <v>229</v>
      </c>
      <c r="B239">
        <v>2025</v>
      </c>
      <c r="C239" s="643">
        <v>0</v>
      </c>
      <c r="D239" s="643">
        <v>0</v>
      </c>
      <c r="E239" s="643">
        <v>1</v>
      </c>
      <c r="F239" s="643">
        <v>0</v>
      </c>
      <c r="H239" s="674" t="str">
        <f t="shared" si="3"/>
        <v>RES_201403_P11T12025</v>
      </c>
    </row>
    <row r="240" spans="1:8">
      <c r="A240" t="s">
        <v>229</v>
      </c>
      <c r="B240">
        <v>2026</v>
      </c>
      <c r="C240" s="643">
        <v>0</v>
      </c>
      <c r="D240" s="643">
        <v>0</v>
      </c>
      <c r="E240" s="643">
        <v>1</v>
      </c>
      <c r="F240" s="643">
        <v>0</v>
      </c>
      <c r="H240" s="674" t="str">
        <f t="shared" si="3"/>
        <v>RES_201403_P11T12026</v>
      </c>
    </row>
    <row r="241" spans="1:8">
      <c r="A241" t="s">
        <v>229</v>
      </c>
      <c r="B241">
        <v>2027</v>
      </c>
      <c r="C241" s="643">
        <v>0</v>
      </c>
      <c r="D241" s="643">
        <v>0</v>
      </c>
      <c r="E241" s="643">
        <v>1</v>
      </c>
      <c r="F241" s="643">
        <v>0</v>
      </c>
      <c r="H241" s="674" t="str">
        <f t="shared" si="3"/>
        <v>RES_201403_P11T12027</v>
      </c>
    </row>
    <row r="242" spans="1:8">
      <c r="A242" t="s">
        <v>230</v>
      </c>
      <c r="B242">
        <v>2024</v>
      </c>
      <c r="C242" s="643">
        <v>0</v>
      </c>
      <c r="D242" s="643">
        <v>0</v>
      </c>
      <c r="E242" s="643">
        <v>1</v>
      </c>
      <c r="F242" s="643">
        <v>0</v>
      </c>
      <c r="H242" s="674" t="str">
        <f t="shared" si="3"/>
        <v>RES_201403_P11T22024</v>
      </c>
    </row>
    <row r="243" spans="1:8">
      <c r="A243" t="s">
        <v>230</v>
      </c>
      <c r="B243">
        <v>2025</v>
      </c>
      <c r="C243" s="643">
        <v>0</v>
      </c>
      <c r="D243" s="643">
        <v>0</v>
      </c>
      <c r="E243" s="643">
        <v>0</v>
      </c>
      <c r="F243" s="643">
        <v>1</v>
      </c>
      <c r="H243" s="674" t="str">
        <f t="shared" si="3"/>
        <v>RES_201403_P11T22025</v>
      </c>
    </row>
    <row r="244" spans="1:8">
      <c r="A244" t="s">
        <v>230</v>
      </c>
      <c r="B244">
        <v>2026</v>
      </c>
      <c r="C244" s="643">
        <v>0</v>
      </c>
      <c r="D244" s="643">
        <v>0</v>
      </c>
      <c r="E244" s="643">
        <v>0</v>
      </c>
      <c r="F244" s="643">
        <v>1</v>
      </c>
      <c r="H244" s="674" t="str">
        <f t="shared" si="3"/>
        <v>RES_201403_P11T22026</v>
      </c>
    </row>
    <row r="245" spans="1:8">
      <c r="A245" t="s">
        <v>230</v>
      </c>
      <c r="B245">
        <v>2027</v>
      </c>
      <c r="C245" s="643">
        <v>0</v>
      </c>
      <c r="D245" s="643">
        <v>0</v>
      </c>
      <c r="E245" s="643">
        <v>0</v>
      </c>
      <c r="F245" s="643">
        <v>1</v>
      </c>
      <c r="H245" s="674" t="str">
        <f t="shared" si="3"/>
        <v>RES_201403_P11T22027</v>
      </c>
    </row>
    <row r="246" spans="1:8">
      <c r="A246" t="s">
        <v>388</v>
      </c>
      <c r="B246">
        <v>2024</v>
      </c>
      <c r="C246" s="643">
        <v>0</v>
      </c>
      <c r="D246" s="643">
        <v>0</v>
      </c>
      <c r="E246" s="643">
        <v>1</v>
      </c>
      <c r="F246" s="643">
        <v>0</v>
      </c>
      <c r="H246" s="674" t="str">
        <f t="shared" si="3"/>
        <v>RES_201403_P12T12024</v>
      </c>
    </row>
    <row r="247" spans="1:8">
      <c r="A247" t="s">
        <v>388</v>
      </c>
      <c r="B247">
        <v>2025</v>
      </c>
      <c r="C247" s="643">
        <v>0</v>
      </c>
      <c r="D247" s="643">
        <v>0</v>
      </c>
      <c r="E247" s="643">
        <v>1</v>
      </c>
      <c r="F247" s="643">
        <v>0</v>
      </c>
      <c r="H247" s="674" t="str">
        <f t="shared" si="3"/>
        <v>RES_201403_P12T12025</v>
      </c>
    </row>
    <row r="248" spans="1:8">
      <c r="A248" t="s">
        <v>388</v>
      </c>
      <c r="B248">
        <v>2026</v>
      </c>
      <c r="C248" s="643">
        <v>0</v>
      </c>
      <c r="D248" s="643">
        <v>0</v>
      </c>
      <c r="E248" s="643">
        <v>1</v>
      </c>
      <c r="F248" s="643">
        <v>0</v>
      </c>
      <c r="H248" s="674" t="str">
        <f t="shared" si="3"/>
        <v>RES_201403_P12T12026</v>
      </c>
    </row>
    <row r="249" spans="1:8">
      <c r="A249" t="s">
        <v>388</v>
      </c>
      <c r="B249">
        <v>2027</v>
      </c>
      <c r="C249" s="643">
        <v>0</v>
      </c>
      <c r="D249" s="643">
        <v>0</v>
      </c>
      <c r="E249" s="643">
        <v>1</v>
      </c>
      <c r="F249" s="643">
        <v>0</v>
      </c>
      <c r="H249" s="674" t="str">
        <f t="shared" si="3"/>
        <v>RES_201403_P12T12027</v>
      </c>
    </row>
    <row r="250" spans="1:8">
      <c r="A250" t="s">
        <v>389</v>
      </c>
      <c r="B250">
        <v>2024</v>
      </c>
      <c r="C250" s="643">
        <v>0</v>
      </c>
      <c r="D250" s="643">
        <v>0</v>
      </c>
      <c r="E250" s="643">
        <v>1</v>
      </c>
      <c r="F250" s="643">
        <v>0</v>
      </c>
      <c r="H250" s="674" t="str">
        <f t="shared" si="3"/>
        <v>RES_201403_P12T22024</v>
      </c>
    </row>
    <row r="251" spans="1:8">
      <c r="A251" t="s">
        <v>389</v>
      </c>
      <c r="B251">
        <v>2025</v>
      </c>
      <c r="C251" s="643">
        <v>0</v>
      </c>
      <c r="D251" s="643">
        <v>0</v>
      </c>
      <c r="E251" s="643">
        <v>0</v>
      </c>
      <c r="F251" s="643">
        <v>1</v>
      </c>
      <c r="H251" s="674" t="str">
        <f t="shared" si="3"/>
        <v>RES_201403_P12T22025</v>
      </c>
    </row>
    <row r="252" spans="1:8">
      <c r="A252" t="s">
        <v>389</v>
      </c>
      <c r="B252">
        <v>2026</v>
      </c>
      <c r="C252" s="643">
        <v>0</v>
      </c>
      <c r="D252" s="643">
        <v>0</v>
      </c>
      <c r="E252" s="643">
        <v>0</v>
      </c>
      <c r="F252" s="643">
        <v>1</v>
      </c>
      <c r="H252" s="674" t="str">
        <f t="shared" si="3"/>
        <v>RES_201403_P12T22026</v>
      </c>
    </row>
    <row r="253" spans="1:8">
      <c r="A253" t="s">
        <v>389</v>
      </c>
      <c r="B253">
        <v>2027</v>
      </c>
      <c r="C253" s="643">
        <v>0</v>
      </c>
      <c r="D253" s="643">
        <v>0</v>
      </c>
      <c r="E253" s="643">
        <v>0</v>
      </c>
      <c r="F253" s="643">
        <v>1</v>
      </c>
      <c r="H253" s="674" t="str">
        <f t="shared" si="3"/>
        <v>RES_201403_P12T22027</v>
      </c>
    </row>
    <row r="254" spans="1:8">
      <c r="A254" t="s">
        <v>1630</v>
      </c>
      <c r="B254">
        <v>2024</v>
      </c>
      <c r="C254" s="643">
        <v>0</v>
      </c>
      <c r="D254" s="643">
        <v>0</v>
      </c>
      <c r="E254" s="643">
        <v>1</v>
      </c>
      <c r="F254" s="643">
        <v>0</v>
      </c>
      <c r="H254" s="674" t="str">
        <f t="shared" si="3"/>
        <v>RES_201403_P13T02024</v>
      </c>
    </row>
    <row r="255" spans="1:8">
      <c r="A255" t="s">
        <v>1630</v>
      </c>
      <c r="B255">
        <v>2025</v>
      </c>
      <c r="C255" s="643">
        <v>0</v>
      </c>
      <c r="D255" s="643">
        <v>0</v>
      </c>
      <c r="E255" s="643">
        <v>1</v>
      </c>
      <c r="F255" s="643">
        <v>0</v>
      </c>
      <c r="H255" s="674" t="str">
        <f t="shared" si="3"/>
        <v>RES_201403_P13T02025</v>
      </c>
    </row>
    <row r="256" spans="1:8">
      <c r="A256" t="s">
        <v>1630</v>
      </c>
      <c r="B256">
        <v>2026</v>
      </c>
      <c r="C256" s="643">
        <v>0</v>
      </c>
      <c r="D256" s="643">
        <v>0</v>
      </c>
      <c r="E256" s="643">
        <v>1</v>
      </c>
      <c r="F256" s="643">
        <v>0</v>
      </c>
      <c r="H256" s="674" t="str">
        <f t="shared" si="3"/>
        <v>RES_201403_P13T02026</v>
      </c>
    </row>
    <row r="257" spans="1:8">
      <c r="A257" t="s">
        <v>1630</v>
      </c>
      <c r="B257">
        <v>2027</v>
      </c>
      <c r="C257" s="643">
        <v>0</v>
      </c>
      <c r="D257" s="643">
        <v>0</v>
      </c>
      <c r="E257" s="643">
        <v>1</v>
      </c>
      <c r="F257" s="643">
        <v>0</v>
      </c>
      <c r="H257" s="674" t="str">
        <f t="shared" si="3"/>
        <v>RES_201403_P13T02027</v>
      </c>
    </row>
    <row r="258" spans="1:8">
      <c r="A258" t="s">
        <v>390</v>
      </c>
      <c r="B258">
        <v>2024</v>
      </c>
      <c r="C258" s="643">
        <v>0</v>
      </c>
      <c r="D258" s="643">
        <v>0</v>
      </c>
      <c r="E258" s="643">
        <v>1</v>
      </c>
      <c r="F258" s="643">
        <v>0</v>
      </c>
      <c r="H258" s="674" t="str">
        <f t="shared" si="3"/>
        <v>RES_201403_P13T12024</v>
      </c>
    </row>
    <row r="259" spans="1:8">
      <c r="A259" t="s">
        <v>390</v>
      </c>
      <c r="B259">
        <v>2025</v>
      </c>
      <c r="C259" s="643">
        <v>0</v>
      </c>
      <c r="D259" s="643">
        <v>0</v>
      </c>
      <c r="E259" s="643">
        <v>1</v>
      </c>
      <c r="F259" s="643">
        <v>0</v>
      </c>
      <c r="H259" s="674" t="str">
        <f t="shared" ref="H259:H322" si="4">A259&amp;B259</f>
        <v>RES_201403_P13T12025</v>
      </c>
    </row>
    <row r="260" spans="1:8">
      <c r="A260" t="s">
        <v>390</v>
      </c>
      <c r="B260">
        <v>2026</v>
      </c>
      <c r="C260" s="643">
        <v>0</v>
      </c>
      <c r="D260" s="643">
        <v>0</v>
      </c>
      <c r="E260" s="643">
        <v>1</v>
      </c>
      <c r="F260" s="643">
        <v>0</v>
      </c>
      <c r="H260" s="674" t="str">
        <f t="shared" si="4"/>
        <v>RES_201403_P13T12026</v>
      </c>
    </row>
    <row r="261" spans="1:8">
      <c r="A261" t="s">
        <v>390</v>
      </c>
      <c r="B261">
        <v>2027</v>
      </c>
      <c r="C261" s="643">
        <v>0</v>
      </c>
      <c r="D261" s="643">
        <v>0</v>
      </c>
      <c r="E261" s="643">
        <v>1</v>
      </c>
      <c r="F261" s="643">
        <v>0</v>
      </c>
      <c r="H261" s="674" t="str">
        <f t="shared" si="4"/>
        <v>RES_201403_P13T12027</v>
      </c>
    </row>
    <row r="262" spans="1:8">
      <c r="A262" t="s">
        <v>391</v>
      </c>
      <c r="B262">
        <v>2024</v>
      </c>
      <c r="C262" s="643">
        <v>0</v>
      </c>
      <c r="D262" s="643">
        <v>0</v>
      </c>
      <c r="E262" s="643">
        <v>1</v>
      </c>
      <c r="F262" s="643">
        <v>0</v>
      </c>
      <c r="H262" s="674" t="str">
        <f t="shared" si="4"/>
        <v>RES_201403_P13T22024</v>
      </c>
    </row>
    <row r="263" spans="1:8">
      <c r="A263" t="s">
        <v>391</v>
      </c>
      <c r="B263">
        <v>2025</v>
      </c>
      <c r="C263" s="643">
        <v>0</v>
      </c>
      <c r="D263" s="643">
        <v>0</v>
      </c>
      <c r="E263" s="643">
        <v>0</v>
      </c>
      <c r="F263" s="643">
        <v>1</v>
      </c>
      <c r="H263" s="674" t="str">
        <f t="shared" si="4"/>
        <v>RES_201403_P13T22025</v>
      </c>
    </row>
    <row r="264" spans="1:8">
      <c r="A264" t="s">
        <v>391</v>
      </c>
      <c r="B264">
        <v>2026</v>
      </c>
      <c r="C264" s="643">
        <v>0</v>
      </c>
      <c r="D264" s="643">
        <v>0</v>
      </c>
      <c r="E264" s="643">
        <v>0</v>
      </c>
      <c r="F264" s="643">
        <v>1</v>
      </c>
      <c r="H264" s="674" t="str">
        <f t="shared" si="4"/>
        <v>RES_201403_P13T22026</v>
      </c>
    </row>
    <row r="265" spans="1:8">
      <c r="A265" t="s">
        <v>391</v>
      </c>
      <c r="B265">
        <v>2027</v>
      </c>
      <c r="C265" s="643">
        <v>0</v>
      </c>
      <c r="D265" s="643">
        <v>0</v>
      </c>
      <c r="E265" s="643">
        <v>0</v>
      </c>
      <c r="F265" s="643">
        <v>1</v>
      </c>
      <c r="H265" s="674" t="str">
        <f t="shared" si="4"/>
        <v>RES_201403_P13T22027</v>
      </c>
    </row>
    <row r="266" spans="1:8">
      <c r="A266" t="s">
        <v>1632</v>
      </c>
      <c r="B266">
        <v>2024</v>
      </c>
      <c r="C266" s="643">
        <v>0</v>
      </c>
      <c r="D266" s="643">
        <v>0</v>
      </c>
      <c r="E266" s="643">
        <v>1</v>
      </c>
      <c r="F266" s="643">
        <v>0</v>
      </c>
      <c r="H266" s="674" t="str">
        <f t="shared" si="4"/>
        <v>RES_201403_P14T02024</v>
      </c>
    </row>
    <row r="267" spans="1:8">
      <c r="A267" t="s">
        <v>1632</v>
      </c>
      <c r="B267">
        <v>2025</v>
      </c>
      <c r="C267" s="643">
        <v>0</v>
      </c>
      <c r="D267" s="643">
        <v>0</v>
      </c>
      <c r="E267" s="643">
        <v>1</v>
      </c>
      <c r="F267" s="643">
        <v>0</v>
      </c>
      <c r="H267" s="674" t="str">
        <f t="shared" si="4"/>
        <v>RES_201403_P14T02025</v>
      </c>
    </row>
    <row r="268" spans="1:8">
      <c r="A268" t="s">
        <v>1632</v>
      </c>
      <c r="B268">
        <v>2026</v>
      </c>
      <c r="C268" s="643">
        <v>0</v>
      </c>
      <c r="D268" s="643">
        <v>0</v>
      </c>
      <c r="E268" s="643">
        <v>1</v>
      </c>
      <c r="F268" s="643">
        <v>0</v>
      </c>
      <c r="H268" s="674" t="str">
        <f t="shared" si="4"/>
        <v>RES_201403_P14T02026</v>
      </c>
    </row>
    <row r="269" spans="1:8">
      <c r="A269" t="s">
        <v>1632</v>
      </c>
      <c r="B269">
        <v>2027</v>
      </c>
      <c r="C269" s="643">
        <v>0</v>
      </c>
      <c r="D269" s="643">
        <v>0</v>
      </c>
      <c r="E269" s="643">
        <v>1</v>
      </c>
      <c r="F269" s="643">
        <v>0</v>
      </c>
      <c r="H269" s="674" t="str">
        <f t="shared" si="4"/>
        <v>RES_201403_P14T02027</v>
      </c>
    </row>
    <row r="270" spans="1:8">
      <c r="A270" t="s">
        <v>979</v>
      </c>
      <c r="B270">
        <v>2024</v>
      </c>
      <c r="C270" s="643">
        <v>0</v>
      </c>
      <c r="D270" s="643">
        <v>0</v>
      </c>
      <c r="E270" s="643">
        <v>1</v>
      </c>
      <c r="F270" s="643">
        <v>0</v>
      </c>
      <c r="H270" s="674" t="str">
        <f t="shared" si="4"/>
        <v>RES_201403_P14T12024</v>
      </c>
    </row>
    <row r="271" spans="1:8">
      <c r="A271" t="s">
        <v>979</v>
      </c>
      <c r="B271">
        <v>2025</v>
      </c>
      <c r="C271" s="643">
        <v>0</v>
      </c>
      <c r="D271" s="643">
        <v>0</v>
      </c>
      <c r="E271" s="643">
        <v>1</v>
      </c>
      <c r="F271" s="643">
        <v>0</v>
      </c>
      <c r="H271" s="674" t="str">
        <f t="shared" si="4"/>
        <v>RES_201403_P14T12025</v>
      </c>
    </row>
    <row r="272" spans="1:8">
      <c r="A272" t="s">
        <v>979</v>
      </c>
      <c r="B272">
        <v>2026</v>
      </c>
      <c r="C272" s="643">
        <v>0</v>
      </c>
      <c r="D272" s="643">
        <v>0</v>
      </c>
      <c r="E272" s="643">
        <v>1</v>
      </c>
      <c r="F272" s="643">
        <v>0</v>
      </c>
      <c r="H272" s="674" t="str">
        <f t="shared" si="4"/>
        <v>RES_201403_P14T12026</v>
      </c>
    </row>
    <row r="273" spans="1:8">
      <c r="A273" t="s">
        <v>979</v>
      </c>
      <c r="B273">
        <v>2027</v>
      </c>
      <c r="C273" s="643">
        <v>0</v>
      </c>
      <c r="D273" s="643">
        <v>0</v>
      </c>
      <c r="E273" s="643">
        <v>1</v>
      </c>
      <c r="F273" s="643">
        <v>0</v>
      </c>
      <c r="H273" s="674" t="str">
        <f t="shared" si="4"/>
        <v>RES_201403_P14T12027</v>
      </c>
    </row>
    <row r="274" spans="1:8">
      <c r="A274" t="s">
        <v>982</v>
      </c>
      <c r="B274">
        <v>2024</v>
      </c>
      <c r="C274" s="643">
        <v>0</v>
      </c>
      <c r="D274" s="643">
        <v>0</v>
      </c>
      <c r="E274" s="643">
        <v>1</v>
      </c>
      <c r="F274" s="643">
        <v>0</v>
      </c>
      <c r="H274" s="674" t="str">
        <f t="shared" si="4"/>
        <v>RES_201403_P14T22024</v>
      </c>
    </row>
    <row r="275" spans="1:8">
      <c r="A275" t="s">
        <v>982</v>
      </c>
      <c r="B275">
        <v>2025</v>
      </c>
      <c r="C275" s="643">
        <v>0</v>
      </c>
      <c r="D275" s="643">
        <v>0</v>
      </c>
      <c r="E275" s="643">
        <v>1</v>
      </c>
      <c r="F275" s="643">
        <v>0</v>
      </c>
      <c r="H275" s="674" t="str">
        <f t="shared" si="4"/>
        <v>RES_201403_P14T22025</v>
      </c>
    </row>
    <row r="276" spans="1:8">
      <c r="A276" t="s">
        <v>982</v>
      </c>
      <c r="B276">
        <v>2026</v>
      </c>
      <c r="C276" s="643">
        <v>0</v>
      </c>
      <c r="D276" s="643">
        <v>0</v>
      </c>
      <c r="E276" s="643">
        <v>1</v>
      </c>
      <c r="F276" s="643">
        <v>0</v>
      </c>
      <c r="H276" s="674" t="str">
        <f t="shared" si="4"/>
        <v>RES_201403_P14T22026</v>
      </c>
    </row>
    <row r="277" spans="1:8">
      <c r="A277" t="s">
        <v>982</v>
      </c>
      <c r="B277">
        <v>2027</v>
      </c>
      <c r="C277" s="643">
        <v>0</v>
      </c>
      <c r="D277" s="643">
        <v>0</v>
      </c>
      <c r="E277" s="643">
        <v>1</v>
      </c>
      <c r="F277" s="643">
        <v>0</v>
      </c>
      <c r="H277" s="674" t="str">
        <f t="shared" si="4"/>
        <v>RES_201403_P14T22027</v>
      </c>
    </row>
    <row r="278" spans="1:8">
      <c r="A278" t="s">
        <v>984</v>
      </c>
      <c r="B278">
        <v>2024</v>
      </c>
      <c r="C278" s="643">
        <v>0</v>
      </c>
      <c r="D278" s="643">
        <v>0</v>
      </c>
      <c r="E278" s="643">
        <v>1</v>
      </c>
      <c r="F278" s="643">
        <v>0</v>
      </c>
      <c r="H278" s="674" t="str">
        <f t="shared" si="4"/>
        <v>RES_201403_P14T42024</v>
      </c>
    </row>
    <row r="279" spans="1:8">
      <c r="A279" t="s">
        <v>984</v>
      </c>
      <c r="B279">
        <v>2025</v>
      </c>
      <c r="C279" s="643">
        <v>0</v>
      </c>
      <c r="D279" s="643">
        <v>0</v>
      </c>
      <c r="E279" s="643">
        <v>1</v>
      </c>
      <c r="F279" s="643">
        <v>0</v>
      </c>
      <c r="H279" s="674" t="str">
        <f t="shared" si="4"/>
        <v>RES_201403_P14T42025</v>
      </c>
    </row>
    <row r="280" spans="1:8">
      <c r="A280" t="s">
        <v>984</v>
      </c>
      <c r="B280">
        <v>2026</v>
      </c>
      <c r="C280" s="643">
        <v>0</v>
      </c>
      <c r="D280" s="643">
        <v>0</v>
      </c>
      <c r="E280" s="643">
        <v>1</v>
      </c>
      <c r="F280" s="643">
        <v>0</v>
      </c>
      <c r="H280" s="674" t="str">
        <f t="shared" si="4"/>
        <v>RES_201403_P14T42026</v>
      </c>
    </row>
    <row r="281" spans="1:8">
      <c r="A281" t="s">
        <v>984</v>
      </c>
      <c r="B281">
        <v>2027</v>
      </c>
      <c r="C281" s="643">
        <v>0</v>
      </c>
      <c r="D281" s="643">
        <v>0</v>
      </c>
      <c r="E281" s="643">
        <v>1</v>
      </c>
      <c r="F281" s="643">
        <v>0</v>
      </c>
      <c r="H281" s="674" t="str">
        <f t="shared" si="4"/>
        <v>RES_201403_P14T42027</v>
      </c>
    </row>
    <row r="282" spans="1:8">
      <c r="A282" t="s">
        <v>986</v>
      </c>
      <c r="B282">
        <v>2024</v>
      </c>
      <c r="C282" s="643">
        <v>0</v>
      </c>
      <c r="D282" s="643">
        <v>0</v>
      </c>
      <c r="E282" s="643">
        <v>1</v>
      </c>
      <c r="F282" s="643">
        <v>0</v>
      </c>
      <c r="H282" s="674" t="str">
        <f t="shared" si="4"/>
        <v>RES_201403_P14T62024</v>
      </c>
    </row>
    <row r="283" spans="1:8">
      <c r="A283" t="s">
        <v>986</v>
      </c>
      <c r="B283">
        <v>2025</v>
      </c>
      <c r="C283" s="643">
        <v>0</v>
      </c>
      <c r="D283" s="643">
        <v>0</v>
      </c>
      <c r="E283" s="643">
        <v>1</v>
      </c>
      <c r="F283" s="643">
        <v>0</v>
      </c>
      <c r="H283" s="674" t="str">
        <f t="shared" si="4"/>
        <v>RES_201403_P14T62025</v>
      </c>
    </row>
    <row r="284" spans="1:8">
      <c r="A284" t="s">
        <v>986</v>
      </c>
      <c r="B284">
        <v>2026</v>
      </c>
      <c r="C284" s="643">
        <v>0</v>
      </c>
      <c r="D284" s="643">
        <v>0</v>
      </c>
      <c r="E284" s="643">
        <v>1</v>
      </c>
      <c r="F284" s="643">
        <v>0</v>
      </c>
      <c r="H284" s="674" t="str">
        <f t="shared" si="4"/>
        <v>RES_201403_P14T62026</v>
      </c>
    </row>
    <row r="285" spans="1:8">
      <c r="A285" t="s">
        <v>986</v>
      </c>
      <c r="B285">
        <v>2027</v>
      </c>
      <c r="C285" s="643">
        <v>0</v>
      </c>
      <c r="D285" s="643">
        <v>0</v>
      </c>
      <c r="E285" s="643">
        <v>1</v>
      </c>
      <c r="F285" s="643">
        <v>0</v>
      </c>
      <c r="H285" s="674" t="str">
        <f t="shared" si="4"/>
        <v>RES_201403_P14T62027</v>
      </c>
    </row>
    <row r="286" spans="1:8">
      <c r="A286" t="s">
        <v>2101</v>
      </c>
      <c r="B286">
        <v>2024</v>
      </c>
      <c r="C286" s="643">
        <v>0</v>
      </c>
      <c r="D286" s="643">
        <v>0</v>
      </c>
      <c r="E286" s="643">
        <v>1</v>
      </c>
      <c r="F286" s="643">
        <v>0</v>
      </c>
      <c r="H286" s="674" t="str">
        <f t="shared" si="4"/>
        <v>RES_201403_P20T12024</v>
      </c>
    </row>
    <row r="287" spans="1:8">
      <c r="A287" t="s">
        <v>2101</v>
      </c>
      <c r="B287">
        <v>2025</v>
      </c>
      <c r="C287" s="643">
        <v>0</v>
      </c>
      <c r="D287" s="643">
        <v>0</v>
      </c>
      <c r="E287" s="643">
        <v>1</v>
      </c>
      <c r="F287" s="643">
        <v>0</v>
      </c>
      <c r="H287" s="674" t="str">
        <f t="shared" si="4"/>
        <v>RES_201403_P20T12025</v>
      </c>
    </row>
    <row r="288" spans="1:8">
      <c r="A288" t="s">
        <v>2101</v>
      </c>
      <c r="B288">
        <v>2026</v>
      </c>
      <c r="C288" s="643">
        <v>0</v>
      </c>
      <c r="D288" s="643">
        <v>0</v>
      </c>
      <c r="E288" s="643">
        <v>1</v>
      </c>
      <c r="F288" s="643">
        <v>0</v>
      </c>
      <c r="H288" s="674" t="str">
        <f t="shared" si="4"/>
        <v>RES_201403_P20T12026</v>
      </c>
    </row>
    <row r="289" spans="1:8">
      <c r="A289" t="s">
        <v>2101</v>
      </c>
      <c r="B289">
        <v>2027</v>
      </c>
      <c r="C289" s="643">
        <v>0</v>
      </c>
      <c r="D289" s="643">
        <v>0</v>
      </c>
      <c r="E289" s="643">
        <v>1</v>
      </c>
      <c r="F289" s="643">
        <v>0</v>
      </c>
      <c r="H289" s="674" t="str">
        <f t="shared" si="4"/>
        <v>RES_201403_P20T12027</v>
      </c>
    </row>
    <row r="290" spans="1:8">
      <c r="A290" t="s">
        <v>1093</v>
      </c>
      <c r="B290">
        <v>2024</v>
      </c>
      <c r="C290" s="643">
        <v>0</v>
      </c>
      <c r="D290" s="643">
        <v>0</v>
      </c>
      <c r="E290" s="643">
        <v>1</v>
      </c>
      <c r="F290" s="643">
        <v>0</v>
      </c>
      <c r="H290" s="674" t="str">
        <f t="shared" si="4"/>
        <v>RES_201403_P2T02024</v>
      </c>
    </row>
    <row r="291" spans="1:8">
      <c r="A291" t="s">
        <v>1093</v>
      </c>
      <c r="B291">
        <v>2025</v>
      </c>
      <c r="C291" s="643">
        <v>0</v>
      </c>
      <c r="D291" s="643">
        <v>0</v>
      </c>
      <c r="E291" s="643">
        <v>1</v>
      </c>
      <c r="F291" s="643">
        <v>0</v>
      </c>
      <c r="H291" s="674" t="str">
        <f t="shared" si="4"/>
        <v>RES_201403_P2T02025</v>
      </c>
    </row>
    <row r="292" spans="1:8">
      <c r="A292" t="s">
        <v>1093</v>
      </c>
      <c r="B292">
        <v>2026</v>
      </c>
      <c r="C292" s="643">
        <v>0</v>
      </c>
      <c r="D292" s="643">
        <v>0</v>
      </c>
      <c r="E292" s="643">
        <v>1</v>
      </c>
      <c r="F292" s="643">
        <v>0</v>
      </c>
      <c r="H292" s="674" t="str">
        <f t="shared" si="4"/>
        <v>RES_201403_P2T02026</v>
      </c>
    </row>
    <row r="293" spans="1:8">
      <c r="A293" t="s">
        <v>1093</v>
      </c>
      <c r="B293">
        <v>2027</v>
      </c>
      <c r="C293" s="643">
        <v>0</v>
      </c>
      <c r="D293" s="643">
        <v>0</v>
      </c>
      <c r="E293" s="643">
        <v>1</v>
      </c>
      <c r="F293" s="643">
        <v>0</v>
      </c>
      <c r="H293" s="674" t="str">
        <f t="shared" si="4"/>
        <v>RES_201403_P2T02027</v>
      </c>
    </row>
    <row r="294" spans="1:8">
      <c r="A294" t="s">
        <v>334</v>
      </c>
      <c r="B294">
        <v>2024</v>
      </c>
      <c r="C294" s="643">
        <v>0</v>
      </c>
      <c r="D294" s="643">
        <v>0</v>
      </c>
      <c r="E294" s="643">
        <v>1</v>
      </c>
      <c r="F294" s="643">
        <v>0</v>
      </c>
      <c r="H294" s="674" t="str">
        <f t="shared" si="4"/>
        <v>RES_201403_P2T22024</v>
      </c>
    </row>
    <row r="295" spans="1:8">
      <c r="A295" t="s">
        <v>334</v>
      </c>
      <c r="B295">
        <v>2025</v>
      </c>
      <c r="C295" s="643">
        <v>0</v>
      </c>
      <c r="D295" s="643">
        <v>0</v>
      </c>
      <c r="E295" s="643">
        <v>1</v>
      </c>
      <c r="F295" s="643">
        <v>0</v>
      </c>
      <c r="H295" s="674" t="str">
        <f t="shared" si="4"/>
        <v>RES_201403_P2T22025</v>
      </c>
    </row>
    <row r="296" spans="1:8">
      <c r="A296" t="s">
        <v>334</v>
      </c>
      <c r="B296">
        <v>2026</v>
      </c>
      <c r="C296" s="643">
        <v>0</v>
      </c>
      <c r="D296" s="643">
        <v>0</v>
      </c>
      <c r="E296" s="643">
        <v>1</v>
      </c>
      <c r="F296" s="643">
        <v>0</v>
      </c>
      <c r="H296" s="674" t="str">
        <f t="shared" si="4"/>
        <v>RES_201403_P2T22026</v>
      </c>
    </row>
    <row r="297" spans="1:8">
      <c r="A297" t="s">
        <v>334</v>
      </c>
      <c r="B297">
        <v>2027</v>
      </c>
      <c r="C297" s="643">
        <v>0</v>
      </c>
      <c r="D297" s="643">
        <v>0</v>
      </c>
      <c r="E297" s="643">
        <v>1</v>
      </c>
      <c r="F297" s="643">
        <v>0</v>
      </c>
      <c r="H297" s="674" t="str">
        <f t="shared" si="4"/>
        <v>RES_201403_P2T22027</v>
      </c>
    </row>
    <row r="298" spans="1:8">
      <c r="A298" t="s">
        <v>1649</v>
      </c>
      <c r="B298">
        <v>2024</v>
      </c>
      <c r="C298" s="643">
        <v>0</v>
      </c>
      <c r="D298" s="643">
        <v>0</v>
      </c>
      <c r="E298" s="643">
        <v>1</v>
      </c>
      <c r="F298" s="643">
        <v>0</v>
      </c>
      <c r="H298" s="674" t="str">
        <f t="shared" si="4"/>
        <v>RES_201403_P3T02024</v>
      </c>
    </row>
    <row r="299" spans="1:8">
      <c r="A299" t="s">
        <v>1649</v>
      </c>
      <c r="B299">
        <v>2025</v>
      </c>
      <c r="C299" s="643">
        <v>0</v>
      </c>
      <c r="D299" s="643">
        <v>0</v>
      </c>
      <c r="E299" s="643">
        <v>1</v>
      </c>
      <c r="F299" s="643">
        <v>0</v>
      </c>
      <c r="H299" s="674" t="str">
        <f t="shared" si="4"/>
        <v>RES_201403_P3T02025</v>
      </c>
    </row>
    <row r="300" spans="1:8">
      <c r="A300" t="s">
        <v>1649</v>
      </c>
      <c r="B300">
        <v>2026</v>
      </c>
      <c r="C300" s="643">
        <v>0</v>
      </c>
      <c r="D300" s="643">
        <v>0</v>
      </c>
      <c r="E300" s="643">
        <v>1</v>
      </c>
      <c r="F300" s="643">
        <v>0</v>
      </c>
      <c r="H300" s="674" t="str">
        <f t="shared" si="4"/>
        <v>RES_201403_P3T02026</v>
      </c>
    </row>
    <row r="301" spans="1:8">
      <c r="A301" t="s">
        <v>1649</v>
      </c>
      <c r="B301">
        <v>2027</v>
      </c>
      <c r="C301" s="643">
        <v>0</v>
      </c>
      <c r="D301" s="643">
        <v>0</v>
      </c>
      <c r="E301" s="643">
        <v>1</v>
      </c>
      <c r="F301" s="643">
        <v>0</v>
      </c>
      <c r="H301" s="674" t="str">
        <f t="shared" si="4"/>
        <v>RES_201403_P3T02027</v>
      </c>
    </row>
    <row r="302" spans="1:8">
      <c r="A302" t="s">
        <v>116</v>
      </c>
      <c r="B302">
        <v>2024</v>
      </c>
      <c r="C302" s="643">
        <v>0</v>
      </c>
      <c r="D302" s="643">
        <v>0</v>
      </c>
      <c r="E302" s="643">
        <v>1</v>
      </c>
      <c r="F302" s="643">
        <v>0</v>
      </c>
      <c r="H302" s="674" t="str">
        <f t="shared" si="4"/>
        <v>RES_201403_P3T12024</v>
      </c>
    </row>
    <row r="303" spans="1:8">
      <c r="A303" t="s">
        <v>116</v>
      </c>
      <c r="B303">
        <v>2025</v>
      </c>
      <c r="C303" s="643">
        <v>0</v>
      </c>
      <c r="D303" s="643">
        <v>0</v>
      </c>
      <c r="E303" s="643">
        <v>1</v>
      </c>
      <c r="F303" s="643">
        <v>0</v>
      </c>
      <c r="H303" s="674" t="str">
        <f t="shared" si="4"/>
        <v>RES_201403_P3T12025</v>
      </c>
    </row>
    <row r="304" spans="1:8">
      <c r="A304" t="s">
        <v>116</v>
      </c>
      <c r="B304">
        <v>2026</v>
      </c>
      <c r="C304" s="643">
        <v>0</v>
      </c>
      <c r="D304" s="643">
        <v>0</v>
      </c>
      <c r="E304" s="643">
        <v>1</v>
      </c>
      <c r="F304" s="643">
        <v>0</v>
      </c>
      <c r="H304" s="674" t="str">
        <f t="shared" si="4"/>
        <v>RES_201403_P3T12026</v>
      </c>
    </row>
    <row r="305" spans="1:8">
      <c r="A305" t="s">
        <v>116</v>
      </c>
      <c r="B305">
        <v>2027</v>
      </c>
      <c r="C305" s="643">
        <v>0</v>
      </c>
      <c r="D305" s="643">
        <v>0</v>
      </c>
      <c r="E305" s="643">
        <v>1</v>
      </c>
      <c r="F305" s="643">
        <v>0</v>
      </c>
      <c r="H305" s="674" t="str">
        <f t="shared" si="4"/>
        <v>RES_201403_P3T12027</v>
      </c>
    </row>
    <row r="306" spans="1:8">
      <c r="A306" t="s">
        <v>910</v>
      </c>
      <c r="B306">
        <v>2024</v>
      </c>
      <c r="C306" s="643">
        <v>0</v>
      </c>
      <c r="D306" s="643">
        <v>0</v>
      </c>
      <c r="E306" s="643">
        <v>1</v>
      </c>
      <c r="F306" s="643">
        <v>0</v>
      </c>
      <c r="H306" s="674" t="str">
        <f t="shared" si="4"/>
        <v>RES_201403_P3T22024</v>
      </c>
    </row>
    <row r="307" spans="1:8">
      <c r="A307" t="s">
        <v>910</v>
      </c>
      <c r="B307">
        <v>2025</v>
      </c>
      <c r="C307" s="643">
        <v>0</v>
      </c>
      <c r="D307" s="643">
        <v>0</v>
      </c>
      <c r="E307" s="643">
        <v>0</v>
      </c>
      <c r="F307" s="643">
        <v>1</v>
      </c>
      <c r="H307" s="674" t="str">
        <f t="shared" si="4"/>
        <v>RES_201403_P3T22025</v>
      </c>
    </row>
    <row r="308" spans="1:8">
      <c r="A308" t="s">
        <v>910</v>
      </c>
      <c r="B308">
        <v>2026</v>
      </c>
      <c r="C308" s="643">
        <v>0</v>
      </c>
      <c r="D308" s="643">
        <v>0</v>
      </c>
      <c r="E308" s="643">
        <v>0</v>
      </c>
      <c r="F308" s="643">
        <v>1</v>
      </c>
      <c r="H308" s="674" t="str">
        <f t="shared" si="4"/>
        <v>RES_201403_P3T22026</v>
      </c>
    </row>
    <row r="309" spans="1:8">
      <c r="A309" t="s">
        <v>910</v>
      </c>
      <c r="B309">
        <v>2027</v>
      </c>
      <c r="C309" s="643">
        <v>0</v>
      </c>
      <c r="D309" s="643">
        <v>0</v>
      </c>
      <c r="E309" s="643">
        <v>0</v>
      </c>
      <c r="F309" s="643">
        <v>1</v>
      </c>
      <c r="H309" s="674" t="str">
        <f t="shared" si="4"/>
        <v>RES_201403_P3T22027</v>
      </c>
    </row>
    <row r="310" spans="1:8">
      <c r="A310" t="s">
        <v>1652</v>
      </c>
      <c r="B310">
        <v>2024</v>
      </c>
      <c r="C310" s="643">
        <v>0</v>
      </c>
      <c r="D310" s="643">
        <v>0</v>
      </c>
      <c r="E310" s="643">
        <v>1</v>
      </c>
      <c r="F310" s="643">
        <v>0</v>
      </c>
      <c r="H310" s="674" t="str">
        <f t="shared" si="4"/>
        <v>RES_201403_P5T02024</v>
      </c>
    </row>
    <row r="311" spans="1:8">
      <c r="A311" t="s">
        <v>1652</v>
      </c>
      <c r="B311">
        <v>2025</v>
      </c>
      <c r="C311" s="643">
        <v>0</v>
      </c>
      <c r="D311" s="643">
        <v>0</v>
      </c>
      <c r="E311" s="643">
        <v>1</v>
      </c>
      <c r="F311" s="643">
        <v>0</v>
      </c>
      <c r="H311" s="674" t="str">
        <f t="shared" si="4"/>
        <v>RES_201403_P5T02025</v>
      </c>
    </row>
    <row r="312" spans="1:8">
      <c r="A312" t="s">
        <v>1652</v>
      </c>
      <c r="B312">
        <v>2026</v>
      </c>
      <c r="C312" s="643">
        <v>0</v>
      </c>
      <c r="D312" s="643">
        <v>0</v>
      </c>
      <c r="E312" s="643">
        <v>1</v>
      </c>
      <c r="F312" s="643">
        <v>0</v>
      </c>
      <c r="H312" s="674" t="str">
        <f t="shared" si="4"/>
        <v>RES_201403_P5T02026</v>
      </c>
    </row>
    <row r="313" spans="1:8">
      <c r="A313" t="s">
        <v>1652</v>
      </c>
      <c r="B313">
        <v>2027</v>
      </c>
      <c r="C313" s="643">
        <v>0</v>
      </c>
      <c r="D313" s="643">
        <v>0</v>
      </c>
      <c r="E313" s="643">
        <v>1</v>
      </c>
      <c r="F313" s="643">
        <v>0</v>
      </c>
      <c r="H313" s="674" t="str">
        <f t="shared" si="4"/>
        <v>RES_201403_P5T02027</v>
      </c>
    </row>
    <row r="314" spans="1:8">
      <c r="A314" t="s">
        <v>112</v>
      </c>
      <c r="B314">
        <v>2024</v>
      </c>
      <c r="C314" s="643">
        <v>0</v>
      </c>
      <c r="D314" s="643">
        <v>0</v>
      </c>
      <c r="E314" s="643">
        <v>1</v>
      </c>
      <c r="F314" s="643">
        <v>0</v>
      </c>
      <c r="H314" s="674" t="str">
        <f t="shared" si="4"/>
        <v>RES_201403_P5T12024</v>
      </c>
    </row>
    <row r="315" spans="1:8">
      <c r="A315" t="s">
        <v>112</v>
      </c>
      <c r="B315">
        <v>2025</v>
      </c>
      <c r="C315" s="643">
        <v>0</v>
      </c>
      <c r="D315" s="643">
        <v>0</v>
      </c>
      <c r="E315" s="643">
        <v>1</v>
      </c>
      <c r="F315" s="643">
        <v>0</v>
      </c>
      <c r="H315" s="674" t="str">
        <f t="shared" si="4"/>
        <v>RES_201403_P5T12025</v>
      </c>
    </row>
    <row r="316" spans="1:8">
      <c r="A316" t="s">
        <v>112</v>
      </c>
      <c r="B316">
        <v>2026</v>
      </c>
      <c r="C316" s="643">
        <v>0</v>
      </c>
      <c r="D316" s="643">
        <v>0</v>
      </c>
      <c r="E316" s="643">
        <v>1</v>
      </c>
      <c r="F316" s="643">
        <v>0</v>
      </c>
      <c r="H316" s="674" t="str">
        <f t="shared" si="4"/>
        <v>RES_201403_P5T12026</v>
      </c>
    </row>
    <row r="317" spans="1:8">
      <c r="A317" t="s">
        <v>112</v>
      </c>
      <c r="B317">
        <v>2027</v>
      </c>
      <c r="C317" s="643">
        <v>0</v>
      </c>
      <c r="D317" s="643">
        <v>0</v>
      </c>
      <c r="E317" s="643">
        <v>1</v>
      </c>
      <c r="F317" s="643">
        <v>0</v>
      </c>
      <c r="H317" s="674" t="str">
        <f t="shared" si="4"/>
        <v>RES_201403_P5T12027</v>
      </c>
    </row>
    <row r="318" spans="1:8">
      <c r="A318" t="s">
        <v>1653</v>
      </c>
      <c r="B318">
        <v>2024</v>
      </c>
      <c r="C318" s="643">
        <v>0</v>
      </c>
      <c r="D318" s="643">
        <v>0</v>
      </c>
      <c r="E318" s="643">
        <v>1</v>
      </c>
      <c r="F318" s="643">
        <v>0</v>
      </c>
      <c r="H318" s="674" t="str">
        <f t="shared" si="4"/>
        <v>RES_201403_P6T02024</v>
      </c>
    </row>
    <row r="319" spans="1:8">
      <c r="A319" t="s">
        <v>1653</v>
      </c>
      <c r="B319">
        <v>2025</v>
      </c>
      <c r="C319" s="643">
        <v>0</v>
      </c>
      <c r="D319" s="643">
        <v>0</v>
      </c>
      <c r="E319" s="643">
        <v>1</v>
      </c>
      <c r="F319" s="643">
        <v>0</v>
      </c>
      <c r="H319" s="674" t="str">
        <f t="shared" si="4"/>
        <v>RES_201403_P6T02025</v>
      </c>
    </row>
    <row r="320" spans="1:8">
      <c r="A320" t="s">
        <v>1653</v>
      </c>
      <c r="B320">
        <v>2026</v>
      </c>
      <c r="C320" s="643">
        <v>0</v>
      </c>
      <c r="D320" s="643">
        <v>0</v>
      </c>
      <c r="E320" s="643">
        <v>1</v>
      </c>
      <c r="F320" s="643">
        <v>0</v>
      </c>
      <c r="H320" s="674" t="str">
        <f t="shared" si="4"/>
        <v>RES_201403_P6T02026</v>
      </c>
    </row>
    <row r="321" spans="1:8">
      <c r="A321" t="s">
        <v>1653</v>
      </c>
      <c r="B321">
        <v>2027</v>
      </c>
      <c r="C321" s="643">
        <v>0</v>
      </c>
      <c r="D321" s="643">
        <v>0</v>
      </c>
      <c r="E321" s="643">
        <v>1</v>
      </c>
      <c r="F321" s="643">
        <v>0</v>
      </c>
      <c r="H321" s="674" t="str">
        <f t="shared" si="4"/>
        <v>RES_201403_P6T02027</v>
      </c>
    </row>
    <row r="322" spans="1:8">
      <c r="A322" t="s">
        <v>91</v>
      </c>
      <c r="B322">
        <v>2024</v>
      </c>
      <c r="C322" s="643">
        <v>0</v>
      </c>
      <c r="D322" s="643">
        <v>0</v>
      </c>
      <c r="E322" s="643">
        <v>1</v>
      </c>
      <c r="F322" s="643">
        <v>0</v>
      </c>
      <c r="H322" s="674" t="str">
        <f t="shared" si="4"/>
        <v>RES_201403_P6T12024</v>
      </c>
    </row>
    <row r="323" spans="1:8">
      <c r="A323" t="s">
        <v>91</v>
      </c>
      <c r="B323">
        <v>2025</v>
      </c>
      <c r="C323" s="643">
        <v>0</v>
      </c>
      <c r="D323" s="643">
        <v>0</v>
      </c>
      <c r="E323" s="643">
        <v>1</v>
      </c>
      <c r="F323" s="643">
        <v>0</v>
      </c>
      <c r="H323" s="674" t="str">
        <f t="shared" ref="H323:H386" si="5">A323&amp;B323</f>
        <v>RES_201403_P6T12025</v>
      </c>
    </row>
    <row r="324" spans="1:8">
      <c r="A324" t="s">
        <v>91</v>
      </c>
      <c r="B324">
        <v>2026</v>
      </c>
      <c r="C324" s="643">
        <v>0</v>
      </c>
      <c r="D324" s="643">
        <v>0</v>
      </c>
      <c r="E324" s="643">
        <v>1</v>
      </c>
      <c r="F324" s="643">
        <v>0</v>
      </c>
      <c r="H324" s="674" t="str">
        <f t="shared" si="5"/>
        <v>RES_201403_P6T12026</v>
      </c>
    </row>
    <row r="325" spans="1:8">
      <c r="A325" t="s">
        <v>91</v>
      </c>
      <c r="B325">
        <v>2027</v>
      </c>
      <c r="C325" s="643">
        <v>0</v>
      </c>
      <c r="D325" s="643">
        <v>0</v>
      </c>
      <c r="E325" s="643">
        <v>1</v>
      </c>
      <c r="F325" s="643">
        <v>0</v>
      </c>
      <c r="H325" s="674" t="str">
        <f t="shared" si="5"/>
        <v>RES_201403_P6T12027</v>
      </c>
    </row>
    <row r="326" spans="1:8">
      <c r="A326" t="s">
        <v>82</v>
      </c>
      <c r="B326">
        <v>2024</v>
      </c>
      <c r="C326" s="643">
        <v>0</v>
      </c>
      <c r="D326" s="643">
        <v>0</v>
      </c>
      <c r="E326" s="643">
        <v>1</v>
      </c>
      <c r="F326" s="643">
        <v>0</v>
      </c>
      <c r="H326" s="674" t="str">
        <f t="shared" si="5"/>
        <v>RES_201403_P7T12024</v>
      </c>
    </row>
    <row r="327" spans="1:8">
      <c r="A327" t="s">
        <v>82</v>
      </c>
      <c r="B327">
        <v>2025</v>
      </c>
      <c r="C327" s="643">
        <v>0</v>
      </c>
      <c r="D327" s="643">
        <v>0</v>
      </c>
      <c r="E327" s="643">
        <v>1</v>
      </c>
      <c r="F327" s="643">
        <v>0</v>
      </c>
      <c r="H327" s="674" t="str">
        <f t="shared" si="5"/>
        <v>RES_201403_P7T12025</v>
      </c>
    </row>
    <row r="328" spans="1:8">
      <c r="A328" t="s">
        <v>82</v>
      </c>
      <c r="B328">
        <v>2026</v>
      </c>
      <c r="C328" s="643">
        <v>0</v>
      </c>
      <c r="D328" s="643">
        <v>0</v>
      </c>
      <c r="E328" s="643">
        <v>1</v>
      </c>
      <c r="F328" s="643">
        <v>0</v>
      </c>
      <c r="H328" s="674" t="str">
        <f t="shared" si="5"/>
        <v>RES_201403_P7T12026</v>
      </c>
    </row>
    <row r="329" spans="1:8">
      <c r="A329" t="s">
        <v>82</v>
      </c>
      <c r="B329">
        <v>2027</v>
      </c>
      <c r="C329" s="643">
        <v>0</v>
      </c>
      <c r="D329" s="643">
        <v>0</v>
      </c>
      <c r="E329" s="643">
        <v>1</v>
      </c>
      <c r="F329" s="643">
        <v>0</v>
      </c>
      <c r="H329" s="674" t="str">
        <f t="shared" si="5"/>
        <v>RES_201403_P7T12027</v>
      </c>
    </row>
    <row r="330" spans="1:8">
      <c r="A330" t="s">
        <v>127</v>
      </c>
      <c r="B330">
        <v>2024</v>
      </c>
      <c r="C330" s="643">
        <v>0</v>
      </c>
      <c r="D330" s="643">
        <v>0</v>
      </c>
      <c r="E330" s="643">
        <v>1</v>
      </c>
      <c r="F330" s="643">
        <v>0</v>
      </c>
      <c r="H330" s="674" t="str">
        <f t="shared" si="5"/>
        <v>RES_201403_P8T02024</v>
      </c>
    </row>
    <row r="331" spans="1:8">
      <c r="A331" t="s">
        <v>127</v>
      </c>
      <c r="B331">
        <v>2025</v>
      </c>
      <c r="C331" s="643">
        <v>0</v>
      </c>
      <c r="D331" s="643">
        <v>0</v>
      </c>
      <c r="E331" s="643">
        <v>1</v>
      </c>
      <c r="F331" s="643">
        <v>0</v>
      </c>
      <c r="H331" s="674" t="str">
        <f t="shared" si="5"/>
        <v>RES_201403_P8T02025</v>
      </c>
    </row>
    <row r="332" spans="1:8">
      <c r="A332" t="s">
        <v>127</v>
      </c>
      <c r="B332">
        <v>2026</v>
      </c>
      <c r="C332" s="643">
        <v>0</v>
      </c>
      <c r="D332" s="643">
        <v>0</v>
      </c>
      <c r="E332" s="643">
        <v>1</v>
      </c>
      <c r="F332" s="643">
        <v>0</v>
      </c>
      <c r="H332" s="674" t="str">
        <f t="shared" si="5"/>
        <v>RES_201403_P8T02026</v>
      </c>
    </row>
    <row r="333" spans="1:8">
      <c r="A333" t="s">
        <v>127</v>
      </c>
      <c r="B333">
        <v>2027</v>
      </c>
      <c r="C333" s="643">
        <v>0</v>
      </c>
      <c r="D333" s="643">
        <v>0</v>
      </c>
      <c r="E333" s="643">
        <v>1</v>
      </c>
      <c r="F333" s="643">
        <v>0</v>
      </c>
      <c r="H333" s="674" t="str">
        <f t="shared" si="5"/>
        <v>RES_201403_P8T02027</v>
      </c>
    </row>
    <row r="334" spans="1:8">
      <c r="A334" t="s">
        <v>93</v>
      </c>
      <c r="B334">
        <v>2024</v>
      </c>
      <c r="C334" s="643">
        <v>0</v>
      </c>
      <c r="D334" s="643">
        <v>0</v>
      </c>
      <c r="E334" s="643">
        <v>1</v>
      </c>
      <c r="F334" s="643">
        <v>0</v>
      </c>
      <c r="H334" s="674" t="str">
        <f t="shared" si="5"/>
        <v>RES_201403_P8T12024</v>
      </c>
    </row>
    <row r="335" spans="1:8">
      <c r="A335" t="s">
        <v>93</v>
      </c>
      <c r="B335">
        <v>2025</v>
      </c>
      <c r="C335" s="643">
        <v>0</v>
      </c>
      <c r="D335" s="643">
        <v>0</v>
      </c>
      <c r="E335" s="643">
        <v>1</v>
      </c>
      <c r="F335" s="643">
        <v>0</v>
      </c>
      <c r="H335" s="674" t="str">
        <f t="shared" si="5"/>
        <v>RES_201403_P8T12025</v>
      </c>
    </row>
    <row r="336" spans="1:8">
      <c r="A336" t="s">
        <v>93</v>
      </c>
      <c r="B336">
        <v>2026</v>
      </c>
      <c r="C336" s="643">
        <v>0</v>
      </c>
      <c r="D336" s="643">
        <v>0</v>
      </c>
      <c r="E336" s="643">
        <v>1</v>
      </c>
      <c r="F336" s="643">
        <v>0</v>
      </c>
      <c r="H336" s="674" t="str">
        <f t="shared" si="5"/>
        <v>RES_201403_P8T12026</v>
      </c>
    </row>
    <row r="337" spans="1:8">
      <c r="A337" t="s">
        <v>93</v>
      </c>
      <c r="B337">
        <v>2027</v>
      </c>
      <c r="C337" s="643">
        <v>0</v>
      </c>
      <c r="D337" s="643">
        <v>0</v>
      </c>
      <c r="E337" s="643">
        <v>1</v>
      </c>
      <c r="F337" s="643">
        <v>0</v>
      </c>
      <c r="H337" s="674" t="str">
        <f t="shared" si="5"/>
        <v>RES_201403_P8T12027</v>
      </c>
    </row>
    <row r="338" spans="1:8">
      <c r="A338" t="s">
        <v>94</v>
      </c>
      <c r="B338">
        <v>2024</v>
      </c>
      <c r="C338" s="643">
        <v>0</v>
      </c>
      <c r="D338" s="643">
        <v>0</v>
      </c>
      <c r="E338" s="643">
        <v>1</v>
      </c>
      <c r="F338" s="643">
        <v>0</v>
      </c>
      <c r="H338" s="674" t="str">
        <f t="shared" si="5"/>
        <v>RES_201403_P8T22024</v>
      </c>
    </row>
    <row r="339" spans="1:8">
      <c r="A339" t="s">
        <v>94</v>
      </c>
      <c r="B339">
        <v>2025</v>
      </c>
      <c r="C339" s="643">
        <v>0</v>
      </c>
      <c r="D339" s="643">
        <v>0</v>
      </c>
      <c r="E339" s="643">
        <v>1</v>
      </c>
      <c r="F339" s="643">
        <v>0</v>
      </c>
      <c r="H339" s="674" t="str">
        <f t="shared" si="5"/>
        <v>RES_201403_P8T22025</v>
      </c>
    </row>
    <row r="340" spans="1:8">
      <c r="A340" t="s">
        <v>94</v>
      </c>
      <c r="B340">
        <v>2026</v>
      </c>
      <c r="C340" s="643">
        <v>0</v>
      </c>
      <c r="D340" s="643">
        <v>0</v>
      </c>
      <c r="E340" s="643">
        <v>1</v>
      </c>
      <c r="F340" s="643">
        <v>0</v>
      </c>
      <c r="H340" s="674" t="str">
        <f t="shared" si="5"/>
        <v>RES_201403_P8T22026</v>
      </c>
    </row>
    <row r="341" spans="1:8">
      <c r="A341" t="s">
        <v>94</v>
      </c>
      <c r="B341">
        <v>2027</v>
      </c>
      <c r="C341" s="643">
        <v>0</v>
      </c>
      <c r="D341" s="643">
        <v>0</v>
      </c>
      <c r="E341" s="643">
        <v>1</v>
      </c>
      <c r="F341" s="643">
        <v>0</v>
      </c>
      <c r="H341" s="674" t="str">
        <f t="shared" si="5"/>
        <v>RES_201403_P8T22027</v>
      </c>
    </row>
    <row r="342" spans="1:8">
      <c r="A342" t="s">
        <v>102</v>
      </c>
      <c r="B342">
        <v>2024</v>
      </c>
      <c r="C342" s="643">
        <v>0</v>
      </c>
      <c r="D342" s="643">
        <v>0</v>
      </c>
      <c r="E342" s="643">
        <v>1</v>
      </c>
      <c r="F342" s="643">
        <v>0</v>
      </c>
      <c r="H342" s="674" t="str">
        <f t="shared" si="5"/>
        <v>RES_201403_P9T02024</v>
      </c>
    </row>
    <row r="343" spans="1:8">
      <c r="A343" t="s">
        <v>102</v>
      </c>
      <c r="B343">
        <v>2025</v>
      </c>
      <c r="C343" s="643">
        <v>0</v>
      </c>
      <c r="D343" s="643">
        <v>0</v>
      </c>
      <c r="E343" s="643">
        <v>1</v>
      </c>
      <c r="F343" s="643">
        <v>0</v>
      </c>
      <c r="H343" s="674" t="str">
        <f t="shared" si="5"/>
        <v>RES_201403_P9T02025</v>
      </c>
    </row>
    <row r="344" spans="1:8">
      <c r="A344" t="s">
        <v>102</v>
      </c>
      <c r="B344">
        <v>2026</v>
      </c>
      <c r="C344" s="643">
        <v>0</v>
      </c>
      <c r="D344" s="643">
        <v>0</v>
      </c>
      <c r="E344" s="643">
        <v>1</v>
      </c>
      <c r="F344" s="643">
        <v>0</v>
      </c>
      <c r="H344" s="674" t="str">
        <f t="shared" si="5"/>
        <v>RES_201403_P9T02026</v>
      </c>
    </row>
    <row r="345" spans="1:8">
      <c r="A345" t="s">
        <v>102</v>
      </c>
      <c r="B345">
        <v>2027</v>
      </c>
      <c r="C345" s="643">
        <v>0</v>
      </c>
      <c r="D345" s="643">
        <v>0</v>
      </c>
      <c r="E345" s="643">
        <v>1</v>
      </c>
      <c r="F345" s="643">
        <v>0</v>
      </c>
      <c r="H345" s="674" t="str">
        <f t="shared" si="5"/>
        <v>RES_201403_P9T02027</v>
      </c>
    </row>
    <row r="346" spans="1:8">
      <c r="A346" t="s">
        <v>103</v>
      </c>
      <c r="B346">
        <v>2024</v>
      </c>
      <c r="C346" s="643">
        <v>0</v>
      </c>
      <c r="D346" s="643">
        <v>0</v>
      </c>
      <c r="E346" s="643">
        <v>1</v>
      </c>
      <c r="F346" s="643">
        <v>0</v>
      </c>
      <c r="H346" s="674" t="str">
        <f t="shared" si="5"/>
        <v>RES_201403_P9T12024</v>
      </c>
    </row>
    <row r="347" spans="1:8">
      <c r="A347" t="s">
        <v>103</v>
      </c>
      <c r="B347">
        <v>2025</v>
      </c>
      <c r="C347" s="643">
        <v>0</v>
      </c>
      <c r="D347" s="643">
        <v>0</v>
      </c>
      <c r="E347" s="643">
        <v>1</v>
      </c>
      <c r="F347" s="643">
        <v>0</v>
      </c>
      <c r="H347" s="674" t="str">
        <f t="shared" si="5"/>
        <v>RES_201403_P9T12025</v>
      </c>
    </row>
    <row r="348" spans="1:8">
      <c r="A348" t="s">
        <v>103</v>
      </c>
      <c r="B348">
        <v>2026</v>
      </c>
      <c r="C348" s="643">
        <v>0</v>
      </c>
      <c r="D348" s="643">
        <v>0</v>
      </c>
      <c r="E348" s="643">
        <v>1</v>
      </c>
      <c r="F348" s="643">
        <v>0</v>
      </c>
      <c r="H348" s="674" t="str">
        <f t="shared" si="5"/>
        <v>RES_201403_P9T12026</v>
      </c>
    </row>
    <row r="349" spans="1:8">
      <c r="A349" t="s">
        <v>103</v>
      </c>
      <c r="B349">
        <v>2027</v>
      </c>
      <c r="C349" s="643">
        <v>0</v>
      </c>
      <c r="D349" s="643">
        <v>0</v>
      </c>
      <c r="E349" s="643">
        <v>1</v>
      </c>
      <c r="F349" s="643">
        <v>0</v>
      </c>
      <c r="H349" s="674" t="str">
        <f t="shared" si="5"/>
        <v>RES_201403_P9T12027</v>
      </c>
    </row>
    <row r="350" spans="1:8">
      <c r="A350" t="s">
        <v>1660</v>
      </c>
      <c r="B350">
        <v>2024</v>
      </c>
      <c r="C350" s="643">
        <v>0</v>
      </c>
      <c r="D350" s="643">
        <v>0</v>
      </c>
      <c r="E350" s="643">
        <v>1</v>
      </c>
      <c r="F350" s="643">
        <v>0</v>
      </c>
      <c r="H350" s="674" t="str">
        <f t="shared" si="5"/>
        <v>RES_201601_P1T02024</v>
      </c>
    </row>
    <row r="351" spans="1:8">
      <c r="A351" t="s">
        <v>912</v>
      </c>
      <c r="B351">
        <v>2024</v>
      </c>
      <c r="C351" s="643">
        <v>0</v>
      </c>
      <c r="D351" s="643">
        <v>0</v>
      </c>
      <c r="E351" s="643">
        <v>1</v>
      </c>
      <c r="F351" s="643">
        <v>0</v>
      </c>
      <c r="H351" s="674" t="str">
        <f t="shared" si="5"/>
        <v>RES_201601_P1T22024</v>
      </c>
    </row>
    <row r="352" spans="1:8">
      <c r="A352" t="s">
        <v>912</v>
      </c>
      <c r="B352">
        <v>2025</v>
      </c>
      <c r="C352" s="643">
        <v>0</v>
      </c>
      <c r="D352" s="643">
        <v>0</v>
      </c>
      <c r="E352" s="643">
        <v>1</v>
      </c>
      <c r="F352" s="643">
        <v>0</v>
      </c>
      <c r="H352" s="674" t="str">
        <f t="shared" si="5"/>
        <v>RES_201601_P1T22025</v>
      </c>
    </row>
    <row r="353" spans="1:8">
      <c r="A353" t="s">
        <v>912</v>
      </c>
      <c r="B353">
        <v>2026</v>
      </c>
      <c r="C353" s="643">
        <v>0</v>
      </c>
      <c r="D353" s="643">
        <v>0</v>
      </c>
      <c r="E353" s="643">
        <v>1</v>
      </c>
      <c r="F353" s="643">
        <v>0</v>
      </c>
      <c r="H353" s="674" t="str">
        <f t="shared" si="5"/>
        <v>RES_201601_P1T22026</v>
      </c>
    </row>
    <row r="354" spans="1:8">
      <c r="A354" t="s">
        <v>912</v>
      </c>
      <c r="B354">
        <v>2027</v>
      </c>
      <c r="C354" s="643">
        <v>0</v>
      </c>
      <c r="D354" s="643">
        <v>0</v>
      </c>
      <c r="E354" s="643">
        <v>1</v>
      </c>
      <c r="F354" s="643">
        <v>0</v>
      </c>
      <c r="H354" s="674" t="str">
        <f t="shared" si="5"/>
        <v>RES_201601_P1T22027</v>
      </c>
    </row>
    <row r="355" spans="1:8">
      <c r="A355" t="s">
        <v>752</v>
      </c>
      <c r="B355">
        <v>2024</v>
      </c>
      <c r="C355" s="643">
        <v>0</v>
      </c>
      <c r="D355" s="643">
        <v>0</v>
      </c>
      <c r="E355" s="643">
        <v>1</v>
      </c>
      <c r="F355" s="643">
        <v>0</v>
      </c>
      <c r="H355" s="674" t="str">
        <f t="shared" si="5"/>
        <v>RES_201601_P1T32024</v>
      </c>
    </row>
    <row r="356" spans="1:8">
      <c r="A356" t="s">
        <v>752</v>
      </c>
      <c r="B356">
        <v>2025</v>
      </c>
      <c r="C356" s="643">
        <v>0</v>
      </c>
      <c r="D356" s="643">
        <v>0</v>
      </c>
      <c r="E356" s="643">
        <v>1</v>
      </c>
      <c r="F356" s="643">
        <v>0</v>
      </c>
      <c r="H356" s="674" t="str">
        <f t="shared" si="5"/>
        <v>RES_201601_P1T32025</v>
      </c>
    </row>
    <row r="357" spans="1:8">
      <c r="A357" t="s">
        <v>752</v>
      </c>
      <c r="B357">
        <v>2026</v>
      </c>
      <c r="C357" s="643">
        <v>0</v>
      </c>
      <c r="D357" s="643">
        <v>0</v>
      </c>
      <c r="E357" s="643">
        <v>1</v>
      </c>
      <c r="F357" s="643">
        <v>0</v>
      </c>
      <c r="H357" s="674" t="str">
        <f t="shared" si="5"/>
        <v>RES_201601_P1T32026</v>
      </c>
    </row>
    <row r="358" spans="1:8">
      <c r="A358" t="s">
        <v>752</v>
      </c>
      <c r="B358">
        <v>2027</v>
      </c>
      <c r="C358" s="643">
        <v>0</v>
      </c>
      <c r="D358" s="643">
        <v>0</v>
      </c>
      <c r="E358" s="643">
        <v>1</v>
      </c>
      <c r="F358" s="643">
        <v>0</v>
      </c>
      <c r="H358" s="674" t="str">
        <f t="shared" si="5"/>
        <v>RES_201601_P1T32027</v>
      </c>
    </row>
    <row r="359" spans="1:8">
      <c r="A359" t="s">
        <v>991</v>
      </c>
      <c r="B359">
        <v>2024</v>
      </c>
      <c r="C359" s="643">
        <v>0</v>
      </c>
      <c r="D359" s="643">
        <v>0</v>
      </c>
      <c r="E359" s="643">
        <v>1</v>
      </c>
      <c r="F359" s="643">
        <v>0</v>
      </c>
      <c r="H359" s="674" t="str">
        <f t="shared" si="5"/>
        <v>XMP_202001_P1T12024</v>
      </c>
    </row>
    <row r="360" spans="1:8">
      <c r="A360" t="s">
        <v>991</v>
      </c>
      <c r="B360">
        <v>2025</v>
      </c>
      <c r="C360" s="643">
        <v>0</v>
      </c>
      <c r="D360" s="643">
        <v>0</v>
      </c>
      <c r="E360" s="643">
        <v>1</v>
      </c>
      <c r="F360" s="643">
        <v>0</v>
      </c>
      <c r="H360" s="674" t="str">
        <f t="shared" si="5"/>
        <v>XMP_202001_P1T12025</v>
      </c>
    </row>
    <row r="361" spans="1:8">
      <c r="A361" t="s">
        <v>991</v>
      </c>
      <c r="B361">
        <v>2026</v>
      </c>
      <c r="C361" s="643">
        <v>0</v>
      </c>
      <c r="D361" s="643">
        <v>0</v>
      </c>
      <c r="E361" s="643">
        <v>1</v>
      </c>
      <c r="F361" s="643">
        <v>0</v>
      </c>
      <c r="H361" s="674" t="str">
        <f t="shared" si="5"/>
        <v>XMP_202001_P1T12026</v>
      </c>
    </row>
    <row r="362" spans="1:8">
      <c r="A362" t="s">
        <v>991</v>
      </c>
      <c r="B362">
        <v>2027</v>
      </c>
      <c r="C362" s="643">
        <v>0</v>
      </c>
      <c r="D362" s="643">
        <v>0</v>
      </c>
      <c r="E362" s="643">
        <v>1</v>
      </c>
      <c r="F362" s="643">
        <v>0</v>
      </c>
      <c r="H362" s="674" t="str">
        <f t="shared" si="5"/>
        <v>XMP_202001_P1T12027</v>
      </c>
    </row>
    <row r="363" spans="1:8">
      <c r="A363" t="s">
        <v>992</v>
      </c>
      <c r="B363">
        <v>2024</v>
      </c>
      <c r="C363" s="643">
        <v>0</v>
      </c>
      <c r="D363" s="643">
        <v>0</v>
      </c>
      <c r="E363" s="643">
        <v>1</v>
      </c>
      <c r="F363" s="643">
        <v>0</v>
      </c>
      <c r="H363" s="674" t="str">
        <f t="shared" si="5"/>
        <v>XMP_202001_P1T22024</v>
      </c>
    </row>
    <row r="364" spans="1:8">
      <c r="A364" t="s">
        <v>992</v>
      </c>
      <c r="B364">
        <v>2025</v>
      </c>
      <c r="C364" s="643">
        <v>0</v>
      </c>
      <c r="D364" s="643">
        <v>0</v>
      </c>
      <c r="E364" s="643">
        <v>1</v>
      </c>
      <c r="F364" s="643">
        <v>0</v>
      </c>
      <c r="H364" s="674" t="str">
        <f t="shared" si="5"/>
        <v>XMP_202001_P1T22025</v>
      </c>
    </row>
    <row r="365" spans="1:8">
      <c r="A365" t="s">
        <v>992</v>
      </c>
      <c r="B365">
        <v>2026</v>
      </c>
      <c r="C365" s="643">
        <v>0</v>
      </c>
      <c r="D365" s="643">
        <v>0</v>
      </c>
      <c r="E365" s="643">
        <v>1</v>
      </c>
      <c r="F365" s="643">
        <v>0</v>
      </c>
      <c r="H365" s="674" t="str">
        <f t="shared" si="5"/>
        <v>XMP_202001_P1T22026</v>
      </c>
    </row>
    <row r="366" spans="1:8">
      <c r="A366" t="s">
        <v>992</v>
      </c>
      <c r="B366">
        <v>2027</v>
      </c>
      <c r="C366" s="643">
        <v>0</v>
      </c>
      <c r="D366" s="643">
        <v>0</v>
      </c>
      <c r="E366" s="643">
        <v>1</v>
      </c>
      <c r="F366" s="643">
        <v>0</v>
      </c>
      <c r="H366" s="674" t="str">
        <f t="shared" si="5"/>
        <v>XMP_202001_P1T22027</v>
      </c>
    </row>
    <row r="367" spans="1:8">
      <c r="A367" t="s">
        <v>993</v>
      </c>
      <c r="B367">
        <v>2024</v>
      </c>
      <c r="C367" s="643">
        <v>0</v>
      </c>
      <c r="D367" s="643">
        <v>0</v>
      </c>
      <c r="E367" s="643">
        <v>1</v>
      </c>
      <c r="F367" s="643">
        <v>0</v>
      </c>
      <c r="H367" s="674" t="str">
        <f t="shared" si="5"/>
        <v>XMP_202001_P2T12024</v>
      </c>
    </row>
    <row r="368" spans="1:8">
      <c r="A368" t="s">
        <v>993</v>
      </c>
      <c r="B368">
        <v>2025</v>
      </c>
      <c r="C368" s="643">
        <v>0</v>
      </c>
      <c r="D368" s="643">
        <v>0</v>
      </c>
      <c r="E368" s="643">
        <v>1</v>
      </c>
      <c r="F368" s="643">
        <v>0</v>
      </c>
      <c r="H368" s="674" t="str">
        <f t="shared" si="5"/>
        <v>XMP_202001_P2T12025</v>
      </c>
    </row>
    <row r="369" spans="1:8">
      <c r="A369" t="s">
        <v>993</v>
      </c>
      <c r="B369">
        <v>2026</v>
      </c>
      <c r="C369" s="643">
        <v>0</v>
      </c>
      <c r="D369" s="643">
        <v>0</v>
      </c>
      <c r="E369" s="643">
        <v>1</v>
      </c>
      <c r="F369" s="643">
        <v>0</v>
      </c>
      <c r="H369" s="674" t="str">
        <f t="shared" si="5"/>
        <v>XMP_202001_P2T12026</v>
      </c>
    </row>
    <row r="370" spans="1:8">
      <c r="A370" t="s">
        <v>993</v>
      </c>
      <c r="B370">
        <v>2027</v>
      </c>
      <c r="C370" s="643">
        <v>0</v>
      </c>
      <c r="D370" s="643">
        <v>0</v>
      </c>
      <c r="E370" s="643">
        <v>1</v>
      </c>
      <c r="F370" s="643">
        <v>0</v>
      </c>
      <c r="H370" s="674" t="str">
        <f t="shared" si="5"/>
        <v>XMP_202001_P2T12027</v>
      </c>
    </row>
    <row r="371" spans="1:8">
      <c r="A371" t="s">
        <v>994</v>
      </c>
      <c r="B371">
        <v>2024</v>
      </c>
      <c r="C371" s="643">
        <v>0</v>
      </c>
      <c r="D371" s="643">
        <v>0</v>
      </c>
      <c r="E371" s="643">
        <v>1</v>
      </c>
      <c r="F371" s="643">
        <v>0</v>
      </c>
      <c r="H371" s="674" t="str">
        <f t="shared" si="5"/>
        <v>XMP_202001_P2T22024</v>
      </c>
    </row>
    <row r="372" spans="1:8">
      <c r="A372" t="s">
        <v>994</v>
      </c>
      <c r="B372">
        <v>2025</v>
      </c>
      <c r="C372" s="643">
        <v>0</v>
      </c>
      <c r="D372" s="643">
        <v>0</v>
      </c>
      <c r="E372" s="643">
        <v>1</v>
      </c>
      <c r="F372" s="643">
        <v>0</v>
      </c>
      <c r="H372" s="674" t="str">
        <f t="shared" si="5"/>
        <v>XMP_202001_P2T22025</v>
      </c>
    </row>
    <row r="373" spans="1:8">
      <c r="A373" t="s">
        <v>994</v>
      </c>
      <c r="B373">
        <v>2026</v>
      </c>
      <c r="C373" s="643">
        <v>0</v>
      </c>
      <c r="D373" s="643">
        <v>0</v>
      </c>
      <c r="E373" s="643">
        <v>1</v>
      </c>
      <c r="F373" s="643">
        <v>0</v>
      </c>
      <c r="H373" s="674" t="str">
        <f t="shared" si="5"/>
        <v>XMP_202001_P2T22026</v>
      </c>
    </row>
    <row r="374" spans="1:8">
      <c r="A374" t="s">
        <v>994</v>
      </c>
      <c r="B374">
        <v>2027</v>
      </c>
      <c r="C374" s="643">
        <v>0</v>
      </c>
      <c r="D374" s="643">
        <v>0</v>
      </c>
      <c r="E374" s="643">
        <v>1</v>
      </c>
      <c r="F374" s="643">
        <v>0</v>
      </c>
      <c r="H374" s="674" t="str">
        <f t="shared" si="5"/>
        <v>XMP_202001_P2T22027</v>
      </c>
    </row>
    <row r="375" spans="1:8">
      <c r="A375" t="s">
        <v>995</v>
      </c>
      <c r="B375">
        <v>2024</v>
      </c>
      <c r="C375" s="643">
        <v>0</v>
      </c>
      <c r="D375" s="643">
        <v>0</v>
      </c>
      <c r="E375" s="643">
        <v>1</v>
      </c>
      <c r="F375" s="643">
        <v>0</v>
      </c>
      <c r="H375" s="674" t="str">
        <f t="shared" si="5"/>
        <v>XMP_202001_P3T12024</v>
      </c>
    </row>
    <row r="376" spans="1:8">
      <c r="A376" t="s">
        <v>995</v>
      </c>
      <c r="B376">
        <v>2025</v>
      </c>
      <c r="C376" s="643">
        <v>0</v>
      </c>
      <c r="D376" s="643">
        <v>0</v>
      </c>
      <c r="E376" s="643">
        <v>1</v>
      </c>
      <c r="F376" s="643">
        <v>0</v>
      </c>
      <c r="H376" s="674" t="str">
        <f t="shared" si="5"/>
        <v>XMP_202001_P3T12025</v>
      </c>
    </row>
    <row r="377" spans="1:8">
      <c r="A377" t="s">
        <v>995</v>
      </c>
      <c r="B377">
        <v>2026</v>
      </c>
      <c r="C377" s="643">
        <v>0</v>
      </c>
      <c r="D377" s="643">
        <v>0</v>
      </c>
      <c r="E377" s="643">
        <v>1</v>
      </c>
      <c r="F377" s="643">
        <v>0</v>
      </c>
      <c r="H377" s="674" t="str">
        <f t="shared" si="5"/>
        <v>XMP_202001_P3T12026</v>
      </c>
    </row>
    <row r="378" spans="1:8">
      <c r="A378" t="s">
        <v>995</v>
      </c>
      <c r="B378">
        <v>2027</v>
      </c>
      <c r="C378" s="643">
        <v>0</v>
      </c>
      <c r="D378" s="643">
        <v>0</v>
      </c>
      <c r="E378" s="643">
        <v>1</v>
      </c>
      <c r="F378" s="643">
        <v>0</v>
      </c>
      <c r="H378" s="674" t="str">
        <f t="shared" si="5"/>
        <v>XMP_202001_P3T12027</v>
      </c>
    </row>
    <row r="379" spans="1:8">
      <c r="A379" t="s">
        <v>996</v>
      </c>
      <c r="B379">
        <v>2024</v>
      </c>
      <c r="C379" s="643">
        <v>0</v>
      </c>
      <c r="D379" s="643">
        <v>0</v>
      </c>
      <c r="E379" s="643">
        <v>1</v>
      </c>
      <c r="F379" s="643">
        <v>0</v>
      </c>
      <c r="H379" s="674" t="str">
        <f t="shared" si="5"/>
        <v>XMP_202001_P3T22024</v>
      </c>
    </row>
    <row r="380" spans="1:8">
      <c r="A380" t="s">
        <v>996</v>
      </c>
      <c r="B380">
        <v>2025</v>
      </c>
      <c r="C380" s="643">
        <v>0</v>
      </c>
      <c r="D380" s="643">
        <v>0</v>
      </c>
      <c r="E380" s="643">
        <v>1</v>
      </c>
      <c r="F380" s="643">
        <v>0</v>
      </c>
      <c r="H380" s="674" t="str">
        <f t="shared" si="5"/>
        <v>XMP_202001_P3T22025</v>
      </c>
    </row>
    <row r="381" spans="1:8">
      <c r="A381" t="s">
        <v>996</v>
      </c>
      <c r="B381">
        <v>2026</v>
      </c>
      <c r="C381" s="643">
        <v>0</v>
      </c>
      <c r="D381" s="643">
        <v>0</v>
      </c>
      <c r="E381" s="643">
        <v>1</v>
      </c>
      <c r="F381" s="643">
        <v>0</v>
      </c>
      <c r="H381" s="674" t="str">
        <f t="shared" si="5"/>
        <v>XMP_202001_P3T22026</v>
      </c>
    </row>
    <row r="382" spans="1:8">
      <c r="A382" t="s">
        <v>996</v>
      </c>
      <c r="B382">
        <v>2027</v>
      </c>
      <c r="C382" s="643">
        <v>0</v>
      </c>
      <c r="D382" s="643">
        <v>0</v>
      </c>
      <c r="E382" s="643">
        <v>1</v>
      </c>
      <c r="F382" s="643">
        <v>0</v>
      </c>
      <c r="H382" s="674" t="str">
        <f t="shared" si="5"/>
        <v>XMP_202001_P3T22027</v>
      </c>
    </row>
    <row r="383" spans="1:8">
      <c r="A383" t="s">
        <v>997</v>
      </c>
      <c r="B383">
        <v>2024</v>
      </c>
      <c r="C383" s="643">
        <v>0</v>
      </c>
      <c r="D383" s="643">
        <v>0</v>
      </c>
      <c r="E383" s="643">
        <v>1</v>
      </c>
      <c r="F383" s="643">
        <v>0</v>
      </c>
      <c r="H383" s="674" t="str">
        <f t="shared" si="5"/>
        <v>XMP_202001_P3T32024</v>
      </c>
    </row>
    <row r="384" spans="1:8">
      <c r="A384" t="s">
        <v>997</v>
      </c>
      <c r="B384">
        <v>2025</v>
      </c>
      <c r="C384" s="643">
        <v>0</v>
      </c>
      <c r="D384" s="643">
        <v>0</v>
      </c>
      <c r="E384" s="643">
        <v>1</v>
      </c>
      <c r="F384" s="643">
        <v>0</v>
      </c>
      <c r="H384" s="674" t="str">
        <f t="shared" si="5"/>
        <v>XMP_202001_P3T32025</v>
      </c>
    </row>
    <row r="385" spans="1:8">
      <c r="A385" t="s">
        <v>997</v>
      </c>
      <c r="B385">
        <v>2026</v>
      </c>
      <c r="C385" s="643">
        <v>0</v>
      </c>
      <c r="D385" s="643">
        <v>0</v>
      </c>
      <c r="E385" s="643">
        <v>1</v>
      </c>
      <c r="F385" s="643">
        <v>0</v>
      </c>
      <c r="H385" s="674" t="str">
        <f t="shared" si="5"/>
        <v>XMP_202001_P3T32026</v>
      </c>
    </row>
    <row r="386" spans="1:8">
      <c r="A386" t="s">
        <v>997</v>
      </c>
      <c r="B386">
        <v>2027</v>
      </c>
      <c r="C386" s="643">
        <v>0</v>
      </c>
      <c r="D386" s="643">
        <v>0</v>
      </c>
      <c r="E386" s="643">
        <v>1</v>
      </c>
      <c r="F386" s="643">
        <v>0</v>
      </c>
      <c r="H386" s="674" t="str">
        <f t="shared" si="5"/>
        <v>XMP_202001_P3T32027</v>
      </c>
    </row>
    <row r="387" spans="1:8">
      <c r="A387" t="s">
        <v>998</v>
      </c>
      <c r="B387">
        <v>2024</v>
      </c>
      <c r="C387" s="643">
        <v>0</v>
      </c>
      <c r="D387" s="643">
        <v>0</v>
      </c>
      <c r="E387" s="643">
        <v>1</v>
      </c>
      <c r="F387" s="643">
        <v>0</v>
      </c>
      <c r="H387" s="674" t="str">
        <f t="shared" ref="H387:H450" si="6">A387&amp;B387</f>
        <v>XMP_202001_P4T12024</v>
      </c>
    </row>
    <row r="388" spans="1:8">
      <c r="A388" t="s">
        <v>998</v>
      </c>
      <c r="B388">
        <v>2025</v>
      </c>
      <c r="C388" s="643">
        <v>0</v>
      </c>
      <c r="D388" s="643">
        <v>0</v>
      </c>
      <c r="E388" s="643">
        <v>1</v>
      </c>
      <c r="F388" s="643">
        <v>0</v>
      </c>
      <c r="H388" s="674" t="str">
        <f t="shared" si="6"/>
        <v>XMP_202001_P4T12025</v>
      </c>
    </row>
    <row r="389" spans="1:8">
      <c r="A389" t="s">
        <v>998</v>
      </c>
      <c r="B389">
        <v>2026</v>
      </c>
      <c r="C389" s="643">
        <v>0</v>
      </c>
      <c r="D389" s="643">
        <v>0</v>
      </c>
      <c r="E389" s="643">
        <v>1</v>
      </c>
      <c r="F389" s="643">
        <v>0</v>
      </c>
      <c r="H389" s="674" t="str">
        <f t="shared" si="6"/>
        <v>XMP_202001_P4T12026</v>
      </c>
    </row>
    <row r="390" spans="1:8">
      <c r="A390" t="s">
        <v>998</v>
      </c>
      <c r="B390">
        <v>2027</v>
      </c>
      <c r="C390" s="643">
        <v>0</v>
      </c>
      <c r="D390" s="643">
        <v>0</v>
      </c>
      <c r="E390" s="643">
        <v>1</v>
      </c>
      <c r="F390" s="643">
        <v>0</v>
      </c>
      <c r="H390" s="674" t="str">
        <f t="shared" si="6"/>
        <v>XMP_202001_P4T12027</v>
      </c>
    </row>
    <row r="391" spans="1:8">
      <c r="A391" t="s">
        <v>999</v>
      </c>
      <c r="B391">
        <v>2024</v>
      </c>
      <c r="C391" s="643">
        <v>0</v>
      </c>
      <c r="D391" s="643">
        <v>0</v>
      </c>
      <c r="E391" s="643">
        <v>1</v>
      </c>
      <c r="F391" s="643">
        <v>0</v>
      </c>
      <c r="H391" s="674" t="str">
        <f t="shared" si="6"/>
        <v>XMP_202001_P4T22024</v>
      </c>
    </row>
    <row r="392" spans="1:8">
      <c r="A392" t="s">
        <v>999</v>
      </c>
      <c r="B392">
        <v>2025</v>
      </c>
      <c r="C392" s="643">
        <v>0</v>
      </c>
      <c r="D392" s="643">
        <v>0</v>
      </c>
      <c r="E392" s="643">
        <v>1</v>
      </c>
      <c r="F392" s="643">
        <v>0</v>
      </c>
      <c r="H392" s="674" t="str">
        <f t="shared" si="6"/>
        <v>XMP_202001_P4T22025</v>
      </c>
    </row>
    <row r="393" spans="1:8">
      <c r="A393" t="s">
        <v>999</v>
      </c>
      <c r="B393">
        <v>2026</v>
      </c>
      <c r="C393" s="643">
        <v>0</v>
      </c>
      <c r="D393" s="643">
        <v>0</v>
      </c>
      <c r="E393" s="643">
        <v>1</v>
      </c>
      <c r="F393" s="643">
        <v>0</v>
      </c>
      <c r="H393" s="674" t="str">
        <f t="shared" si="6"/>
        <v>XMP_202001_P4T22026</v>
      </c>
    </row>
    <row r="394" spans="1:8">
      <c r="A394" t="s">
        <v>999</v>
      </c>
      <c r="B394">
        <v>2027</v>
      </c>
      <c r="C394" s="643">
        <v>0</v>
      </c>
      <c r="D394" s="643">
        <v>0</v>
      </c>
      <c r="E394" s="643">
        <v>1</v>
      </c>
      <c r="F394" s="643">
        <v>0</v>
      </c>
      <c r="H394" s="674" t="str">
        <f t="shared" si="6"/>
        <v>XMP_202001_P4T22027</v>
      </c>
    </row>
    <row r="395" spans="1:8">
      <c r="A395" t="s">
        <v>1000</v>
      </c>
      <c r="B395">
        <v>2024</v>
      </c>
      <c r="C395" s="643">
        <v>0</v>
      </c>
      <c r="D395" s="643">
        <v>0</v>
      </c>
      <c r="E395" s="643">
        <v>1</v>
      </c>
      <c r="F395" s="643">
        <v>0</v>
      </c>
      <c r="H395" s="674" t="str">
        <f t="shared" si="6"/>
        <v>XMP_202001_P4T32024</v>
      </c>
    </row>
    <row r="396" spans="1:8">
      <c r="A396" t="s">
        <v>1000</v>
      </c>
      <c r="B396">
        <v>2025</v>
      </c>
      <c r="C396" s="643">
        <v>0</v>
      </c>
      <c r="D396" s="643">
        <v>0</v>
      </c>
      <c r="E396" s="643">
        <v>1</v>
      </c>
      <c r="F396" s="643">
        <v>0</v>
      </c>
      <c r="H396" s="674" t="str">
        <f t="shared" si="6"/>
        <v>XMP_202001_P4T32025</v>
      </c>
    </row>
    <row r="397" spans="1:8">
      <c r="A397" t="s">
        <v>1000</v>
      </c>
      <c r="B397">
        <v>2026</v>
      </c>
      <c r="C397" s="643">
        <v>0</v>
      </c>
      <c r="D397" s="643">
        <v>0</v>
      </c>
      <c r="E397" s="643">
        <v>1</v>
      </c>
      <c r="F397" s="643">
        <v>0</v>
      </c>
      <c r="H397" s="674" t="str">
        <f t="shared" si="6"/>
        <v>XMP_202001_P4T32026</v>
      </c>
    </row>
    <row r="398" spans="1:8">
      <c r="A398" t="s">
        <v>1000</v>
      </c>
      <c r="B398">
        <v>2027</v>
      </c>
      <c r="C398" s="643">
        <v>0</v>
      </c>
      <c r="D398" s="643">
        <v>0</v>
      </c>
      <c r="E398" s="643">
        <v>1</v>
      </c>
      <c r="F398" s="643">
        <v>0</v>
      </c>
      <c r="H398" s="674" t="str">
        <f t="shared" si="6"/>
        <v>XMP_202001_P4T32027</v>
      </c>
    </row>
    <row r="399" spans="1:8">
      <c r="A399" t="s">
        <v>1001</v>
      </c>
      <c r="B399">
        <v>2024</v>
      </c>
      <c r="C399" s="643">
        <v>0</v>
      </c>
      <c r="D399" s="643">
        <v>0</v>
      </c>
      <c r="E399" s="643">
        <v>1</v>
      </c>
      <c r="F399" s="643">
        <v>0</v>
      </c>
      <c r="H399" s="674" t="str">
        <f t="shared" si="6"/>
        <v>XMP_202001_P5T12024</v>
      </c>
    </row>
    <row r="400" spans="1:8">
      <c r="A400" t="s">
        <v>1001</v>
      </c>
      <c r="B400">
        <v>2025</v>
      </c>
      <c r="C400" s="643">
        <v>0</v>
      </c>
      <c r="D400" s="643">
        <v>0</v>
      </c>
      <c r="E400" s="643">
        <v>1</v>
      </c>
      <c r="F400" s="643">
        <v>0</v>
      </c>
      <c r="H400" s="674" t="str">
        <f t="shared" si="6"/>
        <v>XMP_202001_P5T12025</v>
      </c>
    </row>
    <row r="401" spans="1:8">
      <c r="A401" t="s">
        <v>1001</v>
      </c>
      <c r="B401">
        <v>2026</v>
      </c>
      <c r="C401" s="643">
        <v>0</v>
      </c>
      <c r="D401" s="643">
        <v>0</v>
      </c>
      <c r="E401" s="643">
        <v>1</v>
      </c>
      <c r="F401" s="643">
        <v>0</v>
      </c>
      <c r="H401" s="674" t="str">
        <f t="shared" si="6"/>
        <v>XMP_202001_P5T12026</v>
      </c>
    </row>
    <row r="402" spans="1:8">
      <c r="A402" t="s">
        <v>1001</v>
      </c>
      <c r="B402">
        <v>2027</v>
      </c>
      <c r="C402" s="643">
        <v>0</v>
      </c>
      <c r="D402" s="643">
        <v>0</v>
      </c>
      <c r="E402" s="643">
        <v>1</v>
      </c>
      <c r="F402" s="643">
        <v>0</v>
      </c>
      <c r="H402" s="674" t="str">
        <f t="shared" si="6"/>
        <v>XMP_202001_P5T12027</v>
      </c>
    </row>
    <row r="403" spans="1:8">
      <c r="A403" t="s">
        <v>1002</v>
      </c>
      <c r="B403">
        <v>2024</v>
      </c>
      <c r="C403" s="643">
        <v>0</v>
      </c>
      <c r="D403" s="643">
        <v>0</v>
      </c>
      <c r="E403" s="643">
        <v>1</v>
      </c>
      <c r="F403" s="643">
        <v>0</v>
      </c>
      <c r="H403" s="674" t="str">
        <f t="shared" si="6"/>
        <v>XMP_202001_P6T12024</v>
      </c>
    </row>
    <row r="404" spans="1:8">
      <c r="A404" t="s">
        <v>1002</v>
      </c>
      <c r="B404">
        <v>2025</v>
      </c>
      <c r="C404" s="643">
        <v>0</v>
      </c>
      <c r="D404" s="643">
        <v>0</v>
      </c>
      <c r="E404" s="643">
        <v>1</v>
      </c>
      <c r="F404" s="643">
        <v>0</v>
      </c>
      <c r="H404" s="674" t="str">
        <f t="shared" si="6"/>
        <v>XMP_202001_P6T12025</v>
      </c>
    </row>
    <row r="405" spans="1:8">
      <c r="A405" t="s">
        <v>1002</v>
      </c>
      <c r="B405">
        <v>2026</v>
      </c>
      <c r="C405" s="643">
        <v>0</v>
      </c>
      <c r="D405" s="643">
        <v>0</v>
      </c>
      <c r="E405" s="643">
        <v>1</v>
      </c>
      <c r="F405" s="643">
        <v>0</v>
      </c>
      <c r="H405" s="674" t="str">
        <f t="shared" si="6"/>
        <v>XMP_202001_P6T12026</v>
      </c>
    </row>
    <row r="406" spans="1:8">
      <c r="A406" t="s">
        <v>1002</v>
      </c>
      <c r="B406">
        <v>2027</v>
      </c>
      <c r="C406" s="643">
        <v>0</v>
      </c>
      <c r="D406" s="643">
        <v>0</v>
      </c>
      <c r="E406" s="643">
        <v>1</v>
      </c>
      <c r="F406" s="643">
        <v>0</v>
      </c>
      <c r="H406" s="674" t="str">
        <f t="shared" si="6"/>
        <v>XMP_202001_P6T12027</v>
      </c>
    </row>
    <row r="407" spans="1:8">
      <c r="A407" t="s">
        <v>1003</v>
      </c>
      <c r="B407">
        <v>2024</v>
      </c>
      <c r="C407" s="643">
        <v>0</v>
      </c>
      <c r="D407" s="643">
        <v>0</v>
      </c>
      <c r="E407" s="643">
        <v>1</v>
      </c>
      <c r="F407" s="643">
        <v>0</v>
      </c>
      <c r="H407" s="674" t="str">
        <f t="shared" si="6"/>
        <v>XMP_202001_P6T22024</v>
      </c>
    </row>
    <row r="408" spans="1:8">
      <c r="A408" t="s">
        <v>1003</v>
      </c>
      <c r="B408">
        <v>2025</v>
      </c>
      <c r="C408" s="643">
        <v>0</v>
      </c>
      <c r="D408" s="643">
        <v>0</v>
      </c>
      <c r="E408" s="643">
        <v>1</v>
      </c>
      <c r="F408" s="643">
        <v>0</v>
      </c>
      <c r="H408" s="674" t="str">
        <f t="shared" si="6"/>
        <v>XMP_202001_P6T22025</v>
      </c>
    </row>
    <row r="409" spans="1:8">
      <c r="A409" t="s">
        <v>1003</v>
      </c>
      <c r="B409">
        <v>2026</v>
      </c>
      <c r="C409" s="643">
        <v>0</v>
      </c>
      <c r="D409" s="643">
        <v>0</v>
      </c>
      <c r="E409" s="643">
        <v>1</v>
      </c>
      <c r="F409" s="643">
        <v>0</v>
      </c>
      <c r="H409" s="674" t="str">
        <f t="shared" si="6"/>
        <v>XMP_202001_P6T22026</v>
      </c>
    </row>
    <row r="410" spans="1:8">
      <c r="A410" t="s">
        <v>1003</v>
      </c>
      <c r="B410">
        <v>2027</v>
      </c>
      <c r="C410" s="643">
        <v>0</v>
      </c>
      <c r="D410" s="643">
        <v>0</v>
      </c>
      <c r="E410" s="643">
        <v>1</v>
      </c>
      <c r="F410" s="643">
        <v>0</v>
      </c>
      <c r="H410" s="674" t="str">
        <f t="shared" si="6"/>
        <v>XMP_202001_P6T22027</v>
      </c>
    </row>
    <row r="411" spans="1:8">
      <c r="H411" s="674" t="str">
        <f t="shared" si="6"/>
        <v/>
      </c>
    </row>
    <row r="412" spans="1:8">
      <c r="H412" s="674" t="str">
        <f t="shared" si="6"/>
        <v/>
      </c>
    </row>
    <row r="413" spans="1:8">
      <c r="H413" s="674" t="str">
        <f t="shared" si="6"/>
        <v/>
      </c>
    </row>
    <row r="414" spans="1:8">
      <c r="H414" s="674" t="str">
        <f t="shared" si="6"/>
        <v/>
      </c>
    </row>
    <row r="415" spans="1:8">
      <c r="H415" s="674" t="str">
        <f t="shared" si="6"/>
        <v/>
      </c>
    </row>
    <row r="416" spans="1:8">
      <c r="H416" s="674" t="str">
        <f t="shared" si="6"/>
        <v/>
      </c>
    </row>
    <row r="417" spans="8:8">
      <c r="H417" s="674" t="str">
        <f t="shared" si="6"/>
        <v/>
      </c>
    </row>
    <row r="418" spans="8:8">
      <c r="H418" s="674" t="str">
        <f t="shared" si="6"/>
        <v/>
      </c>
    </row>
    <row r="419" spans="8:8">
      <c r="H419" s="674" t="str">
        <f t="shared" si="6"/>
        <v/>
      </c>
    </row>
    <row r="420" spans="8:8">
      <c r="H420" s="674" t="str">
        <f t="shared" si="6"/>
        <v/>
      </c>
    </row>
    <row r="421" spans="8:8">
      <c r="H421" s="674" t="str">
        <f t="shared" si="6"/>
        <v/>
      </c>
    </row>
    <row r="422" spans="8:8">
      <c r="H422" s="674" t="str">
        <f t="shared" si="6"/>
        <v/>
      </c>
    </row>
    <row r="423" spans="8:8">
      <c r="H423" s="674" t="str">
        <f t="shared" si="6"/>
        <v/>
      </c>
    </row>
    <row r="424" spans="8:8">
      <c r="H424" s="674" t="str">
        <f t="shared" si="6"/>
        <v/>
      </c>
    </row>
    <row r="425" spans="8:8">
      <c r="H425" s="674" t="str">
        <f t="shared" si="6"/>
        <v/>
      </c>
    </row>
    <row r="426" spans="8:8">
      <c r="H426" s="674" t="str">
        <f t="shared" si="6"/>
        <v/>
      </c>
    </row>
    <row r="427" spans="8:8">
      <c r="H427" s="674" t="str">
        <f t="shared" si="6"/>
        <v/>
      </c>
    </row>
    <row r="428" spans="8:8">
      <c r="H428" s="674" t="str">
        <f t="shared" si="6"/>
        <v/>
      </c>
    </row>
    <row r="429" spans="8:8">
      <c r="H429" s="674" t="str">
        <f t="shared" si="6"/>
        <v/>
      </c>
    </row>
    <row r="430" spans="8:8">
      <c r="H430" s="674" t="str">
        <f t="shared" si="6"/>
        <v/>
      </c>
    </row>
    <row r="431" spans="8:8">
      <c r="H431" s="674" t="str">
        <f t="shared" si="6"/>
        <v/>
      </c>
    </row>
    <row r="432" spans="8:8">
      <c r="H432" s="674" t="str">
        <f t="shared" si="6"/>
        <v/>
      </c>
    </row>
    <row r="433" spans="8:8">
      <c r="H433" s="674" t="str">
        <f t="shared" si="6"/>
        <v/>
      </c>
    </row>
    <row r="434" spans="8:8">
      <c r="H434" s="674" t="str">
        <f t="shared" si="6"/>
        <v/>
      </c>
    </row>
    <row r="435" spans="8:8">
      <c r="H435" s="674" t="str">
        <f t="shared" si="6"/>
        <v/>
      </c>
    </row>
    <row r="436" spans="8:8">
      <c r="H436" s="674" t="str">
        <f t="shared" si="6"/>
        <v/>
      </c>
    </row>
    <row r="437" spans="8:8">
      <c r="H437" s="674" t="str">
        <f t="shared" si="6"/>
        <v/>
      </c>
    </row>
    <row r="438" spans="8:8">
      <c r="H438" s="674" t="str">
        <f t="shared" si="6"/>
        <v/>
      </c>
    </row>
    <row r="439" spans="8:8">
      <c r="H439" s="674" t="str">
        <f t="shared" si="6"/>
        <v/>
      </c>
    </row>
    <row r="440" spans="8:8">
      <c r="H440" s="674" t="str">
        <f t="shared" si="6"/>
        <v/>
      </c>
    </row>
    <row r="441" spans="8:8">
      <c r="H441" s="674" t="str">
        <f t="shared" si="6"/>
        <v/>
      </c>
    </row>
    <row r="442" spans="8:8">
      <c r="H442" s="674" t="str">
        <f t="shared" si="6"/>
        <v/>
      </c>
    </row>
    <row r="443" spans="8:8">
      <c r="H443" s="674" t="str">
        <f t="shared" si="6"/>
        <v/>
      </c>
    </row>
    <row r="444" spans="8:8">
      <c r="H444" s="674" t="str">
        <f t="shared" si="6"/>
        <v/>
      </c>
    </row>
    <row r="445" spans="8:8">
      <c r="H445" s="674" t="str">
        <f t="shared" si="6"/>
        <v/>
      </c>
    </row>
    <row r="446" spans="8:8">
      <c r="H446" s="674" t="str">
        <f t="shared" si="6"/>
        <v/>
      </c>
    </row>
    <row r="447" spans="8:8">
      <c r="H447" s="674" t="str">
        <f t="shared" si="6"/>
        <v/>
      </c>
    </row>
    <row r="448" spans="8:8">
      <c r="H448" s="674" t="str">
        <f t="shared" si="6"/>
        <v/>
      </c>
    </row>
    <row r="449" spans="8:8">
      <c r="H449" s="674" t="str">
        <f t="shared" si="6"/>
        <v/>
      </c>
    </row>
    <row r="450" spans="8:8">
      <c r="H450" s="674" t="str">
        <f t="shared" si="6"/>
        <v/>
      </c>
    </row>
    <row r="451" spans="8:8">
      <c r="H451" s="674" t="str">
        <f t="shared" ref="H451:H514" si="7">A451&amp;B451</f>
        <v/>
      </c>
    </row>
    <row r="452" spans="8:8">
      <c r="H452" s="674" t="str">
        <f t="shared" si="7"/>
        <v/>
      </c>
    </row>
    <row r="453" spans="8:8">
      <c r="H453" s="674" t="str">
        <f t="shared" si="7"/>
        <v/>
      </c>
    </row>
    <row r="454" spans="8:8">
      <c r="H454" s="674" t="str">
        <f t="shared" si="7"/>
        <v/>
      </c>
    </row>
    <row r="455" spans="8:8">
      <c r="H455" s="674" t="str">
        <f t="shared" si="7"/>
        <v/>
      </c>
    </row>
    <row r="456" spans="8:8">
      <c r="H456" s="674" t="str">
        <f t="shared" si="7"/>
        <v/>
      </c>
    </row>
    <row r="457" spans="8:8">
      <c r="H457" s="674" t="str">
        <f t="shared" si="7"/>
        <v/>
      </c>
    </row>
    <row r="458" spans="8:8">
      <c r="H458" s="674" t="str">
        <f t="shared" si="7"/>
        <v/>
      </c>
    </row>
    <row r="459" spans="8:8">
      <c r="H459" s="674" t="str">
        <f t="shared" si="7"/>
        <v/>
      </c>
    </row>
    <row r="460" spans="8:8">
      <c r="H460" s="674" t="str">
        <f t="shared" si="7"/>
        <v/>
      </c>
    </row>
    <row r="461" spans="8:8">
      <c r="H461" s="674" t="str">
        <f t="shared" si="7"/>
        <v/>
      </c>
    </row>
    <row r="462" spans="8:8">
      <c r="H462" s="674" t="str">
        <f t="shared" si="7"/>
        <v/>
      </c>
    </row>
    <row r="463" spans="8:8">
      <c r="H463" s="674" t="str">
        <f t="shared" si="7"/>
        <v/>
      </c>
    </row>
    <row r="464" spans="8:8">
      <c r="H464" s="674" t="str">
        <f t="shared" si="7"/>
        <v/>
      </c>
    </row>
    <row r="465" spans="8:8">
      <c r="H465" s="674" t="str">
        <f t="shared" si="7"/>
        <v/>
      </c>
    </row>
    <row r="466" spans="8:8">
      <c r="H466" s="674" t="str">
        <f t="shared" si="7"/>
        <v/>
      </c>
    </row>
    <row r="467" spans="8:8">
      <c r="H467" s="674" t="str">
        <f t="shared" si="7"/>
        <v/>
      </c>
    </row>
    <row r="468" spans="8:8">
      <c r="H468" s="674" t="str">
        <f t="shared" si="7"/>
        <v/>
      </c>
    </row>
    <row r="469" spans="8:8">
      <c r="H469" s="674" t="str">
        <f t="shared" si="7"/>
        <v/>
      </c>
    </row>
    <row r="470" spans="8:8">
      <c r="H470" s="674" t="str">
        <f t="shared" si="7"/>
        <v/>
      </c>
    </row>
    <row r="471" spans="8:8">
      <c r="H471" s="674" t="str">
        <f t="shared" si="7"/>
        <v/>
      </c>
    </row>
    <row r="472" spans="8:8">
      <c r="H472" s="674" t="str">
        <f t="shared" si="7"/>
        <v/>
      </c>
    </row>
    <row r="473" spans="8:8">
      <c r="H473" s="674" t="str">
        <f t="shared" si="7"/>
        <v/>
      </c>
    </row>
    <row r="474" spans="8:8">
      <c r="H474" s="674" t="str">
        <f t="shared" si="7"/>
        <v/>
      </c>
    </row>
    <row r="475" spans="8:8">
      <c r="H475" s="674" t="str">
        <f t="shared" si="7"/>
        <v/>
      </c>
    </row>
    <row r="476" spans="8:8">
      <c r="H476" s="674" t="str">
        <f t="shared" si="7"/>
        <v/>
      </c>
    </row>
    <row r="477" spans="8:8">
      <c r="H477" s="674" t="str">
        <f t="shared" si="7"/>
        <v/>
      </c>
    </row>
    <row r="478" spans="8:8">
      <c r="H478" s="674" t="str">
        <f t="shared" si="7"/>
        <v/>
      </c>
    </row>
    <row r="479" spans="8:8">
      <c r="H479" s="674" t="str">
        <f t="shared" si="7"/>
        <v/>
      </c>
    </row>
    <row r="480" spans="8:8">
      <c r="H480" s="674" t="str">
        <f t="shared" si="7"/>
        <v/>
      </c>
    </row>
    <row r="481" spans="8:8">
      <c r="H481" s="674" t="str">
        <f t="shared" si="7"/>
        <v/>
      </c>
    </row>
    <row r="482" spans="8:8">
      <c r="H482" s="674" t="str">
        <f t="shared" si="7"/>
        <v/>
      </c>
    </row>
    <row r="483" spans="8:8">
      <c r="H483" s="674" t="str">
        <f t="shared" si="7"/>
        <v/>
      </c>
    </row>
    <row r="484" spans="8:8">
      <c r="H484" s="674" t="str">
        <f t="shared" si="7"/>
        <v/>
      </c>
    </row>
    <row r="485" spans="8:8">
      <c r="H485" s="674" t="str">
        <f t="shared" si="7"/>
        <v/>
      </c>
    </row>
    <row r="486" spans="8:8">
      <c r="H486" s="674" t="str">
        <f t="shared" si="7"/>
        <v/>
      </c>
    </row>
    <row r="487" spans="8:8">
      <c r="H487" s="674" t="str">
        <f t="shared" si="7"/>
        <v/>
      </c>
    </row>
    <row r="488" spans="8:8">
      <c r="H488" s="674" t="str">
        <f t="shared" si="7"/>
        <v/>
      </c>
    </row>
    <row r="489" spans="8:8">
      <c r="H489" s="674" t="str">
        <f t="shared" si="7"/>
        <v/>
      </c>
    </row>
    <row r="490" spans="8:8">
      <c r="H490" s="674" t="str">
        <f t="shared" si="7"/>
        <v/>
      </c>
    </row>
    <row r="491" spans="8:8">
      <c r="H491" s="674" t="str">
        <f t="shared" si="7"/>
        <v/>
      </c>
    </row>
    <row r="492" spans="8:8">
      <c r="H492" s="674" t="str">
        <f t="shared" si="7"/>
        <v/>
      </c>
    </row>
    <row r="493" spans="8:8">
      <c r="H493" s="674" t="str">
        <f t="shared" si="7"/>
        <v/>
      </c>
    </row>
    <row r="494" spans="8:8">
      <c r="H494" s="674" t="str">
        <f t="shared" si="7"/>
        <v/>
      </c>
    </row>
    <row r="495" spans="8:8">
      <c r="H495" s="674" t="str">
        <f t="shared" si="7"/>
        <v/>
      </c>
    </row>
    <row r="496" spans="8:8">
      <c r="H496" s="674" t="str">
        <f t="shared" si="7"/>
        <v/>
      </c>
    </row>
    <row r="497" spans="8:8">
      <c r="H497" s="674" t="str">
        <f t="shared" si="7"/>
        <v/>
      </c>
    </row>
    <row r="498" spans="8:8">
      <c r="H498" s="674" t="str">
        <f t="shared" si="7"/>
        <v/>
      </c>
    </row>
    <row r="499" spans="8:8">
      <c r="H499" s="674" t="str">
        <f t="shared" si="7"/>
        <v/>
      </c>
    </row>
    <row r="500" spans="8:8">
      <c r="H500" s="674" t="str">
        <f t="shared" si="7"/>
        <v/>
      </c>
    </row>
    <row r="501" spans="8:8">
      <c r="H501" s="674" t="str">
        <f t="shared" si="7"/>
        <v/>
      </c>
    </row>
    <row r="502" spans="8:8">
      <c r="H502" s="674" t="str">
        <f t="shared" si="7"/>
        <v/>
      </c>
    </row>
    <row r="503" spans="8:8">
      <c r="H503" s="674" t="str">
        <f t="shared" si="7"/>
        <v/>
      </c>
    </row>
    <row r="504" spans="8:8">
      <c r="H504" s="674" t="str">
        <f t="shared" si="7"/>
        <v/>
      </c>
    </row>
    <row r="505" spans="8:8">
      <c r="H505" s="674" t="str">
        <f t="shared" si="7"/>
        <v/>
      </c>
    </row>
    <row r="506" spans="8:8">
      <c r="H506" s="674" t="str">
        <f t="shared" si="7"/>
        <v/>
      </c>
    </row>
    <row r="507" spans="8:8">
      <c r="H507" s="674" t="str">
        <f t="shared" si="7"/>
        <v/>
      </c>
    </row>
    <row r="508" spans="8:8">
      <c r="H508" s="674" t="str">
        <f t="shared" si="7"/>
        <v/>
      </c>
    </row>
    <row r="509" spans="8:8">
      <c r="H509" s="674" t="str">
        <f t="shared" si="7"/>
        <v/>
      </c>
    </row>
    <row r="510" spans="8:8">
      <c r="H510" s="674" t="str">
        <f t="shared" si="7"/>
        <v/>
      </c>
    </row>
    <row r="511" spans="8:8">
      <c r="H511" s="674" t="str">
        <f t="shared" si="7"/>
        <v/>
      </c>
    </row>
    <row r="512" spans="8:8">
      <c r="H512" s="674" t="str">
        <f t="shared" si="7"/>
        <v/>
      </c>
    </row>
    <row r="513" spans="8:8">
      <c r="H513" s="674" t="str">
        <f t="shared" si="7"/>
        <v/>
      </c>
    </row>
    <row r="514" spans="8:8">
      <c r="H514" s="674" t="str">
        <f t="shared" si="7"/>
        <v/>
      </c>
    </row>
    <row r="515" spans="8:8">
      <c r="H515" s="674" t="str">
        <f t="shared" ref="H515:H578" si="8">A515&amp;B515</f>
        <v/>
      </c>
    </row>
    <row r="516" spans="8:8">
      <c r="H516" s="674" t="str">
        <f t="shared" si="8"/>
        <v/>
      </c>
    </row>
    <row r="517" spans="8:8">
      <c r="H517" s="674" t="str">
        <f t="shared" si="8"/>
        <v/>
      </c>
    </row>
    <row r="518" spans="8:8">
      <c r="H518" s="674" t="str">
        <f t="shared" si="8"/>
        <v/>
      </c>
    </row>
    <row r="519" spans="8:8">
      <c r="H519" s="674" t="str">
        <f t="shared" si="8"/>
        <v/>
      </c>
    </row>
    <row r="520" spans="8:8">
      <c r="H520" s="674" t="str">
        <f t="shared" si="8"/>
        <v/>
      </c>
    </row>
    <row r="521" spans="8:8">
      <c r="H521" s="674" t="str">
        <f t="shared" si="8"/>
        <v/>
      </c>
    </row>
    <row r="522" spans="8:8">
      <c r="H522" s="674" t="str">
        <f t="shared" si="8"/>
        <v/>
      </c>
    </row>
    <row r="523" spans="8:8">
      <c r="H523" s="674" t="str">
        <f t="shared" si="8"/>
        <v/>
      </c>
    </row>
    <row r="524" spans="8:8">
      <c r="H524" s="674" t="str">
        <f t="shared" si="8"/>
        <v/>
      </c>
    </row>
    <row r="525" spans="8:8">
      <c r="H525" s="674" t="str">
        <f t="shared" si="8"/>
        <v/>
      </c>
    </row>
    <row r="526" spans="8:8">
      <c r="H526" s="674" t="str">
        <f t="shared" si="8"/>
        <v/>
      </c>
    </row>
    <row r="527" spans="8:8">
      <c r="H527" s="674" t="str">
        <f t="shared" si="8"/>
        <v/>
      </c>
    </row>
    <row r="528" spans="8:8">
      <c r="H528" s="674" t="str">
        <f t="shared" si="8"/>
        <v/>
      </c>
    </row>
    <row r="529" spans="8:8">
      <c r="H529" s="674" t="str">
        <f t="shared" si="8"/>
        <v/>
      </c>
    </row>
    <row r="530" spans="8:8">
      <c r="H530" s="674" t="str">
        <f t="shared" si="8"/>
        <v/>
      </c>
    </row>
    <row r="531" spans="8:8">
      <c r="H531" s="674" t="str">
        <f t="shared" si="8"/>
        <v/>
      </c>
    </row>
    <row r="532" spans="8:8">
      <c r="H532" s="674" t="str">
        <f t="shared" si="8"/>
        <v/>
      </c>
    </row>
    <row r="533" spans="8:8">
      <c r="H533" s="674" t="str">
        <f t="shared" si="8"/>
        <v/>
      </c>
    </row>
    <row r="534" spans="8:8">
      <c r="H534" s="674" t="str">
        <f t="shared" si="8"/>
        <v/>
      </c>
    </row>
    <row r="535" spans="8:8">
      <c r="H535" s="674" t="str">
        <f t="shared" si="8"/>
        <v/>
      </c>
    </row>
    <row r="536" spans="8:8">
      <c r="H536" s="674" t="str">
        <f t="shared" si="8"/>
        <v/>
      </c>
    </row>
    <row r="537" spans="8:8">
      <c r="H537" s="674" t="str">
        <f t="shared" si="8"/>
        <v/>
      </c>
    </row>
    <row r="538" spans="8:8">
      <c r="H538" s="674" t="str">
        <f t="shared" si="8"/>
        <v/>
      </c>
    </row>
    <row r="539" spans="8:8">
      <c r="H539" s="674" t="str">
        <f t="shared" si="8"/>
        <v/>
      </c>
    </row>
    <row r="540" spans="8:8">
      <c r="H540" s="674" t="str">
        <f t="shared" si="8"/>
        <v/>
      </c>
    </row>
    <row r="541" spans="8:8">
      <c r="H541" s="674" t="str">
        <f t="shared" si="8"/>
        <v/>
      </c>
    </row>
    <row r="542" spans="8:8">
      <c r="H542" s="674" t="str">
        <f t="shared" si="8"/>
        <v/>
      </c>
    </row>
    <row r="543" spans="8:8">
      <c r="H543" s="674" t="str">
        <f t="shared" si="8"/>
        <v/>
      </c>
    </row>
    <row r="544" spans="8:8">
      <c r="H544" s="674" t="str">
        <f t="shared" si="8"/>
        <v/>
      </c>
    </row>
    <row r="545" spans="8:8">
      <c r="H545" s="674" t="str">
        <f t="shared" si="8"/>
        <v/>
      </c>
    </row>
    <row r="546" spans="8:8">
      <c r="H546" s="674" t="str">
        <f t="shared" si="8"/>
        <v/>
      </c>
    </row>
    <row r="547" spans="8:8">
      <c r="H547" s="674" t="str">
        <f t="shared" si="8"/>
        <v/>
      </c>
    </row>
    <row r="548" spans="8:8">
      <c r="H548" s="674" t="str">
        <f t="shared" si="8"/>
        <v/>
      </c>
    </row>
    <row r="549" spans="8:8">
      <c r="H549" s="674" t="str">
        <f t="shared" si="8"/>
        <v/>
      </c>
    </row>
    <row r="550" spans="8:8">
      <c r="H550" s="674" t="str">
        <f t="shared" si="8"/>
        <v/>
      </c>
    </row>
    <row r="551" spans="8:8">
      <c r="H551" s="674" t="str">
        <f t="shared" si="8"/>
        <v/>
      </c>
    </row>
    <row r="552" spans="8:8">
      <c r="H552" s="674" t="str">
        <f t="shared" si="8"/>
        <v/>
      </c>
    </row>
    <row r="553" spans="8:8">
      <c r="H553" s="674" t="str">
        <f t="shared" si="8"/>
        <v/>
      </c>
    </row>
    <row r="554" spans="8:8">
      <c r="H554" s="674" t="str">
        <f t="shared" si="8"/>
        <v/>
      </c>
    </row>
    <row r="555" spans="8:8">
      <c r="H555" s="674" t="str">
        <f t="shared" si="8"/>
        <v/>
      </c>
    </row>
    <row r="556" spans="8:8">
      <c r="H556" s="674" t="str">
        <f t="shared" si="8"/>
        <v/>
      </c>
    </row>
    <row r="557" spans="8:8">
      <c r="H557" s="674" t="str">
        <f t="shared" si="8"/>
        <v/>
      </c>
    </row>
    <row r="558" spans="8:8">
      <c r="H558" s="674" t="str">
        <f t="shared" si="8"/>
        <v/>
      </c>
    </row>
    <row r="559" spans="8:8">
      <c r="H559" s="674" t="str">
        <f t="shared" si="8"/>
        <v/>
      </c>
    </row>
    <row r="560" spans="8:8">
      <c r="H560" s="674" t="str">
        <f t="shared" si="8"/>
        <v/>
      </c>
    </row>
    <row r="561" spans="8:8">
      <c r="H561" s="674" t="str">
        <f t="shared" si="8"/>
        <v/>
      </c>
    </row>
    <row r="562" spans="8:8">
      <c r="H562" s="674" t="str">
        <f t="shared" si="8"/>
        <v/>
      </c>
    </row>
    <row r="563" spans="8:8">
      <c r="H563" s="674" t="str">
        <f t="shared" si="8"/>
        <v/>
      </c>
    </row>
    <row r="564" spans="8:8">
      <c r="H564" s="674" t="str">
        <f t="shared" si="8"/>
        <v/>
      </c>
    </row>
    <row r="565" spans="8:8">
      <c r="H565" s="674" t="str">
        <f t="shared" si="8"/>
        <v/>
      </c>
    </row>
    <row r="566" spans="8:8">
      <c r="H566" s="674" t="str">
        <f t="shared" si="8"/>
        <v/>
      </c>
    </row>
    <row r="567" spans="8:8">
      <c r="H567" s="674" t="str">
        <f t="shared" si="8"/>
        <v/>
      </c>
    </row>
    <row r="568" spans="8:8">
      <c r="H568" s="674" t="str">
        <f t="shared" si="8"/>
        <v/>
      </c>
    </row>
    <row r="569" spans="8:8">
      <c r="H569" s="674" t="str">
        <f t="shared" si="8"/>
        <v/>
      </c>
    </row>
    <row r="570" spans="8:8">
      <c r="H570" s="674" t="str">
        <f t="shared" si="8"/>
        <v/>
      </c>
    </row>
    <row r="571" spans="8:8">
      <c r="H571" s="674" t="str">
        <f t="shared" si="8"/>
        <v/>
      </c>
    </row>
    <row r="572" spans="8:8">
      <c r="H572" s="674" t="str">
        <f t="shared" si="8"/>
        <v/>
      </c>
    </row>
    <row r="573" spans="8:8">
      <c r="H573" s="674" t="str">
        <f t="shared" si="8"/>
        <v/>
      </c>
    </row>
    <row r="574" spans="8:8">
      <c r="H574" s="674" t="str">
        <f t="shared" si="8"/>
        <v/>
      </c>
    </row>
    <row r="575" spans="8:8">
      <c r="H575" s="674" t="str">
        <f t="shared" si="8"/>
        <v/>
      </c>
    </row>
    <row r="576" spans="8:8">
      <c r="H576" s="674" t="str">
        <f t="shared" si="8"/>
        <v/>
      </c>
    </row>
    <row r="577" spans="8:8">
      <c r="H577" s="674" t="str">
        <f t="shared" si="8"/>
        <v/>
      </c>
    </row>
    <row r="578" spans="8:8">
      <c r="H578" s="674" t="str">
        <f t="shared" si="8"/>
        <v/>
      </c>
    </row>
    <row r="579" spans="8:8">
      <c r="H579" s="674" t="str">
        <f t="shared" ref="H579:H642" si="9">A579&amp;B579</f>
        <v/>
      </c>
    </row>
    <row r="580" spans="8:8">
      <c r="H580" s="674" t="str">
        <f t="shared" si="9"/>
        <v/>
      </c>
    </row>
    <row r="581" spans="8:8">
      <c r="H581" s="674" t="str">
        <f t="shared" si="9"/>
        <v/>
      </c>
    </row>
    <row r="582" spans="8:8">
      <c r="H582" s="674" t="str">
        <f t="shared" si="9"/>
        <v/>
      </c>
    </row>
    <row r="583" spans="8:8">
      <c r="H583" s="674" t="str">
        <f t="shared" si="9"/>
        <v/>
      </c>
    </row>
    <row r="584" spans="8:8">
      <c r="H584" s="674" t="str">
        <f t="shared" si="9"/>
        <v/>
      </c>
    </row>
    <row r="585" spans="8:8">
      <c r="H585" s="674" t="str">
        <f t="shared" si="9"/>
        <v/>
      </c>
    </row>
    <row r="586" spans="8:8">
      <c r="H586" s="674" t="str">
        <f t="shared" si="9"/>
        <v/>
      </c>
    </row>
    <row r="587" spans="8:8">
      <c r="H587" s="674" t="str">
        <f t="shared" si="9"/>
        <v/>
      </c>
    </row>
    <row r="588" spans="8:8">
      <c r="H588" s="674" t="str">
        <f t="shared" si="9"/>
        <v/>
      </c>
    </row>
    <row r="589" spans="8:8">
      <c r="H589" s="674" t="str">
        <f t="shared" si="9"/>
        <v/>
      </c>
    </row>
    <row r="590" spans="8:8">
      <c r="H590" s="674" t="str">
        <f t="shared" si="9"/>
        <v/>
      </c>
    </row>
    <row r="591" spans="8:8">
      <c r="H591" s="674" t="str">
        <f t="shared" si="9"/>
        <v/>
      </c>
    </row>
    <row r="592" spans="8:8">
      <c r="H592" s="674" t="str">
        <f t="shared" si="9"/>
        <v/>
      </c>
    </row>
    <row r="593" spans="8:8">
      <c r="H593" s="674" t="str">
        <f t="shared" si="9"/>
        <v/>
      </c>
    </row>
    <row r="594" spans="8:8">
      <c r="H594" s="674" t="str">
        <f t="shared" si="9"/>
        <v/>
      </c>
    </row>
    <row r="595" spans="8:8">
      <c r="H595" s="674" t="str">
        <f t="shared" si="9"/>
        <v/>
      </c>
    </row>
    <row r="596" spans="8:8">
      <c r="H596" s="674" t="str">
        <f t="shared" si="9"/>
        <v/>
      </c>
    </row>
    <row r="597" spans="8:8">
      <c r="H597" s="674" t="str">
        <f t="shared" si="9"/>
        <v/>
      </c>
    </row>
    <row r="598" spans="8:8">
      <c r="H598" s="674" t="str">
        <f t="shared" si="9"/>
        <v/>
      </c>
    </row>
    <row r="599" spans="8:8">
      <c r="H599" s="674" t="str">
        <f t="shared" si="9"/>
        <v/>
      </c>
    </row>
    <row r="600" spans="8:8">
      <c r="H600" s="674" t="str">
        <f t="shared" si="9"/>
        <v/>
      </c>
    </row>
    <row r="601" spans="8:8">
      <c r="H601" s="674" t="str">
        <f t="shared" si="9"/>
        <v/>
      </c>
    </row>
    <row r="602" spans="8:8">
      <c r="H602" s="674" t="str">
        <f t="shared" si="9"/>
        <v/>
      </c>
    </row>
    <row r="603" spans="8:8">
      <c r="H603" s="674" t="str">
        <f t="shared" si="9"/>
        <v/>
      </c>
    </row>
    <row r="604" spans="8:8">
      <c r="H604" s="674" t="str">
        <f t="shared" si="9"/>
        <v/>
      </c>
    </row>
    <row r="605" spans="8:8">
      <c r="H605" s="674" t="str">
        <f t="shared" si="9"/>
        <v/>
      </c>
    </row>
    <row r="606" spans="8:8">
      <c r="H606" s="674" t="str">
        <f t="shared" si="9"/>
        <v/>
      </c>
    </row>
    <row r="607" spans="8:8">
      <c r="H607" s="674" t="str">
        <f t="shared" si="9"/>
        <v/>
      </c>
    </row>
    <row r="608" spans="8:8">
      <c r="H608" s="674" t="str">
        <f t="shared" si="9"/>
        <v/>
      </c>
    </row>
    <row r="609" spans="8:8">
      <c r="H609" s="674" t="str">
        <f t="shared" si="9"/>
        <v/>
      </c>
    </row>
    <row r="610" spans="8:8">
      <c r="H610" s="674" t="str">
        <f t="shared" si="9"/>
        <v/>
      </c>
    </row>
    <row r="611" spans="8:8">
      <c r="H611" s="674" t="str">
        <f t="shared" si="9"/>
        <v/>
      </c>
    </row>
    <row r="612" spans="8:8">
      <c r="H612" s="674" t="str">
        <f t="shared" si="9"/>
        <v/>
      </c>
    </row>
    <row r="613" spans="8:8">
      <c r="H613" s="674" t="str">
        <f t="shared" si="9"/>
        <v/>
      </c>
    </row>
    <row r="614" spans="8:8">
      <c r="H614" s="674" t="str">
        <f t="shared" si="9"/>
        <v/>
      </c>
    </row>
    <row r="615" spans="8:8">
      <c r="H615" s="674" t="str">
        <f t="shared" si="9"/>
        <v/>
      </c>
    </row>
    <row r="616" spans="8:8">
      <c r="H616" s="674" t="str">
        <f t="shared" si="9"/>
        <v/>
      </c>
    </row>
    <row r="617" spans="8:8">
      <c r="H617" s="674" t="str">
        <f t="shared" si="9"/>
        <v/>
      </c>
    </row>
    <row r="618" spans="8:8">
      <c r="H618" s="674" t="str">
        <f t="shared" si="9"/>
        <v/>
      </c>
    </row>
    <row r="619" spans="8:8">
      <c r="H619" s="674" t="str">
        <f t="shared" si="9"/>
        <v/>
      </c>
    </row>
    <row r="620" spans="8:8">
      <c r="H620" s="674" t="str">
        <f t="shared" si="9"/>
        <v/>
      </c>
    </row>
    <row r="621" spans="8:8">
      <c r="H621" s="674" t="str">
        <f t="shared" si="9"/>
        <v/>
      </c>
    </row>
    <row r="622" spans="8:8">
      <c r="H622" s="674" t="str">
        <f t="shared" si="9"/>
        <v/>
      </c>
    </row>
    <row r="623" spans="8:8">
      <c r="H623" s="674" t="str">
        <f t="shared" si="9"/>
        <v/>
      </c>
    </row>
    <row r="624" spans="8:8">
      <c r="H624" s="674" t="str">
        <f t="shared" si="9"/>
        <v/>
      </c>
    </row>
    <row r="625" spans="8:8">
      <c r="H625" s="674" t="str">
        <f t="shared" si="9"/>
        <v/>
      </c>
    </row>
    <row r="626" spans="8:8">
      <c r="H626" s="674" t="str">
        <f t="shared" si="9"/>
        <v/>
      </c>
    </row>
    <row r="627" spans="8:8">
      <c r="H627" s="674" t="str">
        <f t="shared" si="9"/>
        <v/>
      </c>
    </row>
    <row r="628" spans="8:8">
      <c r="H628" s="674" t="str">
        <f t="shared" si="9"/>
        <v/>
      </c>
    </row>
    <row r="629" spans="8:8">
      <c r="H629" s="674" t="str">
        <f t="shared" si="9"/>
        <v/>
      </c>
    </row>
    <row r="630" spans="8:8">
      <c r="H630" s="674" t="str">
        <f t="shared" si="9"/>
        <v/>
      </c>
    </row>
    <row r="631" spans="8:8">
      <c r="H631" s="674" t="str">
        <f t="shared" si="9"/>
        <v/>
      </c>
    </row>
    <row r="632" spans="8:8">
      <c r="H632" s="674" t="str">
        <f t="shared" si="9"/>
        <v/>
      </c>
    </row>
    <row r="633" spans="8:8">
      <c r="H633" s="674" t="str">
        <f t="shared" si="9"/>
        <v/>
      </c>
    </row>
    <row r="634" spans="8:8">
      <c r="H634" s="674" t="str">
        <f t="shared" si="9"/>
        <v/>
      </c>
    </row>
    <row r="635" spans="8:8">
      <c r="H635" s="674" t="str">
        <f t="shared" si="9"/>
        <v/>
      </c>
    </row>
    <row r="636" spans="8:8">
      <c r="H636" s="674" t="str">
        <f t="shared" si="9"/>
        <v/>
      </c>
    </row>
    <row r="637" spans="8:8">
      <c r="H637" s="674" t="str">
        <f t="shared" si="9"/>
        <v/>
      </c>
    </row>
    <row r="638" spans="8:8">
      <c r="H638" s="674" t="str">
        <f t="shared" si="9"/>
        <v/>
      </c>
    </row>
    <row r="639" spans="8:8">
      <c r="H639" s="674" t="str">
        <f t="shared" si="9"/>
        <v/>
      </c>
    </row>
    <row r="640" spans="8:8">
      <c r="H640" s="674" t="str">
        <f t="shared" si="9"/>
        <v/>
      </c>
    </row>
    <row r="641" spans="8:8">
      <c r="H641" s="674" t="str">
        <f t="shared" si="9"/>
        <v/>
      </c>
    </row>
    <row r="642" spans="8:8">
      <c r="H642" s="674" t="str">
        <f t="shared" si="9"/>
        <v/>
      </c>
    </row>
    <row r="643" spans="8:8">
      <c r="H643" s="674" t="str">
        <f t="shared" ref="H643:H706" si="10">A643&amp;B643</f>
        <v/>
      </c>
    </row>
    <row r="644" spans="8:8">
      <c r="H644" s="674" t="str">
        <f t="shared" si="10"/>
        <v/>
      </c>
    </row>
    <row r="645" spans="8:8">
      <c r="H645" s="674" t="str">
        <f t="shared" si="10"/>
        <v/>
      </c>
    </row>
    <row r="646" spans="8:8">
      <c r="H646" s="674" t="str">
        <f t="shared" si="10"/>
        <v/>
      </c>
    </row>
    <row r="647" spans="8:8">
      <c r="H647" s="674" t="str">
        <f t="shared" si="10"/>
        <v/>
      </c>
    </row>
    <row r="648" spans="8:8">
      <c r="H648" s="674" t="str">
        <f t="shared" si="10"/>
        <v/>
      </c>
    </row>
    <row r="649" spans="8:8">
      <c r="H649" s="674" t="str">
        <f t="shared" si="10"/>
        <v/>
      </c>
    </row>
    <row r="650" spans="8:8">
      <c r="H650" s="674" t="str">
        <f t="shared" si="10"/>
        <v/>
      </c>
    </row>
    <row r="651" spans="8:8">
      <c r="H651" s="674" t="str">
        <f t="shared" si="10"/>
        <v/>
      </c>
    </row>
    <row r="652" spans="8:8">
      <c r="H652" s="674" t="str">
        <f t="shared" si="10"/>
        <v/>
      </c>
    </row>
    <row r="653" spans="8:8">
      <c r="H653" s="674" t="str">
        <f t="shared" si="10"/>
        <v/>
      </c>
    </row>
    <row r="654" spans="8:8">
      <c r="H654" s="674" t="str">
        <f t="shared" si="10"/>
        <v/>
      </c>
    </row>
    <row r="655" spans="8:8">
      <c r="H655" s="674" t="str">
        <f t="shared" si="10"/>
        <v/>
      </c>
    </row>
    <row r="656" spans="8:8">
      <c r="H656" s="674" t="str">
        <f t="shared" si="10"/>
        <v/>
      </c>
    </row>
    <row r="657" spans="8:8">
      <c r="H657" s="674" t="str">
        <f t="shared" si="10"/>
        <v/>
      </c>
    </row>
    <row r="658" spans="8:8">
      <c r="H658" s="674" t="str">
        <f t="shared" si="10"/>
        <v/>
      </c>
    </row>
    <row r="659" spans="8:8">
      <c r="H659" s="674" t="str">
        <f t="shared" si="10"/>
        <v/>
      </c>
    </row>
    <row r="660" spans="8:8">
      <c r="H660" s="674" t="str">
        <f t="shared" si="10"/>
        <v/>
      </c>
    </row>
    <row r="661" spans="8:8">
      <c r="H661" s="674" t="str">
        <f t="shared" si="10"/>
        <v/>
      </c>
    </row>
    <row r="662" spans="8:8">
      <c r="H662" s="674" t="str">
        <f t="shared" si="10"/>
        <v/>
      </c>
    </row>
    <row r="663" spans="8:8">
      <c r="H663" s="674" t="str">
        <f t="shared" si="10"/>
        <v/>
      </c>
    </row>
    <row r="664" spans="8:8">
      <c r="H664" s="674" t="str">
        <f t="shared" si="10"/>
        <v/>
      </c>
    </row>
    <row r="665" spans="8:8">
      <c r="H665" s="674" t="str">
        <f t="shared" si="10"/>
        <v/>
      </c>
    </row>
    <row r="666" spans="8:8">
      <c r="H666" s="674" t="str">
        <f t="shared" si="10"/>
        <v/>
      </c>
    </row>
    <row r="667" spans="8:8">
      <c r="H667" s="674" t="str">
        <f t="shared" si="10"/>
        <v/>
      </c>
    </row>
    <row r="668" spans="8:8">
      <c r="H668" s="674" t="str">
        <f t="shared" si="10"/>
        <v/>
      </c>
    </row>
    <row r="669" spans="8:8">
      <c r="H669" s="674" t="str">
        <f t="shared" si="10"/>
        <v/>
      </c>
    </row>
    <row r="670" spans="8:8">
      <c r="H670" s="674" t="str">
        <f t="shared" si="10"/>
        <v/>
      </c>
    </row>
    <row r="671" spans="8:8">
      <c r="H671" s="674" t="str">
        <f t="shared" si="10"/>
        <v/>
      </c>
    </row>
    <row r="672" spans="8:8">
      <c r="H672" s="674" t="str">
        <f t="shared" si="10"/>
        <v/>
      </c>
    </row>
    <row r="673" spans="8:8">
      <c r="H673" s="674" t="str">
        <f t="shared" si="10"/>
        <v/>
      </c>
    </row>
    <row r="674" spans="8:8">
      <c r="H674" s="674" t="str">
        <f t="shared" si="10"/>
        <v/>
      </c>
    </row>
    <row r="675" spans="8:8">
      <c r="H675" s="674" t="str">
        <f t="shared" si="10"/>
        <v/>
      </c>
    </row>
    <row r="676" spans="8:8">
      <c r="H676" s="674" t="str">
        <f t="shared" si="10"/>
        <v/>
      </c>
    </row>
    <row r="677" spans="8:8">
      <c r="H677" s="674" t="str">
        <f t="shared" si="10"/>
        <v/>
      </c>
    </row>
    <row r="678" spans="8:8">
      <c r="H678" s="674" t="str">
        <f t="shared" si="10"/>
        <v/>
      </c>
    </row>
    <row r="679" spans="8:8">
      <c r="H679" s="674" t="str">
        <f t="shared" si="10"/>
        <v/>
      </c>
    </row>
    <row r="680" spans="8:8">
      <c r="H680" s="674" t="str">
        <f t="shared" si="10"/>
        <v/>
      </c>
    </row>
    <row r="681" spans="8:8">
      <c r="H681" s="674" t="str">
        <f t="shared" si="10"/>
        <v/>
      </c>
    </row>
    <row r="682" spans="8:8">
      <c r="H682" s="674" t="str">
        <f t="shared" si="10"/>
        <v/>
      </c>
    </row>
    <row r="683" spans="8:8">
      <c r="H683" s="674" t="str">
        <f t="shared" si="10"/>
        <v/>
      </c>
    </row>
    <row r="684" spans="8:8">
      <c r="H684" s="674" t="str">
        <f t="shared" si="10"/>
        <v/>
      </c>
    </row>
    <row r="685" spans="8:8">
      <c r="H685" s="674" t="str">
        <f t="shared" si="10"/>
        <v/>
      </c>
    </row>
    <row r="686" spans="8:8">
      <c r="H686" s="674" t="str">
        <f t="shared" si="10"/>
        <v/>
      </c>
    </row>
    <row r="687" spans="8:8">
      <c r="H687" s="674" t="str">
        <f t="shared" si="10"/>
        <v/>
      </c>
    </row>
    <row r="688" spans="8:8">
      <c r="H688" s="674" t="str">
        <f t="shared" si="10"/>
        <v/>
      </c>
    </row>
    <row r="689" spans="8:8">
      <c r="H689" s="674" t="str">
        <f t="shared" si="10"/>
        <v/>
      </c>
    </row>
    <row r="690" spans="8:8">
      <c r="H690" s="674" t="str">
        <f t="shared" si="10"/>
        <v/>
      </c>
    </row>
    <row r="691" spans="8:8">
      <c r="H691" s="674" t="str">
        <f t="shared" si="10"/>
        <v/>
      </c>
    </row>
    <row r="692" spans="8:8">
      <c r="H692" s="674" t="str">
        <f t="shared" si="10"/>
        <v/>
      </c>
    </row>
    <row r="693" spans="8:8">
      <c r="H693" s="674" t="str">
        <f t="shared" si="10"/>
        <v/>
      </c>
    </row>
    <row r="694" spans="8:8">
      <c r="H694" s="674" t="str">
        <f t="shared" si="10"/>
        <v/>
      </c>
    </row>
    <row r="695" spans="8:8">
      <c r="H695" s="674" t="str">
        <f t="shared" si="10"/>
        <v/>
      </c>
    </row>
    <row r="696" spans="8:8">
      <c r="H696" s="674" t="str">
        <f t="shared" si="10"/>
        <v/>
      </c>
    </row>
    <row r="697" spans="8:8">
      <c r="H697" s="674" t="str">
        <f t="shared" si="10"/>
        <v/>
      </c>
    </row>
    <row r="698" spans="8:8">
      <c r="H698" s="674" t="str">
        <f t="shared" si="10"/>
        <v/>
      </c>
    </row>
    <row r="699" spans="8:8">
      <c r="H699" s="674" t="str">
        <f t="shared" si="10"/>
        <v/>
      </c>
    </row>
    <row r="700" spans="8:8">
      <c r="H700" s="674" t="str">
        <f t="shared" si="10"/>
        <v/>
      </c>
    </row>
    <row r="701" spans="8:8">
      <c r="H701" s="674" t="str">
        <f t="shared" si="10"/>
        <v/>
      </c>
    </row>
    <row r="702" spans="8:8">
      <c r="H702" s="674" t="str">
        <f t="shared" si="10"/>
        <v/>
      </c>
    </row>
    <row r="703" spans="8:8">
      <c r="H703" s="674" t="str">
        <f t="shared" si="10"/>
        <v/>
      </c>
    </row>
    <row r="704" spans="8:8">
      <c r="H704" s="674" t="str">
        <f t="shared" si="10"/>
        <v/>
      </c>
    </row>
    <row r="705" spans="8:8">
      <c r="H705" s="674" t="str">
        <f t="shared" si="10"/>
        <v/>
      </c>
    </row>
    <row r="706" spans="8:8">
      <c r="H706" s="674" t="str">
        <f t="shared" si="10"/>
        <v/>
      </c>
    </row>
    <row r="707" spans="8:8">
      <c r="H707" s="674" t="str">
        <f t="shared" ref="H707:H770" si="11">A707&amp;B707</f>
        <v/>
      </c>
    </row>
    <row r="708" spans="8:8">
      <c r="H708" s="674" t="str">
        <f t="shared" si="11"/>
        <v/>
      </c>
    </row>
    <row r="709" spans="8:8">
      <c r="H709" s="674" t="str">
        <f t="shared" si="11"/>
        <v/>
      </c>
    </row>
    <row r="710" spans="8:8">
      <c r="H710" s="674" t="str">
        <f t="shared" si="11"/>
        <v/>
      </c>
    </row>
    <row r="711" spans="8:8">
      <c r="H711" s="674" t="str">
        <f t="shared" si="11"/>
        <v/>
      </c>
    </row>
    <row r="712" spans="8:8">
      <c r="H712" s="674" t="str">
        <f t="shared" si="11"/>
        <v/>
      </c>
    </row>
    <row r="713" spans="8:8">
      <c r="H713" s="674" t="str">
        <f t="shared" si="11"/>
        <v/>
      </c>
    </row>
    <row r="714" spans="8:8">
      <c r="H714" s="674" t="str">
        <f t="shared" si="11"/>
        <v/>
      </c>
    </row>
    <row r="715" spans="8:8">
      <c r="H715" s="674" t="str">
        <f t="shared" si="11"/>
        <v/>
      </c>
    </row>
    <row r="716" spans="8:8">
      <c r="H716" s="674" t="str">
        <f t="shared" si="11"/>
        <v/>
      </c>
    </row>
    <row r="717" spans="8:8">
      <c r="H717" s="674" t="str">
        <f t="shared" si="11"/>
        <v/>
      </c>
    </row>
    <row r="718" spans="8:8">
      <c r="H718" s="674" t="str">
        <f t="shared" si="11"/>
        <v/>
      </c>
    </row>
    <row r="719" spans="8:8">
      <c r="H719" s="674" t="str">
        <f t="shared" si="11"/>
        <v/>
      </c>
    </row>
    <row r="720" spans="8:8">
      <c r="H720" s="674" t="str">
        <f t="shared" si="11"/>
        <v/>
      </c>
    </row>
    <row r="721" spans="8:8">
      <c r="H721" s="674" t="str">
        <f t="shared" si="11"/>
        <v/>
      </c>
    </row>
    <row r="722" spans="8:8">
      <c r="H722" s="674" t="str">
        <f t="shared" si="11"/>
        <v/>
      </c>
    </row>
    <row r="723" spans="8:8">
      <c r="H723" s="674" t="str">
        <f t="shared" si="11"/>
        <v/>
      </c>
    </row>
    <row r="724" spans="8:8">
      <c r="H724" s="674" t="str">
        <f t="shared" si="11"/>
        <v/>
      </c>
    </row>
    <row r="725" spans="8:8">
      <c r="H725" s="674" t="str">
        <f t="shared" si="11"/>
        <v/>
      </c>
    </row>
    <row r="726" spans="8:8">
      <c r="H726" s="674" t="str">
        <f t="shared" si="11"/>
        <v/>
      </c>
    </row>
    <row r="727" spans="8:8">
      <c r="H727" s="674" t="str">
        <f t="shared" si="11"/>
        <v/>
      </c>
    </row>
    <row r="728" spans="8:8">
      <c r="H728" s="674" t="str">
        <f t="shared" si="11"/>
        <v/>
      </c>
    </row>
    <row r="729" spans="8:8">
      <c r="H729" s="674" t="str">
        <f t="shared" si="11"/>
        <v/>
      </c>
    </row>
    <row r="730" spans="8:8">
      <c r="H730" s="674" t="str">
        <f t="shared" si="11"/>
        <v/>
      </c>
    </row>
    <row r="731" spans="8:8">
      <c r="H731" s="674" t="str">
        <f t="shared" si="11"/>
        <v/>
      </c>
    </row>
    <row r="732" spans="8:8">
      <c r="H732" s="674" t="str">
        <f t="shared" si="11"/>
        <v/>
      </c>
    </row>
    <row r="733" spans="8:8">
      <c r="H733" s="674" t="str">
        <f t="shared" si="11"/>
        <v/>
      </c>
    </row>
    <row r="734" spans="8:8">
      <c r="H734" s="674" t="str">
        <f t="shared" si="11"/>
        <v/>
      </c>
    </row>
    <row r="735" spans="8:8">
      <c r="H735" s="674" t="str">
        <f t="shared" si="11"/>
        <v/>
      </c>
    </row>
    <row r="736" spans="8:8">
      <c r="H736" s="674" t="str">
        <f t="shared" si="11"/>
        <v/>
      </c>
    </row>
    <row r="737" spans="8:8">
      <c r="H737" s="674" t="str">
        <f t="shared" si="11"/>
        <v/>
      </c>
    </row>
    <row r="738" spans="8:8">
      <c r="H738" s="674" t="str">
        <f t="shared" si="11"/>
        <v/>
      </c>
    </row>
    <row r="739" spans="8:8">
      <c r="H739" s="674" t="str">
        <f t="shared" si="11"/>
        <v/>
      </c>
    </row>
    <row r="740" spans="8:8">
      <c r="H740" s="674" t="str">
        <f t="shared" si="11"/>
        <v/>
      </c>
    </row>
    <row r="741" spans="8:8">
      <c r="H741" s="674" t="str">
        <f t="shared" si="11"/>
        <v/>
      </c>
    </row>
    <row r="742" spans="8:8">
      <c r="H742" s="674" t="str">
        <f t="shared" si="11"/>
        <v/>
      </c>
    </row>
    <row r="743" spans="8:8">
      <c r="H743" s="674" t="str">
        <f t="shared" si="11"/>
        <v/>
      </c>
    </row>
    <row r="744" spans="8:8">
      <c r="H744" s="674" t="str">
        <f t="shared" si="11"/>
        <v/>
      </c>
    </row>
    <row r="745" spans="8:8">
      <c r="H745" s="674" t="str">
        <f t="shared" si="11"/>
        <v/>
      </c>
    </row>
    <row r="746" spans="8:8">
      <c r="H746" s="674" t="str">
        <f t="shared" si="11"/>
        <v/>
      </c>
    </row>
    <row r="747" spans="8:8">
      <c r="H747" s="674" t="str">
        <f t="shared" si="11"/>
        <v/>
      </c>
    </row>
    <row r="748" spans="8:8">
      <c r="H748" s="674" t="str">
        <f t="shared" si="11"/>
        <v/>
      </c>
    </row>
    <row r="749" spans="8:8">
      <c r="H749" s="674" t="str">
        <f t="shared" si="11"/>
        <v/>
      </c>
    </row>
    <row r="750" spans="8:8">
      <c r="H750" s="674" t="str">
        <f t="shared" si="11"/>
        <v/>
      </c>
    </row>
    <row r="751" spans="8:8">
      <c r="H751" s="674" t="str">
        <f t="shared" si="11"/>
        <v/>
      </c>
    </row>
    <row r="752" spans="8:8">
      <c r="H752" s="674" t="str">
        <f t="shared" si="11"/>
        <v/>
      </c>
    </row>
    <row r="753" spans="8:8">
      <c r="H753" s="674" t="str">
        <f t="shared" si="11"/>
        <v/>
      </c>
    </row>
    <row r="754" spans="8:8">
      <c r="H754" s="674" t="str">
        <f t="shared" si="11"/>
        <v/>
      </c>
    </row>
    <row r="755" spans="8:8">
      <c r="H755" s="674" t="str">
        <f t="shared" si="11"/>
        <v/>
      </c>
    </row>
    <row r="756" spans="8:8">
      <c r="H756" s="674" t="str">
        <f t="shared" si="11"/>
        <v/>
      </c>
    </row>
    <row r="757" spans="8:8">
      <c r="H757" s="674" t="str">
        <f t="shared" si="11"/>
        <v/>
      </c>
    </row>
    <row r="758" spans="8:8">
      <c r="H758" s="674" t="str">
        <f t="shared" si="11"/>
        <v/>
      </c>
    </row>
    <row r="759" spans="8:8">
      <c r="H759" s="674" t="str">
        <f t="shared" si="11"/>
        <v/>
      </c>
    </row>
    <row r="760" spans="8:8">
      <c r="H760" s="674" t="str">
        <f t="shared" si="11"/>
        <v/>
      </c>
    </row>
    <row r="761" spans="8:8">
      <c r="H761" s="674" t="str">
        <f t="shared" si="11"/>
        <v/>
      </c>
    </row>
    <row r="762" spans="8:8">
      <c r="H762" s="674" t="str">
        <f t="shared" si="11"/>
        <v/>
      </c>
    </row>
    <row r="763" spans="8:8">
      <c r="H763" s="674" t="str">
        <f t="shared" si="11"/>
        <v/>
      </c>
    </row>
    <row r="764" spans="8:8">
      <c r="H764" s="674" t="str">
        <f t="shared" si="11"/>
        <v/>
      </c>
    </row>
    <row r="765" spans="8:8">
      <c r="H765" s="674" t="str">
        <f t="shared" si="11"/>
        <v/>
      </c>
    </row>
    <row r="766" spans="8:8">
      <c r="H766" s="674" t="str">
        <f t="shared" si="11"/>
        <v/>
      </c>
    </row>
    <row r="767" spans="8:8">
      <c r="H767" s="674" t="str">
        <f t="shared" si="11"/>
        <v/>
      </c>
    </row>
    <row r="768" spans="8:8">
      <c r="H768" s="674" t="str">
        <f t="shared" si="11"/>
        <v/>
      </c>
    </row>
    <row r="769" spans="8:8">
      <c r="H769" s="674" t="str">
        <f t="shared" si="11"/>
        <v/>
      </c>
    </row>
    <row r="770" spans="8:8">
      <c r="H770" s="674" t="str">
        <f t="shared" si="11"/>
        <v/>
      </c>
    </row>
    <row r="771" spans="8:8">
      <c r="H771" s="674" t="str">
        <f t="shared" ref="H771:H834" si="12">A771&amp;B771</f>
        <v/>
      </c>
    </row>
    <row r="772" spans="8:8">
      <c r="H772" s="674" t="str">
        <f t="shared" si="12"/>
        <v/>
      </c>
    </row>
    <row r="773" spans="8:8">
      <c r="H773" s="674" t="str">
        <f t="shared" si="12"/>
        <v/>
      </c>
    </row>
    <row r="774" spans="8:8">
      <c r="H774" s="674" t="str">
        <f t="shared" si="12"/>
        <v/>
      </c>
    </row>
    <row r="775" spans="8:8">
      <c r="H775" s="674" t="str">
        <f t="shared" si="12"/>
        <v/>
      </c>
    </row>
    <row r="776" spans="8:8">
      <c r="H776" s="674" t="str">
        <f t="shared" si="12"/>
        <v/>
      </c>
    </row>
    <row r="777" spans="8:8">
      <c r="H777" s="674" t="str">
        <f t="shared" si="12"/>
        <v/>
      </c>
    </row>
    <row r="778" spans="8:8">
      <c r="H778" s="674" t="str">
        <f t="shared" si="12"/>
        <v/>
      </c>
    </row>
    <row r="779" spans="8:8">
      <c r="H779" s="674" t="str">
        <f t="shared" si="12"/>
        <v/>
      </c>
    </row>
    <row r="780" spans="8:8">
      <c r="H780" s="674" t="str">
        <f t="shared" si="12"/>
        <v/>
      </c>
    </row>
    <row r="781" spans="8:8">
      <c r="H781" s="674" t="str">
        <f t="shared" si="12"/>
        <v/>
      </c>
    </row>
    <row r="782" spans="8:8">
      <c r="H782" s="674" t="str">
        <f t="shared" si="12"/>
        <v/>
      </c>
    </row>
    <row r="783" spans="8:8">
      <c r="H783" s="674" t="str">
        <f t="shared" si="12"/>
        <v/>
      </c>
    </row>
    <row r="784" spans="8:8">
      <c r="H784" s="674" t="str">
        <f t="shared" si="12"/>
        <v/>
      </c>
    </row>
    <row r="785" spans="8:8">
      <c r="H785" s="674" t="str">
        <f t="shared" si="12"/>
        <v/>
      </c>
    </row>
    <row r="786" spans="8:8">
      <c r="H786" s="674" t="str">
        <f t="shared" si="12"/>
        <v/>
      </c>
    </row>
    <row r="787" spans="8:8">
      <c r="H787" s="674" t="str">
        <f t="shared" si="12"/>
        <v/>
      </c>
    </row>
    <row r="788" spans="8:8">
      <c r="H788" s="674" t="str">
        <f t="shared" si="12"/>
        <v/>
      </c>
    </row>
    <row r="789" spans="8:8">
      <c r="H789" s="674" t="str">
        <f t="shared" si="12"/>
        <v/>
      </c>
    </row>
    <row r="790" spans="8:8">
      <c r="H790" s="674" t="str">
        <f t="shared" si="12"/>
        <v/>
      </c>
    </row>
    <row r="791" spans="8:8">
      <c r="H791" s="674" t="str">
        <f t="shared" si="12"/>
        <v/>
      </c>
    </row>
    <row r="792" spans="8:8">
      <c r="H792" s="674" t="str">
        <f t="shared" si="12"/>
        <v/>
      </c>
    </row>
    <row r="793" spans="8:8">
      <c r="H793" s="674" t="str">
        <f t="shared" si="12"/>
        <v/>
      </c>
    </row>
    <row r="794" spans="8:8">
      <c r="H794" s="674" t="str">
        <f t="shared" si="12"/>
        <v/>
      </c>
    </row>
    <row r="795" spans="8:8">
      <c r="H795" s="674" t="str">
        <f t="shared" si="12"/>
        <v/>
      </c>
    </row>
    <row r="796" spans="8:8">
      <c r="H796" s="674" t="str">
        <f t="shared" si="12"/>
        <v/>
      </c>
    </row>
    <row r="797" spans="8:8">
      <c r="H797" s="674" t="str">
        <f t="shared" si="12"/>
        <v/>
      </c>
    </row>
    <row r="798" spans="8:8">
      <c r="H798" s="674" t="str">
        <f t="shared" si="12"/>
        <v/>
      </c>
    </row>
    <row r="799" spans="8:8">
      <c r="H799" s="674" t="str">
        <f t="shared" si="12"/>
        <v/>
      </c>
    </row>
    <row r="800" spans="8:8">
      <c r="H800" s="674" t="str">
        <f t="shared" si="12"/>
        <v/>
      </c>
    </row>
    <row r="801" spans="8:8">
      <c r="H801" s="674" t="str">
        <f t="shared" si="12"/>
        <v/>
      </c>
    </row>
    <row r="802" spans="8:8">
      <c r="H802" s="674" t="str">
        <f t="shared" si="12"/>
        <v/>
      </c>
    </row>
    <row r="803" spans="8:8">
      <c r="H803" s="674" t="str">
        <f t="shared" si="12"/>
        <v/>
      </c>
    </row>
    <row r="804" spans="8:8">
      <c r="H804" s="674" t="str">
        <f t="shared" si="12"/>
        <v/>
      </c>
    </row>
    <row r="805" spans="8:8">
      <c r="H805" s="674" t="str">
        <f t="shared" si="12"/>
        <v/>
      </c>
    </row>
    <row r="806" spans="8:8">
      <c r="H806" s="674" t="str">
        <f t="shared" si="12"/>
        <v/>
      </c>
    </row>
    <row r="807" spans="8:8">
      <c r="H807" s="674" t="str">
        <f t="shared" si="12"/>
        <v/>
      </c>
    </row>
    <row r="808" spans="8:8">
      <c r="H808" s="674" t="str">
        <f t="shared" si="12"/>
        <v/>
      </c>
    </row>
    <row r="809" spans="8:8">
      <c r="H809" s="674" t="str">
        <f t="shared" si="12"/>
        <v/>
      </c>
    </row>
    <row r="810" spans="8:8">
      <c r="H810" s="674" t="str">
        <f t="shared" si="12"/>
        <v/>
      </c>
    </row>
    <row r="811" spans="8:8">
      <c r="H811" s="674" t="str">
        <f t="shared" si="12"/>
        <v/>
      </c>
    </row>
    <row r="812" spans="8:8">
      <c r="H812" s="674" t="str">
        <f t="shared" si="12"/>
        <v/>
      </c>
    </row>
    <row r="813" spans="8:8">
      <c r="H813" s="674" t="str">
        <f t="shared" si="12"/>
        <v/>
      </c>
    </row>
    <row r="814" spans="8:8">
      <c r="H814" s="674" t="str">
        <f t="shared" si="12"/>
        <v/>
      </c>
    </row>
    <row r="815" spans="8:8">
      <c r="H815" s="674" t="str">
        <f t="shared" si="12"/>
        <v/>
      </c>
    </row>
    <row r="816" spans="8:8">
      <c r="H816" s="674" t="str">
        <f t="shared" si="12"/>
        <v/>
      </c>
    </row>
    <row r="817" spans="8:8">
      <c r="H817" s="674" t="str">
        <f t="shared" si="12"/>
        <v/>
      </c>
    </row>
    <row r="818" spans="8:8">
      <c r="H818" s="674" t="str">
        <f t="shared" si="12"/>
        <v/>
      </c>
    </row>
    <row r="819" spans="8:8">
      <c r="H819" s="674" t="str">
        <f t="shared" si="12"/>
        <v/>
      </c>
    </row>
    <row r="820" spans="8:8">
      <c r="H820" s="674" t="str">
        <f t="shared" si="12"/>
        <v/>
      </c>
    </row>
    <row r="821" spans="8:8">
      <c r="H821" s="674" t="str">
        <f t="shared" si="12"/>
        <v/>
      </c>
    </row>
    <row r="822" spans="8:8">
      <c r="H822" s="674" t="str">
        <f t="shared" si="12"/>
        <v/>
      </c>
    </row>
    <row r="823" spans="8:8">
      <c r="H823" s="674" t="str">
        <f t="shared" si="12"/>
        <v/>
      </c>
    </row>
    <row r="824" spans="8:8">
      <c r="H824" s="674" t="str">
        <f t="shared" si="12"/>
        <v/>
      </c>
    </row>
    <row r="825" spans="8:8">
      <c r="H825" s="674" t="str">
        <f t="shared" si="12"/>
        <v/>
      </c>
    </row>
    <row r="826" spans="8:8">
      <c r="H826" s="674" t="str">
        <f t="shared" si="12"/>
        <v/>
      </c>
    </row>
    <row r="827" spans="8:8">
      <c r="H827" s="674" t="str">
        <f t="shared" si="12"/>
        <v/>
      </c>
    </row>
    <row r="828" spans="8:8">
      <c r="H828" s="674" t="str">
        <f t="shared" si="12"/>
        <v/>
      </c>
    </row>
    <row r="829" spans="8:8">
      <c r="H829" s="674" t="str">
        <f t="shared" si="12"/>
        <v/>
      </c>
    </row>
    <row r="830" spans="8:8">
      <c r="H830" s="674" t="str">
        <f t="shared" si="12"/>
        <v/>
      </c>
    </row>
    <row r="831" spans="8:8">
      <c r="H831" s="674" t="str">
        <f t="shared" si="12"/>
        <v/>
      </c>
    </row>
    <row r="832" spans="8:8">
      <c r="H832" s="674" t="str">
        <f t="shared" si="12"/>
        <v/>
      </c>
    </row>
    <row r="833" spans="8:8">
      <c r="H833" s="674" t="str">
        <f t="shared" si="12"/>
        <v/>
      </c>
    </row>
    <row r="834" spans="8:8">
      <c r="H834" s="674" t="str">
        <f t="shared" si="12"/>
        <v/>
      </c>
    </row>
    <row r="835" spans="8:8">
      <c r="H835" s="674" t="str">
        <f t="shared" ref="H835:H896" si="13">A835&amp;B835</f>
        <v/>
      </c>
    </row>
    <row r="836" spans="8:8">
      <c r="H836" s="674" t="str">
        <f t="shared" si="13"/>
        <v/>
      </c>
    </row>
    <row r="837" spans="8:8">
      <c r="H837" s="674" t="str">
        <f t="shared" si="13"/>
        <v/>
      </c>
    </row>
    <row r="838" spans="8:8">
      <c r="H838" s="674" t="str">
        <f t="shared" si="13"/>
        <v/>
      </c>
    </row>
    <row r="839" spans="8:8">
      <c r="H839" s="674" t="str">
        <f t="shared" si="13"/>
        <v/>
      </c>
    </row>
    <row r="840" spans="8:8">
      <c r="H840" s="674" t="str">
        <f t="shared" si="13"/>
        <v/>
      </c>
    </row>
    <row r="841" spans="8:8">
      <c r="H841" s="674" t="str">
        <f t="shared" si="13"/>
        <v/>
      </c>
    </row>
    <row r="842" spans="8:8">
      <c r="H842" s="674" t="str">
        <f t="shared" si="13"/>
        <v/>
      </c>
    </row>
    <row r="843" spans="8:8">
      <c r="H843" s="674" t="str">
        <f t="shared" si="13"/>
        <v/>
      </c>
    </row>
    <row r="844" spans="8:8">
      <c r="H844" s="674" t="str">
        <f t="shared" si="13"/>
        <v/>
      </c>
    </row>
    <row r="845" spans="8:8">
      <c r="H845" s="674" t="str">
        <f t="shared" si="13"/>
        <v/>
      </c>
    </row>
    <row r="846" spans="8:8">
      <c r="H846" s="674" t="str">
        <f t="shared" si="13"/>
        <v/>
      </c>
    </row>
    <row r="847" spans="8:8">
      <c r="H847" s="674" t="str">
        <f t="shared" si="13"/>
        <v/>
      </c>
    </row>
    <row r="848" spans="8:8">
      <c r="H848" s="674" t="str">
        <f t="shared" si="13"/>
        <v/>
      </c>
    </row>
    <row r="849" spans="8:8">
      <c r="H849" s="674" t="str">
        <f t="shared" si="13"/>
        <v/>
      </c>
    </row>
    <row r="850" spans="8:8">
      <c r="H850" s="674" t="str">
        <f t="shared" si="13"/>
        <v/>
      </c>
    </row>
    <row r="851" spans="8:8">
      <c r="H851" s="674" t="str">
        <f t="shared" si="13"/>
        <v/>
      </c>
    </row>
    <row r="852" spans="8:8">
      <c r="H852" s="674" t="str">
        <f t="shared" si="13"/>
        <v/>
      </c>
    </row>
    <row r="853" spans="8:8">
      <c r="H853" s="674" t="str">
        <f t="shared" si="13"/>
        <v/>
      </c>
    </row>
    <row r="854" spans="8:8">
      <c r="H854" s="674" t="str">
        <f t="shared" si="13"/>
        <v/>
      </c>
    </row>
    <row r="855" spans="8:8">
      <c r="H855" s="674" t="str">
        <f t="shared" si="13"/>
        <v/>
      </c>
    </row>
    <row r="856" spans="8:8">
      <c r="H856" s="674" t="str">
        <f t="shared" si="13"/>
        <v/>
      </c>
    </row>
    <row r="857" spans="8:8">
      <c r="H857" s="674" t="str">
        <f t="shared" si="13"/>
        <v/>
      </c>
    </row>
    <row r="858" spans="8:8">
      <c r="H858" s="674" t="str">
        <f t="shared" si="13"/>
        <v/>
      </c>
    </row>
    <row r="859" spans="8:8">
      <c r="H859" s="674" t="str">
        <f t="shared" si="13"/>
        <v/>
      </c>
    </row>
    <row r="860" spans="8:8">
      <c r="H860" s="674" t="str">
        <f t="shared" si="13"/>
        <v/>
      </c>
    </row>
    <row r="861" spans="8:8">
      <c r="H861" s="674" t="str">
        <f t="shared" si="13"/>
        <v/>
      </c>
    </row>
    <row r="862" spans="8:8">
      <c r="H862" s="674" t="str">
        <f t="shared" si="13"/>
        <v/>
      </c>
    </row>
    <row r="863" spans="8:8">
      <c r="H863" s="674" t="str">
        <f t="shared" si="13"/>
        <v/>
      </c>
    </row>
    <row r="864" spans="8:8">
      <c r="H864" s="674" t="str">
        <f t="shared" si="13"/>
        <v/>
      </c>
    </row>
    <row r="865" spans="8:8">
      <c r="H865" s="674" t="str">
        <f t="shared" si="13"/>
        <v/>
      </c>
    </row>
    <row r="866" spans="8:8">
      <c r="H866" s="674" t="str">
        <f t="shared" si="13"/>
        <v/>
      </c>
    </row>
    <row r="867" spans="8:8">
      <c r="H867" s="674" t="str">
        <f t="shared" si="13"/>
        <v/>
      </c>
    </row>
    <row r="868" spans="8:8">
      <c r="H868" s="674" t="str">
        <f t="shared" si="13"/>
        <v/>
      </c>
    </row>
    <row r="869" spans="8:8">
      <c r="H869" s="674" t="str">
        <f t="shared" si="13"/>
        <v/>
      </c>
    </row>
    <row r="870" spans="8:8">
      <c r="H870" s="674" t="str">
        <f t="shared" si="13"/>
        <v/>
      </c>
    </row>
    <row r="871" spans="8:8">
      <c r="H871" s="674" t="str">
        <f t="shared" si="13"/>
        <v/>
      </c>
    </row>
    <row r="872" spans="8:8">
      <c r="H872" s="674" t="str">
        <f t="shared" si="13"/>
        <v/>
      </c>
    </row>
    <row r="873" spans="8:8">
      <c r="H873" s="674" t="str">
        <f t="shared" si="13"/>
        <v/>
      </c>
    </row>
    <row r="874" spans="8:8">
      <c r="H874" s="674" t="str">
        <f t="shared" si="13"/>
        <v/>
      </c>
    </row>
    <row r="875" spans="8:8">
      <c r="H875" s="674" t="str">
        <f t="shared" si="13"/>
        <v/>
      </c>
    </row>
    <row r="876" spans="8:8">
      <c r="H876" s="674" t="str">
        <f t="shared" si="13"/>
        <v/>
      </c>
    </row>
    <row r="877" spans="8:8">
      <c r="H877" s="674" t="str">
        <f t="shared" si="13"/>
        <v/>
      </c>
    </row>
    <row r="878" spans="8:8">
      <c r="H878" s="674" t="str">
        <f t="shared" si="13"/>
        <v/>
      </c>
    </row>
    <row r="879" spans="8:8">
      <c r="H879" s="674" t="str">
        <f t="shared" si="13"/>
        <v/>
      </c>
    </row>
    <row r="880" spans="8:8">
      <c r="H880" s="674" t="str">
        <f t="shared" si="13"/>
        <v/>
      </c>
    </row>
    <row r="881" spans="8:8">
      <c r="H881" s="674" t="str">
        <f t="shared" si="13"/>
        <v/>
      </c>
    </row>
    <row r="882" spans="8:8">
      <c r="H882" s="674" t="str">
        <f t="shared" si="13"/>
        <v/>
      </c>
    </row>
    <row r="883" spans="8:8">
      <c r="H883" s="674" t="str">
        <f t="shared" si="13"/>
        <v/>
      </c>
    </row>
    <row r="884" spans="8:8">
      <c r="H884" s="674" t="str">
        <f t="shared" si="13"/>
        <v/>
      </c>
    </row>
    <row r="885" spans="8:8">
      <c r="H885" s="674" t="str">
        <f t="shared" si="13"/>
        <v/>
      </c>
    </row>
    <row r="886" spans="8:8">
      <c r="H886" s="674" t="str">
        <f t="shared" si="13"/>
        <v/>
      </c>
    </row>
    <row r="887" spans="8:8">
      <c r="H887" s="674" t="str">
        <f t="shared" si="13"/>
        <v/>
      </c>
    </row>
    <row r="888" spans="8:8">
      <c r="H888" s="674" t="str">
        <f t="shared" si="13"/>
        <v/>
      </c>
    </row>
    <row r="889" spans="8:8">
      <c r="H889" s="674" t="str">
        <f t="shared" si="13"/>
        <v/>
      </c>
    </row>
    <row r="890" spans="8:8">
      <c r="H890" s="674" t="str">
        <f t="shared" si="13"/>
        <v/>
      </c>
    </row>
    <row r="891" spans="8:8">
      <c r="H891" s="674" t="str">
        <f t="shared" si="13"/>
        <v/>
      </c>
    </row>
    <row r="892" spans="8:8">
      <c r="H892" s="674" t="str">
        <f t="shared" si="13"/>
        <v/>
      </c>
    </row>
    <row r="893" spans="8:8">
      <c r="H893" s="674" t="str">
        <f t="shared" si="13"/>
        <v/>
      </c>
    </row>
    <row r="894" spans="8:8">
      <c r="H894" s="674" t="str">
        <f t="shared" si="13"/>
        <v/>
      </c>
    </row>
    <row r="895" spans="8:8">
      <c r="H895" s="674" t="str">
        <f t="shared" si="13"/>
        <v/>
      </c>
    </row>
    <row r="896" spans="8:8">
      <c r="H896" s="674" t="str">
        <f t="shared" si="13"/>
        <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D7AE2-9112-485E-98AF-50E2F62ECC56}">
  <sheetPr>
    <tabColor rgb="FF0083CA"/>
    <pageSetUpPr fitToPage="1"/>
  </sheetPr>
  <dimension ref="A1:V75"/>
  <sheetViews>
    <sheetView showGridLines="0" topLeftCell="G2" zoomScale="90" zoomScaleNormal="90" workbookViewId="0">
      <selection activeCell="G2" sqref="G2"/>
    </sheetView>
  </sheetViews>
  <sheetFormatPr defaultColWidth="18.5703125" defaultRowHeight="12.75" customHeight="1" outlineLevelRow="1" outlineLevelCol="1"/>
  <cols>
    <col min="1" max="1" width="38" style="768" hidden="1" customWidth="1" outlineLevel="1"/>
    <col min="2" max="2" width="17.5703125" style="768" hidden="1" customWidth="1" outlineLevel="1"/>
    <col min="3" max="3" width="11.5703125" style="768" hidden="1" customWidth="1" outlineLevel="1"/>
    <col min="4" max="4" width="10.5703125" style="768" hidden="1" customWidth="1" outlineLevel="1"/>
    <col min="5" max="5" width="11.42578125" style="768" hidden="1" customWidth="1" outlineLevel="1"/>
    <col min="6" max="6" width="18.42578125" style="768" hidden="1" customWidth="1" outlineLevel="1"/>
    <col min="7" max="7" width="14.42578125" style="4" customWidth="1" collapsed="1"/>
    <col min="8" max="8" width="16.42578125" style="4" customWidth="1"/>
    <col min="9" max="9" width="24.5703125" style="4" customWidth="1"/>
    <col min="10" max="10" width="28.85546875" style="4" customWidth="1"/>
    <col min="11" max="11" width="8.42578125" style="4" customWidth="1"/>
    <col min="12" max="12" width="8" style="4" customWidth="1"/>
    <col min="13" max="13" width="12.5703125" style="5" customWidth="1"/>
    <col min="14" max="14" width="11" style="5" customWidth="1"/>
    <col min="15" max="15" width="64.42578125" style="5" customWidth="1"/>
    <col min="16" max="16" width="16.5703125" style="4" customWidth="1"/>
    <col min="17" max="17" width="11.5703125" style="4" customWidth="1"/>
    <col min="18" max="18" width="64.42578125" style="7" customWidth="1"/>
    <col min="19" max="20" width="12.42578125" style="4" customWidth="1"/>
    <col min="21" max="21" width="12.42578125" style="6" customWidth="1"/>
    <col min="22" max="16384" width="18.5703125" style="4"/>
  </cols>
  <sheetData>
    <row r="1" spans="1:22" ht="12.75" customHeight="1">
      <c r="G1" s="26" t="s">
        <v>557</v>
      </c>
    </row>
    <row r="2" spans="1:22" ht="103.5" customHeight="1">
      <c r="A2" s="768" t="s">
        <v>2652</v>
      </c>
      <c r="G2" s="717" t="str">
        <f>H12&amp;":"</f>
        <v>XMP Pumps:</v>
      </c>
      <c r="H2" s="1745" t="str">
        <f>INDEX('AMMO Measures'!$I:$I,MATCH(LEFT(G2,LEN(G2)-1),'AMMO Measures'!$B:$B,0))</f>
        <v>The Extended Motor Product (XMP) initiative engages with manufacturers, distributors, and trade associations to increase adoption of energy efficient pumps and circulators. Primary interventions include: mid-stream incentives to influence stocking/sales practices; training and awareness campaigns to demonstrate that efficient pumps are cost-effective, reliable and easy to maintain; development and promotion of energy labeling for pumps to allow for product differentiation; and ultimately the passage of more stringent Federal Standards.</v>
      </c>
      <c r="I2" s="1745"/>
      <c r="J2" s="1745"/>
      <c r="K2" s="1745"/>
      <c r="L2" s="1745"/>
    </row>
    <row r="3" spans="1:22" ht="17.45" customHeight="1">
      <c r="B3" s="768">
        <v>2024</v>
      </c>
      <c r="C3" s="768">
        <v>2025</v>
      </c>
      <c r="D3" s="768">
        <v>2024</v>
      </c>
      <c r="E3" s="768">
        <v>2025</v>
      </c>
    </row>
    <row r="4" spans="1:22" ht="17.100000000000001" hidden="1" customHeight="1" outlineLevel="1">
      <c r="A4" s="768">
        <f>(B4/(SUM(B4:C4)))*D4+ (C4/SUM(B4:C4))*E4</f>
        <v>11.5</v>
      </c>
      <c r="B4" s="768">
        <f>SUMIFS($U$12:$U$63,$G$12:$G$63,"Residential",$L$12:$L$63, 2024)</f>
        <v>8.3152580621904698E-2</v>
      </c>
      <c r="C4" s="768">
        <f>SUMIFS($U$12:$U$63,$G$12:$G$63,"Residential",$L$12:$L$63, 2025)</f>
        <v>9.9783710275037907E-2</v>
      </c>
      <c r="D4" s="768" cm="1">
        <f t="array" ref="D4">SUMPRODUCT($K$12:$K$63,$U$12:$U$63,--($G$12:$G$63="Residential"),--($L$12:$L$63=2024))/SUMIFS($U$12:$U$63,$G$12:$G$63,"Residential",$L$12:$L$63, 2024)</f>
        <v>11.5</v>
      </c>
      <c r="E4" s="768" cm="1">
        <f t="array" ref="E4">SUMPRODUCT($K$12:$K$63,$U$12:$U$63,--($G$12:$G$63="Residential"),--($L$12:$L$63=2025))/SUMIFS($U$12:$U$63,$G$12:$G$63,"Residential",$L$12:$L$63, 2025)</f>
        <v>11.5</v>
      </c>
      <c r="F4" s="768" t="s">
        <v>207</v>
      </c>
      <c r="G4"/>
      <c r="H4"/>
      <c r="I4"/>
      <c r="J4"/>
      <c r="K4"/>
    </row>
    <row r="5" spans="1:22" ht="15" hidden="1" customHeight="1" outlineLevel="1">
      <c r="A5" s="768">
        <f>(B5/(SUM(B5:C5)))*D5+ (C5/SUM(B5:C5))*E5</f>
        <v>17.106939796216992</v>
      </c>
      <c r="B5" s="768">
        <f>SUMIFS($U$12:$U$63,$G$12:$G$63,"Commercial",$L$12:$L$63, 2024)</f>
        <v>6.7412751797424647E-2</v>
      </c>
      <c r="C5" s="768">
        <f>SUMIFS($U$12:$U$63,$G$12:$G$63,"Commercial",$L$12:$L$63, 2025)</f>
        <v>7.0977233268353243E-2</v>
      </c>
      <c r="D5" s="768" cm="1">
        <f t="array" ref="D5">SUMPRODUCT($K$12:$K$63,$U$12:$U$63,--($G$12:$G$63="Commercial"),--($L$12:$L$63=2024))/SUMIFS($U$12:$U$63,$G$12:$G$63,"Commercial",$L$12:$L$63, 2024)</f>
        <v>17.215096919301534</v>
      </c>
      <c r="E5" s="768" cm="1">
        <f t="array" ref="E5">SUMPRODUCT($K$12:$K$63,$U$12:$U$63,--($G$12:$G$63="Commercial"),--($L$12:$L$63=2025))/SUMIFS($U$12:$U$63,$G$12:$G$63,"Commercial",$L$12:$L$63, 2025)</f>
        <v>17.004214331192802</v>
      </c>
      <c r="F5" s="768" t="s">
        <v>445</v>
      </c>
      <c r="G5"/>
      <c r="H5"/>
      <c r="I5"/>
      <c r="J5"/>
      <c r="K5"/>
    </row>
    <row r="6" spans="1:22" ht="12" hidden="1" customHeight="1" outlineLevel="1">
      <c r="B6" s="768">
        <v>2026</v>
      </c>
      <c r="C6" s="768">
        <v>2027</v>
      </c>
      <c r="D6" s="768">
        <v>2026</v>
      </c>
      <c r="E6" s="768">
        <v>2027</v>
      </c>
      <c r="G6"/>
      <c r="H6"/>
      <c r="I6"/>
      <c r="J6"/>
      <c r="K6"/>
    </row>
    <row r="7" spans="1:22" ht="15" hidden="1" outlineLevel="1">
      <c r="A7" s="768">
        <f>(B7/(SUM(B7:C7)))*D7+ (C7/SUM(B7:C7))*E7</f>
        <v>11.500000000000002</v>
      </c>
      <c r="B7" s="768">
        <f>SUMIFS($U$12:$U$63,$G$12:$G$63,"Residential",$L$12:$L$63, 2026)</f>
        <v>0.1097623475030334</v>
      </c>
      <c r="C7" s="768">
        <f>SUMIFS($U$12:$U$63,$G$12:$G$63,"Residential",$L$12:$L$63, 2027)</f>
        <v>0.12073882425378371</v>
      </c>
      <c r="D7" s="768" cm="1">
        <f t="array" ref="D7">SUMPRODUCT($K$12:$K$63,$U$12:$U$63,--($G$12:$G$63="Residential"),--($L$12:$L$63=2026))/SUMIFS($U$12:$U$63,$G$12:$G$63,"Residential",$L$12:$L$63, 2026)</f>
        <v>11.500000000000002</v>
      </c>
      <c r="E7" s="768" cm="1">
        <f t="array" ref="E7">SUMPRODUCT($K$12:$K$63,$U$12:$U$63,--($G$12:$G$63="Residential"),--($L$12:$L$63=2027))/SUMIFS($U$12:$U$63,$G$12:$G$63,"Residential",$L$12:$L$63, 2027)</f>
        <v>11.5</v>
      </c>
      <c r="F7" s="768" t="s">
        <v>207</v>
      </c>
      <c r="G7"/>
      <c r="H7"/>
      <c r="I7"/>
      <c r="J7"/>
      <c r="K7"/>
    </row>
    <row r="8" spans="1:22" ht="15" hidden="1" outlineLevel="1">
      <c r="A8" s="768">
        <f>(B8/(SUM(B8:C8)))*D8+ (C8/SUM(B8:C8))*E8</f>
        <v>16.834353418864136</v>
      </c>
      <c r="B8" s="768">
        <f>SUMIFS($U$12:$U$63,$G$12:$G$63,"Commercial",$L$12:$L$63, 2026)</f>
        <v>7.3316621123602488E-2</v>
      </c>
      <c r="C8" s="768">
        <f>SUMIFS($U$12:$U$63,$G$12:$G$63,"Commercial",$L$12:$L$63, 2027)</f>
        <v>7.5823446373376541E-2</v>
      </c>
      <c r="D8" s="768" cm="1">
        <f t="array" ref="D8">SUMPRODUCT($K$12:$K$63,$U$12:$U$63,--($G$12:$G$63="Commercial"),--($L$12:$L$63=2026))/SUMIFS($U$12:$U$63,$G$12:$G$63,"Commercial",$L$12:$L$63, 2026)</f>
        <v>16.893337082720002</v>
      </c>
      <c r="E8" s="768" cm="1">
        <f t="array" ref="E8">SUMPRODUCT($K$12:$K$63,$U$12:$U$63,--($G$12:$G$63="Commercial"),--($L$12:$L$63=2027))/SUMIFS($U$12:$U$63,$G$12:$G$63,"Commercial",$L$12:$L$63, 2027)</f>
        <v>16.777319834369603</v>
      </c>
      <c r="F8" s="768" t="s">
        <v>445</v>
      </c>
      <c r="G8"/>
      <c r="H8"/>
      <c r="I8"/>
      <c r="J8"/>
      <c r="K8"/>
    </row>
    <row r="9" spans="1:22" ht="68.099999999999994" hidden="1" customHeight="1" outlineLevel="1">
      <c r="G9" s="1744"/>
      <c r="H9" s="1744"/>
      <c r="I9" s="1744"/>
    </row>
    <row r="10" spans="1:22" customFormat="1" ht="15.75" customHeight="1" collapsed="1">
      <c r="A10" s="1746" t="s">
        <v>125</v>
      </c>
      <c r="B10" s="1746"/>
      <c r="C10" s="1746"/>
      <c r="D10" s="1746"/>
      <c r="E10" s="1746"/>
      <c r="F10" s="1746"/>
      <c r="G10" s="1747" t="s">
        <v>7</v>
      </c>
      <c r="H10" s="1721"/>
      <c r="I10" s="1721"/>
      <c r="J10" s="1721"/>
      <c r="K10" s="1721"/>
      <c r="L10" s="1721"/>
      <c r="M10" s="1748" t="s">
        <v>122</v>
      </c>
      <c r="N10" s="1749"/>
      <c r="O10" s="1749"/>
      <c r="P10" s="1750"/>
      <c r="Q10" s="1735" t="s">
        <v>123</v>
      </c>
      <c r="R10" s="1736"/>
      <c r="S10" s="1737" t="s">
        <v>124</v>
      </c>
      <c r="T10" s="1738"/>
      <c r="U10" s="1739"/>
    </row>
    <row r="11" spans="1:22" s="14" customFormat="1" ht="60" customHeight="1" thickBot="1">
      <c r="A11" s="768" t="s">
        <v>0</v>
      </c>
      <c r="B11" s="768" t="s">
        <v>10</v>
      </c>
      <c r="C11" s="768" t="s">
        <v>1</v>
      </c>
      <c r="D11" s="768" t="s">
        <v>2</v>
      </c>
      <c r="E11" s="768" t="s">
        <v>187</v>
      </c>
      <c r="F11" s="768"/>
      <c r="G11" s="718" t="s">
        <v>3</v>
      </c>
      <c r="H11" s="718" t="s">
        <v>4</v>
      </c>
      <c r="I11" s="718" t="s">
        <v>5</v>
      </c>
      <c r="J11" s="718" t="s">
        <v>6</v>
      </c>
      <c r="K11" s="718" t="s">
        <v>834</v>
      </c>
      <c r="L11" s="718" t="s">
        <v>8</v>
      </c>
      <c r="M11" s="719" t="s">
        <v>11</v>
      </c>
      <c r="N11" s="718" t="s">
        <v>12</v>
      </c>
      <c r="O11" s="718" t="s">
        <v>120</v>
      </c>
      <c r="P11" s="720" t="str">
        <f>"Funder Share: "&amp;Selection!A2&amp;" "&amp;Selection!A3</f>
        <v>Funder Share: Puget Sound Energy Washington</v>
      </c>
      <c r="Q11" s="719" t="s">
        <v>451</v>
      </c>
      <c r="R11" s="721" t="s">
        <v>121</v>
      </c>
      <c r="S11" s="715" t="s">
        <v>2683</v>
      </c>
      <c r="T11" s="714" t="s">
        <v>2675</v>
      </c>
      <c r="U11" s="716" t="s">
        <v>2283</v>
      </c>
    </row>
    <row r="12" spans="1:22" ht="15.75" thickTop="1">
      <c r="A12" s="768" t="s">
        <v>991</v>
      </c>
      <c r="B12" s="768" t="str">
        <f t="shared" ref="B12:B24" si="0">LEFT(A12,10)</f>
        <v>XMP_202001</v>
      </c>
      <c r="C12" s="768" t="str">
        <f>INDEX('AMMO vwFlags'!$C:$C,MATCH($A12&amp;L12,'AMMO vwFlags'!$K:$K,0))</f>
        <v>0</v>
      </c>
      <c r="D12" s="768" t="str">
        <f>INDEX('AMMO vwFlags'!$D:$D,MATCH($A12&amp;$L12,'AMMO vwFlags'!$K:$K,0))</f>
        <v>0</v>
      </c>
      <c r="E12" s="768">
        <f t="shared" ref="E12:E43" si="1">COUNTIFS($A:$A,$A12,$L:$L,$L12)</f>
        <v>1</v>
      </c>
      <c r="G12" s="722" t="str">
        <f>IF(LEFT(I12,3)="Res","Residential","Commercial")</f>
        <v>Residential</v>
      </c>
      <c r="H12" s="675" t="str">
        <f>INDEX('AMMO Units'!B:B,MATCH($A12,'AMMO Units'!$E:$E,0))</f>
        <v>XMP Pumps</v>
      </c>
      <c r="I12" s="675" t="str">
        <f>INDEX('AMMO Units'!C:C,MATCH($A12,'AMMO Units'!$E:$E,0))</f>
        <v>Residential HH Circulator</v>
      </c>
      <c r="J12" s="675" t="str">
        <f>INDEX('AMMO Units'!D:D,MATCH($A12,'AMMO Units'!$E:$E,0))</f>
        <v>Tier 1</v>
      </c>
      <c r="K12" s="723">
        <f>VALUE(INDEX('AMMO Measures'!H:H,MATCH($A12,'AMMO Measures'!A:A,0)))</f>
        <v>11.5</v>
      </c>
      <c r="L12" s="677">
        <v>2024</v>
      </c>
      <c r="M12" s="724">
        <f>SUMIFS('AMMO Units'!F:F,'AMMO Units'!$A:$A,$L12,'AMMO Units'!$E:$E,$A12)</f>
        <v>1500.48</v>
      </c>
      <c r="N12" s="725">
        <f>SUMIFS('AMMO Units'!G:G,'AMMO Units'!$A:$A,$L12,'AMMO Units'!$E:$E,$A12)</f>
        <v>41.608796480000002</v>
      </c>
      <c r="O12" s="759" t="s">
        <v>2574</v>
      </c>
      <c r="P12" s="726">
        <f>IF(Selection!$A$2="regional",1,IF($M12=0,0,
( INDEX(Allocation!$B:$B,MATCH(L12,Allocation!$A:$A,0)) * INDEX(UnitsFunderShareAllocation!$C:$C, MATCH($A12&amp;L12,UnitsFunderShareAllocation!$H:$H,0))
+ INDEX(Allocation!$C:$C,MATCH(L12,Allocation!$A:$A,0)) * INDEX(UnitsFunderShareAllocation!$D:$D, MATCH($A12&amp;L12,UnitsFunderShareAllocation!$H:$H,0))
+ INDEX(Allocation!$D:$D,MATCH(L12,Allocation!$A:$A,0)) * INDEX(UnitsFunderShareAllocation!$E:$E, MATCH($A12&amp;L12,UnitsFunderShareAllocation!$H:$H,0))
+ INDEX(Allocation!$E:$E,MATCH(L12,Allocation!$A:$A,0)) * INDEX(UnitsFunderShareAllocation!$F:$F, MATCH($A12&amp;L12,UnitsFunderShareAllocation!$H:$H,0)))
))</f>
        <v>0.13985600000000001</v>
      </c>
      <c r="Q12" s="678">
        <f>SUMIFS('AMMO Savings Rates'!F:F,'AMMO Savings Rates'!$E:$E,$L12,'AMMO Savings Rates'!$D:$D,$A12)</f>
        <v>88.399914150000001</v>
      </c>
      <c r="R12" s="1568" t="s">
        <v>1018</v>
      </c>
      <c r="S12" s="727">
        <f>(M12)*P12*Q12/8760000</f>
        <v>2.1176737390493625E-3</v>
      </c>
      <c r="T12" s="728">
        <f>IFERROR((N12/M12*N12)*P12*Q12/8760/1000,0)</f>
        <v>1.628429409771078E-6</v>
      </c>
      <c r="U12" s="729">
        <f t="shared" ref="U12" si="2">S12-T12</f>
        <v>2.1160453096395913E-3</v>
      </c>
      <c r="V12" s="32"/>
    </row>
    <row r="13" spans="1:22" ht="15">
      <c r="A13" s="768" t="s">
        <v>992</v>
      </c>
      <c r="B13" s="768" t="str">
        <f t="shared" si="0"/>
        <v>XMP_202001</v>
      </c>
      <c r="C13" s="768" t="str">
        <f>INDEX('AMMO vwFlags'!$C:$C,MATCH($A13&amp;L13,'AMMO vwFlags'!$K:$K,0))</f>
        <v>0</v>
      </c>
      <c r="D13" s="768" t="str">
        <f>INDEX('AMMO vwFlags'!$D:$D,MATCH($A13&amp;$L13,'AMMO vwFlags'!$K:$K,0))</f>
        <v>0</v>
      </c>
      <c r="E13" s="768">
        <f t="shared" si="1"/>
        <v>1</v>
      </c>
      <c r="G13" s="730" t="str">
        <f t="shared" ref="G13:G37" si="3">IF(LEFT(I13,3)="Res","Residential","Commercial")</f>
        <v>Residential</v>
      </c>
      <c r="H13" s="681" t="str">
        <f>INDEX('AMMO Units'!B:B,MATCH($A13,'AMMO Units'!$E:$E,0))</f>
        <v>XMP Pumps</v>
      </c>
      <c r="I13" s="681" t="str">
        <f>INDEX('AMMO Units'!C:C,MATCH($A13,'AMMO Units'!$E:$E,0))</f>
        <v>Residential HH Circulator</v>
      </c>
      <c r="J13" s="681" t="str">
        <f>INDEX('AMMO Units'!D:D,MATCH($A13,'AMMO Units'!$E:$E,0))</f>
        <v>Tier 2</v>
      </c>
      <c r="K13" s="731">
        <f>VALUE(INDEX('AMMO Measures'!H:H,MATCH($A13,'AMMO Measures'!A:A,0)))</f>
        <v>11.5</v>
      </c>
      <c r="L13" s="683">
        <v>2024</v>
      </c>
      <c r="M13" s="732">
        <f>SUMIFS('AMMO Units'!F:F,'AMMO Units'!$A:$A,$L13,'AMMO Units'!$E:$E,$A13)</f>
        <v>5834.88</v>
      </c>
      <c r="N13" s="733">
        <f>SUMIFS('AMMO Units'!G:G,'AMMO Units'!$A:$A,$L13,'AMMO Units'!$E:$E,$A13)</f>
        <v>0</v>
      </c>
      <c r="O13" s="760" t="s">
        <v>2574</v>
      </c>
      <c r="P13" s="734">
        <f>IF(Selection!$A$2="regional",1,IF($M13=0,0,
( INDEX(Allocation!$B:$B,MATCH(L13,Allocation!$A:$A,0)) * INDEX(UnitsFunderShareAllocation!$C:$C, MATCH($A13&amp;L13,UnitsFunderShareAllocation!$H:$H,0))
+ INDEX(Allocation!$C:$C,MATCH(L13,Allocation!$A:$A,0)) * INDEX(UnitsFunderShareAllocation!$D:$D, MATCH($A13&amp;L13,UnitsFunderShareAllocation!$H:$H,0))
+ INDEX(Allocation!$D:$D,MATCH(L13,Allocation!$A:$A,0)) * INDEX(UnitsFunderShareAllocation!$E:$E, MATCH($A13&amp;L13,UnitsFunderShareAllocation!$H:$H,0))
+ INDEX(Allocation!$E:$E,MATCH(L13,Allocation!$A:$A,0)) * INDEX(UnitsFunderShareAllocation!$F:$F, MATCH($A13&amp;L13,UnitsFunderShareAllocation!$H:$H,0)))
))</f>
        <v>0.13985600000000001</v>
      </c>
      <c r="Q13" s="735">
        <f>SUMIFS('AMMO Savings Rates'!F:F,'AMMO Savings Rates'!$E:$E,$L13,'AMMO Savings Rates'!$D:$D,$A13)</f>
        <v>165.18819289999999</v>
      </c>
      <c r="R13" s="1569" t="s">
        <v>1018</v>
      </c>
      <c r="S13" s="736">
        <f t="shared" ref="S13:S37" si="4">(M13)*P13*Q13/8760000</f>
        <v>1.5388203738084357E-2</v>
      </c>
      <c r="T13" s="737">
        <f t="shared" ref="T13:T37" si="5">IFERROR((N13/M13*N13)*P13*Q13/8760/1000,0)</f>
        <v>0</v>
      </c>
      <c r="U13" s="738">
        <f>S13-T13</f>
        <v>1.5388203738084357E-2</v>
      </c>
      <c r="V13" s="32"/>
    </row>
    <row r="14" spans="1:22" ht="15">
      <c r="A14" s="768" t="s">
        <v>993</v>
      </c>
      <c r="B14" s="768" t="str">
        <f t="shared" si="0"/>
        <v>XMP_202001</v>
      </c>
      <c r="C14" s="768" t="str">
        <f>INDEX('AMMO vwFlags'!$C:$C,MATCH($A14&amp;L14,'AMMO vwFlags'!$K:$K,0))</f>
        <v>0</v>
      </c>
      <c r="D14" s="768" t="str">
        <f>INDEX('AMMO vwFlags'!$D:$D,MATCH($A14&amp;$L14,'AMMO vwFlags'!$K:$K,0))</f>
        <v>0</v>
      </c>
      <c r="E14" s="768">
        <f t="shared" si="1"/>
        <v>1</v>
      </c>
      <c r="G14" s="730" t="str">
        <f t="shared" si="3"/>
        <v>Commercial</v>
      </c>
      <c r="H14" s="681" t="str">
        <f>INDEX('AMMO Units'!B:B,MATCH($A14,'AMMO Units'!$E:$E,0))</f>
        <v>XMP Pumps</v>
      </c>
      <c r="I14" s="681" t="str">
        <f>INDEX('AMMO Units'!C:C,MATCH($A14,'AMMO Units'!$E:$E,0))</f>
        <v>Commercial HH Circulator</v>
      </c>
      <c r="J14" s="681" t="str">
        <f>INDEX('AMMO Units'!D:D,MATCH($A14,'AMMO Units'!$E:$E,0))</f>
        <v>Tier 1</v>
      </c>
      <c r="K14" s="731">
        <f>VALUE(INDEX('AMMO Measures'!H:H,MATCH($A14,'AMMO Measures'!A:A,0)))</f>
        <v>11.5</v>
      </c>
      <c r="L14" s="683">
        <v>2024</v>
      </c>
      <c r="M14" s="732">
        <f>SUMIFS('AMMO Units'!F:F,'AMMO Units'!$A:$A,$L14,'AMMO Units'!$E:$E,$A14)</f>
        <v>5.76</v>
      </c>
      <c r="N14" s="733">
        <f>SUMIFS('AMMO Units'!G:G,'AMMO Units'!$A:$A,$L14,'AMMO Units'!$E:$E,$A14)</f>
        <v>0</v>
      </c>
      <c r="O14" s="760" t="s">
        <v>2574</v>
      </c>
      <c r="P14" s="734">
        <f>IF(Selection!$A$2="regional",1,IF($M14=0,0,
( INDEX(Allocation!$B:$B,MATCH(L14,Allocation!$A:$A,0)) * INDEX(UnitsFunderShareAllocation!$C:$C, MATCH($A14&amp;L14,UnitsFunderShareAllocation!$H:$H,0))
+ INDEX(Allocation!$C:$C,MATCH(L14,Allocation!$A:$A,0)) * INDEX(UnitsFunderShareAllocation!$D:$D, MATCH($A14&amp;L14,UnitsFunderShareAllocation!$H:$H,0))
+ INDEX(Allocation!$D:$D,MATCH(L14,Allocation!$A:$A,0)) * INDEX(UnitsFunderShareAllocation!$E:$E, MATCH($A14&amp;L14,UnitsFunderShareAllocation!$H:$H,0))
+ INDEX(Allocation!$E:$E,MATCH(L14,Allocation!$A:$A,0)) * INDEX(UnitsFunderShareAllocation!$F:$F, MATCH($A14&amp;L14,UnitsFunderShareAllocation!$H:$H,0)))
))</f>
        <v>0.13985600000000001</v>
      </c>
      <c r="Q14" s="735">
        <f>SUMIFS('AMMO Savings Rates'!F:F,'AMMO Savings Rates'!$E:$E,$L14,'AMMO Savings Rates'!$D:$D,$A14)</f>
        <v>367.68671258000001</v>
      </c>
      <c r="R14" s="1569" t="s">
        <v>1018</v>
      </c>
      <c r="S14" s="736">
        <f t="shared" si="4"/>
        <v>3.3812510383291058E-5</v>
      </c>
      <c r="T14" s="737">
        <f t="shared" si="5"/>
        <v>0</v>
      </c>
      <c r="U14" s="738">
        <f>S14-T14</f>
        <v>3.3812510383291058E-5</v>
      </c>
      <c r="V14" s="32"/>
    </row>
    <row r="15" spans="1:22" ht="15">
      <c r="A15" s="768" t="s">
        <v>994</v>
      </c>
      <c r="B15" s="768" t="str">
        <f t="shared" si="0"/>
        <v>XMP_202001</v>
      </c>
      <c r="C15" s="768" t="str">
        <f>INDEX('AMMO vwFlags'!$C:$C,MATCH($A15&amp;L15,'AMMO vwFlags'!$K:$K,0))</f>
        <v>0</v>
      </c>
      <c r="D15" s="768" t="str">
        <f>INDEX('AMMO vwFlags'!$D:$D,MATCH($A15&amp;$L15,'AMMO vwFlags'!$K:$K,0))</f>
        <v>0</v>
      </c>
      <c r="E15" s="768">
        <f t="shared" si="1"/>
        <v>1</v>
      </c>
      <c r="G15" s="730" t="str">
        <f t="shared" si="3"/>
        <v>Commercial</v>
      </c>
      <c r="H15" s="681" t="str">
        <f>INDEX('AMMO Units'!B:B,MATCH($A15,'AMMO Units'!$E:$E,0))</f>
        <v>XMP Pumps</v>
      </c>
      <c r="I15" s="681" t="str">
        <f>INDEX('AMMO Units'!C:C,MATCH($A15,'AMMO Units'!$E:$E,0))</f>
        <v>Commercial HH Circulator</v>
      </c>
      <c r="J15" s="681" t="str">
        <f>INDEX('AMMO Units'!D:D,MATCH($A15,'AMMO Units'!$E:$E,0))</f>
        <v>Tier 2</v>
      </c>
      <c r="K15" s="731">
        <f>VALUE(INDEX('AMMO Measures'!H:H,MATCH($A15,'AMMO Measures'!A:A,0)))</f>
        <v>11.5</v>
      </c>
      <c r="L15" s="683">
        <v>2024</v>
      </c>
      <c r="M15" s="732">
        <f>SUMIFS('AMMO Units'!F:F,'AMMO Units'!$A:$A,$L15,'AMMO Units'!$E:$E,$A15)</f>
        <v>289.44</v>
      </c>
      <c r="N15" s="733">
        <f>SUMIFS('AMMO Units'!G:G,'AMMO Units'!$A:$A,$L15,'AMMO Units'!$E:$E,$A15)</f>
        <v>0</v>
      </c>
      <c r="O15" s="760" t="s">
        <v>2574</v>
      </c>
      <c r="P15" s="734">
        <f>IF(Selection!$A$2="regional",1,IF($M15=0,0,
( INDEX(Allocation!$B:$B,MATCH(L15,Allocation!$A:$A,0)) * INDEX(UnitsFunderShareAllocation!$C:$C, MATCH($A15&amp;L15,UnitsFunderShareAllocation!$H:$H,0))
+ INDEX(Allocation!$C:$C,MATCH(L15,Allocation!$A:$A,0)) * INDEX(UnitsFunderShareAllocation!$D:$D, MATCH($A15&amp;L15,UnitsFunderShareAllocation!$H:$H,0))
+ INDEX(Allocation!$D:$D,MATCH(L15,Allocation!$A:$A,0)) * INDEX(UnitsFunderShareAllocation!$E:$E, MATCH($A15&amp;L15,UnitsFunderShareAllocation!$H:$H,0))
+ INDEX(Allocation!$E:$E,MATCH(L15,Allocation!$A:$A,0)) * INDEX(UnitsFunderShareAllocation!$F:$F, MATCH($A15&amp;L15,UnitsFunderShareAllocation!$H:$H,0)))
))</f>
        <v>0.13985600000000001</v>
      </c>
      <c r="Q15" s="735">
        <f>SUMIFS('AMMO Savings Rates'!F:F,'AMMO Savings Rates'!$E:$E,$L15,'AMMO Savings Rates'!$D:$D,$A15)</f>
        <v>1359.82529903</v>
      </c>
      <c r="R15" s="1569" t="s">
        <v>1018</v>
      </c>
      <c r="S15" s="736">
        <f t="shared" si="4"/>
        <v>6.2837465969176566E-3</v>
      </c>
      <c r="T15" s="737">
        <f t="shared" si="5"/>
        <v>0</v>
      </c>
      <c r="U15" s="738">
        <f>S15-T15</f>
        <v>6.2837465969176566E-3</v>
      </c>
      <c r="V15" s="32"/>
    </row>
    <row r="16" spans="1:22" ht="15">
      <c r="A16" s="768" t="s">
        <v>995</v>
      </c>
      <c r="B16" s="768" t="str">
        <f t="shared" si="0"/>
        <v>XMP_202001</v>
      </c>
      <c r="C16" s="768" t="str">
        <f>INDEX('AMMO vwFlags'!$C:$C,MATCH($A16&amp;L16,'AMMO vwFlags'!$K:$K,0))</f>
        <v>0</v>
      </c>
      <c r="D16" s="768" t="str">
        <f>INDEX('AMMO vwFlags'!$D:$D,MATCH($A16&amp;$L16,'AMMO vwFlags'!$K:$K,0))</f>
        <v>0</v>
      </c>
      <c r="E16" s="768">
        <f t="shared" si="1"/>
        <v>1</v>
      </c>
      <c r="G16" s="730" t="str">
        <f t="shared" si="3"/>
        <v>Residential</v>
      </c>
      <c r="H16" s="681" t="str">
        <f>INDEX('AMMO Units'!B:B,MATCH($A16,'AMMO Units'!$E:$E,0))</f>
        <v>XMP Pumps</v>
      </c>
      <c r="I16" s="681" t="str">
        <f>INDEX('AMMO Units'!C:C,MATCH($A16,'AMMO Units'!$E:$E,0))</f>
        <v>Residential DHW Circulator</v>
      </c>
      <c r="J16" s="681" t="str">
        <f>INDEX('AMMO Units'!D:D,MATCH($A16,'AMMO Units'!$E:$E,0))</f>
        <v>Tier 1</v>
      </c>
      <c r="K16" s="731">
        <f>VALUE(INDEX('AMMO Measures'!H:H,MATCH($A16,'AMMO Measures'!A:A,0)))</f>
        <v>11.5</v>
      </c>
      <c r="L16" s="683">
        <v>2024</v>
      </c>
      <c r="M16" s="732">
        <f>SUMIFS('AMMO Units'!F:F,'AMMO Units'!$A:$A,$L16,'AMMO Units'!$E:$E,$A16)</f>
        <v>1140.48</v>
      </c>
      <c r="N16" s="733">
        <f>SUMIFS('AMMO Units'!G:G,'AMMO Units'!$A:$A,$L16,'AMMO Units'!$E:$E,$A16)</f>
        <v>0</v>
      </c>
      <c r="O16" s="760" t="s">
        <v>2574</v>
      </c>
      <c r="P16" s="734">
        <f>IF(Selection!$A$2="regional",1,IF($M16=0,0,
( INDEX(Allocation!$B:$B,MATCH(L16,Allocation!$A:$A,0)) * INDEX(UnitsFunderShareAllocation!$C:$C, MATCH($A16&amp;L16,UnitsFunderShareAllocation!$H:$H,0))
+ INDEX(Allocation!$C:$C,MATCH(L16,Allocation!$A:$A,0)) * INDEX(UnitsFunderShareAllocation!$D:$D, MATCH($A16&amp;L16,UnitsFunderShareAllocation!$H:$H,0))
+ INDEX(Allocation!$D:$D,MATCH(L16,Allocation!$A:$A,0)) * INDEX(UnitsFunderShareAllocation!$E:$E, MATCH($A16&amp;L16,UnitsFunderShareAllocation!$H:$H,0))
+ INDEX(Allocation!$E:$E,MATCH(L16,Allocation!$A:$A,0)) * INDEX(UnitsFunderShareAllocation!$F:$F, MATCH($A16&amp;L16,UnitsFunderShareAllocation!$H:$H,0)))
))</f>
        <v>0.13985600000000001</v>
      </c>
      <c r="Q16" s="735">
        <f>SUMIFS('AMMO Savings Rates'!F:F,'AMMO Savings Rates'!$E:$E,$L16,'AMMO Savings Rates'!$D:$D,$A16)</f>
        <v>86.457957070000006</v>
      </c>
      <c r="R16" s="1569" t="s">
        <v>1018</v>
      </c>
      <c r="S16" s="736">
        <f t="shared" si="4"/>
        <v>1.5742352749863588E-3</v>
      </c>
      <c r="T16" s="737">
        <f t="shared" si="5"/>
        <v>0</v>
      </c>
      <c r="U16" s="738">
        <f t="shared" ref="U16:U24" si="6">S16-T16</f>
        <v>1.5742352749863588E-3</v>
      </c>
      <c r="V16" s="32"/>
    </row>
    <row r="17" spans="1:22" ht="15">
      <c r="A17" s="768" t="s">
        <v>996</v>
      </c>
      <c r="B17" s="768" t="str">
        <f t="shared" si="0"/>
        <v>XMP_202001</v>
      </c>
      <c r="C17" s="768" t="str">
        <f>INDEX('AMMO vwFlags'!$C:$C,MATCH($A17&amp;L17,'AMMO vwFlags'!$K:$K,0))</f>
        <v>0</v>
      </c>
      <c r="D17" s="768" t="str">
        <f>INDEX('AMMO vwFlags'!$D:$D,MATCH($A17&amp;$L17,'AMMO vwFlags'!$K:$K,0))</f>
        <v>0</v>
      </c>
      <c r="E17" s="768">
        <f t="shared" si="1"/>
        <v>1</v>
      </c>
      <c r="G17" s="730" t="str">
        <f t="shared" si="3"/>
        <v>Residential</v>
      </c>
      <c r="H17" s="681" t="str">
        <f>INDEX('AMMO Units'!B:B,MATCH($A17,'AMMO Units'!$E:$E,0))</f>
        <v>XMP Pumps</v>
      </c>
      <c r="I17" s="681" t="str">
        <f>INDEX('AMMO Units'!C:C,MATCH($A17,'AMMO Units'!$E:$E,0))</f>
        <v>Residential DHW Circulator</v>
      </c>
      <c r="J17" s="681" t="str">
        <f>INDEX('AMMO Units'!D:D,MATCH($A17,'AMMO Units'!$E:$E,0))</f>
        <v>Tier 2</v>
      </c>
      <c r="K17" s="731">
        <f>VALUE(INDEX('AMMO Measures'!H:H,MATCH($A17,'AMMO Measures'!A:A,0)))</f>
        <v>11.5</v>
      </c>
      <c r="L17" s="683">
        <v>2024</v>
      </c>
      <c r="M17" s="732">
        <f>SUMIFS('AMMO Units'!F:F,'AMMO Units'!$A:$A,$L17,'AMMO Units'!$E:$E,$A17)</f>
        <v>1278.72</v>
      </c>
      <c r="N17" s="733">
        <f>SUMIFS('AMMO Units'!G:G,'AMMO Units'!$A:$A,$L17,'AMMO Units'!$E:$E,$A17)</f>
        <v>0</v>
      </c>
      <c r="O17" s="760" t="s">
        <v>2574</v>
      </c>
      <c r="P17" s="734">
        <f>IF(Selection!$A$2="regional",1,IF($M17=0,0,
( INDEX(Allocation!$B:$B,MATCH(L17,Allocation!$A:$A,0)) * INDEX(UnitsFunderShareAllocation!$C:$C, MATCH($A17&amp;L17,UnitsFunderShareAllocation!$H:$H,0))
+ INDEX(Allocation!$C:$C,MATCH(L17,Allocation!$A:$A,0)) * INDEX(UnitsFunderShareAllocation!$D:$D, MATCH($A17&amp;L17,UnitsFunderShareAllocation!$H:$H,0))
+ INDEX(Allocation!$D:$D,MATCH(L17,Allocation!$A:$A,0)) * INDEX(UnitsFunderShareAllocation!$E:$E, MATCH($A17&amp;L17,UnitsFunderShareAllocation!$H:$H,0))
+ INDEX(Allocation!$E:$E,MATCH(L17,Allocation!$A:$A,0)) * INDEX(UnitsFunderShareAllocation!$F:$F, MATCH($A17&amp;L17,UnitsFunderShareAllocation!$H:$H,0)))
))</f>
        <v>0.13985600000000001</v>
      </c>
      <c r="Q17" s="735">
        <f>SUMIFS('AMMO Savings Rates'!F:F,'AMMO Savings Rates'!$E:$E,$L17,'AMMO Savings Rates'!$D:$D,$A17)</f>
        <v>683.99400856</v>
      </c>
      <c r="R17" s="1569" t="s">
        <v>1018</v>
      </c>
      <c r="S17" s="736">
        <f t="shared" si="4"/>
        <v>1.3963836404764375E-2</v>
      </c>
      <c r="T17" s="737">
        <f t="shared" si="5"/>
        <v>0</v>
      </c>
      <c r="U17" s="738">
        <f t="shared" si="6"/>
        <v>1.3963836404764375E-2</v>
      </c>
      <c r="V17" s="32"/>
    </row>
    <row r="18" spans="1:22" ht="15">
      <c r="A18" s="768" t="s">
        <v>997</v>
      </c>
      <c r="B18" s="768" t="str">
        <f t="shared" si="0"/>
        <v>XMP_202001</v>
      </c>
      <c r="C18" s="768" t="str">
        <f>INDEX('AMMO vwFlags'!$C:$C,MATCH($A18&amp;L18,'AMMO vwFlags'!$K:$K,0))</f>
        <v>0</v>
      </c>
      <c r="D18" s="768" t="str">
        <f>INDEX('AMMO vwFlags'!$D:$D,MATCH($A18&amp;$L18,'AMMO vwFlags'!$K:$K,0))</f>
        <v>0</v>
      </c>
      <c r="E18" s="768">
        <f t="shared" si="1"/>
        <v>1</v>
      </c>
      <c r="G18" s="730" t="str">
        <f t="shared" si="3"/>
        <v>Residential</v>
      </c>
      <c r="H18" s="681" t="str">
        <f>INDEX('AMMO Units'!B:B,MATCH($A18,'AMMO Units'!$E:$E,0))</f>
        <v>XMP Pumps</v>
      </c>
      <c r="I18" s="681" t="str">
        <f>INDEX('AMMO Units'!C:C,MATCH($A18,'AMMO Units'!$E:$E,0))</f>
        <v>Residential DHW Circulator</v>
      </c>
      <c r="J18" s="681" t="str">
        <f>INDEX('AMMO Units'!D:D,MATCH($A18,'AMMO Units'!$E:$E,0))</f>
        <v>Tier 3</v>
      </c>
      <c r="K18" s="731">
        <f>VALUE(INDEX('AMMO Measures'!H:H,MATCH($A18,'AMMO Measures'!A:A,0)))</f>
        <v>11.5</v>
      </c>
      <c r="L18" s="683">
        <v>2024</v>
      </c>
      <c r="M18" s="732">
        <f>SUMIFS('AMMO Units'!F:F,'AMMO Units'!$A:$A,$L18,'AMMO Units'!$E:$E,$A18)</f>
        <v>3415.68</v>
      </c>
      <c r="N18" s="733">
        <f>SUMIFS('AMMO Units'!G:G,'AMMO Units'!$A:$A,$L18,'AMMO Units'!$E:$E,$A18)</f>
        <v>3.2307400400000001</v>
      </c>
      <c r="O18" s="760" t="s">
        <v>2574</v>
      </c>
      <c r="P18" s="734">
        <f>IF(Selection!$A$2="regional",1,IF($M18=0,0,
( INDEX(Allocation!$B:$B,MATCH(L18,Allocation!$A:$A,0)) * INDEX(UnitsFunderShareAllocation!$C:$C, MATCH($A18&amp;L18,UnitsFunderShareAllocation!$H:$H,0))
+ INDEX(Allocation!$C:$C,MATCH(L18,Allocation!$A:$A,0)) * INDEX(UnitsFunderShareAllocation!$D:$D, MATCH($A18&amp;L18,UnitsFunderShareAllocation!$H:$H,0))
+ INDEX(Allocation!$D:$D,MATCH(L18,Allocation!$A:$A,0)) * INDEX(UnitsFunderShareAllocation!$E:$E, MATCH($A18&amp;L18,UnitsFunderShareAllocation!$H:$H,0))
+ INDEX(Allocation!$E:$E,MATCH(L18,Allocation!$A:$A,0)) * INDEX(UnitsFunderShareAllocation!$F:$F, MATCH($A18&amp;L18,UnitsFunderShareAllocation!$H:$H,0)))
))</f>
        <v>0.13985600000000001</v>
      </c>
      <c r="Q18" s="735">
        <f>SUMIFS('AMMO Savings Rates'!F:F,'AMMO Savings Rates'!$E:$E,$L18,'AMMO Savings Rates'!$D:$D,$A18)</f>
        <v>918.90977250000003</v>
      </c>
      <c r="R18" s="1569" t="s">
        <v>1018</v>
      </c>
      <c r="S18" s="736">
        <f t="shared" si="4"/>
        <v>5.0110304725253713E-2</v>
      </c>
      <c r="T18" s="737">
        <f t="shared" si="5"/>
        <v>4.4830823693878623E-8</v>
      </c>
      <c r="U18" s="738">
        <f t="shared" si="6"/>
        <v>5.011025989443002E-2</v>
      </c>
      <c r="V18" s="32"/>
    </row>
    <row r="19" spans="1:22" ht="15">
      <c r="A19" s="768" t="s">
        <v>998</v>
      </c>
      <c r="B19" s="768" t="str">
        <f t="shared" si="0"/>
        <v>XMP_202001</v>
      </c>
      <c r="C19" s="768" t="str">
        <f>INDEX('AMMO vwFlags'!$C:$C,MATCH($A19&amp;L19,'AMMO vwFlags'!$K:$K,0))</f>
        <v>0</v>
      </c>
      <c r="D19" s="768" t="str">
        <f>INDEX('AMMO vwFlags'!$D:$D,MATCH($A19&amp;$L19,'AMMO vwFlags'!$K:$K,0))</f>
        <v>0</v>
      </c>
      <c r="E19" s="768">
        <f t="shared" si="1"/>
        <v>1</v>
      </c>
      <c r="G19" s="730" t="str">
        <f t="shared" si="3"/>
        <v>Commercial</v>
      </c>
      <c r="H19" s="681" t="str">
        <f>INDEX('AMMO Units'!B:B,MATCH($A19,'AMMO Units'!$E:$E,0))</f>
        <v>XMP Pumps</v>
      </c>
      <c r="I19" s="681" t="str">
        <f>INDEX('AMMO Units'!C:C,MATCH($A19,'AMMO Units'!$E:$E,0))</f>
        <v>Commercial DHW Circulator</v>
      </c>
      <c r="J19" s="681" t="str">
        <f>INDEX('AMMO Units'!D:D,MATCH($A19,'AMMO Units'!$E:$E,0))</f>
        <v>Tier 1</v>
      </c>
      <c r="K19" s="731">
        <f>VALUE(INDEX('AMMO Measures'!H:H,MATCH($A19,'AMMO Measures'!A:A,0)))</f>
        <v>11.5</v>
      </c>
      <c r="L19" s="683">
        <v>2024</v>
      </c>
      <c r="M19" s="732">
        <f>SUMIFS('AMMO Units'!F:F,'AMMO Units'!$A:$A,$L19,'AMMO Units'!$E:$E,$A19)</f>
        <v>18.72</v>
      </c>
      <c r="N19" s="733">
        <f>SUMIFS('AMMO Units'!G:G,'AMMO Units'!$A:$A,$L19,'AMMO Units'!$E:$E,$A19)</f>
        <v>0</v>
      </c>
      <c r="O19" s="760" t="s">
        <v>2574</v>
      </c>
      <c r="P19" s="734">
        <f>IF(Selection!$A$2="regional",1,IF($M19=0,0,
( INDEX(Allocation!$B:$B,MATCH(L19,Allocation!$A:$A,0)) * INDEX(UnitsFunderShareAllocation!$C:$C, MATCH($A19&amp;L19,UnitsFunderShareAllocation!$H:$H,0))
+ INDEX(Allocation!$C:$C,MATCH(L19,Allocation!$A:$A,0)) * INDEX(UnitsFunderShareAllocation!$D:$D, MATCH($A19&amp;L19,UnitsFunderShareAllocation!$H:$H,0))
+ INDEX(Allocation!$D:$D,MATCH(L19,Allocation!$A:$A,0)) * INDEX(UnitsFunderShareAllocation!$E:$E, MATCH($A19&amp;L19,UnitsFunderShareAllocation!$H:$H,0))
+ INDEX(Allocation!$E:$E,MATCH(L19,Allocation!$A:$A,0)) * INDEX(UnitsFunderShareAllocation!$F:$F, MATCH($A19&amp;L19,UnitsFunderShareAllocation!$H:$H,0)))
))</f>
        <v>0.13985600000000001</v>
      </c>
      <c r="Q19" s="735">
        <f>SUMIFS('AMMO Savings Rates'!F:F,'AMMO Savings Rates'!$E:$E,$L19,'AMMO Savings Rates'!$D:$D,$A19)</f>
        <v>35.318576919999998</v>
      </c>
      <c r="R19" s="1569" t="s">
        <v>1018</v>
      </c>
      <c r="S19" s="736">
        <f t="shared" si="4"/>
        <v>1.0555675663299578E-5</v>
      </c>
      <c r="T19" s="737">
        <f t="shared" si="5"/>
        <v>0</v>
      </c>
      <c r="U19" s="738">
        <f t="shared" si="6"/>
        <v>1.0555675663299578E-5</v>
      </c>
      <c r="V19" s="32"/>
    </row>
    <row r="20" spans="1:22" ht="15">
      <c r="A20" s="768" t="s">
        <v>999</v>
      </c>
      <c r="B20" s="768" t="str">
        <f t="shared" si="0"/>
        <v>XMP_202001</v>
      </c>
      <c r="C20" s="768" t="str">
        <f>INDEX('AMMO vwFlags'!$C:$C,MATCH($A20&amp;L20,'AMMO vwFlags'!$K:$K,0))</f>
        <v>0</v>
      </c>
      <c r="D20" s="768" t="str">
        <f>INDEX('AMMO vwFlags'!$D:$D,MATCH($A20&amp;$L20,'AMMO vwFlags'!$K:$K,0))</f>
        <v>0</v>
      </c>
      <c r="E20" s="768">
        <f t="shared" si="1"/>
        <v>1</v>
      </c>
      <c r="G20" s="730" t="str">
        <f t="shared" si="3"/>
        <v>Commercial</v>
      </c>
      <c r="H20" s="681" t="str">
        <f>INDEX('AMMO Units'!B:B,MATCH($A20,'AMMO Units'!$E:$E,0))</f>
        <v>XMP Pumps</v>
      </c>
      <c r="I20" s="681" t="str">
        <f>INDEX('AMMO Units'!C:C,MATCH($A20,'AMMO Units'!$E:$E,0))</f>
        <v>Commercial DHW Circulator</v>
      </c>
      <c r="J20" s="681" t="str">
        <f>INDEX('AMMO Units'!D:D,MATCH($A20,'AMMO Units'!$E:$E,0))</f>
        <v>Tier 2</v>
      </c>
      <c r="K20" s="731">
        <f>VALUE(INDEX('AMMO Measures'!H:H,MATCH($A20,'AMMO Measures'!A:A,0)))</f>
        <v>11.5</v>
      </c>
      <c r="L20" s="683">
        <v>2024</v>
      </c>
      <c r="M20" s="732">
        <f>SUMIFS('AMMO Units'!F:F,'AMMO Units'!$A:$A,$L20,'AMMO Units'!$E:$E,$A20)</f>
        <v>29</v>
      </c>
      <c r="N20" s="733">
        <f>SUMIFS('AMMO Units'!G:G,'AMMO Units'!$A:$A,$L20,'AMMO Units'!$E:$E,$A20)</f>
        <v>0</v>
      </c>
      <c r="O20" s="760" t="s">
        <v>2574</v>
      </c>
      <c r="P20" s="734">
        <f>IF(Selection!$A$2="regional",1,IF($M20=0,0,
( INDEX(Allocation!$B:$B,MATCH(L20,Allocation!$A:$A,0)) * INDEX(UnitsFunderShareAllocation!$C:$C, MATCH($A20&amp;L20,UnitsFunderShareAllocation!$H:$H,0))
+ INDEX(Allocation!$C:$C,MATCH(L20,Allocation!$A:$A,0)) * INDEX(UnitsFunderShareAllocation!$D:$D, MATCH($A20&amp;L20,UnitsFunderShareAllocation!$H:$H,0))
+ INDEX(Allocation!$D:$D,MATCH(L20,Allocation!$A:$A,0)) * INDEX(UnitsFunderShareAllocation!$E:$E, MATCH($A20&amp;L20,UnitsFunderShareAllocation!$H:$H,0))
+ INDEX(Allocation!$E:$E,MATCH(L20,Allocation!$A:$A,0)) * INDEX(UnitsFunderShareAllocation!$F:$F, MATCH($A20&amp;L20,UnitsFunderShareAllocation!$H:$H,0)))
))</f>
        <v>0.13985600000000001</v>
      </c>
      <c r="Q20" s="735">
        <f>SUMIFS('AMMO Savings Rates'!F:F,'AMMO Savings Rates'!$E:$E,$L20,'AMMO Savings Rates'!$D:$D,$A20)</f>
        <v>3938.2112293999999</v>
      </c>
      <c r="R20" s="1569" t="s">
        <v>1018</v>
      </c>
      <c r="S20" s="736">
        <f t="shared" si="4"/>
        <v>1.8233666234326515E-3</v>
      </c>
      <c r="T20" s="737">
        <f t="shared" si="5"/>
        <v>0</v>
      </c>
      <c r="U20" s="738">
        <f t="shared" si="6"/>
        <v>1.8233666234326515E-3</v>
      </c>
      <c r="V20" s="32"/>
    </row>
    <row r="21" spans="1:22" ht="15">
      <c r="A21" s="768" t="s">
        <v>1000</v>
      </c>
      <c r="B21" s="768" t="str">
        <f t="shared" si="0"/>
        <v>XMP_202001</v>
      </c>
      <c r="C21" s="768" t="str">
        <f>INDEX('AMMO vwFlags'!$C:$C,MATCH($A21&amp;L21,'AMMO vwFlags'!$K:$K,0))</f>
        <v>0</v>
      </c>
      <c r="D21" s="768" t="str">
        <f>INDEX('AMMO vwFlags'!$D:$D,MATCH($A21&amp;$L21,'AMMO vwFlags'!$K:$K,0))</f>
        <v>0</v>
      </c>
      <c r="E21" s="768">
        <f t="shared" si="1"/>
        <v>1</v>
      </c>
      <c r="G21" s="730" t="str">
        <f t="shared" si="3"/>
        <v>Commercial</v>
      </c>
      <c r="H21" s="681" t="str">
        <f>INDEX('AMMO Units'!B:B,MATCH($A21,'AMMO Units'!$E:$E,0))</f>
        <v>XMP Pumps</v>
      </c>
      <c r="I21" s="681" t="str">
        <f>INDEX('AMMO Units'!C:C,MATCH($A21,'AMMO Units'!$E:$E,0))</f>
        <v>Commercial DHW Circulator</v>
      </c>
      <c r="J21" s="681" t="str">
        <f>INDEX('AMMO Units'!D:D,MATCH($A21,'AMMO Units'!$E:$E,0))</f>
        <v>Tier 3</v>
      </c>
      <c r="K21" s="731">
        <f>VALUE(INDEX('AMMO Measures'!H:H,MATCH($A21,'AMMO Measures'!A:A,0)))</f>
        <v>11.5</v>
      </c>
      <c r="L21" s="683">
        <v>2024</v>
      </c>
      <c r="M21" s="732">
        <f>SUMIFS('AMMO Units'!F:F,'AMMO Units'!$A:$A,$L21,'AMMO Units'!$E:$E,$A21)</f>
        <v>74.88</v>
      </c>
      <c r="N21" s="733">
        <f>SUMIFS('AMMO Units'!G:G,'AMMO Units'!$A:$A,$L21,'AMMO Units'!$E:$E,$A21)</f>
        <v>0.17671234999999999</v>
      </c>
      <c r="O21" s="760" t="s">
        <v>2574</v>
      </c>
      <c r="P21" s="734">
        <f>IF(Selection!$A$2="regional",1,IF($M21=0,0,
( INDEX(Allocation!$B:$B,MATCH(L21,Allocation!$A:$A,0)) * INDEX(UnitsFunderShareAllocation!$C:$C, MATCH($A21&amp;L21,UnitsFunderShareAllocation!$H:$H,0))
+ INDEX(Allocation!$C:$C,MATCH(L21,Allocation!$A:$A,0)) * INDEX(UnitsFunderShareAllocation!$D:$D, MATCH($A21&amp;L21,UnitsFunderShareAllocation!$H:$H,0))
+ INDEX(Allocation!$D:$D,MATCH(L21,Allocation!$A:$A,0)) * INDEX(UnitsFunderShareAllocation!$E:$E, MATCH($A21&amp;L21,UnitsFunderShareAllocation!$H:$H,0))
+ INDEX(Allocation!$E:$E,MATCH(L21,Allocation!$A:$A,0)) * INDEX(UnitsFunderShareAllocation!$F:$F, MATCH($A21&amp;L21,UnitsFunderShareAllocation!$H:$H,0)))
))</f>
        <v>0.13985600000000001</v>
      </c>
      <c r="Q21" s="735">
        <f>SUMIFS('AMMO Savings Rates'!F:F,'AMMO Savings Rates'!$E:$E,$L21,'AMMO Savings Rates'!$D:$D,$A21)</f>
        <v>6601.4629462499997</v>
      </c>
      <c r="R21" s="1569" t="s">
        <v>1018</v>
      </c>
      <c r="S21" s="736">
        <f t="shared" si="4"/>
        <v>7.8919263278068742E-3</v>
      </c>
      <c r="T21" s="737">
        <f t="shared" si="5"/>
        <v>4.3952659201027326E-8</v>
      </c>
      <c r="U21" s="738">
        <f t="shared" si="6"/>
        <v>7.8918823751476727E-3</v>
      </c>
      <c r="V21" s="32"/>
    </row>
    <row r="22" spans="1:22" ht="26.25">
      <c r="A22" s="768" t="s">
        <v>1001</v>
      </c>
      <c r="B22" s="768" t="str">
        <f t="shared" si="0"/>
        <v>XMP_202001</v>
      </c>
      <c r="C22" s="768" t="str">
        <f>INDEX('AMMO vwFlags'!$C:$C,MATCH($A22&amp;L22,'AMMO vwFlags'!$K:$K,0))</f>
        <v>0</v>
      </c>
      <c r="D22" s="768" t="str">
        <f>INDEX('AMMO vwFlags'!$D:$D,MATCH($A22&amp;$L22,'AMMO vwFlags'!$K:$K,0))</f>
        <v>0</v>
      </c>
      <c r="E22" s="768">
        <f t="shared" si="1"/>
        <v>1</v>
      </c>
      <c r="G22" s="730" t="str">
        <f t="shared" si="3"/>
        <v>Commercial</v>
      </c>
      <c r="H22" s="681" t="str">
        <f>INDEX('AMMO Units'!B:B,MATCH($A22,'AMMO Units'!$E:$E,0))</f>
        <v>XMP Pumps</v>
      </c>
      <c r="I22" s="681" t="str">
        <f>INDEX('AMMO Units'!C:C,MATCH($A22,'AMMO Units'!$E:$E,0))</f>
        <v>Commercial CS Pump</v>
      </c>
      <c r="J22" s="681" t="str">
        <f>INDEX('AMMO Units'!D:D,MATCH($A22,'AMMO Units'!$E:$E,0))</f>
        <v>Single Tier</v>
      </c>
      <c r="K22" s="731">
        <f>VALUE(INDEX('AMMO Measures'!H:H,MATCH($A22,'AMMO Measures'!A:A,0)))</f>
        <v>19</v>
      </c>
      <c r="L22" s="683">
        <v>2024</v>
      </c>
      <c r="M22" s="732">
        <f>SUMIFS('AMMO Units'!F:F,'AMMO Units'!$A:$A,$L22,'AMMO Units'!$E:$E,$A22)</f>
        <v>2530.17110538</v>
      </c>
      <c r="N22" s="733">
        <f>SUMIFS('AMMO Units'!G:G,'AMMO Units'!$A:$A,$L22,'AMMO Units'!$E:$E,$A22)</f>
        <v>0</v>
      </c>
      <c r="O22" s="760" t="s">
        <v>2574</v>
      </c>
      <c r="P22" s="734">
        <f>IF(Selection!$A$2="regional",1,IF($M22=0,0,
( INDEX(Allocation!$B:$B,MATCH(L22,Allocation!$A:$A,0)) * INDEX(UnitsFunderShareAllocation!$C:$C, MATCH($A22&amp;L22,UnitsFunderShareAllocation!$H:$H,0))
+ INDEX(Allocation!$C:$C,MATCH(L22,Allocation!$A:$A,0)) * INDEX(UnitsFunderShareAllocation!$D:$D, MATCH($A22&amp;L22,UnitsFunderShareAllocation!$H:$H,0))
+ INDEX(Allocation!$D:$D,MATCH(L22,Allocation!$A:$A,0)) * INDEX(UnitsFunderShareAllocation!$E:$E, MATCH($A22&amp;L22,UnitsFunderShareAllocation!$H:$H,0))
+ INDEX(Allocation!$E:$E,MATCH(L22,Allocation!$A:$A,0)) * INDEX(UnitsFunderShareAllocation!$F:$F, MATCH($A22&amp;L22,UnitsFunderShareAllocation!$H:$H,0)))
))</f>
        <v>0.13985600000000001</v>
      </c>
      <c r="Q22" s="735">
        <f>SUMIFS('AMMO Savings Rates'!F:F,'AMMO Savings Rates'!$E:$E,$L22,'AMMO Savings Rates'!$D:$D,$A22)</f>
        <v>762.70538210999996</v>
      </c>
      <c r="R22" s="1569" t="s">
        <v>2707</v>
      </c>
      <c r="S22" s="736">
        <f t="shared" si="4"/>
        <v>3.0809432550834851E-2</v>
      </c>
      <c r="T22" s="737">
        <f t="shared" si="5"/>
        <v>0</v>
      </c>
      <c r="U22" s="738">
        <f t="shared" si="6"/>
        <v>3.0809432550834851E-2</v>
      </c>
      <c r="V22" s="32"/>
    </row>
    <row r="23" spans="1:22" ht="26.25">
      <c r="A23" s="768" t="s">
        <v>1002</v>
      </c>
      <c r="B23" s="768" t="str">
        <f t="shared" si="0"/>
        <v>XMP_202001</v>
      </c>
      <c r="C23" s="768" t="str">
        <f>INDEX('AMMO vwFlags'!$C:$C,MATCH($A23&amp;L23,'AMMO vwFlags'!$K:$K,0))</f>
        <v>0</v>
      </c>
      <c r="D23" s="768" t="str">
        <f>INDEX('AMMO vwFlags'!$D:$D,MATCH($A23&amp;$L23,'AMMO vwFlags'!$K:$K,0))</f>
        <v>0</v>
      </c>
      <c r="E23" s="768">
        <f t="shared" si="1"/>
        <v>1</v>
      </c>
      <c r="G23" s="730" t="str">
        <f t="shared" si="3"/>
        <v>Commercial</v>
      </c>
      <c r="H23" s="681" t="str">
        <f>INDEX('AMMO Units'!B:B,MATCH($A23,'AMMO Units'!$E:$E,0))</f>
        <v>XMP Pumps</v>
      </c>
      <c r="I23" s="681" t="str">
        <f>INDEX('AMMO Units'!C:C,MATCH($A23,'AMMO Units'!$E:$E,0))</f>
        <v>Commercial VS Pump</v>
      </c>
      <c r="J23" s="681" t="str">
        <f>INDEX('AMMO Units'!D:D,MATCH($A23,'AMMO Units'!$E:$E,0))</f>
        <v>Tier 1</v>
      </c>
      <c r="K23" s="731">
        <f>VALUE(INDEX('AMMO Measures'!H:H,MATCH($A23,'AMMO Measures'!A:A,0)))</f>
        <v>19</v>
      </c>
      <c r="L23" s="683">
        <v>2024</v>
      </c>
      <c r="M23" s="732">
        <f>SUMIFS('AMMO Units'!F:F,'AMMO Units'!$A:$A,$L23,'AMMO Units'!$E:$E,$A23)</f>
        <v>471.06437653</v>
      </c>
      <c r="N23" s="733">
        <f>SUMIFS('AMMO Units'!G:G,'AMMO Units'!$A:$A,$L23,'AMMO Units'!$E:$E,$A23)</f>
        <v>0</v>
      </c>
      <c r="O23" s="760" t="s">
        <v>2574</v>
      </c>
      <c r="P23" s="734">
        <f>IF(Selection!$A$2="regional",1,IF($M23=0,0,
( INDEX(Allocation!$B:$B,MATCH(L23,Allocation!$A:$A,0)) * INDEX(UnitsFunderShareAllocation!$C:$C, MATCH($A23&amp;L23,UnitsFunderShareAllocation!$H:$H,0))
+ INDEX(Allocation!$C:$C,MATCH(L23,Allocation!$A:$A,0)) * INDEX(UnitsFunderShareAllocation!$D:$D, MATCH($A23&amp;L23,UnitsFunderShareAllocation!$H:$H,0))
+ INDEX(Allocation!$D:$D,MATCH(L23,Allocation!$A:$A,0)) * INDEX(UnitsFunderShareAllocation!$E:$E, MATCH($A23&amp;L23,UnitsFunderShareAllocation!$H:$H,0))
+ INDEX(Allocation!$E:$E,MATCH(L23,Allocation!$A:$A,0)) * INDEX(UnitsFunderShareAllocation!$F:$F, MATCH($A23&amp;L23,UnitsFunderShareAllocation!$H:$H,0)))
))</f>
        <v>0.13985600000000001</v>
      </c>
      <c r="Q23" s="735">
        <f>SUMIFS('AMMO Savings Rates'!F:F,'AMMO Savings Rates'!$E:$E,$L23,'AMMO Savings Rates'!$D:$D,$A23)</f>
        <v>832.03513528999997</v>
      </c>
      <c r="R23" s="1569" t="s">
        <v>2709</v>
      </c>
      <c r="S23" s="736">
        <f t="shared" si="4"/>
        <v>6.2574721520247045E-3</v>
      </c>
      <c r="T23" s="737">
        <f t="shared" si="5"/>
        <v>0</v>
      </c>
      <c r="U23" s="738">
        <f t="shared" si="6"/>
        <v>6.2574721520247045E-3</v>
      </c>
      <c r="V23" s="32"/>
    </row>
    <row r="24" spans="1:22" ht="26.25">
      <c r="A24" s="768" t="s">
        <v>1003</v>
      </c>
      <c r="B24" s="768" t="str">
        <f t="shared" si="0"/>
        <v>XMP_202001</v>
      </c>
      <c r="C24" s="768" t="str">
        <f>INDEX('AMMO vwFlags'!$C:$C,MATCH($A24&amp;L24,'AMMO vwFlags'!$K:$K,0))</f>
        <v>0</v>
      </c>
      <c r="D24" s="768" t="str">
        <f>INDEX('AMMO vwFlags'!$D:$D,MATCH($A24&amp;$L24,'AMMO vwFlags'!$K:$K,0))</f>
        <v>0</v>
      </c>
      <c r="E24" s="768">
        <f t="shared" si="1"/>
        <v>1</v>
      </c>
      <c r="G24" s="740" t="str">
        <f t="shared" si="3"/>
        <v>Commercial</v>
      </c>
      <c r="H24" s="687" t="str">
        <f>INDEX('AMMO Units'!B:B,MATCH($A24,'AMMO Units'!$E:$E,0))</f>
        <v>XMP Pumps</v>
      </c>
      <c r="I24" s="687" t="str">
        <f>INDEX('AMMO Units'!C:C,MATCH($A24,'AMMO Units'!$E:$E,0))</f>
        <v>Commercial VS Pump</v>
      </c>
      <c r="J24" s="687" t="str">
        <f>INDEX('AMMO Units'!D:D,MATCH($A24,'AMMO Units'!$E:$E,0))</f>
        <v>Tier 2</v>
      </c>
      <c r="K24" s="741">
        <f>VALUE(INDEX('AMMO Measures'!H:H,MATCH($A24,'AMMO Measures'!A:A,0)))</f>
        <v>19</v>
      </c>
      <c r="L24" s="694">
        <v>2024</v>
      </c>
      <c r="M24" s="742">
        <f>SUMIFS('AMMO Units'!F:F,'AMMO Units'!$A:$A,$L24,'AMMO Units'!$E:$E,$A24)</f>
        <v>534.83291657999996</v>
      </c>
      <c r="N24" s="743">
        <f>SUMIFS('AMMO Units'!G:G,'AMMO Units'!$A:$A,$L24,'AMMO Units'!$E:$E,$A24)</f>
        <v>0</v>
      </c>
      <c r="O24" s="761" t="s">
        <v>2574</v>
      </c>
      <c r="P24" s="744">
        <f>IF(Selection!$A$2="regional",1,IF($M24=0,0,
( INDEX(Allocation!$B:$B,MATCH(L24,Allocation!$A:$A,0)) * INDEX(UnitsFunderShareAllocation!$C:$C, MATCH($A24&amp;L24,UnitsFunderShareAllocation!$H:$H,0))
+ INDEX(Allocation!$C:$C,MATCH(L24,Allocation!$A:$A,0)) * INDEX(UnitsFunderShareAllocation!$D:$D, MATCH($A24&amp;L24,UnitsFunderShareAllocation!$H:$H,0))
+ INDEX(Allocation!$D:$D,MATCH(L24,Allocation!$A:$A,0)) * INDEX(UnitsFunderShareAllocation!$E:$E, MATCH($A24&amp;L24,UnitsFunderShareAllocation!$H:$H,0))
+ INDEX(Allocation!$E:$E,MATCH(L24,Allocation!$A:$A,0)) * INDEX(UnitsFunderShareAllocation!$F:$F, MATCH($A24&amp;L24,UnitsFunderShareAllocation!$H:$H,0)))
))</f>
        <v>0.13985600000000001</v>
      </c>
      <c r="Q24" s="745">
        <f>SUMIFS('AMMO Savings Rates'!F:F,'AMMO Savings Rates'!$E:$E,$L24,'AMMO Savings Rates'!$D:$D,$A24)</f>
        <v>1675.00583671</v>
      </c>
      <c r="R24" s="1570" t="s">
        <v>1017</v>
      </c>
      <c r="S24" s="746">
        <f t="shared" si="4"/>
        <v>1.4302483313020519E-2</v>
      </c>
      <c r="T24" s="747">
        <f t="shared" si="5"/>
        <v>0</v>
      </c>
      <c r="U24" s="748">
        <f t="shared" si="6"/>
        <v>1.4302483313020519E-2</v>
      </c>
      <c r="V24" s="32"/>
    </row>
    <row r="25" spans="1:22" ht="15">
      <c r="A25" s="768" t="s">
        <v>991</v>
      </c>
      <c r="B25" s="768" t="str">
        <f t="shared" ref="B25:B37" si="7">LEFT(A25,10)</f>
        <v>XMP_202001</v>
      </c>
      <c r="C25" s="768" t="str">
        <f>INDEX('AMMO vwFlags'!$C:$C,MATCH($A25&amp;L25,'AMMO vwFlags'!$K:$K,0))</f>
        <v>0</v>
      </c>
      <c r="D25" s="768" t="str">
        <f>INDEX('AMMO vwFlags'!$D:$D,MATCH($A25&amp;$L25,'AMMO vwFlags'!$K:$K,0))</f>
        <v>0</v>
      </c>
      <c r="E25" s="768">
        <f t="shared" si="1"/>
        <v>1</v>
      </c>
      <c r="G25" s="749" t="str">
        <f t="shared" si="3"/>
        <v>Residential</v>
      </c>
      <c r="H25" s="710" t="str">
        <f>INDEX('AMMO Units'!B:B,MATCH($A25,'AMMO Units'!$E:$E,0))</f>
        <v>XMP Pumps</v>
      </c>
      <c r="I25" s="710" t="str">
        <f>INDEX('AMMO Units'!C:C,MATCH($A25,'AMMO Units'!$E:$E,0))</f>
        <v>Residential HH Circulator</v>
      </c>
      <c r="J25" s="710" t="str">
        <f>INDEX('AMMO Units'!D:D,MATCH($A25,'AMMO Units'!$E:$E,0))</f>
        <v>Tier 1</v>
      </c>
      <c r="K25" s="750">
        <f>VALUE(INDEX('AMMO Measures'!H:H,MATCH($A25,'AMMO Measures'!A:A,0)))</f>
        <v>11.5</v>
      </c>
      <c r="L25" s="751">
        <v>2025</v>
      </c>
      <c r="M25" s="752">
        <f>SUMIFS('AMMO Units'!F:F,'AMMO Units'!$A:$A,$L25,'AMMO Units'!$E:$E,$A25)</f>
        <v>1800.576</v>
      </c>
      <c r="N25" s="753">
        <f>SUMIFS('AMMO Units'!G:G,'AMMO Units'!$A:$A,$L25,'AMMO Units'!$E:$E,$A25)</f>
        <v>41.608796480000002</v>
      </c>
      <c r="O25" s="762" t="s">
        <v>2574</v>
      </c>
      <c r="P25" s="754">
        <f>IF(Selection!$A$2="regional",1,IF($M25=0,0,
( INDEX(Allocation!$B:$B,MATCH(L25,Allocation!$A:$A,0)) * INDEX(UnitsFunderShareAllocation!$C:$C, MATCH($A25&amp;L25,UnitsFunderShareAllocation!$H:$H,0))
+ INDEX(Allocation!$C:$C,MATCH(L25,Allocation!$A:$A,0)) * INDEX(UnitsFunderShareAllocation!$D:$D, MATCH($A25&amp;L25,UnitsFunderShareAllocation!$H:$H,0))
+ INDEX(Allocation!$D:$D,MATCH(L25,Allocation!$A:$A,0)) * INDEX(UnitsFunderShareAllocation!$E:$E, MATCH($A25&amp;L25,UnitsFunderShareAllocation!$H:$H,0))
+ INDEX(Allocation!$E:$E,MATCH(L25,Allocation!$A:$A,0)) * INDEX(UnitsFunderShareAllocation!$F:$F, MATCH($A25&amp;L25,UnitsFunderShareAllocation!$H:$H,0)))
))</f>
        <v>0.13985600000000001</v>
      </c>
      <c r="Q25" s="755">
        <f>SUMIFS('AMMO Savings Rates'!F:F,'AMMO Savings Rates'!$E:$E,$L25,'AMMO Savings Rates'!$D:$D,$A25)</f>
        <v>88.399914150000001</v>
      </c>
      <c r="R25" s="1618" t="s">
        <v>1018</v>
      </c>
      <c r="S25" s="756">
        <f t="shared" si="4"/>
        <v>2.5412084868592349E-3</v>
      </c>
      <c r="T25" s="757">
        <f t="shared" si="5"/>
        <v>1.357024508142565E-6</v>
      </c>
      <c r="U25" s="758">
        <f t="shared" ref="U25:U37" si="8">S25-T25</f>
        <v>2.5398514623510924E-3</v>
      </c>
      <c r="V25" s="32"/>
    </row>
    <row r="26" spans="1:22" ht="15">
      <c r="A26" s="768" t="s">
        <v>992</v>
      </c>
      <c r="B26" s="768" t="str">
        <f t="shared" si="7"/>
        <v>XMP_202001</v>
      </c>
      <c r="C26" s="768" t="str">
        <f>INDEX('AMMO vwFlags'!$C:$C,MATCH($A26&amp;L26,'AMMO vwFlags'!$K:$K,0))</f>
        <v>0</v>
      </c>
      <c r="D26" s="768" t="str">
        <f>INDEX('AMMO vwFlags'!$D:$D,MATCH($A26&amp;$L26,'AMMO vwFlags'!$K:$K,0))</f>
        <v>0</v>
      </c>
      <c r="E26" s="768">
        <f t="shared" si="1"/>
        <v>1</v>
      </c>
      <c r="G26" s="730" t="str">
        <f t="shared" si="3"/>
        <v>Residential</v>
      </c>
      <c r="H26" s="681" t="str">
        <f>INDEX('AMMO Units'!B:B,MATCH($A26,'AMMO Units'!$E:$E,0))</f>
        <v>XMP Pumps</v>
      </c>
      <c r="I26" s="681" t="str">
        <f>INDEX('AMMO Units'!C:C,MATCH($A26,'AMMO Units'!$E:$E,0))</f>
        <v>Residential HH Circulator</v>
      </c>
      <c r="J26" s="681" t="str">
        <f>INDEX('AMMO Units'!D:D,MATCH($A26,'AMMO Units'!$E:$E,0))</f>
        <v>Tier 2</v>
      </c>
      <c r="K26" s="731">
        <f>VALUE(INDEX('AMMO Measures'!H:H,MATCH($A26,'AMMO Measures'!A:A,0)))</f>
        <v>11.5</v>
      </c>
      <c r="L26" s="683">
        <v>2025</v>
      </c>
      <c r="M26" s="732">
        <f>SUMIFS('AMMO Units'!F:F,'AMMO Units'!$A:$A,$L26,'AMMO Units'!$E:$E,$A26)</f>
        <v>7001.8559999999998</v>
      </c>
      <c r="N26" s="733">
        <f>SUMIFS('AMMO Units'!G:G,'AMMO Units'!$A:$A,$L26,'AMMO Units'!$E:$E,$A26)</f>
        <v>0</v>
      </c>
      <c r="O26" s="760" t="s">
        <v>2574</v>
      </c>
      <c r="P26" s="734">
        <f>IF(Selection!$A$2="regional",1,IF($M26=0,0,
( INDEX(Allocation!$B:$B,MATCH(L26,Allocation!$A:$A,0)) * INDEX(UnitsFunderShareAllocation!$C:$C, MATCH($A26&amp;L26,UnitsFunderShareAllocation!$H:$H,0))
+ INDEX(Allocation!$C:$C,MATCH(L26,Allocation!$A:$A,0)) * INDEX(UnitsFunderShareAllocation!$D:$D, MATCH($A26&amp;L26,UnitsFunderShareAllocation!$H:$H,0))
+ INDEX(Allocation!$D:$D,MATCH(L26,Allocation!$A:$A,0)) * INDEX(UnitsFunderShareAllocation!$E:$E, MATCH($A26&amp;L26,UnitsFunderShareAllocation!$H:$H,0))
+ INDEX(Allocation!$E:$E,MATCH(L26,Allocation!$A:$A,0)) * INDEX(UnitsFunderShareAllocation!$F:$F, MATCH($A26&amp;L26,UnitsFunderShareAllocation!$H:$H,0)))
))</f>
        <v>0.13985600000000001</v>
      </c>
      <c r="Q26" s="735">
        <f>SUMIFS('AMMO Savings Rates'!F:F,'AMMO Savings Rates'!$E:$E,$L26,'AMMO Savings Rates'!$D:$D,$A26)</f>
        <v>165.18819289999999</v>
      </c>
      <c r="R26" s="1569" t="s">
        <v>1018</v>
      </c>
      <c r="S26" s="736">
        <f t="shared" si="4"/>
        <v>1.8465844485701224E-2</v>
      </c>
      <c r="T26" s="737">
        <f t="shared" si="5"/>
        <v>0</v>
      </c>
      <c r="U26" s="738">
        <f t="shared" si="8"/>
        <v>1.8465844485701224E-2</v>
      </c>
      <c r="V26" s="32"/>
    </row>
    <row r="27" spans="1:22" ht="15">
      <c r="A27" s="768" t="s">
        <v>993</v>
      </c>
      <c r="B27" s="768" t="str">
        <f t="shared" si="7"/>
        <v>XMP_202001</v>
      </c>
      <c r="C27" s="768" t="str">
        <f>INDEX('AMMO vwFlags'!$C:$C,MATCH($A27&amp;L27,'AMMO vwFlags'!$K:$K,0))</f>
        <v>0</v>
      </c>
      <c r="D27" s="768" t="str">
        <f>INDEX('AMMO vwFlags'!$D:$D,MATCH($A27&amp;$L27,'AMMO vwFlags'!$K:$K,0))</f>
        <v>0</v>
      </c>
      <c r="E27" s="768">
        <f t="shared" si="1"/>
        <v>1</v>
      </c>
      <c r="G27" s="730" t="str">
        <f t="shared" si="3"/>
        <v>Commercial</v>
      </c>
      <c r="H27" s="681" t="str">
        <f>INDEX('AMMO Units'!B:B,MATCH($A27,'AMMO Units'!$E:$E,0))</f>
        <v>XMP Pumps</v>
      </c>
      <c r="I27" s="681" t="str">
        <f>INDEX('AMMO Units'!C:C,MATCH($A27,'AMMO Units'!$E:$E,0))</f>
        <v>Commercial HH Circulator</v>
      </c>
      <c r="J27" s="681" t="str">
        <f>INDEX('AMMO Units'!D:D,MATCH($A27,'AMMO Units'!$E:$E,0))</f>
        <v>Tier 1</v>
      </c>
      <c r="K27" s="731">
        <f>VALUE(INDEX('AMMO Measures'!H:H,MATCH($A27,'AMMO Measures'!A:A,0)))</f>
        <v>11.5</v>
      </c>
      <c r="L27" s="683">
        <v>2025</v>
      </c>
      <c r="M27" s="732">
        <f>SUMIFS('AMMO Units'!F:F,'AMMO Units'!$A:$A,$L27,'AMMO Units'!$E:$E,$A27)</f>
        <v>6.9119999999999999</v>
      </c>
      <c r="N27" s="733">
        <f>SUMIFS('AMMO Units'!G:G,'AMMO Units'!$A:$A,$L27,'AMMO Units'!$E:$E,$A27)</f>
        <v>0</v>
      </c>
      <c r="O27" s="760" t="s">
        <v>2574</v>
      </c>
      <c r="P27" s="734">
        <f>IF(Selection!$A$2="regional",1,IF($M27=0,0,
( INDEX(Allocation!$B:$B,MATCH(L27,Allocation!$A:$A,0)) * INDEX(UnitsFunderShareAllocation!$C:$C, MATCH($A27&amp;L27,UnitsFunderShareAllocation!$H:$H,0))
+ INDEX(Allocation!$C:$C,MATCH(L27,Allocation!$A:$A,0)) * INDEX(UnitsFunderShareAllocation!$D:$D, MATCH($A27&amp;L27,UnitsFunderShareAllocation!$H:$H,0))
+ INDEX(Allocation!$D:$D,MATCH(L27,Allocation!$A:$A,0)) * INDEX(UnitsFunderShareAllocation!$E:$E, MATCH($A27&amp;L27,UnitsFunderShareAllocation!$H:$H,0))
+ INDEX(Allocation!$E:$E,MATCH(L27,Allocation!$A:$A,0)) * INDEX(UnitsFunderShareAllocation!$F:$F, MATCH($A27&amp;L27,UnitsFunderShareAllocation!$H:$H,0)))
))</f>
        <v>0.13985600000000001</v>
      </c>
      <c r="Q27" s="735">
        <f>SUMIFS('AMMO Savings Rates'!F:F,'AMMO Savings Rates'!$E:$E,$L27,'AMMO Savings Rates'!$D:$D,$A27)</f>
        <v>367.68671258000001</v>
      </c>
      <c r="R27" s="1569" t="s">
        <v>1018</v>
      </c>
      <c r="S27" s="736">
        <f t="shared" si="4"/>
        <v>4.0575012459949268E-5</v>
      </c>
      <c r="T27" s="737">
        <f t="shared" si="5"/>
        <v>0</v>
      </c>
      <c r="U27" s="738">
        <f t="shared" si="8"/>
        <v>4.0575012459949268E-5</v>
      </c>
      <c r="V27" s="32"/>
    </row>
    <row r="28" spans="1:22" ht="15">
      <c r="A28" s="768" t="s">
        <v>994</v>
      </c>
      <c r="B28" s="768" t="str">
        <f t="shared" si="7"/>
        <v>XMP_202001</v>
      </c>
      <c r="C28" s="768" t="str">
        <f>INDEX('AMMO vwFlags'!$C:$C,MATCH($A28&amp;L28,'AMMO vwFlags'!$K:$K,0))</f>
        <v>0</v>
      </c>
      <c r="D28" s="768" t="str">
        <f>INDEX('AMMO vwFlags'!$D:$D,MATCH($A28&amp;$L28,'AMMO vwFlags'!$K:$K,0))</f>
        <v>0</v>
      </c>
      <c r="E28" s="768">
        <f t="shared" si="1"/>
        <v>1</v>
      </c>
      <c r="G28" s="730" t="str">
        <f t="shared" si="3"/>
        <v>Commercial</v>
      </c>
      <c r="H28" s="681" t="str">
        <f>INDEX('AMMO Units'!B:B,MATCH($A28,'AMMO Units'!$E:$E,0))</f>
        <v>XMP Pumps</v>
      </c>
      <c r="I28" s="681" t="str">
        <f>INDEX('AMMO Units'!C:C,MATCH($A28,'AMMO Units'!$E:$E,0))</f>
        <v>Commercial HH Circulator</v>
      </c>
      <c r="J28" s="681" t="str">
        <f>INDEX('AMMO Units'!D:D,MATCH($A28,'AMMO Units'!$E:$E,0))</f>
        <v>Tier 2</v>
      </c>
      <c r="K28" s="731">
        <f>VALUE(INDEX('AMMO Measures'!H:H,MATCH($A28,'AMMO Measures'!A:A,0)))</f>
        <v>11.5</v>
      </c>
      <c r="L28" s="683">
        <v>2025</v>
      </c>
      <c r="M28" s="732">
        <f>SUMIFS('AMMO Units'!F:F,'AMMO Units'!$A:$A,$L28,'AMMO Units'!$E:$E,$A28)</f>
        <v>347.32799999999997</v>
      </c>
      <c r="N28" s="733">
        <f>SUMIFS('AMMO Units'!G:G,'AMMO Units'!$A:$A,$L28,'AMMO Units'!$E:$E,$A28)</f>
        <v>0</v>
      </c>
      <c r="O28" s="760" t="s">
        <v>2574</v>
      </c>
      <c r="P28" s="734">
        <f>IF(Selection!$A$2="regional",1,IF($M28=0,0,
( INDEX(Allocation!$B:$B,MATCH(L28,Allocation!$A:$A,0)) * INDEX(UnitsFunderShareAllocation!$C:$C, MATCH($A28&amp;L28,UnitsFunderShareAllocation!$H:$H,0))
+ INDEX(Allocation!$C:$C,MATCH(L28,Allocation!$A:$A,0)) * INDEX(UnitsFunderShareAllocation!$D:$D, MATCH($A28&amp;L28,UnitsFunderShareAllocation!$H:$H,0))
+ INDEX(Allocation!$D:$D,MATCH(L28,Allocation!$A:$A,0)) * INDEX(UnitsFunderShareAllocation!$E:$E, MATCH($A28&amp;L28,UnitsFunderShareAllocation!$H:$H,0))
+ INDEX(Allocation!$E:$E,MATCH(L28,Allocation!$A:$A,0)) * INDEX(UnitsFunderShareAllocation!$F:$F, MATCH($A28&amp;L28,UnitsFunderShareAllocation!$H:$H,0)))
))</f>
        <v>0.13985600000000001</v>
      </c>
      <c r="Q28" s="735">
        <f>SUMIFS('AMMO Savings Rates'!F:F,'AMMO Savings Rates'!$E:$E,$L28,'AMMO Savings Rates'!$D:$D,$A28)</f>
        <v>1359.82529903</v>
      </c>
      <c r="R28" s="1569" t="s">
        <v>1018</v>
      </c>
      <c r="S28" s="736">
        <f t="shared" si="4"/>
        <v>7.5404959163011872E-3</v>
      </c>
      <c r="T28" s="737">
        <f t="shared" si="5"/>
        <v>0</v>
      </c>
      <c r="U28" s="738">
        <f t="shared" si="8"/>
        <v>7.5404959163011872E-3</v>
      </c>
      <c r="V28" s="32"/>
    </row>
    <row r="29" spans="1:22" ht="15">
      <c r="A29" s="768" t="s">
        <v>995</v>
      </c>
      <c r="B29" s="768" t="str">
        <f t="shared" si="7"/>
        <v>XMP_202001</v>
      </c>
      <c r="C29" s="768" t="str">
        <f>INDEX('AMMO vwFlags'!$C:$C,MATCH($A29&amp;L29,'AMMO vwFlags'!$K:$K,0))</f>
        <v>0</v>
      </c>
      <c r="D29" s="768" t="str">
        <f>INDEX('AMMO vwFlags'!$D:$D,MATCH($A29&amp;$L29,'AMMO vwFlags'!$K:$K,0))</f>
        <v>0</v>
      </c>
      <c r="E29" s="768">
        <f t="shared" si="1"/>
        <v>1</v>
      </c>
      <c r="G29" s="730" t="str">
        <f t="shared" si="3"/>
        <v>Residential</v>
      </c>
      <c r="H29" s="681" t="str">
        <f>INDEX('AMMO Units'!B:B,MATCH($A29,'AMMO Units'!$E:$E,0))</f>
        <v>XMP Pumps</v>
      </c>
      <c r="I29" s="681" t="str">
        <f>INDEX('AMMO Units'!C:C,MATCH($A29,'AMMO Units'!$E:$E,0))</f>
        <v>Residential DHW Circulator</v>
      </c>
      <c r="J29" s="681" t="str">
        <f>INDEX('AMMO Units'!D:D,MATCH($A29,'AMMO Units'!$E:$E,0))</f>
        <v>Tier 1</v>
      </c>
      <c r="K29" s="731">
        <f>VALUE(INDEX('AMMO Measures'!H:H,MATCH($A29,'AMMO Measures'!A:A,0)))</f>
        <v>11.5</v>
      </c>
      <c r="L29" s="683">
        <v>2025</v>
      </c>
      <c r="M29" s="732">
        <f>SUMIFS('AMMO Units'!F:F,'AMMO Units'!$A:$A,$L29,'AMMO Units'!$E:$E,$A29)</f>
        <v>1368.576</v>
      </c>
      <c r="N29" s="733">
        <f>SUMIFS('AMMO Units'!G:G,'AMMO Units'!$A:$A,$L29,'AMMO Units'!$E:$E,$A29)</f>
        <v>0</v>
      </c>
      <c r="O29" s="760" t="s">
        <v>2574</v>
      </c>
      <c r="P29" s="734">
        <f>IF(Selection!$A$2="regional",1,IF($M29=0,0,
( INDEX(Allocation!$B:$B,MATCH(L29,Allocation!$A:$A,0)) * INDEX(UnitsFunderShareAllocation!$C:$C, MATCH($A29&amp;L29,UnitsFunderShareAllocation!$H:$H,0))
+ INDEX(Allocation!$C:$C,MATCH(L29,Allocation!$A:$A,0)) * INDEX(UnitsFunderShareAllocation!$D:$D, MATCH($A29&amp;L29,UnitsFunderShareAllocation!$H:$H,0))
+ INDEX(Allocation!$D:$D,MATCH(L29,Allocation!$A:$A,0)) * INDEX(UnitsFunderShareAllocation!$E:$E, MATCH($A29&amp;L29,UnitsFunderShareAllocation!$H:$H,0))
+ INDEX(Allocation!$E:$E,MATCH(L29,Allocation!$A:$A,0)) * INDEX(UnitsFunderShareAllocation!$F:$F, MATCH($A29&amp;L29,UnitsFunderShareAllocation!$H:$H,0)))
))</f>
        <v>0.13985600000000001</v>
      </c>
      <c r="Q29" s="735">
        <f>SUMIFS('AMMO Savings Rates'!F:F,'AMMO Savings Rates'!$E:$E,$L29,'AMMO Savings Rates'!$D:$D,$A29)</f>
        <v>86.457957070000006</v>
      </c>
      <c r="R29" s="1569" t="s">
        <v>1018</v>
      </c>
      <c r="S29" s="736">
        <f t="shared" si="4"/>
        <v>1.8890823299836305E-3</v>
      </c>
      <c r="T29" s="737">
        <f t="shared" si="5"/>
        <v>0</v>
      </c>
      <c r="U29" s="738">
        <f t="shared" si="8"/>
        <v>1.8890823299836305E-3</v>
      </c>
      <c r="V29" s="32"/>
    </row>
    <row r="30" spans="1:22" ht="15">
      <c r="A30" s="768" t="s">
        <v>996</v>
      </c>
      <c r="B30" s="768" t="str">
        <f t="shared" si="7"/>
        <v>XMP_202001</v>
      </c>
      <c r="C30" s="768" t="str">
        <f>INDEX('AMMO vwFlags'!$C:$C,MATCH($A30&amp;L30,'AMMO vwFlags'!$K:$K,0))</f>
        <v>0</v>
      </c>
      <c r="D30" s="768" t="str">
        <f>INDEX('AMMO vwFlags'!$D:$D,MATCH($A30&amp;$L30,'AMMO vwFlags'!$K:$K,0))</f>
        <v>0</v>
      </c>
      <c r="E30" s="768">
        <f t="shared" si="1"/>
        <v>1</v>
      </c>
      <c r="G30" s="730" t="str">
        <f t="shared" si="3"/>
        <v>Residential</v>
      </c>
      <c r="H30" s="681" t="str">
        <f>INDEX('AMMO Units'!B:B,MATCH($A30,'AMMO Units'!$E:$E,0))</f>
        <v>XMP Pumps</v>
      </c>
      <c r="I30" s="681" t="str">
        <f>INDEX('AMMO Units'!C:C,MATCH($A30,'AMMO Units'!$E:$E,0))</f>
        <v>Residential DHW Circulator</v>
      </c>
      <c r="J30" s="681" t="str">
        <f>INDEX('AMMO Units'!D:D,MATCH($A30,'AMMO Units'!$E:$E,0))</f>
        <v>Tier 2</v>
      </c>
      <c r="K30" s="731">
        <f>VALUE(INDEX('AMMO Measures'!H:H,MATCH($A30,'AMMO Measures'!A:A,0)))</f>
        <v>11.5</v>
      </c>
      <c r="L30" s="683">
        <v>2025</v>
      </c>
      <c r="M30" s="732">
        <f>SUMIFS('AMMO Units'!F:F,'AMMO Units'!$A:$A,$L30,'AMMO Units'!$E:$E,$A30)</f>
        <v>1534.4639999999999</v>
      </c>
      <c r="N30" s="733">
        <f>SUMIFS('AMMO Units'!G:G,'AMMO Units'!$A:$A,$L30,'AMMO Units'!$E:$E,$A30)</f>
        <v>0</v>
      </c>
      <c r="O30" s="760" t="s">
        <v>2574</v>
      </c>
      <c r="P30" s="734">
        <f>IF(Selection!$A$2="regional",1,IF($M30=0,0,
( INDEX(Allocation!$B:$B,MATCH(L30,Allocation!$A:$A,0)) * INDEX(UnitsFunderShareAllocation!$C:$C, MATCH($A30&amp;L30,UnitsFunderShareAllocation!$H:$H,0))
+ INDEX(Allocation!$C:$C,MATCH(L30,Allocation!$A:$A,0)) * INDEX(UnitsFunderShareAllocation!$D:$D, MATCH($A30&amp;L30,UnitsFunderShareAllocation!$H:$H,0))
+ INDEX(Allocation!$D:$D,MATCH(L30,Allocation!$A:$A,0)) * INDEX(UnitsFunderShareAllocation!$E:$E, MATCH($A30&amp;L30,UnitsFunderShareAllocation!$H:$H,0))
+ INDEX(Allocation!$E:$E,MATCH(L30,Allocation!$A:$A,0)) * INDEX(UnitsFunderShareAllocation!$F:$F, MATCH($A30&amp;L30,UnitsFunderShareAllocation!$H:$H,0)))
))</f>
        <v>0.13985600000000001</v>
      </c>
      <c r="Q30" s="735">
        <f>SUMIFS('AMMO Savings Rates'!F:F,'AMMO Savings Rates'!$E:$E,$L30,'AMMO Savings Rates'!$D:$D,$A30)</f>
        <v>683.99400856</v>
      </c>
      <c r="R30" s="1569" t="s">
        <v>1018</v>
      </c>
      <c r="S30" s="736">
        <f t="shared" si="4"/>
        <v>1.6756603685717252E-2</v>
      </c>
      <c r="T30" s="737">
        <f t="shared" si="5"/>
        <v>0</v>
      </c>
      <c r="U30" s="738">
        <f t="shared" si="8"/>
        <v>1.6756603685717252E-2</v>
      </c>
      <c r="V30" s="32"/>
    </row>
    <row r="31" spans="1:22" ht="15">
      <c r="A31" s="768" t="s">
        <v>997</v>
      </c>
      <c r="B31" s="768" t="str">
        <f t="shared" si="7"/>
        <v>XMP_202001</v>
      </c>
      <c r="C31" s="768" t="str">
        <f>INDEX('AMMO vwFlags'!$C:$C,MATCH($A31&amp;L31,'AMMO vwFlags'!$K:$K,0))</f>
        <v>0</v>
      </c>
      <c r="D31" s="768" t="str">
        <f>INDEX('AMMO vwFlags'!$D:$D,MATCH($A31&amp;$L31,'AMMO vwFlags'!$K:$K,0))</f>
        <v>0</v>
      </c>
      <c r="E31" s="768">
        <f t="shared" si="1"/>
        <v>1</v>
      </c>
      <c r="G31" s="730" t="str">
        <f t="shared" si="3"/>
        <v>Residential</v>
      </c>
      <c r="H31" s="681" t="str">
        <f>INDEX('AMMO Units'!B:B,MATCH($A31,'AMMO Units'!$E:$E,0))</f>
        <v>XMP Pumps</v>
      </c>
      <c r="I31" s="681" t="str">
        <f>INDEX('AMMO Units'!C:C,MATCH($A31,'AMMO Units'!$E:$E,0))</f>
        <v>Residential DHW Circulator</v>
      </c>
      <c r="J31" s="681" t="str">
        <f>INDEX('AMMO Units'!D:D,MATCH($A31,'AMMO Units'!$E:$E,0))</f>
        <v>Tier 3</v>
      </c>
      <c r="K31" s="731">
        <f>VALUE(INDEX('AMMO Measures'!H:H,MATCH($A31,'AMMO Measures'!A:A,0)))</f>
        <v>11.5</v>
      </c>
      <c r="L31" s="683">
        <v>2025</v>
      </c>
      <c r="M31" s="732">
        <f>SUMIFS('AMMO Units'!F:F,'AMMO Units'!$A:$A,$L31,'AMMO Units'!$E:$E,$A31)</f>
        <v>4098.8159999999998</v>
      </c>
      <c r="N31" s="733">
        <f>SUMIFS('AMMO Units'!G:G,'AMMO Units'!$A:$A,$L31,'AMMO Units'!$E:$E,$A31)</f>
        <v>3.2307400400000001</v>
      </c>
      <c r="O31" s="760" t="s">
        <v>2574</v>
      </c>
      <c r="P31" s="734">
        <f>IF(Selection!$A$2="regional",1,IF($M31=0,0,
( INDEX(Allocation!$B:$B,MATCH(L31,Allocation!$A:$A,0)) * INDEX(UnitsFunderShareAllocation!$C:$C, MATCH($A31&amp;L31,UnitsFunderShareAllocation!$H:$H,0))
+ INDEX(Allocation!$C:$C,MATCH(L31,Allocation!$A:$A,0)) * INDEX(UnitsFunderShareAllocation!$D:$D, MATCH($A31&amp;L31,UnitsFunderShareAllocation!$H:$H,0))
+ INDEX(Allocation!$D:$D,MATCH(L31,Allocation!$A:$A,0)) * INDEX(UnitsFunderShareAllocation!$E:$E, MATCH($A31&amp;L31,UnitsFunderShareAllocation!$H:$H,0))
+ INDEX(Allocation!$E:$E,MATCH(L31,Allocation!$A:$A,0)) * INDEX(UnitsFunderShareAllocation!$F:$F, MATCH($A31&amp;L31,UnitsFunderShareAllocation!$H:$H,0)))
))</f>
        <v>0.13985600000000001</v>
      </c>
      <c r="Q31" s="735">
        <f>SUMIFS('AMMO Savings Rates'!F:F,'AMMO Savings Rates'!$E:$E,$L31,'AMMO Savings Rates'!$D:$D,$A31)</f>
        <v>918.90977250000003</v>
      </c>
      <c r="R31" s="1569" t="s">
        <v>1018</v>
      </c>
      <c r="S31" s="736">
        <f t="shared" si="4"/>
        <v>6.0132365670304444E-2</v>
      </c>
      <c r="T31" s="737">
        <f t="shared" si="5"/>
        <v>3.7359019744898853E-8</v>
      </c>
      <c r="U31" s="738">
        <f t="shared" si="8"/>
        <v>6.0132328311284698E-2</v>
      </c>
      <c r="V31" s="32"/>
    </row>
    <row r="32" spans="1:22" ht="15">
      <c r="A32" s="768" t="s">
        <v>998</v>
      </c>
      <c r="B32" s="768" t="str">
        <f t="shared" si="7"/>
        <v>XMP_202001</v>
      </c>
      <c r="C32" s="768" t="str">
        <f>INDEX('AMMO vwFlags'!$C:$C,MATCH($A32&amp;L32,'AMMO vwFlags'!$K:$K,0))</f>
        <v>0</v>
      </c>
      <c r="D32" s="768" t="str">
        <f>INDEX('AMMO vwFlags'!$D:$D,MATCH($A32&amp;$L32,'AMMO vwFlags'!$K:$K,0))</f>
        <v>0</v>
      </c>
      <c r="E32" s="768">
        <f t="shared" si="1"/>
        <v>1</v>
      </c>
      <c r="G32" s="730" t="str">
        <f t="shared" si="3"/>
        <v>Commercial</v>
      </c>
      <c r="H32" s="681" t="str">
        <f>INDEX('AMMO Units'!B:B,MATCH($A32,'AMMO Units'!$E:$E,0))</f>
        <v>XMP Pumps</v>
      </c>
      <c r="I32" s="681" t="str">
        <f>INDEX('AMMO Units'!C:C,MATCH($A32,'AMMO Units'!$E:$E,0))</f>
        <v>Commercial DHW Circulator</v>
      </c>
      <c r="J32" s="681" t="str">
        <f>INDEX('AMMO Units'!D:D,MATCH($A32,'AMMO Units'!$E:$E,0))</f>
        <v>Tier 1</v>
      </c>
      <c r="K32" s="739">
        <f>VALUE(INDEX('AMMO Measures'!H:H,MATCH($A32,'AMMO Measures'!A:A,0)))</f>
        <v>11.5</v>
      </c>
      <c r="L32" s="683">
        <v>2025</v>
      </c>
      <c r="M32" s="732">
        <f>SUMIFS('AMMO Units'!F:F,'AMMO Units'!$A:$A,$L32,'AMMO Units'!$E:$E,$A32)</f>
        <v>22.463999999999999</v>
      </c>
      <c r="N32" s="733">
        <f>SUMIFS('AMMO Units'!G:G,'AMMO Units'!$A:$A,$L32,'AMMO Units'!$E:$E,$A32)</f>
        <v>0</v>
      </c>
      <c r="O32" s="760" t="s">
        <v>2574</v>
      </c>
      <c r="P32" s="734">
        <f>IF(Selection!$A$2="regional",1,IF($M32=0,0,
( INDEX(Allocation!$B:$B,MATCH(L32,Allocation!$A:$A,0)) * INDEX(UnitsFunderShareAllocation!$C:$C, MATCH($A32&amp;L32,UnitsFunderShareAllocation!$H:$H,0))
+ INDEX(Allocation!$C:$C,MATCH(L32,Allocation!$A:$A,0)) * INDEX(UnitsFunderShareAllocation!$D:$D, MATCH($A32&amp;L32,UnitsFunderShareAllocation!$H:$H,0))
+ INDEX(Allocation!$D:$D,MATCH(L32,Allocation!$A:$A,0)) * INDEX(UnitsFunderShareAllocation!$E:$E, MATCH($A32&amp;L32,UnitsFunderShareAllocation!$H:$H,0))
+ INDEX(Allocation!$E:$E,MATCH(L32,Allocation!$A:$A,0)) * INDEX(UnitsFunderShareAllocation!$F:$F, MATCH($A32&amp;L32,UnitsFunderShareAllocation!$H:$H,0)))
))</f>
        <v>0.13985600000000001</v>
      </c>
      <c r="Q32" s="735">
        <f>SUMIFS('AMMO Savings Rates'!F:F,'AMMO Savings Rates'!$E:$E,$L32,'AMMO Savings Rates'!$D:$D,$A32)</f>
        <v>35.318576919999998</v>
      </c>
      <c r="R32" s="1569" t="s">
        <v>1018</v>
      </c>
      <c r="S32" s="736">
        <f t="shared" si="4"/>
        <v>1.2666810795959491E-5</v>
      </c>
      <c r="T32" s="737">
        <f t="shared" si="5"/>
        <v>0</v>
      </c>
      <c r="U32" s="738">
        <f t="shared" si="8"/>
        <v>1.2666810795959491E-5</v>
      </c>
      <c r="V32" s="32"/>
    </row>
    <row r="33" spans="1:22" ht="15">
      <c r="A33" s="768" t="s">
        <v>999</v>
      </c>
      <c r="B33" s="768" t="str">
        <f t="shared" si="7"/>
        <v>XMP_202001</v>
      </c>
      <c r="C33" s="768" t="str">
        <f>INDEX('AMMO vwFlags'!$C:$C,MATCH($A33&amp;L33,'AMMO vwFlags'!$K:$K,0))</f>
        <v>0</v>
      </c>
      <c r="D33" s="768" t="str">
        <f>INDEX('AMMO vwFlags'!$D:$D,MATCH($A33&amp;$L33,'AMMO vwFlags'!$K:$K,0))</f>
        <v>0</v>
      </c>
      <c r="E33" s="768">
        <f t="shared" si="1"/>
        <v>1</v>
      </c>
      <c r="G33" s="730" t="str">
        <f t="shared" si="3"/>
        <v>Commercial</v>
      </c>
      <c r="H33" s="681" t="str">
        <f>INDEX('AMMO Units'!B:B,MATCH($A33,'AMMO Units'!$E:$E,0))</f>
        <v>XMP Pumps</v>
      </c>
      <c r="I33" s="681" t="str">
        <f>INDEX('AMMO Units'!C:C,MATCH($A33,'AMMO Units'!$E:$E,0))</f>
        <v>Commercial DHW Circulator</v>
      </c>
      <c r="J33" s="681" t="str">
        <f>INDEX('AMMO Units'!D:D,MATCH($A33,'AMMO Units'!$E:$E,0))</f>
        <v>Tier 2</v>
      </c>
      <c r="K33" s="731">
        <f>VALUE(INDEX('AMMO Measures'!H:H,MATCH($A33,'AMMO Measures'!A:A,0)))</f>
        <v>11.5</v>
      </c>
      <c r="L33" s="683">
        <v>2025</v>
      </c>
      <c r="M33" s="732">
        <f>SUMIFS('AMMO Units'!F:F,'AMMO Units'!$A:$A,$L33,'AMMO Units'!$E:$E,$A33)</f>
        <v>29</v>
      </c>
      <c r="N33" s="733">
        <f>SUMIFS('AMMO Units'!G:G,'AMMO Units'!$A:$A,$L33,'AMMO Units'!$E:$E,$A33)</f>
        <v>0</v>
      </c>
      <c r="O33" s="760" t="s">
        <v>2574</v>
      </c>
      <c r="P33" s="734">
        <f>IF(Selection!$A$2="regional",1,IF($M33=0,0,
( INDEX(Allocation!$B:$B,MATCH(L33,Allocation!$A:$A,0)) * INDEX(UnitsFunderShareAllocation!$C:$C, MATCH($A33&amp;L33,UnitsFunderShareAllocation!$H:$H,0))
+ INDEX(Allocation!$C:$C,MATCH(L33,Allocation!$A:$A,0)) * INDEX(UnitsFunderShareAllocation!$D:$D, MATCH($A33&amp;L33,UnitsFunderShareAllocation!$H:$H,0))
+ INDEX(Allocation!$D:$D,MATCH(L33,Allocation!$A:$A,0)) * INDEX(UnitsFunderShareAllocation!$E:$E, MATCH($A33&amp;L33,UnitsFunderShareAllocation!$H:$H,0))
+ INDEX(Allocation!$E:$E,MATCH(L33,Allocation!$A:$A,0)) * INDEX(UnitsFunderShareAllocation!$F:$F, MATCH($A33&amp;L33,UnitsFunderShareAllocation!$H:$H,0)))
))</f>
        <v>0.13985600000000001</v>
      </c>
      <c r="Q33" s="735">
        <f>SUMIFS('AMMO Savings Rates'!F:F,'AMMO Savings Rates'!$E:$E,$L33,'AMMO Savings Rates'!$D:$D,$A33)</f>
        <v>3938.2112293999999</v>
      </c>
      <c r="R33" s="1569" t="s">
        <v>1018</v>
      </c>
      <c r="S33" s="736">
        <f t="shared" si="4"/>
        <v>1.8233666234326515E-3</v>
      </c>
      <c r="T33" s="737">
        <f t="shared" si="5"/>
        <v>0</v>
      </c>
      <c r="U33" s="738">
        <f t="shared" si="8"/>
        <v>1.8233666234326515E-3</v>
      </c>
      <c r="V33" s="32"/>
    </row>
    <row r="34" spans="1:22" ht="15">
      <c r="A34" s="768" t="s">
        <v>1000</v>
      </c>
      <c r="B34" s="768" t="str">
        <f t="shared" si="7"/>
        <v>XMP_202001</v>
      </c>
      <c r="C34" s="768" t="str">
        <f>INDEX('AMMO vwFlags'!$C:$C,MATCH($A34&amp;L34,'AMMO vwFlags'!$K:$K,0))</f>
        <v>0</v>
      </c>
      <c r="D34" s="768" t="str">
        <f>INDEX('AMMO vwFlags'!$D:$D,MATCH($A34&amp;$L34,'AMMO vwFlags'!$K:$K,0))</f>
        <v>0</v>
      </c>
      <c r="E34" s="768">
        <f t="shared" si="1"/>
        <v>1</v>
      </c>
      <c r="G34" s="730" t="str">
        <f t="shared" si="3"/>
        <v>Commercial</v>
      </c>
      <c r="H34" s="681" t="str">
        <f>INDEX('AMMO Units'!B:B,MATCH($A34,'AMMO Units'!$E:$E,0))</f>
        <v>XMP Pumps</v>
      </c>
      <c r="I34" s="681" t="str">
        <f>INDEX('AMMO Units'!C:C,MATCH($A34,'AMMO Units'!$E:$E,0))</f>
        <v>Commercial DHW Circulator</v>
      </c>
      <c r="J34" s="681" t="str">
        <f>INDEX('AMMO Units'!D:D,MATCH($A34,'AMMO Units'!$E:$E,0))</f>
        <v>Tier 3</v>
      </c>
      <c r="K34" s="739">
        <f>VALUE(INDEX('AMMO Measures'!H:H,MATCH($A34,'AMMO Measures'!A:A,0)))</f>
        <v>11.5</v>
      </c>
      <c r="L34" s="683">
        <v>2025</v>
      </c>
      <c r="M34" s="732">
        <f>SUMIFS('AMMO Units'!F:F,'AMMO Units'!$A:$A,$L34,'AMMO Units'!$E:$E,$A34)</f>
        <v>89.855999999999995</v>
      </c>
      <c r="N34" s="733">
        <f>SUMIFS('AMMO Units'!G:G,'AMMO Units'!$A:$A,$L34,'AMMO Units'!$E:$E,$A34)</f>
        <v>0.17671234999999999</v>
      </c>
      <c r="O34" s="760" t="s">
        <v>2574</v>
      </c>
      <c r="P34" s="734">
        <f>IF(Selection!$A$2="regional",1,IF($M34=0,0,
( INDEX(Allocation!$B:$B,MATCH(L34,Allocation!$A:$A,0)) * INDEX(UnitsFunderShareAllocation!$C:$C, MATCH($A34&amp;L34,UnitsFunderShareAllocation!$H:$H,0))
+ INDEX(Allocation!$C:$C,MATCH(L34,Allocation!$A:$A,0)) * INDEX(UnitsFunderShareAllocation!$D:$D, MATCH($A34&amp;L34,UnitsFunderShareAllocation!$H:$H,0))
+ INDEX(Allocation!$D:$D,MATCH(L34,Allocation!$A:$A,0)) * INDEX(UnitsFunderShareAllocation!$E:$E, MATCH($A34&amp;L34,UnitsFunderShareAllocation!$H:$H,0))
+ INDEX(Allocation!$E:$E,MATCH(L34,Allocation!$A:$A,0)) * INDEX(UnitsFunderShareAllocation!$F:$F, MATCH($A34&amp;L34,UnitsFunderShareAllocation!$H:$H,0)))
))</f>
        <v>0.13985600000000001</v>
      </c>
      <c r="Q34" s="735">
        <f>SUMIFS('AMMO Savings Rates'!F:F,'AMMO Savings Rates'!$E:$E,$L34,'AMMO Savings Rates'!$D:$D,$A34)</f>
        <v>6601.4629462499997</v>
      </c>
      <c r="R34" s="1569" t="s">
        <v>1018</v>
      </c>
      <c r="S34" s="736">
        <f t="shared" si="4"/>
        <v>9.4703115933682455E-3</v>
      </c>
      <c r="T34" s="737">
        <f t="shared" si="5"/>
        <v>3.6627216000856103E-8</v>
      </c>
      <c r="U34" s="738">
        <f t="shared" si="8"/>
        <v>9.470274966152244E-3</v>
      </c>
      <c r="V34" s="32"/>
    </row>
    <row r="35" spans="1:22" ht="26.25">
      <c r="A35" s="768" t="s">
        <v>1001</v>
      </c>
      <c r="B35" s="768" t="str">
        <f t="shared" si="7"/>
        <v>XMP_202001</v>
      </c>
      <c r="C35" s="768" t="str">
        <f>INDEX('AMMO vwFlags'!$C:$C,MATCH($A35&amp;L35,'AMMO vwFlags'!$K:$K,0))</f>
        <v>0</v>
      </c>
      <c r="D35" s="768" t="str">
        <f>INDEX('AMMO vwFlags'!$D:$D,MATCH($A35&amp;$L35,'AMMO vwFlags'!$K:$K,0))</f>
        <v>0</v>
      </c>
      <c r="E35" s="768">
        <f t="shared" si="1"/>
        <v>1</v>
      </c>
      <c r="G35" s="730" t="str">
        <f t="shared" si="3"/>
        <v>Commercial</v>
      </c>
      <c r="H35" s="681" t="str">
        <f>INDEX('AMMO Units'!B:B,MATCH($A35,'AMMO Units'!$E:$E,0))</f>
        <v>XMP Pumps</v>
      </c>
      <c r="I35" s="681" t="str">
        <f>INDEX('AMMO Units'!C:C,MATCH($A35,'AMMO Units'!$E:$E,0))</f>
        <v>Commercial CS Pump</v>
      </c>
      <c r="J35" s="681" t="str">
        <f>INDEX('AMMO Units'!D:D,MATCH($A35,'AMMO Units'!$E:$E,0))</f>
        <v>Single Tier</v>
      </c>
      <c r="K35" s="731">
        <f>VALUE(INDEX('AMMO Measures'!H:H,MATCH($A35,'AMMO Measures'!A:A,0)))</f>
        <v>19</v>
      </c>
      <c r="L35" s="683">
        <v>2025</v>
      </c>
      <c r="M35" s="732">
        <f>SUMIFS('AMMO Units'!F:F,'AMMO Units'!$A:$A,$L35,'AMMO Units'!$E:$E,$A35)</f>
        <v>2565.6572603099999</v>
      </c>
      <c r="N35" s="733">
        <f>SUMIFS('AMMO Units'!G:G,'AMMO Units'!$A:$A,$L35,'AMMO Units'!$E:$E,$A35)</f>
        <v>0</v>
      </c>
      <c r="O35" s="760" t="s">
        <v>2574</v>
      </c>
      <c r="P35" s="734">
        <f>IF(Selection!$A$2="regional",1,IF($M35=0,0,
( INDEX(Allocation!$B:$B,MATCH(L35,Allocation!$A:$A,0)) * INDEX(UnitsFunderShareAllocation!$C:$C, MATCH($A35&amp;L35,UnitsFunderShareAllocation!$H:$H,0))
+ INDEX(Allocation!$C:$C,MATCH(L35,Allocation!$A:$A,0)) * INDEX(UnitsFunderShareAllocation!$D:$D, MATCH($A35&amp;L35,UnitsFunderShareAllocation!$H:$H,0))
+ INDEX(Allocation!$D:$D,MATCH(L35,Allocation!$A:$A,0)) * INDEX(UnitsFunderShareAllocation!$E:$E, MATCH($A35&amp;L35,UnitsFunderShareAllocation!$H:$H,0))
+ INDEX(Allocation!$E:$E,MATCH(L35,Allocation!$A:$A,0)) * INDEX(UnitsFunderShareAllocation!$F:$F, MATCH($A35&amp;L35,UnitsFunderShareAllocation!$H:$H,0)))
))</f>
        <v>0.13985600000000001</v>
      </c>
      <c r="Q35" s="735">
        <f>SUMIFS('AMMO Savings Rates'!F:F,'AMMO Savings Rates'!$E:$E,$L35,'AMMO Savings Rates'!$D:$D,$A35)</f>
        <v>762.70538210999996</v>
      </c>
      <c r="R35" s="1569" t="s">
        <v>2707</v>
      </c>
      <c r="S35" s="736">
        <f t="shared" si="4"/>
        <v>3.1241540993809141E-2</v>
      </c>
      <c r="T35" s="737">
        <f t="shared" si="5"/>
        <v>0</v>
      </c>
      <c r="U35" s="738">
        <f t="shared" si="8"/>
        <v>3.1241540993809141E-2</v>
      </c>
      <c r="V35" s="32"/>
    </row>
    <row r="36" spans="1:22" ht="26.25">
      <c r="A36" s="768" t="s">
        <v>1002</v>
      </c>
      <c r="B36" s="768" t="str">
        <f t="shared" si="7"/>
        <v>XMP_202001</v>
      </c>
      <c r="C36" s="768" t="str">
        <f>INDEX('AMMO vwFlags'!$C:$C,MATCH($A36&amp;L36,'AMMO vwFlags'!$K:$K,0))</f>
        <v>0</v>
      </c>
      <c r="D36" s="768" t="str">
        <f>INDEX('AMMO vwFlags'!$D:$D,MATCH($A36&amp;$L36,'AMMO vwFlags'!$K:$K,0))</f>
        <v>0</v>
      </c>
      <c r="E36" s="768">
        <f t="shared" si="1"/>
        <v>1</v>
      </c>
      <c r="G36" s="730" t="str">
        <f t="shared" si="3"/>
        <v>Commercial</v>
      </c>
      <c r="H36" s="681" t="str">
        <f>INDEX('AMMO Units'!B:B,MATCH($A36,'AMMO Units'!$E:$E,0))</f>
        <v>XMP Pumps</v>
      </c>
      <c r="I36" s="681" t="str">
        <f>INDEX('AMMO Units'!C:C,MATCH($A36,'AMMO Units'!$E:$E,0))</f>
        <v>Commercial VS Pump</v>
      </c>
      <c r="J36" s="681" t="str">
        <f>INDEX('AMMO Units'!D:D,MATCH($A36,'AMMO Units'!$E:$E,0))</f>
        <v>Tier 1</v>
      </c>
      <c r="K36" s="739">
        <f>VALUE(INDEX('AMMO Measures'!H:H,MATCH($A36,'AMMO Measures'!A:A,0)))</f>
        <v>19</v>
      </c>
      <c r="L36" s="683">
        <v>2025</v>
      </c>
      <c r="M36" s="732">
        <f>SUMIFS('AMMO Units'!F:F,'AMMO Units'!$A:$A,$L36,'AMMO Units'!$E:$E,$A36)</f>
        <v>477.67114845999998</v>
      </c>
      <c r="N36" s="733">
        <f>SUMIFS('AMMO Units'!G:G,'AMMO Units'!$A:$A,$L36,'AMMO Units'!$E:$E,$A36)</f>
        <v>0</v>
      </c>
      <c r="O36" s="760" t="s">
        <v>2574</v>
      </c>
      <c r="P36" s="734">
        <f>IF(Selection!$A$2="regional",1,IF($M36=0,0,
( INDEX(Allocation!$B:$B,MATCH(L36,Allocation!$A:$A,0)) * INDEX(UnitsFunderShareAllocation!$C:$C, MATCH($A36&amp;L36,UnitsFunderShareAllocation!$H:$H,0))
+ INDEX(Allocation!$C:$C,MATCH(L36,Allocation!$A:$A,0)) * INDEX(UnitsFunderShareAllocation!$D:$D, MATCH($A36&amp;L36,UnitsFunderShareAllocation!$H:$H,0))
+ INDEX(Allocation!$D:$D,MATCH(L36,Allocation!$A:$A,0)) * INDEX(UnitsFunderShareAllocation!$E:$E, MATCH($A36&amp;L36,UnitsFunderShareAllocation!$H:$H,0))
+ INDEX(Allocation!$E:$E,MATCH(L36,Allocation!$A:$A,0)) * INDEX(UnitsFunderShareAllocation!$F:$F, MATCH($A36&amp;L36,UnitsFunderShareAllocation!$H:$H,0)))
))</f>
        <v>0.13985600000000001</v>
      </c>
      <c r="Q36" s="735">
        <f>SUMIFS('AMMO Savings Rates'!F:F,'AMMO Savings Rates'!$E:$E,$L36,'AMMO Savings Rates'!$D:$D,$A36)</f>
        <v>832.03513528999997</v>
      </c>
      <c r="R36" s="1569" t="s">
        <v>2709</v>
      </c>
      <c r="S36" s="736">
        <f t="shared" si="4"/>
        <v>6.3452344482766267E-3</v>
      </c>
      <c r="T36" s="737">
        <f t="shared" si="5"/>
        <v>0</v>
      </c>
      <c r="U36" s="738">
        <f t="shared" si="8"/>
        <v>6.3452344482766267E-3</v>
      </c>
      <c r="V36" s="32"/>
    </row>
    <row r="37" spans="1:22" ht="26.25">
      <c r="A37" s="768" t="s">
        <v>1003</v>
      </c>
      <c r="B37" s="768" t="str">
        <f t="shared" si="7"/>
        <v>XMP_202001</v>
      </c>
      <c r="C37" s="768" t="str">
        <f>INDEX('AMMO vwFlags'!$C:$C,MATCH($A37&amp;L37,'AMMO vwFlags'!$K:$K,0))</f>
        <v>0</v>
      </c>
      <c r="D37" s="768" t="str">
        <f>INDEX('AMMO vwFlags'!$D:$D,MATCH($A37&amp;$L37,'AMMO vwFlags'!$K:$K,0))</f>
        <v>0</v>
      </c>
      <c r="E37" s="768">
        <f t="shared" si="1"/>
        <v>1</v>
      </c>
      <c r="G37" s="740" t="str">
        <f t="shared" si="3"/>
        <v>Commercial</v>
      </c>
      <c r="H37" s="687" t="str">
        <f>INDEX('AMMO Units'!B:B,MATCH($A37,'AMMO Units'!$E:$E,0))</f>
        <v>XMP Pumps</v>
      </c>
      <c r="I37" s="687" t="str">
        <f>INDEX('AMMO Units'!C:C,MATCH($A37,'AMMO Units'!$E:$E,0))</f>
        <v>Commercial VS Pump</v>
      </c>
      <c r="J37" s="687" t="str">
        <f>INDEX('AMMO Units'!D:D,MATCH($A37,'AMMO Units'!$E:$E,0))</f>
        <v>Tier 2</v>
      </c>
      <c r="K37" s="741">
        <f>VALUE(INDEX('AMMO Measures'!H:H,MATCH($A37,'AMMO Measures'!A:A,0)))</f>
        <v>19</v>
      </c>
      <c r="L37" s="694">
        <v>2025</v>
      </c>
      <c r="M37" s="742">
        <f>SUMIFS('AMMO Units'!F:F,'AMMO Units'!$A:$A,$L37,'AMMO Units'!$E:$E,$A37)</f>
        <v>542.33405502000005</v>
      </c>
      <c r="N37" s="743">
        <f>SUMIFS('AMMO Units'!G:G,'AMMO Units'!$A:$A,$L37,'AMMO Units'!$E:$E,$A37)</f>
        <v>0</v>
      </c>
      <c r="O37" s="761" t="s">
        <v>2574</v>
      </c>
      <c r="P37" s="744">
        <f>IF(Selection!$A$2="regional",1,IF($M37=0,0,
( INDEX(Allocation!$B:$B,MATCH(L37,Allocation!$A:$A,0)) * INDEX(UnitsFunderShareAllocation!$C:$C, MATCH($A37&amp;L37,UnitsFunderShareAllocation!$H:$H,0))
+ INDEX(Allocation!$C:$C,MATCH(L37,Allocation!$A:$A,0)) * INDEX(UnitsFunderShareAllocation!$D:$D, MATCH($A37&amp;L37,UnitsFunderShareAllocation!$H:$H,0))
+ INDEX(Allocation!$D:$D,MATCH(L37,Allocation!$A:$A,0)) * INDEX(UnitsFunderShareAllocation!$E:$E, MATCH($A37&amp;L37,UnitsFunderShareAllocation!$H:$H,0))
+ INDEX(Allocation!$E:$E,MATCH(L37,Allocation!$A:$A,0)) * INDEX(UnitsFunderShareAllocation!$F:$F, MATCH($A37&amp;L37,UnitsFunderShareAllocation!$H:$H,0)))
))</f>
        <v>0.13985600000000001</v>
      </c>
      <c r="Q37" s="745">
        <f>SUMIFS('AMMO Savings Rates'!F:F,'AMMO Savings Rates'!$E:$E,$L37,'AMMO Savings Rates'!$D:$D,$A37)</f>
        <v>1675.00583671</v>
      </c>
      <c r="R37" s="1570" t="s">
        <v>1017</v>
      </c>
      <c r="S37" s="746">
        <f t="shared" si="4"/>
        <v>1.4503078497125479E-2</v>
      </c>
      <c r="T37" s="747">
        <f t="shared" si="5"/>
        <v>0</v>
      </c>
      <c r="U37" s="748">
        <f t="shared" si="8"/>
        <v>1.4503078497125479E-2</v>
      </c>
      <c r="V37" s="32"/>
    </row>
    <row r="38" spans="1:22" ht="15">
      <c r="A38" s="768" t="s">
        <v>991</v>
      </c>
      <c r="B38" s="768" t="str">
        <f t="shared" ref="B38:B63" si="9">LEFT(A38,10)</f>
        <v>XMP_202001</v>
      </c>
      <c r="C38" s="768" t="str">
        <f>INDEX('AMMO vwFlags'!$C:$C,MATCH($A38&amp;L38,'AMMO vwFlags'!$K:$K,0))</f>
        <v>0</v>
      </c>
      <c r="D38" s="768" t="str">
        <f>INDEX('AMMO vwFlags'!$D:$D,MATCH($A38&amp;$L38,'AMMO vwFlags'!$K:$K,0))</f>
        <v>0</v>
      </c>
      <c r="E38" s="768">
        <f t="shared" si="1"/>
        <v>1</v>
      </c>
      <c r="G38" s="749" t="str">
        <f t="shared" ref="G38:G63" si="10">IF(LEFT(I38,3)="Res","Residential","Commercial")</f>
        <v>Residential</v>
      </c>
      <c r="H38" s="710" t="str">
        <f>INDEX('AMMO Units'!B:B,MATCH($A38,'AMMO Units'!$E:$E,0))</f>
        <v>XMP Pumps</v>
      </c>
      <c r="I38" s="710" t="str">
        <f>INDEX('AMMO Units'!C:C,MATCH($A38,'AMMO Units'!$E:$E,0))</f>
        <v>Residential HH Circulator</v>
      </c>
      <c r="J38" s="710" t="str">
        <f>INDEX('AMMO Units'!D:D,MATCH($A38,'AMMO Units'!$E:$E,0))</f>
        <v>Tier 1</v>
      </c>
      <c r="K38" s="750">
        <f>VALUE(INDEX('AMMO Measures'!H:H,MATCH($A38,'AMMO Measures'!A:A,0)))</f>
        <v>11.5</v>
      </c>
      <c r="L38" s="751">
        <v>2026</v>
      </c>
      <c r="M38" s="752">
        <f>SUMIFS('AMMO Units'!F:F,'AMMO Units'!$A:$A,$L38,'AMMO Units'!$E:$E,$A38)</f>
        <v>1980.6335999999999</v>
      </c>
      <c r="N38" s="753">
        <f>SUMIFS('AMMO Units'!G:G,'AMMO Units'!$A:$A,$L38,'AMMO Units'!$E:$E,$A38)</f>
        <v>41.608796480000002</v>
      </c>
      <c r="O38" s="762" t="s">
        <v>2574</v>
      </c>
      <c r="P38" s="754">
        <f>IF(Selection!$A$2="regional",1,IF($M38=0,0,
( INDEX(Allocation!$B:$B,MATCH(L38,Allocation!$A:$A,0)) * INDEX(UnitsFunderShareAllocation!$C:$C, MATCH($A38&amp;L38,UnitsFunderShareAllocation!$H:$H,0))
+ INDEX(Allocation!$C:$C,MATCH(L38,Allocation!$A:$A,0)) * INDEX(UnitsFunderShareAllocation!$D:$D, MATCH($A38&amp;L38,UnitsFunderShareAllocation!$H:$H,0))
+ INDEX(Allocation!$D:$D,MATCH(L38,Allocation!$A:$A,0)) * INDEX(UnitsFunderShareAllocation!$E:$E, MATCH($A38&amp;L38,UnitsFunderShareAllocation!$H:$H,0))
+ INDEX(Allocation!$E:$E,MATCH(L38,Allocation!$A:$A,0)) * INDEX(UnitsFunderShareAllocation!$F:$F, MATCH($A38&amp;L38,UnitsFunderShareAllocation!$H:$H,0)))
))</f>
        <v>0.13985600000000001</v>
      </c>
      <c r="Q38" s="755">
        <f>SUMIFS('AMMO Savings Rates'!F:F,'AMMO Savings Rates'!$E:$E,$L38,'AMMO Savings Rates'!$D:$D,$A38)</f>
        <v>88.399914150000001</v>
      </c>
      <c r="R38" s="1618" t="s">
        <v>1018</v>
      </c>
      <c r="S38" s="756">
        <f t="shared" ref="S38:S63" si="11">(M38)*P38*Q38/8760000</f>
        <v>2.7953293355451585E-3</v>
      </c>
      <c r="T38" s="757">
        <f t="shared" ref="T38:T63" si="12">IFERROR((N38/M38*N38)*P38*Q38/8760/1000,0)</f>
        <v>1.2336586437659685E-6</v>
      </c>
      <c r="U38" s="758">
        <f t="shared" ref="U38:U63" si="13">S38-T38</f>
        <v>2.7940956769013925E-3</v>
      </c>
      <c r="V38" s="32"/>
    </row>
    <row r="39" spans="1:22" ht="15">
      <c r="A39" s="768" t="s">
        <v>992</v>
      </c>
      <c r="B39" s="768" t="str">
        <f t="shared" si="9"/>
        <v>XMP_202001</v>
      </c>
      <c r="C39" s="768" t="str">
        <f>INDEX('AMMO vwFlags'!$C:$C,MATCH($A39&amp;L39,'AMMO vwFlags'!$K:$K,0))</f>
        <v>0</v>
      </c>
      <c r="D39" s="768" t="str">
        <f>INDEX('AMMO vwFlags'!$D:$D,MATCH($A39&amp;$L39,'AMMO vwFlags'!$K:$K,0))</f>
        <v>0</v>
      </c>
      <c r="E39" s="768">
        <f t="shared" si="1"/>
        <v>1</v>
      </c>
      <c r="G39" s="730" t="str">
        <f t="shared" si="10"/>
        <v>Residential</v>
      </c>
      <c r="H39" s="681" t="str">
        <f>INDEX('AMMO Units'!B:B,MATCH($A39,'AMMO Units'!$E:$E,0))</f>
        <v>XMP Pumps</v>
      </c>
      <c r="I39" s="681" t="str">
        <f>INDEX('AMMO Units'!C:C,MATCH($A39,'AMMO Units'!$E:$E,0))</f>
        <v>Residential HH Circulator</v>
      </c>
      <c r="J39" s="681" t="str">
        <f>INDEX('AMMO Units'!D:D,MATCH($A39,'AMMO Units'!$E:$E,0))</f>
        <v>Tier 2</v>
      </c>
      <c r="K39" s="739">
        <f>VALUE(INDEX('AMMO Measures'!H:H,MATCH($A39,'AMMO Measures'!A:A,0)))</f>
        <v>11.5</v>
      </c>
      <c r="L39" s="683">
        <v>2026</v>
      </c>
      <c r="M39" s="732">
        <f>SUMIFS('AMMO Units'!F:F,'AMMO Units'!$A:$A,$L39,'AMMO Units'!$E:$E,$A39)</f>
        <v>7702.0415999999996</v>
      </c>
      <c r="N39" s="733">
        <f>SUMIFS('AMMO Units'!G:G,'AMMO Units'!$A:$A,$L39,'AMMO Units'!$E:$E,$A39)</f>
        <v>0</v>
      </c>
      <c r="O39" s="760" t="s">
        <v>2574</v>
      </c>
      <c r="P39" s="734">
        <f>IF(Selection!$A$2="regional",1,IF($M39=0,0,
( INDEX(Allocation!$B:$B,MATCH(L39,Allocation!$A:$A,0)) * INDEX(UnitsFunderShareAllocation!$C:$C, MATCH($A39&amp;L39,UnitsFunderShareAllocation!$H:$H,0))
+ INDEX(Allocation!$C:$C,MATCH(L39,Allocation!$A:$A,0)) * INDEX(UnitsFunderShareAllocation!$D:$D, MATCH($A39&amp;L39,UnitsFunderShareAllocation!$H:$H,0))
+ INDEX(Allocation!$D:$D,MATCH(L39,Allocation!$A:$A,0)) * INDEX(UnitsFunderShareAllocation!$E:$E, MATCH($A39&amp;L39,UnitsFunderShareAllocation!$H:$H,0))
+ INDEX(Allocation!$E:$E,MATCH(L39,Allocation!$A:$A,0)) * INDEX(UnitsFunderShareAllocation!$F:$F, MATCH($A39&amp;L39,UnitsFunderShareAllocation!$H:$H,0)))
))</f>
        <v>0.13985600000000001</v>
      </c>
      <c r="Q39" s="735">
        <f>SUMIFS('AMMO Savings Rates'!F:F,'AMMO Savings Rates'!$E:$E,$L39,'AMMO Savings Rates'!$D:$D,$A39)</f>
        <v>165.18819289999999</v>
      </c>
      <c r="R39" s="1569" t="s">
        <v>1018</v>
      </c>
      <c r="S39" s="736">
        <f t="shared" si="11"/>
        <v>2.0312428934271348E-2</v>
      </c>
      <c r="T39" s="737">
        <f t="shared" si="12"/>
        <v>0</v>
      </c>
      <c r="U39" s="738">
        <f t="shared" si="13"/>
        <v>2.0312428934271348E-2</v>
      </c>
      <c r="V39" s="32"/>
    </row>
    <row r="40" spans="1:22" ht="15">
      <c r="A40" s="768" t="s">
        <v>993</v>
      </c>
      <c r="B40" s="768" t="str">
        <f t="shared" si="9"/>
        <v>XMP_202001</v>
      </c>
      <c r="C40" s="768" t="str">
        <f>INDEX('AMMO vwFlags'!$C:$C,MATCH($A40&amp;L40,'AMMO vwFlags'!$K:$K,0))</f>
        <v>0</v>
      </c>
      <c r="D40" s="768" t="str">
        <f>INDEX('AMMO vwFlags'!$D:$D,MATCH($A40&amp;$L40,'AMMO vwFlags'!$K:$K,0))</f>
        <v>0</v>
      </c>
      <c r="E40" s="768">
        <f t="shared" si="1"/>
        <v>1</v>
      </c>
      <c r="G40" s="730" t="str">
        <f t="shared" si="10"/>
        <v>Commercial</v>
      </c>
      <c r="H40" s="681" t="str">
        <f>INDEX('AMMO Units'!B:B,MATCH($A40,'AMMO Units'!$E:$E,0))</f>
        <v>XMP Pumps</v>
      </c>
      <c r="I40" s="681" t="str">
        <f>INDEX('AMMO Units'!C:C,MATCH($A40,'AMMO Units'!$E:$E,0))</f>
        <v>Commercial HH Circulator</v>
      </c>
      <c r="J40" s="681" t="str">
        <f>INDEX('AMMO Units'!D:D,MATCH($A40,'AMMO Units'!$E:$E,0))</f>
        <v>Tier 1</v>
      </c>
      <c r="K40" s="731">
        <f>VALUE(INDEX('AMMO Measures'!H:H,MATCH($A40,'AMMO Measures'!A:A,0)))</f>
        <v>11.5</v>
      </c>
      <c r="L40" s="683">
        <v>2026</v>
      </c>
      <c r="M40" s="732">
        <f>SUMIFS('AMMO Units'!F:F,'AMMO Units'!$A:$A,$L40,'AMMO Units'!$E:$E,$A40)</f>
        <v>7.6032000000000002</v>
      </c>
      <c r="N40" s="733">
        <f>SUMIFS('AMMO Units'!G:G,'AMMO Units'!$A:$A,$L40,'AMMO Units'!$E:$E,$A40)</f>
        <v>0</v>
      </c>
      <c r="O40" s="760" t="s">
        <v>2574</v>
      </c>
      <c r="P40" s="734">
        <f>IF(Selection!$A$2="regional",1,IF($M40=0,0,
( INDEX(Allocation!$B:$B,MATCH(L40,Allocation!$A:$A,0)) * INDEX(UnitsFunderShareAllocation!$C:$C, MATCH($A40&amp;L40,UnitsFunderShareAllocation!$H:$H,0))
+ INDEX(Allocation!$C:$C,MATCH(L40,Allocation!$A:$A,0)) * INDEX(UnitsFunderShareAllocation!$D:$D, MATCH($A40&amp;L40,UnitsFunderShareAllocation!$H:$H,0))
+ INDEX(Allocation!$D:$D,MATCH(L40,Allocation!$A:$A,0)) * INDEX(UnitsFunderShareAllocation!$E:$E, MATCH($A40&amp;L40,UnitsFunderShareAllocation!$H:$H,0))
+ INDEX(Allocation!$E:$E,MATCH(L40,Allocation!$A:$A,0)) * INDEX(UnitsFunderShareAllocation!$F:$F, MATCH($A40&amp;L40,UnitsFunderShareAllocation!$H:$H,0)))
))</f>
        <v>0.13985600000000001</v>
      </c>
      <c r="Q40" s="735">
        <f>SUMIFS('AMMO Savings Rates'!F:F,'AMMO Savings Rates'!$E:$E,$L40,'AMMO Savings Rates'!$D:$D,$A40)</f>
        <v>367.68671258000001</v>
      </c>
      <c r="R40" s="1569" t="s">
        <v>1018</v>
      </c>
      <c r="S40" s="736">
        <f t="shared" si="11"/>
        <v>4.4632513705944206E-5</v>
      </c>
      <c r="T40" s="737">
        <f t="shared" si="12"/>
        <v>0</v>
      </c>
      <c r="U40" s="738">
        <f t="shared" si="13"/>
        <v>4.4632513705944206E-5</v>
      </c>
      <c r="V40" s="32"/>
    </row>
    <row r="41" spans="1:22" ht="15">
      <c r="A41" s="768" t="s">
        <v>994</v>
      </c>
      <c r="B41" s="768" t="str">
        <f t="shared" si="9"/>
        <v>XMP_202001</v>
      </c>
      <c r="C41" s="768" t="str">
        <f>INDEX('AMMO vwFlags'!$C:$C,MATCH($A41&amp;L41,'AMMO vwFlags'!$K:$K,0))</f>
        <v>0</v>
      </c>
      <c r="D41" s="768" t="str">
        <f>INDEX('AMMO vwFlags'!$D:$D,MATCH($A41&amp;$L41,'AMMO vwFlags'!$K:$K,0))</f>
        <v>0</v>
      </c>
      <c r="E41" s="768">
        <f t="shared" si="1"/>
        <v>1</v>
      </c>
      <c r="G41" s="730" t="str">
        <f t="shared" si="10"/>
        <v>Commercial</v>
      </c>
      <c r="H41" s="681" t="str">
        <f>INDEX('AMMO Units'!B:B,MATCH($A41,'AMMO Units'!$E:$E,0))</f>
        <v>XMP Pumps</v>
      </c>
      <c r="I41" s="681" t="str">
        <f>INDEX('AMMO Units'!C:C,MATCH($A41,'AMMO Units'!$E:$E,0))</f>
        <v>Commercial HH Circulator</v>
      </c>
      <c r="J41" s="681" t="str">
        <f>INDEX('AMMO Units'!D:D,MATCH($A41,'AMMO Units'!$E:$E,0))</f>
        <v>Tier 2</v>
      </c>
      <c r="K41" s="731">
        <f>VALUE(INDEX('AMMO Measures'!H:H,MATCH($A41,'AMMO Measures'!A:A,0)))</f>
        <v>11.5</v>
      </c>
      <c r="L41" s="683">
        <v>2026</v>
      </c>
      <c r="M41" s="732">
        <f>SUMIFS('AMMO Units'!F:F,'AMMO Units'!$A:$A,$L41,'AMMO Units'!$E:$E,$A41)</f>
        <v>382.06079999999997</v>
      </c>
      <c r="N41" s="733">
        <f>SUMIFS('AMMO Units'!G:G,'AMMO Units'!$A:$A,$L41,'AMMO Units'!$E:$E,$A41)</f>
        <v>0</v>
      </c>
      <c r="O41" s="760" t="s">
        <v>2574</v>
      </c>
      <c r="P41" s="734">
        <f>IF(Selection!$A$2="regional",1,IF($M41=0,0,
( INDEX(Allocation!$B:$B,MATCH(L41,Allocation!$A:$A,0)) * INDEX(UnitsFunderShareAllocation!$C:$C, MATCH($A41&amp;L41,UnitsFunderShareAllocation!$H:$H,0))
+ INDEX(Allocation!$C:$C,MATCH(L41,Allocation!$A:$A,0)) * INDEX(UnitsFunderShareAllocation!$D:$D, MATCH($A41&amp;L41,UnitsFunderShareAllocation!$H:$H,0))
+ INDEX(Allocation!$D:$D,MATCH(L41,Allocation!$A:$A,0)) * INDEX(UnitsFunderShareAllocation!$E:$E, MATCH($A41&amp;L41,UnitsFunderShareAllocation!$H:$H,0))
+ INDEX(Allocation!$E:$E,MATCH(L41,Allocation!$A:$A,0)) * INDEX(UnitsFunderShareAllocation!$F:$F, MATCH($A41&amp;L41,UnitsFunderShareAllocation!$H:$H,0)))
))</f>
        <v>0.13985600000000001</v>
      </c>
      <c r="Q41" s="735">
        <f>SUMIFS('AMMO Savings Rates'!F:F,'AMMO Savings Rates'!$E:$E,$L41,'AMMO Savings Rates'!$D:$D,$A41)</f>
        <v>1359.82529903</v>
      </c>
      <c r="R41" s="1569" t="s">
        <v>1018</v>
      </c>
      <c r="S41" s="736">
        <f t="shared" si="11"/>
        <v>8.294545507931305E-3</v>
      </c>
      <c r="T41" s="737">
        <f t="shared" si="12"/>
        <v>0</v>
      </c>
      <c r="U41" s="738">
        <f t="shared" si="13"/>
        <v>8.294545507931305E-3</v>
      </c>
      <c r="V41" s="32"/>
    </row>
    <row r="42" spans="1:22" ht="15">
      <c r="A42" s="768" t="s">
        <v>995</v>
      </c>
      <c r="B42" s="768" t="str">
        <f t="shared" si="9"/>
        <v>XMP_202001</v>
      </c>
      <c r="C42" s="768" t="str">
        <f>INDEX('AMMO vwFlags'!$C:$C,MATCH($A42&amp;L42,'AMMO vwFlags'!$K:$K,0))</f>
        <v>0</v>
      </c>
      <c r="D42" s="768" t="str">
        <f>INDEX('AMMO vwFlags'!$D:$D,MATCH($A42&amp;$L42,'AMMO vwFlags'!$K:$K,0))</f>
        <v>0</v>
      </c>
      <c r="E42" s="768">
        <f t="shared" si="1"/>
        <v>1</v>
      </c>
      <c r="G42" s="730" t="str">
        <f t="shared" si="10"/>
        <v>Residential</v>
      </c>
      <c r="H42" s="681" t="str">
        <f>INDEX('AMMO Units'!B:B,MATCH($A42,'AMMO Units'!$E:$E,0))</f>
        <v>XMP Pumps</v>
      </c>
      <c r="I42" s="681" t="str">
        <f>INDEX('AMMO Units'!C:C,MATCH($A42,'AMMO Units'!$E:$E,0))</f>
        <v>Residential DHW Circulator</v>
      </c>
      <c r="J42" s="681" t="str">
        <f>INDEX('AMMO Units'!D:D,MATCH($A42,'AMMO Units'!$E:$E,0))</f>
        <v>Tier 1</v>
      </c>
      <c r="K42" s="731">
        <f>VALUE(INDEX('AMMO Measures'!H:H,MATCH($A42,'AMMO Measures'!A:A,0)))</f>
        <v>11.5</v>
      </c>
      <c r="L42" s="683">
        <v>2026</v>
      </c>
      <c r="M42" s="732">
        <f>SUMIFS('AMMO Units'!F:F,'AMMO Units'!$A:$A,$L42,'AMMO Units'!$E:$E,$A42)</f>
        <v>1505.4336000000001</v>
      </c>
      <c r="N42" s="733">
        <f>SUMIFS('AMMO Units'!G:G,'AMMO Units'!$A:$A,$L42,'AMMO Units'!$E:$E,$A42)</f>
        <v>0</v>
      </c>
      <c r="O42" s="760" t="s">
        <v>2574</v>
      </c>
      <c r="P42" s="734">
        <f>IF(Selection!$A$2="regional",1,IF($M42=0,0,
( INDEX(Allocation!$B:$B,MATCH(L42,Allocation!$A:$A,0)) * INDEX(UnitsFunderShareAllocation!$C:$C, MATCH($A42&amp;L42,UnitsFunderShareAllocation!$H:$H,0))
+ INDEX(Allocation!$C:$C,MATCH(L42,Allocation!$A:$A,0)) * INDEX(UnitsFunderShareAllocation!$D:$D, MATCH($A42&amp;L42,UnitsFunderShareAllocation!$H:$H,0))
+ INDEX(Allocation!$D:$D,MATCH(L42,Allocation!$A:$A,0)) * INDEX(UnitsFunderShareAllocation!$E:$E, MATCH($A42&amp;L42,UnitsFunderShareAllocation!$H:$H,0))
+ INDEX(Allocation!$E:$E,MATCH(L42,Allocation!$A:$A,0)) * INDEX(UnitsFunderShareAllocation!$F:$F, MATCH($A42&amp;L42,UnitsFunderShareAllocation!$H:$H,0)))
))</f>
        <v>0.13985600000000001</v>
      </c>
      <c r="Q42" s="735">
        <f>SUMIFS('AMMO Savings Rates'!F:F,'AMMO Savings Rates'!$E:$E,$L42,'AMMO Savings Rates'!$D:$D,$A42)</f>
        <v>86.457957070000006</v>
      </c>
      <c r="R42" s="1569" t="s">
        <v>1018</v>
      </c>
      <c r="S42" s="736">
        <f t="shared" si="11"/>
        <v>2.077990562981994E-3</v>
      </c>
      <c r="T42" s="737">
        <f t="shared" si="12"/>
        <v>0</v>
      </c>
      <c r="U42" s="738">
        <f t="shared" si="13"/>
        <v>2.077990562981994E-3</v>
      </c>
      <c r="V42" s="32"/>
    </row>
    <row r="43" spans="1:22" ht="15">
      <c r="A43" s="768" t="s">
        <v>996</v>
      </c>
      <c r="B43" s="768" t="str">
        <f t="shared" si="9"/>
        <v>XMP_202001</v>
      </c>
      <c r="C43" s="768" t="str">
        <f>INDEX('AMMO vwFlags'!$C:$C,MATCH($A43&amp;L43,'AMMO vwFlags'!$K:$K,0))</f>
        <v>0</v>
      </c>
      <c r="D43" s="768" t="str">
        <f>INDEX('AMMO vwFlags'!$D:$D,MATCH($A43&amp;$L43,'AMMO vwFlags'!$K:$K,0))</f>
        <v>0</v>
      </c>
      <c r="E43" s="768">
        <f t="shared" si="1"/>
        <v>1</v>
      </c>
      <c r="G43" s="730" t="str">
        <f t="shared" si="10"/>
        <v>Residential</v>
      </c>
      <c r="H43" s="681" t="str">
        <f>INDEX('AMMO Units'!B:B,MATCH($A43,'AMMO Units'!$E:$E,0))</f>
        <v>XMP Pumps</v>
      </c>
      <c r="I43" s="681" t="str">
        <f>INDEX('AMMO Units'!C:C,MATCH($A43,'AMMO Units'!$E:$E,0))</f>
        <v>Residential DHW Circulator</v>
      </c>
      <c r="J43" s="681" t="str">
        <f>INDEX('AMMO Units'!D:D,MATCH($A43,'AMMO Units'!$E:$E,0))</f>
        <v>Tier 2</v>
      </c>
      <c r="K43" s="731">
        <f>VALUE(INDEX('AMMO Measures'!H:H,MATCH($A43,'AMMO Measures'!A:A,0)))</f>
        <v>11.5</v>
      </c>
      <c r="L43" s="683">
        <v>2026</v>
      </c>
      <c r="M43" s="732">
        <f>SUMIFS('AMMO Units'!F:F,'AMMO Units'!$A:$A,$L43,'AMMO Units'!$E:$E,$A43)</f>
        <v>1687.9104</v>
      </c>
      <c r="N43" s="733">
        <f>SUMIFS('AMMO Units'!G:G,'AMMO Units'!$A:$A,$L43,'AMMO Units'!$E:$E,$A43)</f>
        <v>0</v>
      </c>
      <c r="O43" s="760" t="s">
        <v>2574</v>
      </c>
      <c r="P43" s="734">
        <f>IF(Selection!$A$2="regional",1,IF($M43=0,0,
( INDEX(Allocation!$B:$B,MATCH(L43,Allocation!$A:$A,0)) * INDEX(UnitsFunderShareAllocation!$C:$C, MATCH($A43&amp;L43,UnitsFunderShareAllocation!$H:$H,0))
+ INDEX(Allocation!$C:$C,MATCH(L43,Allocation!$A:$A,0)) * INDEX(UnitsFunderShareAllocation!$D:$D, MATCH($A43&amp;L43,UnitsFunderShareAllocation!$H:$H,0))
+ INDEX(Allocation!$D:$D,MATCH(L43,Allocation!$A:$A,0)) * INDEX(UnitsFunderShareAllocation!$E:$E, MATCH($A43&amp;L43,UnitsFunderShareAllocation!$H:$H,0))
+ INDEX(Allocation!$E:$E,MATCH(L43,Allocation!$A:$A,0)) * INDEX(UnitsFunderShareAllocation!$F:$F, MATCH($A43&amp;L43,UnitsFunderShareAllocation!$H:$H,0)))
))</f>
        <v>0.13985600000000001</v>
      </c>
      <c r="Q43" s="735">
        <f>SUMIFS('AMMO Savings Rates'!F:F,'AMMO Savings Rates'!$E:$E,$L43,'AMMO Savings Rates'!$D:$D,$A43)</f>
        <v>683.99400856</v>
      </c>
      <c r="R43" s="1569" t="s">
        <v>1018</v>
      </c>
      <c r="S43" s="736">
        <f t="shared" si="11"/>
        <v>1.8432264054288976E-2</v>
      </c>
      <c r="T43" s="737">
        <f t="shared" si="12"/>
        <v>0</v>
      </c>
      <c r="U43" s="738">
        <f t="shared" si="13"/>
        <v>1.8432264054288976E-2</v>
      </c>
      <c r="V43" s="32"/>
    </row>
    <row r="44" spans="1:22" ht="15">
      <c r="A44" s="768" t="s">
        <v>997</v>
      </c>
      <c r="B44" s="768" t="str">
        <f t="shared" si="9"/>
        <v>XMP_202001</v>
      </c>
      <c r="C44" s="768" t="str">
        <f>INDEX('AMMO vwFlags'!$C:$C,MATCH($A44&amp;L44,'AMMO vwFlags'!$K:$K,0))</f>
        <v>0</v>
      </c>
      <c r="D44" s="768" t="str">
        <f>INDEX('AMMO vwFlags'!$D:$D,MATCH($A44&amp;$L44,'AMMO vwFlags'!$K:$K,0))</f>
        <v>0</v>
      </c>
      <c r="E44" s="768">
        <f t="shared" ref="E44:E63" si="14">COUNTIFS($A:$A,$A44,$L:$L,$L44)</f>
        <v>1</v>
      </c>
      <c r="G44" s="730" t="str">
        <f t="shared" si="10"/>
        <v>Residential</v>
      </c>
      <c r="H44" s="681" t="str">
        <f>INDEX('AMMO Units'!B:B,MATCH($A44,'AMMO Units'!$E:$E,0))</f>
        <v>XMP Pumps</v>
      </c>
      <c r="I44" s="681" t="str">
        <f>INDEX('AMMO Units'!C:C,MATCH($A44,'AMMO Units'!$E:$E,0))</f>
        <v>Residential DHW Circulator</v>
      </c>
      <c r="J44" s="681" t="str">
        <f>INDEX('AMMO Units'!D:D,MATCH($A44,'AMMO Units'!$E:$E,0))</f>
        <v>Tier 3</v>
      </c>
      <c r="K44" s="731">
        <f>VALUE(INDEX('AMMO Measures'!H:H,MATCH($A44,'AMMO Measures'!A:A,0)))</f>
        <v>11.5</v>
      </c>
      <c r="L44" s="683">
        <v>2026</v>
      </c>
      <c r="M44" s="732">
        <f>SUMIFS('AMMO Units'!F:F,'AMMO Units'!$A:$A,$L44,'AMMO Units'!$E:$E,$A44)</f>
        <v>4508.6976000000004</v>
      </c>
      <c r="N44" s="733">
        <f>SUMIFS('AMMO Units'!G:G,'AMMO Units'!$A:$A,$L44,'AMMO Units'!$E:$E,$A44)</f>
        <v>3.2307400400000001</v>
      </c>
      <c r="O44" s="760" t="s">
        <v>2574</v>
      </c>
      <c r="P44" s="734">
        <f>IF(Selection!$A$2="regional",1,IF($M44=0,0,
( INDEX(Allocation!$B:$B,MATCH(L44,Allocation!$A:$A,0)) * INDEX(UnitsFunderShareAllocation!$C:$C, MATCH($A44&amp;L44,UnitsFunderShareAllocation!$H:$H,0))
+ INDEX(Allocation!$C:$C,MATCH(L44,Allocation!$A:$A,0)) * INDEX(UnitsFunderShareAllocation!$D:$D, MATCH($A44&amp;L44,UnitsFunderShareAllocation!$H:$H,0))
+ INDEX(Allocation!$D:$D,MATCH(L44,Allocation!$A:$A,0)) * INDEX(UnitsFunderShareAllocation!$E:$E, MATCH($A44&amp;L44,UnitsFunderShareAllocation!$H:$H,0))
+ INDEX(Allocation!$E:$E,MATCH(L44,Allocation!$A:$A,0)) * INDEX(UnitsFunderShareAllocation!$F:$F, MATCH($A44&amp;L44,UnitsFunderShareAllocation!$H:$H,0)))
))</f>
        <v>0.13985600000000001</v>
      </c>
      <c r="Q44" s="735">
        <f>SUMIFS('AMMO Savings Rates'!F:F,'AMMO Savings Rates'!$E:$E,$L44,'AMMO Savings Rates'!$D:$D,$A44)</f>
        <v>918.90977250000003</v>
      </c>
      <c r="R44" s="1569" t="s">
        <v>1018</v>
      </c>
      <c r="S44" s="736">
        <f t="shared" si="11"/>
        <v>6.6145602237334913E-2</v>
      </c>
      <c r="T44" s="737">
        <f t="shared" si="12"/>
        <v>3.3962745222635317E-8</v>
      </c>
      <c r="U44" s="738">
        <f t="shared" si="13"/>
        <v>6.6145568274589686E-2</v>
      </c>
      <c r="V44" s="32"/>
    </row>
    <row r="45" spans="1:22" ht="15">
      <c r="A45" s="768" t="s">
        <v>998</v>
      </c>
      <c r="B45" s="768" t="str">
        <f t="shared" si="9"/>
        <v>XMP_202001</v>
      </c>
      <c r="C45" s="768" t="str">
        <f>INDEX('AMMO vwFlags'!$C:$C,MATCH($A45&amp;L45,'AMMO vwFlags'!$K:$K,0))</f>
        <v>0</v>
      </c>
      <c r="D45" s="768" t="str">
        <f>INDEX('AMMO vwFlags'!$D:$D,MATCH($A45&amp;$L45,'AMMO vwFlags'!$K:$K,0))</f>
        <v>0</v>
      </c>
      <c r="E45" s="768">
        <f t="shared" si="14"/>
        <v>1</v>
      </c>
      <c r="G45" s="730" t="str">
        <f t="shared" si="10"/>
        <v>Commercial</v>
      </c>
      <c r="H45" s="681" t="str">
        <f>INDEX('AMMO Units'!B:B,MATCH($A45,'AMMO Units'!$E:$E,0))</f>
        <v>XMP Pumps</v>
      </c>
      <c r="I45" s="681" t="str">
        <f>INDEX('AMMO Units'!C:C,MATCH($A45,'AMMO Units'!$E:$E,0))</f>
        <v>Commercial DHW Circulator</v>
      </c>
      <c r="J45" s="681" t="str">
        <f>INDEX('AMMO Units'!D:D,MATCH($A45,'AMMO Units'!$E:$E,0))</f>
        <v>Tier 1</v>
      </c>
      <c r="K45" s="739">
        <f>VALUE(INDEX('AMMO Measures'!H:H,MATCH($A45,'AMMO Measures'!A:A,0)))</f>
        <v>11.5</v>
      </c>
      <c r="L45" s="683">
        <v>2026</v>
      </c>
      <c r="M45" s="732">
        <f>SUMIFS('AMMO Units'!F:F,'AMMO Units'!$A:$A,$L45,'AMMO Units'!$E:$E,$A45)</f>
        <v>24.7104</v>
      </c>
      <c r="N45" s="733">
        <f>SUMIFS('AMMO Units'!G:G,'AMMO Units'!$A:$A,$L45,'AMMO Units'!$E:$E,$A45)</f>
        <v>0</v>
      </c>
      <c r="O45" s="760" t="s">
        <v>2574</v>
      </c>
      <c r="P45" s="734">
        <f>IF(Selection!$A$2="regional",1,IF($M45=0,0,
( INDEX(Allocation!$B:$B,MATCH(L45,Allocation!$A:$A,0)) * INDEX(UnitsFunderShareAllocation!$C:$C, MATCH($A45&amp;L45,UnitsFunderShareAllocation!$H:$H,0))
+ INDEX(Allocation!$C:$C,MATCH(L45,Allocation!$A:$A,0)) * INDEX(UnitsFunderShareAllocation!$D:$D, MATCH($A45&amp;L45,UnitsFunderShareAllocation!$H:$H,0))
+ INDEX(Allocation!$D:$D,MATCH(L45,Allocation!$A:$A,0)) * INDEX(UnitsFunderShareAllocation!$E:$E, MATCH($A45&amp;L45,UnitsFunderShareAllocation!$H:$H,0))
+ INDEX(Allocation!$E:$E,MATCH(L45,Allocation!$A:$A,0)) * INDEX(UnitsFunderShareAllocation!$F:$F, MATCH($A45&amp;L45,UnitsFunderShareAllocation!$H:$H,0)))
))</f>
        <v>0.13985600000000001</v>
      </c>
      <c r="Q45" s="735">
        <f>SUMIFS('AMMO Savings Rates'!F:F,'AMMO Savings Rates'!$E:$E,$L45,'AMMO Savings Rates'!$D:$D,$A45)</f>
        <v>35.318576919999998</v>
      </c>
      <c r="R45" s="1569" t="s">
        <v>1018</v>
      </c>
      <c r="S45" s="736">
        <f t="shared" si="11"/>
        <v>1.3933491875555442E-5</v>
      </c>
      <c r="T45" s="737">
        <f t="shared" si="12"/>
        <v>0</v>
      </c>
      <c r="U45" s="738">
        <f t="shared" si="13"/>
        <v>1.3933491875555442E-5</v>
      </c>
      <c r="V45" s="32"/>
    </row>
    <row r="46" spans="1:22" ht="15">
      <c r="A46" s="768" t="s">
        <v>999</v>
      </c>
      <c r="B46" s="768" t="str">
        <f t="shared" si="9"/>
        <v>XMP_202001</v>
      </c>
      <c r="C46" s="768" t="str">
        <f>INDEX('AMMO vwFlags'!$C:$C,MATCH($A46&amp;L46,'AMMO vwFlags'!$K:$K,0))</f>
        <v>0</v>
      </c>
      <c r="D46" s="768" t="str">
        <f>INDEX('AMMO vwFlags'!$D:$D,MATCH($A46&amp;$L46,'AMMO vwFlags'!$K:$K,0))</f>
        <v>0</v>
      </c>
      <c r="E46" s="768">
        <f t="shared" si="14"/>
        <v>1</v>
      </c>
      <c r="G46" s="730" t="str">
        <f t="shared" si="10"/>
        <v>Commercial</v>
      </c>
      <c r="H46" s="681" t="str">
        <f>INDEX('AMMO Units'!B:B,MATCH($A46,'AMMO Units'!$E:$E,0))</f>
        <v>XMP Pumps</v>
      </c>
      <c r="I46" s="681" t="str">
        <f>INDEX('AMMO Units'!C:C,MATCH($A46,'AMMO Units'!$E:$E,0))</f>
        <v>Commercial DHW Circulator</v>
      </c>
      <c r="J46" s="681" t="str">
        <f>INDEX('AMMO Units'!D:D,MATCH($A46,'AMMO Units'!$E:$E,0))</f>
        <v>Tier 2</v>
      </c>
      <c r="K46" s="731">
        <f>VALUE(INDEX('AMMO Measures'!H:H,MATCH($A46,'AMMO Measures'!A:A,0)))</f>
        <v>11.5</v>
      </c>
      <c r="L46" s="683">
        <v>2026</v>
      </c>
      <c r="M46" s="732">
        <f>SUMIFS('AMMO Units'!F:F,'AMMO Units'!$A:$A,$L46,'AMMO Units'!$E:$E,$A46)</f>
        <v>29</v>
      </c>
      <c r="N46" s="733">
        <f>SUMIFS('AMMO Units'!G:G,'AMMO Units'!$A:$A,$L46,'AMMO Units'!$E:$E,$A46)</f>
        <v>0</v>
      </c>
      <c r="O46" s="760" t="s">
        <v>2574</v>
      </c>
      <c r="P46" s="734">
        <f>IF(Selection!$A$2="regional",1,IF($M46=0,0,
( INDEX(Allocation!$B:$B,MATCH(L46,Allocation!$A:$A,0)) * INDEX(UnitsFunderShareAllocation!$C:$C, MATCH($A46&amp;L46,UnitsFunderShareAllocation!$H:$H,0))
+ INDEX(Allocation!$C:$C,MATCH(L46,Allocation!$A:$A,0)) * INDEX(UnitsFunderShareAllocation!$D:$D, MATCH($A46&amp;L46,UnitsFunderShareAllocation!$H:$H,0))
+ INDEX(Allocation!$D:$D,MATCH(L46,Allocation!$A:$A,0)) * INDEX(UnitsFunderShareAllocation!$E:$E, MATCH($A46&amp;L46,UnitsFunderShareAllocation!$H:$H,0))
+ INDEX(Allocation!$E:$E,MATCH(L46,Allocation!$A:$A,0)) * INDEX(UnitsFunderShareAllocation!$F:$F, MATCH($A46&amp;L46,UnitsFunderShareAllocation!$H:$H,0)))
))</f>
        <v>0.13985600000000001</v>
      </c>
      <c r="Q46" s="735">
        <f>SUMIFS('AMMO Savings Rates'!F:F,'AMMO Savings Rates'!$E:$E,$L46,'AMMO Savings Rates'!$D:$D,$A46)</f>
        <v>3938.2112293999999</v>
      </c>
      <c r="R46" s="1569" t="s">
        <v>1018</v>
      </c>
      <c r="S46" s="736">
        <f t="shared" si="11"/>
        <v>1.8233666234326515E-3</v>
      </c>
      <c r="T46" s="737">
        <f t="shared" si="12"/>
        <v>0</v>
      </c>
      <c r="U46" s="738">
        <f t="shared" si="13"/>
        <v>1.8233666234326515E-3</v>
      </c>
      <c r="V46" s="32"/>
    </row>
    <row r="47" spans="1:22" ht="15">
      <c r="A47" s="768" t="s">
        <v>1000</v>
      </c>
      <c r="B47" s="768" t="str">
        <f t="shared" si="9"/>
        <v>XMP_202001</v>
      </c>
      <c r="C47" s="768" t="str">
        <f>INDEX('AMMO vwFlags'!$C:$C,MATCH($A47&amp;L47,'AMMO vwFlags'!$K:$K,0))</f>
        <v>0</v>
      </c>
      <c r="D47" s="768" t="str">
        <f>INDEX('AMMO vwFlags'!$D:$D,MATCH($A47&amp;$L47,'AMMO vwFlags'!$K:$K,0))</f>
        <v>0</v>
      </c>
      <c r="E47" s="768">
        <f t="shared" si="14"/>
        <v>1</v>
      </c>
      <c r="G47" s="730" t="str">
        <f t="shared" si="10"/>
        <v>Commercial</v>
      </c>
      <c r="H47" s="681" t="str">
        <f>INDEX('AMMO Units'!B:B,MATCH($A47,'AMMO Units'!$E:$E,0))</f>
        <v>XMP Pumps</v>
      </c>
      <c r="I47" s="681" t="str">
        <f>INDEX('AMMO Units'!C:C,MATCH($A47,'AMMO Units'!$E:$E,0))</f>
        <v>Commercial DHW Circulator</v>
      </c>
      <c r="J47" s="681" t="str">
        <f>INDEX('AMMO Units'!D:D,MATCH($A47,'AMMO Units'!$E:$E,0))</f>
        <v>Tier 3</v>
      </c>
      <c r="K47" s="739">
        <f>VALUE(INDEX('AMMO Measures'!H:H,MATCH($A47,'AMMO Measures'!A:A,0)))</f>
        <v>11.5</v>
      </c>
      <c r="L47" s="683">
        <v>2026</v>
      </c>
      <c r="M47" s="732">
        <f>SUMIFS('AMMO Units'!F:F,'AMMO Units'!$A:$A,$L47,'AMMO Units'!$E:$E,$A47)</f>
        <v>98.8416</v>
      </c>
      <c r="N47" s="733">
        <f>SUMIFS('AMMO Units'!G:G,'AMMO Units'!$A:$A,$L47,'AMMO Units'!$E:$E,$A47)</f>
        <v>0.17671234999999999</v>
      </c>
      <c r="O47" s="760" t="s">
        <v>2574</v>
      </c>
      <c r="P47" s="734">
        <f>IF(Selection!$A$2="regional",1,IF($M47=0,0,
( INDEX(Allocation!$B:$B,MATCH(L47,Allocation!$A:$A,0)) * INDEX(UnitsFunderShareAllocation!$C:$C, MATCH($A47&amp;L47,UnitsFunderShareAllocation!$H:$H,0))
+ INDEX(Allocation!$C:$C,MATCH(L47,Allocation!$A:$A,0)) * INDEX(UnitsFunderShareAllocation!$D:$D, MATCH($A47&amp;L47,UnitsFunderShareAllocation!$H:$H,0))
+ INDEX(Allocation!$D:$D,MATCH(L47,Allocation!$A:$A,0)) * INDEX(UnitsFunderShareAllocation!$E:$E, MATCH($A47&amp;L47,UnitsFunderShareAllocation!$H:$H,0))
+ INDEX(Allocation!$E:$E,MATCH(L47,Allocation!$A:$A,0)) * INDEX(UnitsFunderShareAllocation!$F:$F, MATCH($A47&amp;L47,UnitsFunderShareAllocation!$H:$H,0)))
))</f>
        <v>0.13985600000000001</v>
      </c>
      <c r="Q47" s="735">
        <f>SUMIFS('AMMO Savings Rates'!F:F,'AMMO Savings Rates'!$E:$E,$L47,'AMMO Savings Rates'!$D:$D,$A47)</f>
        <v>6601.4629462499997</v>
      </c>
      <c r="R47" s="1569" t="s">
        <v>1018</v>
      </c>
      <c r="S47" s="736">
        <f t="shared" si="11"/>
        <v>1.0417342752705073E-2</v>
      </c>
      <c r="T47" s="737">
        <f t="shared" si="12"/>
        <v>3.3297469091687364E-8</v>
      </c>
      <c r="U47" s="738">
        <f t="shared" si="13"/>
        <v>1.0417309455235982E-2</v>
      </c>
      <c r="V47" s="32"/>
    </row>
    <row r="48" spans="1:22" ht="26.25">
      <c r="A48" s="768" t="s">
        <v>1001</v>
      </c>
      <c r="B48" s="768" t="str">
        <f t="shared" si="9"/>
        <v>XMP_202001</v>
      </c>
      <c r="C48" s="768" t="str">
        <f>INDEX('AMMO vwFlags'!$C:$C,MATCH($A48&amp;L48,'AMMO vwFlags'!$K:$K,0))</f>
        <v>0</v>
      </c>
      <c r="D48" s="768" t="str">
        <f>INDEX('AMMO vwFlags'!$D:$D,MATCH($A48&amp;$L48,'AMMO vwFlags'!$K:$K,0))</f>
        <v>0</v>
      </c>
      <c r="E48" s="768">
        <f t="shared" si="14"/>
        <v>1</v>
      </c>
      <c r="G48" s="730" t="str">
        <f t="shared" si="10"/>
        <v>Commercial</v>
      </c>
      <c r="H48" s="681" t="str">
        <f>INDEX('AMMO Units'!B:B,MATCH($A48,'AMMO Units'!$E:$E,0))</f>
        <v>XMP Pumps</v>
      </c>
      <c r="I48" s="681" t="str">
        <f>INDEX('AMMO Units'!C:C,MATCH($A48,'AMMO Units'!$E:$E,0))</f>
        <v>Commercial CS Pump</v>
      </c>
      <c r="J48" s="681" t="str">
        <f>INDEX('AMMO Units'!D:D,MATCH($A48,'AMMO Units'!$E:$E,0))</f>
        <v>Single Tier</v>
      </c>
      <c r="K48" s="739">
        <f>VALUE(INDEX('AMMO Measures'!H:H,MATCH($A48,'AMMO Measures'!A:A,0)))</f>
        <v>19</v>
      </c>
      <c r="L48" s="683">
        <v>2026</v>
      </c>
      <c r="M48" s="732">
        <f>SUMIFS('AMMO Units'!F:F,'AMMO Units'!$A:$A,$L48,'AMMO Units'!$E:$E,$A48)</f>
        <v>2596.8343238399998</v>
      </c>
      <c r="N48" s="733">
        <f>SUMIFS('AMMO Units'!G:G,'AMMO Units'!$A:$A,$L48,'AMMO Units'!$E:$E,$A48)</f>
        <v>0</v>
      </c>
      <c r="O48" s="760" t="s">
        <v>2574</v>
      </c>
      <c r="P48" s="734">
        <f>IF(Selection!$A$2="regional",1,IF($M48=0,0,
( INDEX(Allocation!$B:$B,MATCH(L48,Allocation!$A:$A,0)) * INDEX(UnitsFunderShareAllocation!$C:$C, MATCH($A48&amp;L48,UnitsFunderShareAllocation!$H:$H,0))
+ INDEX(Allocation!$C:$C,MATCH(L48,Allocation!$A:$A,0)) * INDEX(UnitsFunderShareAllocation!$D:$D, MATCH($A48&amp;L48,UnitsFunderShareAllocation!$H:$H,0))
+ INDEX(Allocation!$D:$D,MATCH(L48,Allocation!$A:$A,0)) * INDEX(UnitsFunderShareAllocation!$E:$E, MATCH($A48&amp;L48,UnitsFunderShareAllocation!$H:$H,0))
+ INDEX(Allocation!$E:$E,MATCH(L48,Allocation!$A:$A,0)) * INDEX(UnitsFunderShareAllocation!$F:$F, MATCH($A48&amp;L48,UnitsFunderShareAllocation!$H:$H,0)))
))</f>
        <v>0.13985600000000001</v>
      </c>
      <c r="Q48" s="735">
        <f>SUMIFS('AMMO Savings Rates'!F:F,'AMMO Savings Rates'!$E:$E,$L48,'AMMO Savings Rates'!$D:$D,$A48)</f>
        <v>762.70538210999996</v>
      </c>
      <c r="R48" s="1569" t="s">
        <v>2707</v>
      </c>
      <c r="S48" s="736">
        <f t="shared" si="11"/>
        <v>3.1621178415925842E-2</v>
      </c>
      <c r="T48" s="737">
        <f t="shared" si="12"/>
        <v>0</v>
      </c>
      <c r="U48" s="738">
        <f t="shared" si="13"/>
        <v>3.1621178415925842E-2</v>
      </c>
      <c r="V48" s="32"/>
    </row>
    <row r="49" spans="1:22" ht="26.25">
      <c r="A49" s="768" t="s">
        <v>1002</v>
      </c>
      <c r="B49" s="768" t="str">
        <f t="shared" si="9"/>
        <v>XMP_202001</v>
      </c>
      <c r="C49" s="768" t="str">
        <f>INDEX('AMMO vwFlags'!$C:$C,MATCH($A49&amp;L49,'AMMO vwFlags'!$K:$K,0))</f>
        <v>0</v>
      </c>
      <c r="D49" s="768" t="str">
        <f>INDEX('AMMO vwFlags'!$D:$D,MATCH($A49&amp;$L49,'AMMO vwFlags'!$K:$K,0))</f>
        <v>0</v>
      </c>
      <c r="E49" s="768">
        <f t="shared" si="14"/>
        <v>1</v>
      </c>
      <c r="G49" s="730" t="str">
        <f t="shared" si="10"/>
        <v>Commercial</v>
      </c>
      <c r="H49" s="681" t="str">
        <f>INDEX('AMMO Units'!B:B,MATCH($A49,'AMMO Units'!$E:$E,0))</f>
        <v>XMP Pumps</v>
      </c>
      <c r="I49" s="681" t="str">
        <f>INDEX('AMMO Units'!C:C,MATCH($A49,'AMMO Units'!$E:$E,0))</f>
        <v>Commercial VS Pump</v>
      </c>
      <c r="J49" s="681" t="str">
        <f>INDEX('AMMO Units'!D:D,MATCH($A49,'AMMO Units'!$E:$E,0))</f>
        <v>Tier 1</v>
      </c>
      <c r="K49" s="739">
        <f>VALUE(INDEX('AMMO Measures'!H:H,MATCH($A49,'AMMO Measures'!A:A,0)))</f>
        <v>19</v>
      </c>
      <c r="L49" s="683">
        <v>2026</v>
      </c>
      <c r="M49" s="732">
        <f>SUMIFS('AMMO Units'!F:F,'AMMO Units'!$A:$A,$L49,'AMMO Units'!$E:$E,$A49)</f>
        <v>483.47565866999997</v>
      </c>
      <c r="N49" s="733">
        <f>SUMIFS('AMMO Units'!G:G,'AMMO Units'!$A:$A,$L49,'AMMO Units'!$E:$E,$A49)</f>
        <v>0</v>
      </c>
      <c r="O49" s="760" t="s">
        <v>2574</v>
      </c>
      <c r="P49" s="734">
        <f>IF(Selection!$A$2="regional",1,IF($M49=0,0,
( INDEX(Allocation!$B:$B,MATCH(L49,Allocation!$A:$A,0)) * INDEX(UnitsFunderShareAllocation!$C:$C, MATCH($A49&amp;L49,UnitsFunderShareAllocation!$H:$H,0))
+ INDEX(Allocation!$C:$C,MATCH(L49,Allocation!$A:$A,0)) * INDEX(UnitsFunderShareAllocation!$D:$D, MATCH($A49&amp;L49,UnitsFunderShareAllocation!$H:$H,0))
+ INDEX(Allocation!$D:$D,MATCH(L49,Allocation!$A:$A,0)) * INDEX(UnitsFunderShareAllocation!$E:$E, MATCH($A49&amp;L49,UnitsFunderShareAllocation!$H:$H,0))
+ INDEX(Allocation!$E:$E,MATCH(L49,Allocation!$A:$A,0)) * INDEX(UnitsFunderShareAllocation!$F:$F, MATCH($A49&amp;L49,UnitsFunderShareAllocation!$H:$H,0)))
))</f>
        <v>0.13985600000000001</v>
      </c>
      <c r="Q49" s="735">
        <f>SUMIFS('AMMO Savings Rates'!F:F,'AMMO Savings Rates'!$E:$E,$L49,'AMMO Savings Rates'!$D:$D,$A49)</f>
        <v>832.03513528999997</v>
      </c>
      <c r="R49" s="1569" t="s">
        <v>2709</v>
      </c>
      <c r="S49" s="736">
        <f t="shared" si="11"/>
        <v>6.4223397502372066E-3</v>
      </c>
      <c r="T49" s="737">
        <f t="shared" si="12"/>
        <v>0</v>
      </c>
      <c r="U49" s="738">
        <f t="shared" si="13"/>
        <v>6.4223397502372066E-3</v>
      </c>
      <c r="V49" s="32"/>
    </row>
    <row r="50" spans="1:22" ht="26.25">
      <c r="A50" s="768" t="s">
        <v>1003</v>
      </c>
      <c r="B50" s="768" t="str">
        <f t="shared" si="9"/>
        <v>XMP_202001</v>
      </c>
      <c r="C50" s="768" t="str">
        <f>INDEX('AMMO vwFlags'!$C:$C,MATCH($A50&amp;L50,'AMMO vwFlags'!$K:$K,0))</f>
        <v>0</v>
      </c>
      <c r="D50" s="768" t="str">
        <f>INDEX('AMMO vwFlags'!$D:$D,MATCH($A50&amp;$L50,'AMMO vwFlags'!$K:$K,0))</f>
        <v>0</v>
      </c>
      <c r="E50" s="768">
        <f t="shared" si="14"/>
        <v>1</v>
      </c>
      <c r="G50" s="740" t="str">
        <f t="shared" si="10"/>
        <v>Commercial</v>
      </c>
      <c r="H50" s="687" t="str">
        <f>INDEX('AMMO Units'!B:B,MATCH($A50,'AMMO Units'!$E:$E,0))</f>
        <v>XMP Pumps</v>
      </c>
      <c r="I50" s="687" t="str">
        <f>INDEX('AMMO Units'!C:C,MATCH($A50,'AMMO Units'!$E:$E,0))</f>
        <v>Commercial VS Pump</v>
      </c>
      <c r="J50" s="687" t="str">
        <f>INDEX('AMMO Units'!D:D,MATCH($A50,'AMMO Units'!$E:$E,0))</f>
        <v>Tier 2</v>
      </c>
      <c r="K50" s="741">
        <f>VALUE(INDEX('AMMO Measures'!H:H,MATCH($A50,'AMMO Measures'!A:A,0)))</f>
        <v>19</v>
      </c>
      <c r="L50" s="694">
        <v>2026</v>
      </c>
      <c r="M50" s="742">
        <f>SUMIFS('AMMO Units'!F:F,'AMMO Units'!$A:$A,$L50,'AMMO Units'!$E:$E,$A50)</f>
        <v>548.92432861999998</v>
      </c>
      <c r="N50" s="743">
        <f>SUMIFS('AMMO Units'!G:G,'AMMO Units'!$A:$A,$L50,'AMMO Units'!$E:$E,$A50)</f>
        <v>0</v>
      </c>
      <c r="O50" s="761" t="s">
        <v>2574</v>
      </c>
      <c r="P50" s="744">
        <f>IF(Selection!$A$2="regional",1,IF($M50=0,0,
( INDEX(Allocation!$B:$B,MATCH(L50,Allocation!$A:$A,0)) * INDEX(UnitsFunderShareAllocation!$C:$C, MATCH($A50&amp;L50,UnitsFunderShareAllocation!$H:$H,0))
+ INDEX(Allocation!$C:$C,MATCH(L50,Allocation!$A:$A,0)) * INDEX(UnitsFunderShareAllocation!$D:$D, MATCH($A50&amp;L50,UnitsFunderShareAllocation!$H:$H,0))
+ INDEX(Allocation!$D:$D,MATCH(L50,Allocation!$A:$A,0)) * INDEX(UnitsFunderShareAllocation!$E:$E, MATCH($A50&amp;L50,UnitsFunderShareAllocation!$H:$H,0))
+ INDEX(Allocation!$E:$E,MATCH(L50,Allocation!$A:$A,0)) * INDEX(UnitsFunderShareAllocation!$F:$F, MATCH($A50&amp;L50,UnitsFunderShareAllocation!$H:$H,0)))
))</f>
        <v>0.13985600000000001</v>
      </c>
      <c r="Q50" s="745">
        <f>SUMIFS('AMMO Savings Rates'!F:F,'AMMO Savings Rates'!$E:$E,$L50,'AMMO Savings Rates'!$D:$D,$A50)</f>
        <v>1675.00583671</v>
      </c>
      <c r="R50" s="1570" t="s">
        <v>1017</v>
      </c>
      <c r="S50" s="746">
        <f t="shared" si="11"/>
        <v>1.4679315365257996E-2</v>
      </c>
      <c r="T50" s="747">
        <f t="shared" si="12"/>
        <v>0</v>
      </c>
      <c r="U50" s="748">
        <f t="shared" si="13"/>
        <v>1.4679315365257996E-2</v>
      </c>
      <c r="V50" s="32"/>
    </row>
    <row r="51" spans="1:22" ht="15">
      <c r="A51" s="768" t="s">
        <v>991</v>
      </c>
      <c r="B51" s="768" t="str">
        <f t="shared" si="9"/>
        <v>XMP_202001</v>
      </c>
      <c r="C51" s="768" t="str">
        <f>INDEX('AMMO vwFlags'!$C:$C,MATCH($A51&amp;L51,'AMMO vwFlags'!$K:$K,0))</f>
        <v>0</v>
      </c>
      <c r="D51" s="768" t="str">
        <f>INDEX('AMMO vwFlags'!$D:$D,MATCH($A51&amp;$L51,'AMMO vwFlags'!$K:$K,0))</f>
        <v>0</v>
      </c>
      <c r="E51" s="768">
        <f t="shared" si="14"/>
        <v>1</v>
      </c>
      <c r="G51" s="749" t="str">
        <f t="shared" si="10"/>
        <v>Residential</v>
      </c>
      <c r="H51" s="710" t="str">
        <f>INDEX('AMMO Units'!B:B,MATCH($A51,'AMMO Units'!$E:$E,0))</f>
        <v>XMP Pumps</v>
      </c>
      <c r="I51" s="710" t="str">
        <f>INDEX('AMMO Units'!C:C,MATCH($A51,'AMMO Units'!$E:$E,0))</f>
        <v>Residential HH Circulator</v>
      </c>
      <c r="J51" s="710" t="str">
        <f>INDEX('AMMO Units'!D:D,MATCH($A51,'AMMO Units'!$E:$E,0))</f>
        <v>Tier 1</v>
      </c>
      <c r="K51" s="750">
        <f>VALUE(INDEX('AMMO Measures'!H:H,MATCH($A51,'AMMO Measures'!A:A,0)))</f>
        <v>11.5</v>
      </c>
      <c r="L51" s="751">
        <v>2027</v>
      </c>
      <c r="M51" s="752">
        <f>SUMIFS('AMMO Units'!F:F,'AMMO Units'!$A:$A,$L51,'AMMO Units'!$E:$E,$A51)</f>
        <v>2178.6969600000002</v>
      </c>
      <c r="N51" s="753">
        <f>SUMIFS('AMMO Units'!G:G,'AMMO Units'!$A:$A,$L51,'AMMO Units'!$E:$E,$A51)</f>
        <v>41.608796480000002</v>
      </c>
      <c r="O51" s="762" t="s">
        <v>2574</v>
      </c>
      <c r="P51" s="754">
        <f>IF(Selection!$A$2="regional",1,IF($M51=0,0,
( INDEX(Allocation!$B:$B,MATCH(L51,Allocation!$A:$A,0)) * INDEX(UnitsFunderShareAllocation!$C:$C, MATCH($A51&amp;L51,UnitsFunderShareAllocation!$H:$H,0))
+ INDEX(Allocation!$C:$C,MATCH(L51,Allocation!$A:$A,0)) * INDEX(UnitsFunderShareAllocation!$D:$D, MATCH($A51&amp;L51,UnitsFunderShareAllocation!$H:$H,0))
+ INDEX(Allocation!$D:$D,MATCH(L51,Allocation!$A:$A,0)) * INDEX(UnitsFunderShareAllocation!$E:$E, MATCH($A51&amp;L51,UnitsFunderShareAllocation!$H:$H,0))
+ INDEX(Allocation!$E:$E,MATCH(L51,Allocation!$A:$A,0)) * INDEX(UnitsFunderShareAllocation!$F:$F, MATCH($A51&amp;L51,UnitsFunderShareAllocation!$H:$H,0)))
))</f>
        <v>0.13985600000000001</v>
      </c>
      <c r="Q51" s="755">
        <f>SUMIFS('AMMO Savings Rates'!F:F,'AMMO Savings Rates'!$E:$E,$L51,'AMMO Savings Rates'!$D:$D,$A51)</f>
        <v>88.399914150000001</v>
      </c>
      <c r="R51" s="1618" t="s">
        <v>1018</v>
      </c>
      <c r="S51" s="756">
        <f t="shared" si="11"/>
        <v>3.0748622690996751E-3</v>
      </c>
      <c r="T51" s="757">
        <f t="shared" si="12"/>
        <v>1.121507857969062E-6</v>
      </c>
      <c r="U51" s="758">
        <f t="shared" si="13"/>
        <v>3.0737407612417061E-3</v>
      </c>
      <c r="V51" s="32"/>
    </row>
    <row r="52" spans="1:22" ht="15">
      <c r="A52" s="768" t="s">
        <v>992</v>
      </c>
      <c r="B52" s="768" t="str">
        <f t="shared" si="9"/>
        <v>XMP_202001</v>
      </c>
      <c r="C52" s="768" t="str">
        <f>INDEX('AMMO vwFlags'!$C:$C,MATCH($A52&amp;L52,'AMMO vwFlags'!$K:$K,0))</f>
        <v>0</v>
      </c>
      <c r="D52" s="768" t="str">
        <f>INDEX('AMMO vwFlags'!$D:$D,MATCH($A52&amp;$L52,'AMMO vwFlags'!$K:$K,0))</f>
        <v>0</v>
      </c>
      <c r="E52" s="768">
        <f t="shared" si="14"/>
        <v>1</v>
      </c>
      <c r="G52" s="730" t="str">
        <f t="shared" si="10"/>
        <v>Residential</v>
      </c>
      <c r="H52" s="681" t="str">
        <f>INDEX('AMMO Units'!B:B,MATCH($A52,'AMMO Units'!$E:$E,0))</f>
        <v>XMP Pumps</v>
      </c>
      <c r="I52" s="681" t="str">
        <f>INDEX('AMMO Units'!C:C,MATCH($A52,'AMMO Units'!$E:$E,0))</f>
        <v>Residential HH Circulator</v>
      </c>
      <c r="J52" s="681" t="str">
        <f>INDEX('AMMO Units'!D:D,MATCH($A52,'AMMO Units'!$E:$E,0))</f>
        <v>Tier 2</v>
      </c>
      <c r="K52" s="731">
        <f>VALUE(INDEX('AMMO Measures'!H:H,MATCH($A52,'AMMO Measures'!A:A,0)))</f>
        <v>11.5</v>
      </c>
      <c r="L52" s="683">
        <v>2027</v>
      </c>
      <c r="M52" s="732">
        <f>SUMIFS('AMMO Units'!F:F,'AMMO Units'!$A:$A,$L52,'AMMO Units'!$E:$E,$A52)</f>
        <v>8472.2457599999998</v>
      </c>
      <c r="N52" s="733">
        <f>SUMIFS('AMMO Units'!G:G,'AMMO Units'!$A:$A,$L52,'AMMO Units'!$E:$E,$A52)</f>
        <v>0</v>
      </c>
      <c r="O52" s="760" t="s">
        <v>2574</v>
      </c>
      <c r="P52" s="734">
        <f>IF(Selection!$A$2="regional",1,IF($M52=0,0,
( INDEX(Allocation!$B:$B,MATCH(L52,Allocation!$A:$A,0)) * INDEX(UnitsFunderShareAllocation!$C:$C, MATCH($A52&amp;L52,UnitsFunderShareAllocation!$H:$H,0))
+ INDEX(Allocation!$C:$C,MATCH(L52,Allocation!$A:$A,0)) * INDEX(UnitsFunderShareAllocation!$D:$D, MATCH($A52&amp;L52,UnitsFunderShareAllocation!$H:$H,0))
+ INDEX(Allocation!$D:$D,MATCH(L52,Allocation!$A:$A,0)) * INDEX(UnitsFunderShareAllocation!$E:$E, MATCH($A52&amp;L52,UnitsFunderShareAllocation!$H:$H,0))
+ INDEX(Allocation!$E:$E,MATCH(L52,Allocation!$A:$A,0)) * INDEX(UnitsFunderShareAllocation!$F:$F, MATCH($A52&amp;L52,UnitsFunderShareAllocation!$H:$H,0)))
))</f>
        <v>0.13985600000000001</v>
      </c>
      <c r="Q52" s="735">
        <f>SUMIFS('AMMO Savings Rates'!F:F,'AMMO Savings Rates'!$E:$E,$L52,'AMMO Savings Rates'!$D:$D,$A52)</f>
        <v>165.18819289999999</v>
      </c>
      <c r="R52" s="1569" t="s">
        <v>1018</v>
      </c>
      <c r="S52" s="736">
        <f t="shared" si="11"/>
        <v>2.2343671827698482E-2</v>
      </c>
      <c r="T52" s="737">
        <f t="shared" si="12"/>
        <v>0</v>
      </c>
      <c r="U52" s="738">
        <f t="shared" si="13"/>
        <v>2.2343671827698482E-2</v>
      </c>
      <c r="V52" s="32"/>
    </row>
    <row r="53" spans="1:22" ht="15">
      <c r="A53" s="768" t="s">
        <v>993</v>
      </c>
      <c r="B53" s="768" t="str">
        <f t="shared" si="9"/>
        <v>XMP_202001</v>
      </c>
      <c r="C53" s="768" t="str">
        <f>INDEX('AMMO vwFlags'!$C:$C,MATCH($A53&amp;L53,'AMMO vwFlags'!$K:$K,0))</f>
        <v>0</v>
      </c>
      <c r="D53" s="768" t="str">
        <f>INDEX('AMMO vwFlags'!$D:$D,MATCH($A53&amp;$L53,'AMMO vwFlags'!$K:$K,0))</f>
        <v>0</v>
      </c>
      <c r="E53" s="768">
        <f t="shared" si="14"/>
        <v>1</v>
      </c>
      <c r="G53" s="730" t="str">
        <f t="shared" si="10"/>
        <v>Commercial</v>
      </c>
      <c r="H53" s="681" t="str">
        <f>INDEX('AMMO Units'!B:B,MATCH($A53,'AMMO Units'!$E:$E,0))</f>
        <v>XMP Pumps</v>
      </c>
      <c r="I53" s="681" t="str">
        <f>INDEX('AMMO Units'!C:C,MATCH($A53,'AMMO Units'!$E:$E,0))</f>
        <v>Commercial HH Circulator</v>
      </c>
      <c r="J53" s="681" t="str">
        <f>INDEX('AMMO Units'!D:D,MATCH($A53,'AMMO Units'!$E:$E,0))</f>
        <v>Tier 1</v>
      </c>
      <c r="K53" s="731">
        <f>VALUE(INDEX('AMMO Measures'!H:H,MATCH($A53,'AMMO Measures'!A:A,0)))</f>
        <v>11.5</v>
      </c>
      <c r="L53" s="683">
        <v>2027</v>
      </c>
      <c r="M53" s="732">
        <f>SUMIFS('AMMO Units'!F:F,'AMMO Units'!$A:$A,$L53,'AMMO Units'!$E:$E,$A53)</f>
        <v>8.3635199999999994</v>
      </c>
      <c r="N53" s="733">
        <f>SUMIFS('AMMO Units'!G:G,'AMMO Units'!$A:$A,$L53,'AMMO Units'!$E:$E,$A53)</f>
        <v>0</v>
      </c>
      <c r="O53" s="760" t="s">
        <v>2574</v>
      </c>
      <c r="P53" s="734">
        <f>IF(Selection!$A$2="regional",1,IF($M53=0,0,
( INDEX(Allocation!$B:$B,MATCH(L53,Allocation!$A:$A,0)) * INDEX(UnitsFunderShareAllocation!$C:$C, MATCH($A53&amp;L53,UnitsFunderShareAllocation!$H:$H,0))
+ INDEX(Allocation!$C:$C,MATCH(L53,Allocation!$A:$A,0)) * INDEX(UnitsFunderShareAllocation!$D:$D, MATCH($A53&amp;L53,UnitsFunderShareAllocation!$H:$H,0))
+ INDEX(Allocation!$D:$D,MATCH(L53,Allocation!$A:$A,0)) * INDEX(UnitsFunderShareAllocation!$E:$E, MATCH($A53&amp;L53,UnitsFunderShareAllocation!$H:$H,0))
+ INDEX(Allocation!$E:$E,MATCH(L53,Allocation!$A:$A,0)) * INDEX(UnitsFunderShareAllocation!$F:$F, MATCH($A53&amp;L53,UnitsFunderShareAllocation!$H:$H,0)))
))</f>
        <v>0.13985600000000001</v>
      </c>
      <c r="Q53" s="735">
        <f>SUMIFS('AMMO Savings Rates'!F:F,'AMMO Savings Rates'!$E:$E,$L53,'AMMO Savings Rates'!$D:$D,$A53)</f>
        <v>367.68671258000001</v>
      </c>
      <c r="R53" s="1569" t="s">
        <v>1018</v>
      </c>
      <c r="S53" s="736">
        <f t="shared" si="11"/>
        <v>4.9095765076538611E-5</v>
      </c>
      <c r="T53" s="737">
        <f t="shared" si="12"/>
        <v>0</v>
      </c>
      <c r="U53" s="738">
        <f t="shared" si="13"/>
        <v>4.9095765076538611E-5</v>
      </c>
      <c r="V53" s="32"/>
    </row>
    <row r="54" spans="1:22" ht="15">
      <c r="A54" s="768" t="s">
        <v>994</v>
      </c>
      <c r="B54" s="768" t="str">
        <f t="shared" si="9"/>
        <v>XMP_202001</v>
      </c>
      <c r="C54" s="768" t="str">
        <f>INDEX('AMMO vwFlags'!$C:$C,MATCH($A54&amp;L54,'AMMO vwFlags'!$K:$K,0))</f>
        <v>0</v>
      </c>
      <c r="D54" s="768" t="str">
        <f>INDEX('AMMO vwFlags'!$D:$D,MATCH($A54&amp;$L54,'AMMO vwFlags'!$K:$K,0))</f>
        <v>0</v>
      </c>
      <c r="E54" s="768">
        <f t="shared" si="14"/>
        <v>1</v>
      </c>
      <c r="G54" s="730" t="str">
        <f t="shared" si="10"/>
        <v>Commercial</v>
      </c>
      <c r="H54" s="681" t="str">
        <f>INDEX('AMMO Units'!B:B,MATCH($A54,'AMMO Units'!$E:$E,0))</f>
        <v>XMP Pumps</v>
      </c>
      <c r="I54" s="681" t="str">
        <f>INDEX('AMMO Units'!C:C,MATCH($A54,'AMMO Units'!$E:$E,0))</f>
        <v>Commercial HH Circulator</v>
      </c>
      <c r="J54" s="681" t="str">
        <f>INDEX('AMMO Units'!D:D,MATCH($A54,'AMMO Units'!$E:$E,0))</f>
        <v>Tier 2</v>
      </c>
      <c r="K54" s="731">
        <f>VALUE(INDEX('AMMO Measures'!H:H,MATCH($A54,'AMMO Measures'!A:A,0)))</f>
        <v>11.5</v>
      </c>
      <c r="L54" s="683">
        <v>2027</v>
      </c>
      <c r="M54" s="732">
        <f>SUMIFS('AMMO Units'!F:F,'AMMO Units'!$A:$A,$L54,'AMMO Units'!$E:$E,$A54)</f>
        <v>420.26688000000001</v>
      </c>
      <c r="N54" s="733">
        <f>SUMIFS('AMMO Units'!G:G,'AMMO Units'!$A:$A,$L54,'AMMO Units'!$E:$E,$A54)</f>
        <v>0</v>
      </c>
      <c r="O54" s="760" t="s">
        <v>2574</v>
      </c>
      <c r="P54" s="734">
        <f>IF(Selection!$A$2="regional",1,IF($M54=0,0,
( INDEX(Allocation!$B:$B,MATCH(L54,Allocation!$A:$A,0)) * INDEX(UnitsFunderShareAllocation!$C:$C, MATCH($A54&amp;L54,UnitsFunderShareAllocation!$H:$H,0))
+ INDEX(Allocation!$C:$C,MATCH(L54,Allocation!$A:$A,0)) * INDEX(UnitsFunderShareAllocation!$D:$D, MATCH($A54&amp;L54,UnitsFunderShareAllocation!$H:$H,0))
+ INDEX(Allocation!$D:$D,MATCH(L54,Allocation!$A:$A,0)) * INDEX(UnitsFunderShareAllocation!$E:$E, MATCH($A54&amp;L54,UnitsFunderShareAllocation!$H:$H,0))
+ INDEX(Allocation!$E:$E,MATCH(L54,Allocation!$A:$A,0)) * INDEX(UnitsFunderShareAllocation!$F:$F, MATCH($A54&amp;L54,UnitsFunderShareAllocation!$H:$H,0)))
))</f>
        <v>0.13985600000000001</v>
      </c>
      <c r="Q54" s="735">
        <f>SUMIFS('AMMO Savings Rates'!F:F,'AMMO Savings Rates'!$E:$E,$L54,'AMMO Savings Rates'!$D:$D,$A54)</f>
        <v>1359.82529903</v>
      </c>
      <c r="R54" s="1569" t="s">
        <v>1018</v>
      </c>
      <c r="S54" s="736">
        <f t="shared" si="11"/>
        <v>9.1240000587244369E-3</v>
      </c>
      <c r="T54" s="737">
        <f t="shared" si="12"/>
        <v>0</v>
      </c>
      <c r="U54" s="738">
        <f t="shared" si="13"/>
        <v>9.1240000587244369E-3</v>
      </c>
      <c r="V54" s="32"/>
    </row>
    <row r="55" spans="1:22" ht="15">
      <c r="A55" s="768" t="s">
        <v>995</v>
      </c>
      <c r="B55" s="768" t="str">
        <f t="shared" si="9"/>
        <v>XMP_202001</v>
      </c>
      <c r="C55" s="768" t="str">
        <f>INDEX('AMMO vwFlags'!$C:$C,MATCH($A55&amp;L55,'AMMO vwFlags'!$K:$K,0))</f>
        <v>0</v>
      </c>
      <c r="D55" s="768" t="str">
        <f>INDEX('AMMO vwFlags'!$D:$D,MATCH($A55&amp;$L55,'AMMO vwFlags'!$K:$K,0))</f>
        <v>0</v>
      </c>
      <c r="E55" s="768">
        <f t="shared" si="14"/>
        <v>1</v>
      </c>
      <c r="G55" s="730" t="str">
        <f t="shared" si="10"/>
        <v>Residential</v>
      </c>
      <c r="H55" s="681" t="str">
        <f>INDEX('AMMO Units'!B:B,MATCH($A55,'AMMO Units'!$E:$E,0))</f>
        <v>XMP Pumps</v>
      </c>
      <c r="I55" s="681" t="str">
        <f>INDEX('AMMO Units'!C:C,MATCH($A55,'AMMO Units'!$E:$E,0))</f>
        <v>Residential DHW Circulator</v>
      </c>
      <c r="J55" s="681" t="str">
        <f>INDEX('AMMO Units'!D:D,MATCH($A55,'AMMO Units'!$E:$E,0))</f>
        <v>Tier 1</v>
      </c>
      <c r="K55" s="731">
        <f>VALUE(INDEX('AMMO Measures'!H:H,MATCH($A55,'AMMO Measures'!A:A,0)))</f>
        <v>11.5</v>
      </c>
      <c r="L55" s="683">
        <v>2027</v>
      </c>
      <c r="M55" s="732">
        <f>SUMIFS('AMMO Units'!F:F,'AMMO Units'!$A:$A,$L55,'AMMO Units'!$E:$E,$A55)</f>
        <v>1655.97696</v>
      </c>
      <c r="N55" s="733">
        <f>SUMIFS('AMMO Units'!G:G,'AMMO Units'!$A:$A,$L55,'AMMO Units'!$E:$E,$A55)</f>
        <v>0</v>
      </c>
      <c r="O55" s="760" t="s">
        <v>2574</v>
      </c>
      <c r="P55" s="734">
        <f>IF(Selection!$A$2="regional",1,IF($M55=0,0,
( INDEX(Allocation!$B:$B,MATCH(L55,Allocation!$A:$A,0)) * INDEX(UnitsFunderShareAllocation!$C:$C, MATCH($A55&amp;L55,UnitsFunderShareAllocation!$H:$H,0))
+ INDEX(Allocation!$C:$C,MATCH(L55,Allocation!$A:$A,0)) * INDEX(UnitsFunderShareAllocation!$D:$D, MATCH($A55&amp;L55,UnitsFunderShareAllocation!$H:$H,0))
+ INDEX(Allocation!$D:$D,MATCH(L55,Allocation!$A:$A,0)) * INDEX(UnitsFunderShareAllocation!$E:$E, MATCH($A55&amp;L55,UnitsFunderShareAllocation!$H:$H,0))
+ INDEX(Allocation!$E:$E,MATCH(L55,Allocation!$A:$A,0)) * INDEX(UnitsFunderShareAllocation!$F:$F, MATCH($A55&amp;L55,UnitsFunderShareAllocation!$H:$H,0)))
))</f>
        <v>0.13985600000000001</v>
      </c>
      <c r="Q55" s="735">
        <f>SUMIFS('AMMO Savings Rates'!F:F,'AMMO Savings Rates'!$E:$E,$L55,'AMMO Savings Rates'!$D:$D,$A55)</f>
        <v>86.457957070000006</v>
      </c>
      <c r="R55" s="1569" t="s">
        <v>1018</v>
      </c>
      <c r="S55" s="736">
        <f t="shared" si="11"/>
        <v>2.2857896192801925E-3</v>
      </c>
      <c r="T55" s="737">
        <f t="shared" si="12"/>
        <v>0</v>
      </c>
      <c r="U55" s="738">
        <f t="shared" si="13"/>
        <v>2.2857896192801925E-3</v>
      </c>
      <c r="V55" s="32"/>
    </row>
    <row r="56" spans="1:22" ht="15">
      <c r="A56" s="768" t="s">
        <v>996</v>
      </c>
      <c r="B56" s="768" t="str">
        <f t="shared" si="9"/>
        <v>XMP_202001</v>
      </c>
      <c r="C56" s="768" t="str">
        <f>INDEX('AMMO vwFlags'!$C:$C,MATCH($A56&amp;L56,'AMMO vwFlags'!$K:$K,0))</f>
        <v>0</v>
      </c>
      <c r="D56" s="768" t="str">
        <f>INDEX('AMMO vwFlags'!$D:$D,MATCH($A56&amp;$L56,'AMMO vwFlags'!$K:$K,0))</f>
        <v>0</v>
      </c>
      <c r="E56" s="768">
        <f t="shared" si="14"/>
        <v>1</v>
      </c>
      <c r="G56" s="730" t="str">
        <f t="shared" si="10"/>
        <v>Residential</v>
      </c>
      <c r="H56" s="681" t="str">
        <f>INDEX('AMMO Units'!B:B,MATCH($A56,'AMMO Units'!$E:$E,0))</f>
        <v>XMP Pumps</v>
      </c>
      <c r="I56" s="681" t="str">
        <f>INDEX('AMMO Units'!C:C,MATCH($A56,'AMMO Units'!$E:$E,0))</f>
        <v>Residential DHW Circulator</v>
      </c>
      <c r="J56" s="681" t="str">
        <f>INDEX('AMMO Units'!D:D,MATCH($A56,'AMMO Units'!$E:$E,0))</f>
        <v>Tier 2</v>
      </c>
      <c r="K56" s="731">
        <f>VALUE(INDEX('AMMO Measures'!H:H,MATCH($A56,'AMMO Measures'!A:A,0)))</f>
        <v>11.5</v>
      </c>
      <c r="L56" s="683">
        <v>2027</v>
      </c>
      <c r="M56" s="732">
        <f>SUMIFS('AMMO Units'!F:F,'AMMO Units'!$A:$A,$L56,'AMMO Units'!$E:$E,$A56)</f>
        <v>1856.70144</v>
      </c>
      <c r="N56" s="733">
        <f>SUMIFS('AMMO Units'!G:G,'AMMO Units'!$A:$A,$L56,'AMMO Units'!$E:$E,$A56)</f>
        <v>0</v>
      </c>
      <c r="O56" s="760" t="s">
        <v>2574</v>
      </c>
      <c r="P56" s="734">
        <f>IF(Selection!$A$2="regional",1,IF($M56=0,0,
( INDEX(Allocation!$B:$B,MATCH(L56,Allocation!$A:$A,0)) * INDEX(UnitsFunderShareAllocation!$C:$C, MATCH($A56&amp;L56,UnitsFunderShareAllocation!$H:$H,0))
+ INDEX(Allocation!$C:$C,MATCH(L56,Allocation!$A:$A,0)) * INDEX(UnitsFunderShareAllocation!$D:$D, MATCH($A56&amp;L56,UnitsFunderShareAllocation!$H:$H,0))
+ INDEX(Allocation!$D:$D,MATCH(L56,Allocation!$A:$A,0)) * INDEX(UnitsFunderShareAllocation!$E:$E, MATCH($A56&amp;L56,UnitsFunderShareAllocation!$H:$H,0))
+ INDEX(Allocation!$E:$E,MATCH(L56,Allocation!$A:$A,0)) * INDEX(UnitsFunderShareAllocation!$F:$F, MATCH($A56&amp;L56,UnitsFunderShareAllocation!$H:$H,0)))
))</f>
        <v>0.13985600000000001</v>
      </c>
      <c r="Q56" s="735">
        <f>SUMIFS('AMMO Savings Rates'!F:F,'AMMO Savings Rates'!$E:$E,$L56,'AMMO Savings Rates'!$D:$D,$A56)</f>
        <v>683.99400856</v>
      </c>
      <c r="R56" s="1569" t="s">
        <v>1018</v>
      </c>
      <c r="S56" s="736">
        <f t="shared" si="11"/>
        <v>2.0275490459717875E-2</v>
      </c>
      <c r="T56" s="737">
        <f t="shared" si="12"/>
        <v>0</v>
      </c>
      <c r="U56" s="738">
        <f t="shared" si="13"/>
        <v>2.0275490459717875E-2</v>
      </c>
      <c r="V56" s="32"/>
    </row>
    <row r="57" spans="1:22" ht="15">
      <c r="A57" s="768" t="s">
        <v>997</v>
      </c>
      <c r="B57" s="768" t="str">
        <f t="shared" si="9"/>
        <v>XMP_202001</v>
      </c>
      <c r="C57" s="768" t="str">
        <f>INDEX('AMMO vwFlags'!$C:$C,MATCH($A57&amp;L57,'AMMO vwFlags'!$K:$K,0))</f>
        <v>0</v>
      </c>
      <c r="D57" s="768" t="str">
        <f>INDEX('AMMO vwFlags'!$D:$D,MATCH($A57&amp;$L57,'AMMO vwFlags'!$K:$K,0))</f>
        <v>0</v>
      </c>
      <c r="E57" s="768">
        <f t="shared" si="14"/>
        <v>1</v>
      </c>
      <c r="G57" s="730" t="str">
        <f t="shared" si="10"/>
        <v>Residential</v>
      </c>
      <c r="H57" s="681" t="str">
        <f>INDEX('AMMO Units'!B:B,MATCH($A57,'AMMO Units'!$E:$E,0))</f>
        <v>XMP Pumps</v>
      </c>
      <c r="I57" s="681" t="str">
        <f>INDEX('AMMO Units'!C:C,MATCH($A57,'AMMO Units'!$E:$E,0))</f>
        <v>Residential DHW Circulator</v>
      </c>
      <c r="J57" s="681" t="str">
        <f>INDEX('AMMO Units'!D:D,MATCH($A57,'AMMO Units'!$E:$E,0))</f>
        <v>Tier 3</v>
      </c>
      <c r="K57" s="731">
        <f>VALUE(INDEX('AMMO Measures'!H:H,MATCH($A57,'AMMO Measures'!A:A,0)))</f>
        <v>11.5</v>
      </c>
      <c r="L57" s="683">
        <v>2027</v>
      </c>
      <c r="M57" s="732">
        <f>SUMIFS('AMMO Units'!F:F,'AMMO Units'!$A:$A,$L57,'AMMO Units'!$E:$E,$A57)</f>
        <v>4959.56736</v>
      </c>
      <c r="N57" s="733">
        <f>SUMIFS('AMMO Units'!G:G,'AMMO Units'!$A:$A,$L57,'AMMO Units'!$E:$E,$A57)</f>
        <v>3.2307400400000001</v>
      </c>
      <c r="O57" s="760" t="s">
        <v>2574</v>
      </c>
      <c r="P57" s="734">
        <f>IF(Selection!$A$2="regional",1,IF($M57=0,0,
( INDEX(Allocation!$B:$B,MATCH(L57,Allocation!$A:$A,0)) * INDEX(UnitsFunderShareAllocation!$C:$C, MATCH($A57&amp;L57,UnitsFunderShareAllocation!$H:$H,0))
+ INDEX(Allocation!$C:$C,MATCH(L57,Allocation!$A:$A,0)) * INDEX(UnitsFunderShareAllocation!$D:$D, MATCH($A57&amp;L57,UnitsFunderShareAllocation!$H:$H,0))
+ INDEX(Allocation!$D:$D,MATCH(L57,Allocation!$A:$A,0)) * INDEX(UnitsFunderShareAllocation!$E:$E, MATCH($A57&amp;L57,UnitsFunderShareAllocation!$H:$H,0))
+ INDEX(Allocation!$E:$E,MATCH(L57,Allocation!$A:$A,0)) * INDEX(UnitsFunderShareAllocation!$F:$F, MATCH($A57&amp;L57,UnitsFunderShareAllocation!$H:$H,0)))
))</f>
        <v>0.13985600000000001</v>
      </c>
      <c r="Q57" s="735">
        <f>SUMIFS('AMMO Savings Rates'!F:F,'AMMO Savings Rates'!$E:$E,$L57,'AMMO Savings Rates'!$D:$D,$A57)</f>
        <v>918.90977250000003</v>
      </c>
      <c r="R57" s="1569" t="s">
        <v>1018</v>
      </c>
      <c r="S57" s="736">
        <f t="shared" si="11"/>
        <v>7.2760162461068381E-2</v>
      </c>
      <c r="T57" s="737">
        <f t="shared" si="12"/>
        <v>3.0875222929668471E-8</v>
      </c>
      <c r="U57" s="738">
        <f t="shared" si="13"/>
        <v>7.2760131585845447E-2</v>
      </c>
      <c r="V57" s="32"/>
    </row>
    <row r="58" spans="1:22" ht="15">
      <c r="A58" s="768" t="s">
        <v>998</v>
      </c>
      <c r="B58" s="768" t="str">
        <f t="shared" si="9"/>
        <v>XMP_202001</v>
      </c>
      <c r="C58" s="768" t="str">
        <f>INDEX('AMMO vwFlags'!$C:$C,MATCH($A58&amp;L58,'AMMO vwFlags'!$K:$K,0))</f>
        <v>0</v>
      </c>
      <c r="D58" s="768" t="str">
        <f>INDEX('AMMO vwFlags'!$D:$D,MATCH($A58&amp;$L58,'AMMO vwFlags'!$K:$K,0))</f>
        <v>0</v>
      </c>
      <c r="E58" s="768">
        <f t="shared" si="14"/>
        <v>1</v>
      </c>
      <c r="G58" s="730" t="str">
        <f t="shared" si="10"/>
        <v>Commercial</v>
      </c>
      <c r="H58" s="681" t="str">
        <f>INDEX('AMMO Units'!B:B,MATCH($A58,'AMMO Units'!$E:$E,0))</f>
        <v>XMP Pumps</v>
      </c>
      <c r="I58" s="681" t="str">
        <f>INDEX('AMMO Units'!C:C,MATCH($A58,'AMMO Units'!$E:$E,0))</f>
        <v>Commercial DHW Circulator</v>
      </c>
      <c r="J58" s="681" t="str">
        <f>INDEX('AMMO Units'!D:D,MATCH($A58,'AMMO Units'!$E:$E,0))</f>
        <v>Tier 1</v>
      </c>
      <c r="K58" s="739">
        <f>VALUE(INDEX('AMMO Measures'!H:H,MATCH($A58,'AMMO Measures'!A:A,0)))</f>
        <v>11.5</v>
      </c>
      <c r="L58" s="683">
        <v>2027</v>
      </c>
      <c r="M58" s="732">
        <f>SUMIFS('AMMO Units'!F:F,'AMMO Units'!$A:$A,$L58,'AMMO Units'!$E:$E,$A58)</f>
        <v>27.181439999999998</v>
      </c>
      <c r="N58" s="733">
        <f>SUMIFS('AMMO Units'!G:G,'AMMO Units'!$A:$A,$L58,'AMMO Units'!$E:$E,$A58)</f>
        <v>0</v>
      </c>
      <c r="O58" s="760" t="s">
        <v>2574</v>
      </c>
      <c r="P58" s="734">
        <f>IF(Selection!$A$2="regional",1,IF($M58=0,0,
( INDEX(Allocation!$B:$B,MATCH(L58,Allocation!$A:$A,0)) * INDEX(UnitsFunderShareAllocation!$C:$C, MATCH($A58&amp;L58,UnitsFunderShareAllocation!$H:$H,0))
+ INDEX(Allocation!$C:$C,MATCH(L58,Allocation!$A:$A,0)) * INDEX(UnitsFunderShareAllocation!$D:$D, MATCH($A58&amp;L58,UnitsFunderShareAllocation!$H:$H,0))
+ INDEX(Allocation!$D:$D,MATCH(L58,Allocation!$A:$A,0)) * INDEX(UnitsFunderShareAllocation!$E:$E, MATCH($A58&amp;L58,UnitsFunderShareAllocation!$H:$H,0))
+ INDEX(Allocation!$E:$E,MATCH(L58,Allocation!$A:$A,0)) * INDEX(UnitsFunderShareAllocation!$F:$F, MATCH($A58&amp;L58,UnitsFunderShareAllocation!$H:$H,0)))
))</f>
        <v>0.13985600000000001</v>
      </c>
      <c r="Q58" s="735">
        <f>SUMIFS('AMMO Savings Rates'!F:F,'AMMO Savings Rates'!$E:$E,$L58,'AMMO Savings Rates'!$D:$D,$A58)</f>
        <v>35.318576919999998</v>
      </c>
      <c r="R58" s="1569" t="s">
        <v>1018</v>
      </c>
      <c r="S58" s="736">
        <f t="shared" si="11"/>
        <v>1.5326841063110984E-5</v>
      </c>
      <c r="T58" s="737">
        <f t="shared" si="12"/>
        <v>0</v>
      </c>
      <c r="U58" s="738">
        <f t="shared" si="13"/>
        <v>1.5326841063110984E-5</v>
      </c>
      <c r="V58" s="32"/>
    </row>
    <row r="59" spans="1:22" ht="15">
      <c r="A59" s="768" t="s">
        <v>999</v>
      </c>
      <c r="B59" s="768" t="str">
        <f t="shared" si="9"/>
        <v>XMP_202001</v>
      </c>
      <c r="C59" s="768" t="str">
        <f>INDEX('AMMO vwFlags'!$C:$C,MATCH($A59&amp;L59,'AMMO vwFlags'!$K:$K,0))</f>
        <v>0</v>
      </c>
      <c r="D59" s="768" t="str">
        <f>INDEX('AMMO vwFlags'!$D:$D,MATCH($A59&amp;$L59,'AMMO vwFlags'!$K:$K,0))</f>
        <v>0</v>
      </c>
      <c r="E59" s="768">
        <f t="shared" si="14"/>
        <v>1</v>
      </c>
      <c r="G59" s="730" t="str">
        <f t="shared" si="10"/>
        <v>Commercial</v>
      </c>
      <c r="H59" s="681" t="str">
        <f>INDEX('AMMO Units'!B:B,MATCH($A59,'AMMO Units'!$E:$E,0))</f>
        <v>XMP Pumps</v>
      </c>
      <c r="I59" s="681" t="str">
        <f>INDEX('AMMO Units'!C:C,MATCH($A59,'AMMO Units'!$E:$E,0))</f>
        <v>Commercial DHW Circulator</v>
      </c>
      <c r="J59" s="681" t="str">
        <f>INDEX('AMMO Units'!D:D,MATCH($A59,'AMMO Units'!$E:$E,0))</f>
        <v>Tier 2</v>
      </c>
      <c r="K59" s="731">
        <f>VALUE(INDEX('AMMO Measures'!H:H,MATCH($A59,'AMMO Measures'!A:A,0)))</f>
        <v>11.5</v>
      </c>
      <c r="L59" s="683">
        <v>2027</v>
      </c>
      <c r="M59" s="732">
        <f>SUMIFS('AMMO Units'!F:F,'AMMO Units'!$A:$A,$L59,'AMMO Units'!$E:$E,$A59)</f>
        <v>29</v>
      </c>
      <c r="N59" s="733">
        <f>SUMIFS('AMMO Units'!G:G,'AMMO Units'!$A:$A,$L59,'AMMO Units'!$E:$E,$A59)</f>
        <v>0</v>
      </c>
      <c r="O59" s="760" t="s">
        <v>2574</v>
      </c>
      <c r="P59" s="734">
        <f>IF(Selection!$A$2="regional",1,IF($M59=0,0,
( INDEX(Allocation!$B:$B,MATCH(L59,Allocation!$A:$A,0)) * INDEX(UnitsFunderShareAllocation!$C:$C, MATCH($A59&amp;L59,UnitsFunderShareAllocation!$H:$H,0))
+ INDEX(Allocation!$C:$C,MATCH(L59,Allocation!$A:$A,0)) * INDEX(UnitsFunderShareAllocation!$D:$D, MATCH($A59&amp;L59,UnitsFunderShareAllocation!$H:$H,0))
+ INDEX(Allocation!$D:$D,MATCH(L59,Allocation!$A:$A,0)) * INDEX(UnitsFunderShareAllocation!$E:$E, MATCH($A59&amp;L59,UnitsFunderShareAllocation!$H:$H,0))
+ INDEX(Allocation!$E:$E,MATCH(L59,Allocation!$A:$A,0)) * INDEX(UnitsFunderShareAllocation!$F:$F, MATCH($A59&amp;L59,UnitsFunderShareAllocation!$H:$H,0)))
))</f>
        <v>0.13985600000000001</v>
      </c>
      <c r="Q59" s="735">
        <f>SUMIFS('AMMO Savings Rates'!F:F,'AMMO Savings Rates'!$E:$E,$L59,'AMMO Savings Rates'!$D:$D,$A59)</f>
        <v>3938.2112293999999</v>
      </c>
      <c r="R59" s="1569" t="s">
        <v>1018</v>
      </c>
      <c r="S59" s="736">
        <f t="shared" si="11"/>
        <v>1.8233666234326515E-3</v>
      </c>
      <c r="T59" s="737">
        <f t="shared" si="12"/>
        <v>0</v>
      </c>
      <c r="U59" s="738">
        <f t="shared" si="13"/>
        <v>1.8233666234326515E-3</v>
      </c>
      <c r="V59" s="32"/>
    </row>
    <row r="60" spans="1:22" ht="15">
      <c r="A60" s="768" t="s">
        <v>1000</v>
      </c>
      <c r="B60" s="768" t="str">
        <f t="shared" si="9"/>
        <v>XMP_202001</v>
      </c>
      <c r="C60" s="768" t="str">
        <f>INDEX('AMMO vwFlags'!$C:$C,MATCH($A60&amp;L60,'AMMO vwFlags'!$K:$K,0))</f>
        <v>0</v>
      </c>
      <c r="D60" s="768" t="str">
        <f>INDEX('AMMO vwFlags'!$D:$D,MATCH($A60&amp;$L60,'AMMO vwFlags'!$K:$K,0))</f>
        <v>0</v>
      </c>
      <c r="E60" s="768">
        <f t="shared" si="14"/>
        <v>1</v>
      </c>
      <c r="G60" s="730" t="str">
        <f t="shared" si="10"/>
        <v>Commercial</v>
      </c>
      <c r="H60" s="681" t="str">
        <f>INDEX('AMMO Units'!B:B,MATCH($A60,'AMMO Units'!$E:$E,0))</f>
        <v>XMP Pumps</v>
      </c>
      <c r="I60" s="681" t="str">
        <f>INDEX('AMMO Units'!C:C,MATCH($A60,'AMMO Units'!$E:$E,0))</f>
        <v>Commercial DHW Circulator</v>
      </c>
      <c r="J60" s="681" t="str">
        <f>INDEX('AMMO Units'!D:D,MATCH($A60,'AMMO Units'!$E:$E,0))</f>
        <v>Tier 3</v>
      </c>
      <c r="K60" s="739">
        <f>VALUE(INDEX('AMMO Measures'!H:H,MATCH($A60,'AMMO Measures'!A:A,0)))</f>
        <v>11.5</v>
      </c>
      <c r="L60" s="683">
        <v>2027</v>
      </c>
      <c r="M60" s="732">
        <f>SUMIFS('AMMO Units'!F:F,'AMMO Units'!$A:$A,$L60,'AMMO Units'!$E:$E,$A60)</f>
        <v>108.72575999999999</v>
      </c>
      <c r="N60" s="733">
        <f>SUMIFS('AMMO Units'!G:G,'AMMO Units'!$A:$A,$L60,'AMMO Units'!$E:$E,$A60)</f>
        <v>0.17671234999999999</v>
      </c>
      <c r="O60" s="760" t="s">
        <v>2574</v>
      </c>
      <c r="P60" s="734">
        <f>IF(Selection!$A$2="regional",1,IF($M60=0,0,
( INDEX(Allocation!$B:$B,MATCH(L60,Allocation!$A:$A,0)) * INDEX(UnitsFunderShareAllocation!$C:$C, MATCH($A60&amp;L60,UnitsFunderShareAllocation!$H:$H,0))
+ INDEX(Allocation!$C:$C,MATCH(L60,Allocation!$A:$A,0)) * INDEX(UnitsFunderShareAllocation!$D:$D, MATCH($A60&amp;L60,UnitsFunderShareAllocation!$H:$H,0))
+ INDEX(Allocation!$D:$D,MATCH(L60,Allocation!$A:$A,0)) * INDEX(UnitsFunderShareAllocation!$E:$E, MATCH($A60&amp;L60,UnitsFunderShareAllocation!$H:$H,0))
+ INDEX(Allocation!$E:$E,MATCH(L60,Allocation!$A:$A,0)) * INDEX(UnitsFunderShareAllocation!$F:$F, MATCH($A60&amp;L60,UnitsFunderShareAllocation!$H:$H,0)))
))</f>
        <v>0.13985600000000001</v>
      </c>
      <c r="Q60" s="735">
        <f>SUMIFS('AMMO Savings Rates'!F:F,'AMMO Savings Rates'!$E:$E,$L60,'AMMO Savings Rates'!$D:$D,$A60)</f>
        <v>6601.4629462499997</v>
      </c>
      <c r="R60" s="1569" t="s">
        <v>1018</v>
      </c>
      <c r="S60" s="736">
        <f t="shared" si="11"/>
        <v>1.145907702797558E-2</v>
      </c>
      <c r="T60" s="737">
        <f t="shared" si="12"/>
        <v>3.027042644698852E-8</v>
      </c>
      <c r="U60" s="738">
        <f t="shared" si="13"/>
        <v>1.1459046757549133E-2</v>
      </c>
      <c r="V60" s="32"/>
    </row>
    <row r="61" spans="1:22" ht="26.25">
      <c r="A61" s="768" t="s">
        <v>1001</v>
      </c>
      <c r="B61" s="768" t="str">
        <f t="shared" si="9"/>
        <v>XMP_202001</v>
      </c>
      <c r="C61" s="768" t="str">
        <f>INDEX('AMMO vwFlags'!$C:$C,MATCH($A61&amp;L61,'AMMO vwFlags'!$K:$K,0))</f>
        <v>0</v>
      </c>
      <c r="D61" s="768" t="str">
        <f>INDEX('AMMO vwFlags'!$D:$D,MATCH($A61&amp;$L61,'AMMO vwFlags'!$K:$K,0))</f>
        <v>0</v>
      </c>
      <c r="E61" s="768">
        <f t="shared" si="14"/>
        <v>1</v>
      </c>
      <c r="G61" s="730" t="str">
        <f t="shared" si="10"/>
        <v>Commercial</v>
      </c>
      <c r="H61" s="681" t="str">
        <f>INDEX('AMMO Units'!B:B,MATCH($A61,'AMMO Units'!$E:$E,0))</f>
        <v>XMP Pumps</v>
      </c>
      <c r="I61" s="681" t="str">
        <f>INDEX('AMMO Units'!C:C,MATCH($A61,'AMMO Units'!$E:$E,0))</f>
        <v>Commercial CS Pump</v>
      </c>
      <c r="J61" s="681" t="str">
        <f>INDEX('AMMO Units'!D:D,MATCH($A61,'AMMO Units'!$E:$E,0))</f>
        <v>Single Tier</v>
      </c>
      <c r="K61" s="731">
        <f>VALUE(INDEX('AMMO Measures'!H:H,MATCH($A61,'AMMO Measures'!A:A,0)))</f>
        <v>19</v>
      </c>
      <c r="L61" s="683">
        <v>2027</v>
      </c>
      <c r="M61" s="732">
        <f>SUMIFS('AMMO Units'!F:F,'AMMO Units'!$A:$A,$L61,'AMMO Units'!$E:$E,$A61)</f>
        <v>2627.85363542</v>
      </c>
      <c r="N61" s="733">
        <f>SUMIFS('AMMO Units'!G:G,'AMMO Units'!$A:$A,$L61,'AMMO Units'!$E:$E,$A61)</f>
        <v>0</v>
      </c>
      <c r="O61" s="760" t="s">
        <v>2574</v>
      </c>
      <c r="P61" s="734">
        <f>IF(Selection!$A$2="regional",1,IF($M61=0,0,
( INDEX(Allocation!$B:$B,MATCH(L61,Allocation!$A:$A,0)) * INDEX(UnitsFunderShareAllocation!$C:$C, MATCH($A61&amp;L61,UnitsFunderShareAllocation!$H:$H,0))
+ INDEX(Allocation!$C:$C,MATCH(L61,Allocation!$A:$A,0)) * INDEX(UnitsFunderShareAllocation!$D:$D, MATCH($A61&amp;L61,UnitsFunderShareAllocation!$H:$H,0))
+ INDEX(Allocation!$D:$D,MATCH(L61,Allocation!$A:$A,0)) * INDEX(UnitsFunderShareAllocation!$E:$E, MATCH($A61&amp;L61,UnitsFunderShareAllocation!$H:$H,0))
+ INDEX(Allocation!$E:$E,MATCH(L61,Allocation!$A:$A,0)) * INDEX(UnitsFunderShareAllocation!$F:$F, MATCH($A61&amp;L61,UnitsFunderShareAllocation!$H:$H,0)))
))</f>
        <v>0.13985600000000001</v>
      </c>
      <c r="Q61" s="735">
        <f>SUMIFS('AMMO Savings Rates'!F:F,'AMMO Savings Rates'!$E:$E,$L61,'AMMO Savings Rates'!$D:$D,$A61)</f>
        <v>762.70538210999996</v>
      </c>
      <c r="R61" s="1569" t="s">
        <v>2707</v>
      </c>
      <c r="S61" s="736">
        <f t="shared" si="11"/>
        <v>3.199889492128994E-2</v>
      </c>
      <c r="T61" s="737">
        <f t="shared" si="12"/>
        <v>0</v>
      </c>
      <c r="U61" s="738">
        <f t="shared" si="13"/>
        <v>3.199889492128994E-2</v>
      </c>
      <c r="V61" s="32"/>
    </row>
    <row r="62" spans="1:22" ht="26.25">
      <c r="A62" s="768" t="s">
        <v>1002</v>
      </c>
      <c r="B62" s="768" t="str">
        <f t="shared" si="9"/>
        <v>XMP_202001</v>
      </c>
      <c r="C62" s="768" t="str">
        <f>INDEX('AMMO vwFlags'!$C:$C,MATCH($A62&amp;L62,'AMMO vwFlags'!$K:$K,0))</f>
        <v>0</v>
      </c>
      <c r="D62" s="768" t="str">
        <f>INDEX('AMMO vwFlags'!$D:$D,MATCH($A62&amp;$L62,'AMMO vwFlags'!$K:$K,0))</f>
        <v>0</v>
      </c>
      <c r="E62" s="768">
        <f t="shared" si="14"/>
        <v>1</v>
      </c>
      <c r="G62" s="730" t="str">
        <f t="shared" si="10"/>
        <v>Commercial</v>
      </c>
      <c r="H62" s="681" t="str">
        <f>INDEX('AMMO Units'!B:B,MATCH($A62,'AMMO Units'!$E:$E,0))</f>
        <v>XMP Pumps</v>
      </c>
      <c r="I62" s="681" t="str">
        <f>INDEX('AMMO Units'!C:C,MATCH($A62,'AMMO Units'!$E:$E,0))</f>
        <v>Commercial VS Pump</v>
      </c>
      <c r="J62" s="681" t="str">
        <f>INDEX('AMMO Units'!D:D,MATCH($A62,'AMMO Units'!$E:$E,0))</f>
        <v>Tier 1</v>
      </c>
      <c r="K62" s="739">
        <f>VALUE(INDEX('AMMO Measures'!H:H,MATCH($A62,'AMMO Measures'!A:A,0)))</f>
        <v>19</v>
      </c>
      <c r="L62" s="683">
        <v>2027</v>
      </c>
      <c r="M62" s="732">
        <f>SUMIFS('AMMO Units'!F:F,'AMMO Units'!$A:$A,$L62,'AMMO Units'!$E:$E,$A62)</f>
        <v>489.25079878999998</v>
      </c>
      <c r="N62" s="733">
        <f>SUMIFS('AMMO Units'!G:G,'AMMO Units'!$A:$A,$L62,'AMMO Units'!$E:$E,$A62)</f>
        <v>0</v>
      </c>
      <c r="O62" s="760" t="s">
        <v>2574</v>
      </c>
      <c r="P62" s="734">
        <f>IF(Selection!$A$2="regional",1,IF($M62=0,0,
( INDEX(Allocation!$B:$B,MATCH(L62,Allocation!$A:$A,0)) * INDEX(UnitsFunderShareAllocation!$C:$C, MATCH($A62&amp;L62,UnitsFunderShareAllocation!$H:$H,0))
+ INDEX(Allocation!$C:$C,MATCH(L62,Allocation!$A:$A,0)) * INDEX(UnitsFunderShareAllocation!$D:$D, MATCH($A62&amp;L62,UnitsFunderShareAllocation!$H:$H,0))
+ INDEX(Allocation!$D:$D,MATCH(L62,Allocation!$A:$A,0)) * INDEX(UnitsFunderShareAllocation!$E:$E, MATCH($A62&amp;L62,UnitsFunderShareAllocation!$H:$H,0))
+ INDEX(Allocation!$E:$E,MATCH(L62,Allocation!$A:$A,0)) * INDEX(UnitsFunderShareAllocation!$F:$F, MATCH($A62&amp;L62,UnitsFunderShareAllocation!$H:$H,0)))
))</f>
        <v>0.13985600000000001</v>
      </c>
      <c r="Q62" s="735">
        <f>SUMIFS('AMMO Savings Rates'!F:F,'AMMO Savings Rates'!$E:$E,$L62,'AMMO Savings Rates'!$D:$D,$A62)</f>
        <v>832.03513528999997</v>
      </c>
      <c r="R62" s="1569" t="s">
        <v>2709</v>
      </c>
      <c r="S62" s="736">
        <f t="shared" si="11"/>
        <v>6.4990549090890434E-3</v>
      </c>
      <c r="T62" s="737">
        <f t="shared" si="12"/>
        <v>0</v>
      </c>
      <c r="U62" s="738">
        <f t="shared" si="13"/>
        <v>6.4990549090890434E-3</v>
      </c>
      <c r="V62" s="32"/>
    </row>
    <row r="63" spans="1:22" ht="26.25">
      <c r="A63" s="768" t="s">
        <v>1003</v>
      </c>
      <c r="B63" s="768" t="str">
        <f t="shared" si="9"/>
        <v>XMP_202001</v>
      </c>
      <c r="C63" s="768" t="str">
        <f>INDEX('AMMO vwFlags'!$C:$C,MATCH($A63&amp;L63,'AMMO vwFlags'!$K:$K,0))</f>
        <v>0</v>
      </c>
      <c r="D63" s="768" t="str">
        <f>INDEX('AMMO vwFlags'!$D:$D,MATCH($A63&amp;$L63,'AMMO vwFlags'!$K:$K,0))</f>
        <v>0</v>
      </c>
      <c r="E63" s="768">
        <f t="shared" si="14"/>
        <v>1</v>
      </c>
      <c r="G63" s="740" t="str">
        <f t="shared" si="10"/>
        <v>Commercial</v>
      </c>
      <c r="H63" s="687" t="str">
        <f>INDEX('AMMO Units'!B:B,MATCH($A63,'AMMO Units'!$E:$E,0))</f>
        <v>XMP Pumps</v>
      </c>
      <c r="I63" s="687" t="str">
        <f>INDEX('AMMO Units'!C:C,MATCH($A63,'AMMO Units'!$E:$E,0))</f>
        <v>Commercial VS Pump</v>
      </c>
      <c r="J63" s="687" t="str">
        <f>INDEX('AMMO Units'!D:D,MATCH($A63,'AMMO Units'!$E:$E,0))</f>
        <v>Tier 2</v>
      </c>
      <c r="K63" s="741">
        <f>VALUE(INDEX('AMMO Measures'!H:H,MATCH($A63,'AMMO Measures'!A:A,0)))</f>
        <v>19</v>
      </c>
      <c r="L63" s="694">
        <v>2027</v>
      </c>
      <c r="M63" s="742">
        <f>SUMIFS('AMMO Units'!F:F,'AMMO Units'!$A:$A,$L63,'AMMO Units'!$E:$E,$A63)</f>
        <v>555.48125627000002</v>
      </c>
      <c r="N63" s="743">
        <f>SUMIFS('AMMO Units'!G:G,'AMMO Units'!$A:$A,$L63,'AMMO Units'!$E:$E,$A63)</f>
        <v>0</v>
      </c>
      <c r="O63" s="761" t="s">
        <v>2574</v>
      </c>
      <c r="P63" s="1619">
        <f>IF(Selection!$A$2="regional",1,IF($M63=0,0,
( INDEX(Allocation!$B:$B,MATCH(L63,Allocation!$A:$A,0)) * INDEX(UnitsFunderShareAllocation!$C:$C, MATCH($A63&amp;L63,UnitsFunderShareAllocation!$H:$H,0))
+ INDEX(Allocation!$C:$C,MATCH(L63,Allocation!$A:$A,0)) * INDEX(UnitsFunderShareAllocation!$D:$D, MATCH($A63&amp;L63,UnitsFunderShareAllocation!$H:$H,0))
+ INDEX(Allocation!$D:$D,MATCH(L63,Allocation!$A:$A,0)) * INDEX(UnitsFunderShareAllocation!$E:$E, MATCH($A63&amp;L63,UnitsFunderShareAllocation!$H:$H,0))
+ INDEX(Allocation!$E:$E,MATCH(L63,Allocation!$A:$A,0)) * INDEX(UnitsFunderShareAllocation!$F:$F, MATCH($A63&amp;L63,UnitsFunderShareAllocation!$H:$H,0)))
))</f>
        <v>0.13985600000000001</v>
      </c>
      <c r="Q63" s="745">
        <f>SUMIFS('AMMO Savings Rates'!F:F,'AMMO Savings Rates'!$E:$E,$L63,'AMMO Savings Rates'!$D:$D,$A63)</f>
        <v>1675.00583671</v>
      </c>
      <c r="R63" s="1570" t="s">
        <v>1017</v>
      </c>
      <c r="S63" s="746">
        <f t="shared" si="11"/>
        <v>1.485466049715169E-2</v>
      </c>
      <c r="T63" s="747">
        <f t="shared" si="12"/>
        <v>0</v>
      </c>
      <c r="U63" s="748">
        <f t="shared" si="13"/>
        <v>1.485466049715169E-2</v>
      </c>
      <c r="V63" s="32"/>
    </row>
    <row r="65" spans="1:21" ht="12.75" customHeight="1">
      <c r="G65" s="44" t="s">
        <v>671</v>
      </c>
      <c r="H65" s="7"/>
      <c r="I65" s="7"/>
      <c r="J65" s="7"/>
      <c r="K65" s="7"/>
      <c r="L65" s="15"/>
    </row>
    <row r="66" spans="1:21" ht="26.25" customHeight="1">
      <c r="G66" s="1740" t="s">
        <v>1893</v>
      </c>
      <c r="H66" s="1741"/>
      <c r="I66" s="1741"/>
      <c r="J66" s="1741"/>
      <c r="K66" s="1742"/>
      <c r="L66" s="1743"/>
    </row>
    <row r="70" spans="1:21" s="50" customFormat="1" ht="12.75" customHeight="1">
      <c r="A70" s="768"/>
      <c r="B70" s="768"/>
      <c r="C70" s="768"/>
      <c r="D70" s="768"/>
      <c r="E70" s="768"/>
      <c r="F70" s="768"/>
      <c r="G70" s="210" t="s">
        <v>186</v>
      </c>
      <c r="M70" s="51"/>
      <c r="N70" s="51"/>
      <c r="O70" s="51"/>
      <c r="R70" s="125"/>
      <c r="U70" s="52"/>
    </row>
    <row r="71" spans="1:21" s="50" customFormat="1" ht="12.75" customHeight="1">
      <c r="A71" s="768"/>
      <c r="B71" s="768"/>
      <c r="C71" s="768"/>
      <c r="D71" s="768"/>
      <c r="E71" s="768"/>
      <c r="F71" s="768"/>
      <c r="G71" s="127" t="s">
        <v>1085</v>
      </c>
      <c r="M71" s="51"/>
      <c r="N71" s="51"/>
      <c r="O71" s="51"/>
      <c r="R71" s="125"/>
      <c r="U71" s="52"/>
    </row>
    <row r="72" spans="1:21" s="50" customFormat="1" ht="129.75" customHeight="1">
      <c r="A72" s="768"/>
      <c r="B72" s="768"/>
      <c r="C72" s="768"/>
      <c r="D72" s="768"/>
      <c r="E72" s="768"/>
      <c r="F72" s="768"/>
      <c r="G72" s="1731" t="s">
        <v>2724</v>
      </c>
      <c r="H72" s="1732"/>
      <c r="I72" s="1732"/>
      <c r="J72" s="1732"/>
      <c r="K72" s="1733"/>
      <c r="L72" s="1734"/>
      <c r="M72" s="51"/>
      <c r="N72" s="51"/>
      <c r="O72" s="51"/>
      <c r="R72" s="125"/>
      <c r="U72" s="52"/>
    </row>
    <row r="73" spans="1:21" s="50" customFormat="1">
      <c r="A73" s="768"/>
      <c r="B73" s="768"/>
      <c r="C73" s="768"/>
      <c r="D73" s="768"/>
      <c r="E73" s="768"/>
      <c r="F73" s="768"/>
      <c r="G73" s="280"/>
      <c r="H73" s="280"/>
      <c r="I73" s="280"/>
      <c r="J73" s="280"/>
      <c r="K73" s="280"/>
      <c r="L73" s="280"/>
      <c r="M73" s="51"/>
      <c r="N73" s="51"/>
      <c r="O73" s="51"/>
      <c r="R73" s="125"/>
      <c r="U73" s="52"/>
    </row>
    <row r="74" spans="1:21" s="50" customFormat="1" ht="16.350000000000001" customHeight="1">
      <c r="A74" s="768"/>
      <c r="B74" s="768"/>
      <c r="C74" s="768"/>
      <c r="D74" s="768"/>
      <c r="E74" s="768"/>
      <c r="F74" s="768"/>
      <c r="G74" s="127" t="s">
        <v>1086</v>
      </c>
      <c r="H74" s="280"/>
      <c r="I74" s="280"/>
      <c r="J74" s="280"/>
      <c r="K74" s="280"/>
      <c r="L74" s="280"/>
      <c r="M74" s="51"/>
      <c r="N74" s="51"/>
      <c r="O74" s="51"/>
      <c r="R74" s="125"/>
      <c r="U74" s="52"/>
    </row>
    <row r="75" spans="1:21" s="50" customFormat="1" ht="93" customHeight="1">
      <c r="A75" s="768"/>
      <c r="B75" s="768"/>
      <c r="C75" s="768"/>
      <c r="D75" s="768"/>
      <c r="E75" s="768"/>
      <c r="F75" s="768"/>
      <c r="G75" s="1731" t="s">
        <v>2708</v>
      </c>
      <c r="H75" s="1732"/>
      <c r="I75" s="1732"/>
      <c r="J75" s="1732"/>
      <c r="K75" s="1733"/>
      <c r="L75" s="1734"/>
      <c r="M75" s="51"/>
      <c r="N75" s="51"/>
      <c r="O75" s="51"/>
      <c r="R75" s="125"/>
      <c r="U75" s="52"/>
    </row>
  </sheetData>
  <autoFilter ref="A11:V63" xr:uid="{A162E6D2-7989-4CCC-A4E7-27DE04E2DD2F}"/>
  <dataConsolidate/>
  <mergeCells count="10">
    <mergeCell ref="H2:L2"/>
    <mergeCell ref="A10:F10"/>
    <mergeCell ref="G10:L10"/>
    <mergeCell ref="M10:P10"/>
    <mergeCell ref="G72:L72"/>
    <mergeCell ref="G75:L75"/>
    <mergeCell ref="Q10:R10"/>
    <mergeCell ref="S10:U10"/>
    <mergeCell ref="G66:L66"/>
    <mergeCell ref="G9:I9"/>
  </mergeCells>
  <hyperlinks>
    <hyperlink ref="G1" location="'2024-2025 Summary'!C1" display="Summary Page" xr:uid="{7428E2E1-8F9A-40F1-B8FB-3F36B76CBB4C}"/>
  </hyperlinks>
  <pageMargins left="0.7" right="0.7" top="0.75" bottom="0.75" header="0.3" footer="0.3"/>
  <pageSetup scale="28"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0083CA"/>
    <pageSetUpPr fitToPage="1"/>
  </sheetPr>
  <dimension ref="A1:XFB286"/>
  <sheetViews>
    <sheetView showGridLines="0" view="pageBreakPreview" topLeftCell="F1" zoomScale="90" zoomScaleNormal="120" zoomScaleSheetLayoutView="90" workbookViewId="0">
      <selection activeCell="F2" sqref="F2"/>
    </sheetView>
  </sheetViews>
  <sheetFormatPr defaultColWidth="19.42578125" defaultRowHeight="12.75" customHeight="1" outlineLevelRow="1" outlineLevelCol="1"/>
  <cols>
    <col min="1" max="1" width="23.140625" style="768" hidden="1" customWidth="1" outlineLevel="1"/>
    <col min="2" max="2" width="17" style="768" hidden="1" customWidth="1" outlineLevel="1"/>
    <col min="3" max="3" width="13.42578125" style="768" hidden="1" customWidth="1" outlineLevel="1"/>
    <col min="4" max="4" width="12" style="768" hidden="1" customWidth="1" outlineLevel="1"/>
    <col min="5" max="5" width="9.5703125" style="768" hidden="1" customWidth="1" outlineLevel="1"/>
    <col min="6" max="6" width="34.140625" style="50" customWidth="1" collapsed="1"/>
    <col min="7" max="7" width="30.42578125" style="50" customWidth="1"/>
    <col min="8" max="8" width="46.5703125" style="50" customWidth="1"/>
    <col min="9" max="9" width="9.42578125" style="50" customWidth="1"/>
    <col min="10" max="10" width="8.5703125" style="50" customWidth="1"/>
    <col min="11" max="13" width="9.42578125" style="51" customWidth="1"/>
    <col min="14" max="14" width="24" style="51" customWidth="1"/>
    <col min="15" max="15" width="22.42578125" style="50" customWidth="1"/>
    <col min="16" max="16" width="14" style="50" customWidth="1"/>
    <col min="17" max="17" width="12.140625" style="50" customWidth="1"/>
    <col min="18" max="18" width="25.42578125" style="50" customWidth="1"/>
    <col min="19" max="19" width="11.42578125" style="50" customWidth="1"/>
    <col min="20" max="20" width="11.42578125" style="52" customWidth="1"/>
    <col min="21" max="21" width="15.140625" style="50" customWidth="1"/>
    <col min="22" max="16384" width="19.42578125" style="50"/>
  </cols>
  <sheetData>
    <row r="1" spans="1:46" ht="12.75" customHeight="1">
      <c r="F1" s="26" t="s">
        <v>557</v>
      </c>
      <c r="Q1"/>
      <c r="R1"/>
    </row>
    <row r="2" spans="1:46" ht="96.75" customHeight="1">
      <c r="F2" s="1" t="str">
        <f>G12&amp;":"</f>
        <v>Heat Pump Water Heaters:</v>
      </c>
      <c r="G2" s="1786" t="str">
        <f>INDEX('AMMO Measures'!$I:$I,MATCH(LEFT(F2,LEN(F2)-1),'AMMO Measures'!$B:$B,0))</f>
        <v>NEEA’s goal for Heat Pump Water Heaters (HPWH) is to influence the passage of a federal standard requiring HPWHs for all electric storage tanks greater than 45 gallons in size by 2028. To do this, the program must create national alignment by influencing ENERGY STAR and Federal test procedures to incorporate key elements of our Advanced Water Heating Specification, continue working upstream with water heater manufacturers to influence product development, and continue training the supply chain in HPWH technology until it becomes standard practice.</v>
      </c>
      <c r="H2" s="1786"/>
      <c r="I2" s="1786"/>
      <c r="J2" s="1786"/>
      <c r="Q2" s="226" t="s">
        <v>847</v>
      </c>
    </row>
    <row r="3" spans="1:46" ht="16.5" customHeight="1">
      <c r="F3" s="122"/>
    </row>
    <row r="4" spans="1:46" ht="16.5" hidden="1" customHeight="1" outlineLevel="1">
      <c r="F4"/>
      <c r="G4"/>
      <c r="H4"/>
      <c r="I4"/>
      <c r="J4"/>
    </row>
    <row r="5" spans="1:46" ht="16.5" hidden="1" customHeight="1" outlineLevel="1">
      <c r="A5" s="768" t="s">
        <v>2652</v>
      </c>
      <c r="F5"/>
      <c r="G5"/>
      <c r="H5"/>
      <c r="I5"/>
      <c r="J5"/>
    </row>
    <row r="6" spans="1:46" ht="16.5" hidden="1" customHeight="1" outlineLevel="1">
      <c r="A6" s="768">
        <f>(B6/(SUM(B6:C6)))*D6+ (C6/SUM(B6:C6))*E6</f>
        <v>13</v>
      </c>
      <c r="B6" s="768">
        <f>SUMIFS($U$12:$U$75,$K$12:$K$75, 2024)</f>
        <v>0.34349361331353223</v>
      </c>
      <c r="C6" s="768">
        <f>SUMIFS($U$12:$U$75,$K$12:$K$75, 2025)</f>
        <v>0.42740821859909123</v>
      </c>
      <c r="D6" s="768" cm="1">
        <f t="array" ref="D6">SUMPRODUCT($J$12:$J$75,$U$12:$U$75,--($K$12:$K$75=2024))/SUMIFS($U$12:$U$75,$K$12:$K$75, 2024)</f>
        <v>13</v>
      </c>
      <c r="E6" s="768" cm="1">
        <f t="array" ref="E6">SUMPRODUCT($J$12:$J$75,$U$12:$U$75,--($K$12:$K$75=2025))/SUMIFS($U$12:$U$75,$K$12:$K$75, 2025)</f>
        <v>13</v>
      </c>
      <c r="F6"/>
      <c r="G6"/>
      <c r="H6"/>
      <c r="I6"/>
      <c r="J6"/>
    </row>
    <row r="7" spans="1:46" ht="36.6" hidden="1" customHeight="1" outlineLevel="1">
      <c r="A7" s="768">
        <f>(B7/(SUM(B7:C7)))*D7+ (C7/SUM(B7:C7))*E7</f>
        <v>13</v>
      </c>
      <c r="B7" s="768">
        <f>SUMIFS($U$12:$U$75,$K$12:$K$75, 2026)</f>
        <v>0.52410331982392366</v>
      </c>
      <c r="C7" s="768">
        <f>SUMIFS($U$12:$U$75,$K$12:$K$75, 2027)</f>
        <v>0.6182168474554024</v>
      </c>
      <c r="D7" s="768" cm="1">
        <f t="array" ref="D7">SUMPRODUCT($J$12:$J$75,$U$12:$U$75,--($K$12:$K$75=2026))/SUMIFS($U$12:$U$75,$K$12:$K$75, 2026)</f>
        <v>13</v>
      </c>
      <c r="E7" s="768" cm="1">
        <f t="array" ref="E7">SUMPRODUCT($J$12:$J$75,$U$12:$U$75,--($K$12:$K$75=2027))/SUMIFS($U$12:$U$75,$K$12:$K$75, 2027)</f>
        <v>13.000000000000002</v>
      </c>
      <c r="F7"/>
      <c r="G7"/>
      <c r="H7"/>
      <c r="I7"/>
      <c r="J7"/>
    </row>
    <row r="8" spans="1:46" ht="16.5" hidden="1" customHeight="1" outlineLevel="1">
      <c r="F8"/>
      <c r="G8"/>
      <c r="H8"/>
      <c r="I8"/>
      <c r="J8"/>
    </row>
    <row r="9" spans="1:46" ht="54" hidden="1" customHeight="1" outlineLevel="1">
      <c r="F9" s="1806"/>
      <c r="G9" s="1806"/>
      <c r="H9" s="1806"/>
    </row>
    <row r="10" spans="1:46" s="47" customFormat="1" ht="15.75" customHeight="1" collapsed="1">
      <c r="A10" s="1746" t="s">
        <v>125</v>
      </c>
      <c r="B10" s="1746"/>
      <c r="C10" s="1746"/>
      <c r="D10" s="1746"/>
      <c r="E10" s="1746"/>
      <c r="F10" s="1797" t="s">
        <v>7</v>
      </c>
      <c r="G10" s="1798"/>
      <c r="H10" s="1798"/>
      <c r="I10" s="1798"/>
      <c r="J10" s="1798"/>
      <c r="K10" s="1799"/>
      <c r="L10" s="1717" t="s">
        <v>122</v>
      </c>
      <c r="M10" s="1718"/>
      <c r="N10" s="1718"/>
      <c r="O10" s="1718"/>
      <c r="P10" s="1719"/>
      <c r="Q10" s="1802" t="s">
        <v>123</v>
      </c>
      <c r="R10" s="1803"/>
      <c r="S10" s="1804" t="s">
        <v>124</v>
      </c>
      <c r="T10" s="1805"/>
      <c r="U10" s="1805"/>
    </row>
    <row r="11" spans="1:46" s="125" customFormat="1" ht="60" customHeight="1" thickBot="1">
      <c r="A11" s="768" t="s">
        <v>0</v>
      </c>
      <c r="B11" s="768" t="s">
        <v>10</v>
      </c>
      <c r="C11" s="768" t="s">
        <v>1</v>
      </c>
      <c r="D11" s="768" t="s">
        <v>2</v>
      </c>
      <c r="E11" s="768" t="s">
        <v>187</v>
      </c>
      <c r="F11" s="769" t="s">
        <v>3</v>
      </c>
      <c r="G11" s="770" t="s">
        <v>4</v>
      </c>
      <c r="H11" s="770" t="s">
        <v>5</v>
      </c>
      <c r="I11" s="770" t="s">
        <v>6</v>
      </c>
      <c r="J11" s="770" t="s">
        <v>834</v>
      </c>
      <c r="K11" s="770" t="s">
        <v>8</v>
      </c>
      <c r="L11" s="769" t="s">
        <v>188</v>
      </c>
      <c r="M11" s="770" t="s">
        <v>12</v>
      </c>
      <c r="N11" s="770" t="s">
        <v>13</v>
      </c>
      <c r="O11" s="770" t="s">
        <v>120</v>
      </c>
      <c r="P11" s="771" t="str">
        <f>"Funder Share: "&amp;Selection!A2&amp;" "&amp;Selection!A3</f>
        <v>Funder Share: Puget Sound Energy Washington</v>
      </c>
      <c r="Q11" s="776" t="s">
        <v>452</v>
      </c>
      <c r="R11" s="772" t="s">
        <v>2410</v>
      </c>
      <c r="S11" s="715" t="s">
        <v>2683</v>
      </c>
      <c r="T11" s="714" t="s">
        <v>2675</v>
      </c>
      <c r="U11" s="716" t="s">
        <v>2283</v>
      </c>
    </row>
    <row r="12" spans="1:46" ht="13.5" thickTop="1">
      <c r="A12" s="781" t="s">
        <v>51</v>
      </c>
      <c r="B12" s="781" t="str">
        <f t="shared" ref="B12:B27" si="0">LEFT(A12,10)</f>
        <v>RES_201202</v>
      </c>
      <c r="C12" s="781" t="str">
        <f>INDEX('AMMO vwFlags'!$C:$C,MATCH($A12&amp;K12,'AMMO vwFlags'!$K:$K,0))</f>
        <v>0</v>
      </c>
      <c r="D12" s="781" t="str">
        <f>INDEX('AMMO vwFlags'!$D:$D,MATCH($A12&amp;$K12,'AMMO vwFlags'!$K:$K,0))</f>
        <v>0</v>
      </c>
      <c r="E12" s="781">
        <f t="shared" ref="E12:E43" si="1">COUNTIFS($A:$A,$A12,$K:$K,$K12)</f>
        <v>1</v>
      </c>
      <c r="F12" s="722" t="str">
        <f t="shared" ref="F12:F43" si="2">IF(LEFT(A12,3)="Res","Residential",IF(LEFT(A12,3)="Ind","industrial",IF(LEFT(A12,3)="Com","Commercial",IF(LEFT(A12,3)="AGR","Agriculture",""))))</f>
        <v>Residential</v>
      </c>
      <c r="G12" s="782" t="str">
        <f>INDEX('AMMO Measures'!B:B,MATCH($A12,'AMMO Measures'!$A:$A,0))</f>
        <v>Heat Pump Water Heaters</v>
      </c>
      <c r="H12" s="782" t="str">
        <f>INDEX('AMMO Measures'!C:C,MATCH($A12,'AMMO Measures'!$A:$A,0))</f>
        <v>HPWH (&lt;=55 gallons) Existing Construction</v>
      </c>
      <c r="I12" s="782" t="str">
        <f>INDEX('AMMO Measures'!D:D,MATCH($A12,'AMMO Measures'!$A:$A,0))</f>
        <v>Tier 1</v>
      </c>
      <c r="J12" s="783">
        <f>VALUE(INDEX('AMMO Measures'!H:H,MATCH($A12,'AMMO Measures'!A:A,0)))</f>
        <v>13</v>
      </c>
      <c r="K12" s="677">
        <v>2024</v>
      </c>
      <c r="L12" s="724">
        <f>SUMIFS('AMMO Units'!F:F,'AMMO Units'!$A:$A,$K12,'AMMO Units'!$E:$E,$A12)</f>
        <v>15585</v>
      </c>
      <c r="M12" s="725">
        <f>SUMIFS('AMMO Units'!G:G,'AMMO Units'!$A:$A,$K12,'AMMO Units'!$E:$E,$A12)</f>
        <v>6961</v>
      </c>
      <c r="N12" s="725">
        <f>SUMIFS('AMMO Units'!H:H,'AMMO Units'!$A:$A,$K12,'AMMO Units'!$E:$E,$A12)</f>
        <v>545.47500000000002</v>
      </c>
      <c r="O12" s="1767" t="s">
        <v>2723</v>
      </c>
      <c r="P12" s="726">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Q12" s="784">
        <f>$I$87</f>
        <v>945.34768410387562</v>
      </c>
      <c r="R12" s="1761" t="s">
        <v>2721</v>
      </c>
      <c r="S12" s="785">
        <f>(L12-N12)*P12*Q12/8760000</f>
        <v>0.22698788658556901</v>
      </c>
      <c r="T12" s="786">
        <f t="shared" ref="T12:T27" si="3">IFERROR((M12-N12/L12*M12)*P12*Q12/8760/1000,0)</f>
        <v>0.10138355332192144</v>
      </c>
      <c r="U12" s="787">
        <f t="shared" ref="U12:U27" si="4">S12-T12</f>
        <v>0.12560433326364756</v>
      </c>
      <c r="W12" s="83">
        <f>L12</f>
        <v>15585</v>
      </c>
    </row>
    <row r="13" spans="1:46" ht="25.5">
      <c r="A13" s="781" t="s">
        <v>53</v>
      </c>
      <c r="B13" s="781" t="str">
        <f t="shared" si="0"/>
        <v>RES_201202</v>
      </c>
      <c r="C13" s="781" t="str">
        <f>INDEX('AMMO vwFlags'!$C:$C,MATCH($A13&amp;K13,'AMMO vwFlags'!$K:$K,0))</f>
        <v>0</v>
      </c>
      <c r="D13" s="781" t="str">
        <f>INDEX('AMMO vwFlags'!$D:$D,MATCH($A13&amp;$K13,'AMMO vwFlags'!$K:$K,0))</f>
        <v>1</v>
      </c>
      <c r="E13" s="781">
        <f t="shared" si="1"/>
        <v>1</v>
      </c>
      <c r="F13" s="730" t="str">
        <f t="shared" si="2"/>
        <v>Residential</v>
      </c>
      <c r="G13" s="788" t="str">
        <f>INDEX('AMMO Measures'!B:B,MATCH($A13,'AMMO Measures'!$A:$A,0))</f>
        <v>Heat Pump Water Heaters</v>
      </c>
      <c r="H13" s="788" t="str">
        <f>INDEX('AMMO Measures'!C:C,MATCH($A13,'AMMO Measures'!$A:$A,0))</f>
        <v>HPWH (&gt;55 gallons) Existing Construction</v>
      </c>
      <c r="I13" s="788" t="str">
        <f>INDEX('AMMO Measures'!D:D,MATCH($A13,'AMMO Measures'!$A:$A,0))</f>
        <v>Tier 1</v>
      </c>
      <c r="J13" s="789">
        <f>VALUE(INDEX('AMMO Measures'!H:H,MATCH($A13,'AMMO Measures'!A:A,0)))</f>
        <v>13</v>
      </c>
      <c r="K13" s="683">
        <v>2024</v>
      </c>
      <c r="L13" s="732">
        <f>SUMIFS('AMMO Units'!F:F,'AMMO Units'!$A:$A,$K13,'AMMO Units'!$E:$E,$A13)</f>
        <v>8392</v>
      </c>
      <c r="M13" s="733">
        <f>SUMIFS('AMMO Units'!G:G,'AMMO Units'!$A:$A,$K13,'AMMO Units'!$E:$E,$A13)</f>
        <v>4705</v>
      </c>
      <c r="N13" s="733">
        <f>SUMIFS('AMMO Units'!H:H,'AMMO Units'!$A:$A,$K13,'AMMO Units'!$E:$E,$A13)</f>
        <v>8392</v>
      </c>
      <c r="O13" s="1768"/>
      <c r="P13" s="734">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Q13" s="790">
        <f>$I$87</f>
        <v>945.34768410387562</v>
      </c>
      <c r="R13" s="1762"/>
      <c r="S13" s="791">
        <f t="shared" ref="S13:S27" si="5">(L13-N13)*P13*Q13/8760000</f>
        <v>0</v>
      </c>
      <c r="T13" s="792">
        <f t="shared" si="3"/>
        <v>0</v>
      </c>
      <c r="U13" s="793">
        <f t="shared" si="4"/>
        <v>0</v>
      </c>
      <c r="W13" s="84" t="s">
        <v>650</v>
      </c>
    </row>
    <row r="14" spans="1:46" ht="14.85" customHeight="1">
      <c r="A14" s="781" t="s">
        <v>52</v>
      </c>
      <c r="B14" s="781" t="str">
        <f t="shared" si="0"/>
        <v>RES_201202</v>
      </c>
      <c r="C14" s="781" t="str">
        <f>INDEX('AMMO vwFlags'!$C:$C,MATCH($A14&amp;K14,'AMMO vwFlags'!$K:$K,0))</f>
        <v>0</v>
      </c>
      <c r="D14" s="781" t="str">
        <f>INDEX('AMMO vwFlags'!$D:$D,MATCH($A14&amp;$K14,'AMMO vwFlags'!$K:$K,0))</f>
        <v>0</v>
      </c>
      <c r="E14" s="781">
        <f t="shared" si="1"/>
        <v>1</v>
      </c>
      <c r="F14" s="730" t="str">
        <f t="shared" si="2"/>
        <v>Residential</v>
      </c>
      <c r="G14" s="788" t="str">
        <f>INDEX('AMMO Measures'!B:B,MATCH($A14,'AMMO Measures'!$A:$A,0))</f>
        <v>Heat Pump Water Heaters</v>
      </c>
      <c r="H14" s="788" t="str">
        <f>INDEX('AMMO Measures'!C:C,MATCH($A14,'AMMO Measures'!$A:$A,0))</f>
        <v>HPWH (&lt;=55 gallons) Existing Construction</v>
      </c>
      <c r="I14" s="788" t="str">
        <f>INDEX('AMMO Measures'!D:D,MATCH($A14,'AMMO Measures'!$A:$A,0))</f>
        <v>Tier 2</v>
      </c>
      <c r="J14" s="789">
        <f>VALUE(INDEX('AMMO Measures'!H:H,MATCH($A14,'AMMO Measures'!A:A,0)))</f>
        <v>13</v>
      </c>
      <c r="K14" s="683">
        <v>2024</v>
      </c>
      <c r="L14" s="732">
        <f>SUMIFS('AMMO Units'!F:F,'AMMO Units'!$A:$A,$K14,'AMMO Units'!$E:$E,$A14)</f>
        <v>15585</v>
      </c>
      <c r="M14" s="733">
        <f>SUMIFS('AMMO Units'!G:G,'AMMO Units'!$A:$A,$K14,'AMMO Units'!$E:$E,$A14)</f>
        <v>7086</v>
      </c>
      <c r="N14" s="733">
        <f>SUMIFS('AMMO Units'!H:H,'AMMO Units'!$A:$A,$K14,'AMMO Units'!$E:$E,$A14)</f>
        <v>545.47500000000002</v>
      </c>
      <c r="O14" s="1769"/>
      <c r="P14" s="734">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Q14" s="790">
        <f>$I$88</f>
        <v>315.55636502231266</v>
      </c>
      <c r="R14" s="1763"/>
      <c r="S14" s="791">
        <f t="shared" si="5"/>
        <v>7.576839040224341E-2</v>
      </c>
      <c r="T14" s="792">
        <f t="shared" si="3"/>
        <v>3.4449458735341464E-2</v>
      </c>
      <c r="U14" s="793">
        <f t="shared" si="4"/>
        <v>4.1318931666901947E-2</v>
      </c>
      <c r="W14" s="85"/>
    </row>
    <row r="15" spans="1:46" ht="14.85" customHeight="1">
      <c r="A15" s="781" t="s">
        <v>54</v>
      </c>
      <c r="B15" s="781" t="str">
        <f t="shared" si="0"/>
        <v>RES_201202</v>
      </c>
      <c r="C15" s="781" t="str">
        <f>INDEX('AMMO vwFlags'!$C:$C,MATCH($A15&amp;K15,'AMMO vwFlags'!$K:$K,0))</f>
        <v>0</v>
      </c>
      <c r="D15" s="781" t="str">
        <f>INDEX('AMMO vwFlags'!$D:$D,MATCH($A15&amp;$K15,'AMMO vwFlags'!$K:$K,0))</f>
        <v>0</v>
      </c>
      <c r="E15" s="781">
        <f t="shared" si="1"/>
        <v>1</v>
      </c>
      <c r="F15" s="730" t="str">
        <f t="shared" si="2"/>
        <v>Residential</v>
      </c>
      <c r="G15" s="788" t="str">
        <f>INDEX('AMMO Measures'!B:B,MATCH($A15,'AMMO Measures'!$A:$A,0))</f>
        <v>Heat Pump Water Heaters</v>
      </c>
      <c r="H15" s="788" t="str">
        <f>INDEX('AMMO Measures'!C:C,MATCH($A15,'AMMO Measures'!$A:$A,0))</f>
        <v>HPWH (&gt;55 gallons) Existing Construction</v>
      </c>
      <c r="I15" s="788" t="str">
        <f>INDEX('AMMO Measures'!D:D,MATCH($A15,'AMMO Measures'!$A:$A,0))</f>
        <v>Tier 2</v>
      </c>
      <c r="J15" s="789">
        <f>VALUE(INDEX('AMMO Measures'!H:H,MATCH($A15,'AMMO Measures'!A:A,0)))</f>
        <v>13</v>
      </c>
      <c r="K15" s="683">
        <v>2024</v>
      </c>
      <c r="L15" s="732">
        <f>SUMIFS('AMMO Units'!F:F,'AMMO Units'!$A:$A,$K15,'AMMO Units'!$E:$E,$A15)</f>
        <v>8392</v>
      </c>
      <c r="M15" s="733">
        <f>SUMIFS('AMMO Units'!G:G,'AMMO Units'!$A:$A,$K15,'AMMO Units'!$E:$E,$A15)</f>
        <v>4710</v>
      </c>
      <c r="N15" s="733">
        <f>SUMIFS('AMMO Units'!H:H,'AMMO Units'!$A:$A,$K15,'AMMO Units'!$E:$E,$A15)</f>
        <v>293.72000000000003</v>
      </c>
      <c r="O15" s="1769"/>
      <c r="P15" s="73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Q15" s="790">
        <f>$I$88</f>
        <v>315.55636502231266</v>
      </c>
      <c r="R15" s="1763"/>
      <c r="S15" s="791">
        <f t="shared" si="5"/>
        <v>4.0798738033726439E-2</v>
      </c>
      <c r="T15" s="792">
        <f t="shared" si="3"/>
        <v>2.2898243105201565E-2</v>
      </c>
      <c r="U15" s="793">
        <f t="shared" si="4"/>
        <v>1.7900494928524874E-2</v>
      </c>
    </row>
    <row r="16" spans="1:46" s="86" customFormat="1" ht="14.85" customHeight="1">
      <c r="A16" s="781" t="s">
        <v>630</v>
      </c>
      <c r="B16" s="781" t="str">
        <f t="shared" ref="B16" si="6">LEFT(A16,10)</f>
        <v>RES_201202</v>
      </c>
      <c r="C16" s="781" t="str">
        <f>INDEX('AMMO vwFlags'!$C:$C,MATCH($A16&amp;K16,'AMMO vwFlags'!$K:$K,0))</f>
        <v>0</v>
      </c>
      <c r="D16" s="781" t="str">
        <f>INDEX('AMMO vwFlags'!$D:$D,MATCH($A16&amp;$K16,'AMMO vwFlags'!$K:$K,0))</f>
        <v>0</v>
      </c>
      <c r="E16" s="781">
        <f t="shared" si="1"/>
        <v>1</v>
      </c>
      <c r="F16" s="730" t="str">
        <f t="shared" ref="F16" si="7">IF(LEFT(A16,3)="Res","Residential",IF(LEFT(A16,3)="Ind","industrial",IF(LEFT(A16,3)="Com","Commercial",IF(LEFT(A16,3)="AGR","Agriculture",""))))</f>
        <v>Residential</v>
      </c>
      <c r="G16" s="788" t="str">
        <f>INDEX('AMMO Measures'!B:B,MATCH($A16,'AMMO Measures'!$A:$A,0))</f>
        <v>Heat Pump Water Heaters</v>
      </c>
      <c r="H16" s="788" t="str">
        <f>INDEX('AMMO Measures'!C:C,MATCH($A16,'AMMO Measures'!$A:$A,0))</f>
        <v>HPWH (&lt;=55 gallons) Existing Construction</v>
      </c>
      <c r="I16" s="788" t="str">
        <f>INDEX('AMMO Measures'!D:D,MATCH($A16,'AMMO Measures'!$A:$A,0))</f>
        <v>Tier 3</v>
      </c>
      <c r="J16" s="789">
        <f>VALUE(INDEX('AMMO Measures'!H:H,MATCH($A16,'AMMO Measures'!A:A,0)))</f>
        <v>13</v>
      </c>
      <c r="K16" s="683">
        <v>2024</v>
      </c>
      <c r="L16" s="732">
        <f>SUMIFS('AMMO Units'!F:F,'AMMO Units'!$A:$A,$K16,'AMMO Units'!$E:$E,$A16)</f>
        <v>15585</v>
      </c>
      <c r="M16" s="733">
        <f>SUMIFS('AMMO Units'!G:G,'AMMO Units'!$A:$A,$K16,'AMMO Units'!$E:$E,$A16)</f>
        <v>7136</v>
      </c>
      <c r="N16" s="733">
        <f>SUMIFS('AMMO Units'!H:H,'AMMO Units'!$A:$A,$K16,'AMMO Units'!$E:$E,$A16)</f>
        <v>545.47500000000002</v>
      </c>
      <c r="O16" s="1769"/>
      <c r="P16" s="73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Q16" s="790">
        <f>$I$89</f>
        <v>219.37594220310507</v>
      </c>
      <c r="R16" s="1763"/>
      <c r="S16" s="791">
        <f t="shared" ref="S16" si="8">(L16-N16)*P16*Q16/8760000</f>
        <v>5.2674462872994321E-2</v>
      </c>
      <c r="T16" s="792">
        <f t="shared" ref="T16" si="9">IFERROR((M16-N16/L16*M16)*P16*Q16/8760/1000,0)</f>
        <v>2.4118380947172755E-2</v>
      </c>
      <c r="U16" s="793">
        <f t="shared" ref="U16" si="10">S16-T16</f>
        <v>2.8556081925821566E-2</v>
      </c>
      <c r="V16" s="50"/>
      <c r="W16" s="50"/>
      <c r="X16" s="50"/>
      <c r="Y16" s="50"/>
      <c r="Z16" s="47"/>
      <c r="AA16" s="47"/>
      <c r="AB16" s="50"/>
      <c r="AC16" s="50"/>
      <c r="AD16" s="50"/>
      <c r="AE16" s="50"/>
      <c r="AF16" s="50"/>
      <c r="AG16" s="50"/>
      <c r="AH16" s="50"/>
      <c r="AI16" s="50"/>
      <c r="AJ16" s="50"/>
      <c r="AK16" s="50"/>
      <c r="AL16" s="50"/>
      <c r="AM16" s="50"/>
      <c r="AN16" s="50"/>
      <c r="AO16" s="50"/>
      <c r="AP16" s="50"/>
      <c r="AQ16" s="50"/>
      <c r="AR16" s="50"/>
      <c r="AS16" s="50"/>
      <c r="AT16" s="50"/>
    </row>
    <row r="17" spans="1:46" ht="14.85" customHeight="1">
      <c r="A17" s="781" t="s">
        <v>622</v>
      </c>
      <c r="B17" s="781" t="str">
        <f t="shared" si="0"/>
        <v>RES_201202</v>
      </c>
      <c r="C17" s="781" t="str">
        <f>INDEX('AMMO vwFlags'!$C:$C,MATCH($A17&amp;K17,'AMMO vwFlags'!$K:$K,0))</f>
        <v>0</v>
      </c>
      <c r="D17" s="781" t="str">
        <f>INDEX('AMMO vwFlags'!$D:$D,MATCH($A17&amp;$K17,'AMMO vwFlags'!$K:$K,0))</f>
        <v>0</v>
      </c>
      <c r="E17" s="781">
        <f t="shared" si="1"/>
        <v>1</v>
      </c>
      <c r="F17" s="730" t="str">
        <f t="shared" si="2"/>
        <v>Residential</v>
      </c>
      <c r="G17" s="788" t="str">
        <f>INDEX('AMMO Measures'!B:B,MATCH($A17,'AMMO Measures'!$A:$A,0))</f>
        <v>Heat Pump Water Heaters</v>
      </c>
      <c r="H17" s="788" t="str">
        <f>INDEX('AMMO Measures'!C:C,MATCH($A17,'AMMO Measures'!$A:$A,0))</f>
        <v>HPWH (&gt;55 gallons) Existing Construction</v>
      </c>
      <c r="I17" s="788" t="str">
        <f>INDEX('AMMO Measures'!D:D,MATCH($A17,'AMMO Measures'!$A:$A,0))</f>
        <v>Tier 3</v>
      </c>
      <c r="J17" s="789">
        <f>VALUE(INDEX('AMMO Measures'!H:H,MATCH($A17,'AMMO Measures'!A:A,0)))</f>
        <v>13</v>
      </c>
      <c r="K17" s="683">
        <v>2024</v>
      </c>
      <c r="L17" s="732">
        <f>SUMIFS('AMMO Units'!F:F,'AMMO Units'!$A:$A,$K17,'AMMO Units'!$E:$E,$A17)</f>
        <v>8392</v>
      </c>
      <c r="M17" s="733">
        <f>SUMIFS('AMMO Units'!G:G,'AMMO Units'!$A:$A,$K17,'AMMO Units'!$E:$E,$A17)</f>
        <v>4741</v>
      </c>
      <c r="N17" s="733">
        <f>SUMIFS('AMMO Units'!H:H,'AMMO Units'!$A:$A,$K17,'AMMO Units'!$E:$E,$A17)</f>
        <v>293.72000000000003</v>
      </c>
      <c r="O17" s="1769"/>
      <c r="P17" s="734">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Q17" s="790">
        <f>$I$89</f>
        <v>219.37594220310507</v>
      </c>
      <c r="R17" s="1763"/>
      <c r="S17" s="791">
        <f t="shared" si="5"/>
        <v>2.8363432302224462E-2</v>
      </c>
      <c r="T17" s="792">
        <f t="shared" si="3"/>
        <v>1.6023716938137058E-2</v>
      </c>
      <c r="U17" s="793">
        <f t="shared" si="4"/>
        <v>1.2339715364087404E-2</v>
      </c>
    </row>
    <row r="18" spans="1:46" ht="14.85" customHeight="1">
      <c r="A18" s="781" t="s">
        <v>631</v>
      </c>
      <c r="B18" s="781" t="str">
        <f t="shared" si="0"/>
        <v>RES_201202</v>
      </c>
      <c r="C18" s="781" t="str">
        <f>INDEX('AMMO vwFlags'!$C:$C,MATCH($A18&amp;K18,'AMMO vwFlags'!$K:$K,0))</f>
        <v>0</v>
      </c>
      <c r="D18" s="781" t="str">
        <f>INDEX('AMMO vwFlags'!$D:$D,MATCH($A18&amp;$K18,'AMMO vwFlags'!$K:$K,0))</f>
        <v>0</v>
      </c>
      <c r="E18" s="781">
        <f t="shared" si="1"/>
        <v>1</v>
      </c>
      <c r="F18" s="730" t="str">
        <f t="shared" si="2"/>
        <v>Residential</v>
      </c>
      <c r="G18" s="788" t="str">
        <f>INDEX('AMMO Measures'!B:B,MATCH($A18,'AMMO Measures'!$A:$A,0))</f>
        <v>Heat Pump Water Heaters</v>
      </c>
      <c r="H18" s="788" t="str">
        <f>INDEX('AMMO Measures'!C:C,MATCH($A18,'AMMO Measures'!$A:$A,0))</f>
        <v>HPWH (&lt;=55 gallons) Existing Construction</v>
      </c>
      <c r="I18" s="788" t="str">
        <f>INDEX('AMMO Measures'!D:D,MATCH($A18,'AMMO Measures'!$A:$A,0))</f>
        <v>Tier 4</v>
      </c>
      <c r="J18" s="789">
        <f>VALUE(INDEX('AMMO Measures'!H:H,MATCH($A18,'AMMO Measures'!A:A,0)))</f>
        <v>13</v>
      </c>
      <c r="K18" s="683">
        <v>2024</v>
      </c>
      <c r="L18" s="732">
        <f>SUMIFS('AMMO Units'!F:F,'AMMO Units'!$A:$A,$K18,'AMMO Units'!$E:$E,$A18)</f>
        <v>15585</v>
      </c>
      <c r="M18" s="733">
        <f>SUMIFS('AMMO Units'!G:G,'AMMO Units'!$A:$A,$K18,'AMMO Units'!$E:$E,$A18)</f>
        <v>5816</v>
      </c>
      <c r="N18" s="733">
        <f>SUMIFS('AMMO Units'!H:H,'AMMO Units'!$A:$A,$K18,'AMMO Units'!$E:$E,$A18)</f>
        <v>545.47500000000002</v>
      </c>
      <c r="O18" s="1769"/>
      <c r="P18" s="734">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Q18" s="790">
        <f>$I$90</f>
        <v>199.31897295142858</v>
      </c>
      <c r="R18" s="1763"/>
      <c r="S18" s="791">
        <f t="shared" si="5"/>
        <v>4.785857435038645E-2</v>
      </c>
      <c r="T18" s="792">
        <f t="shared" si="3"/>
        <v>1.7859831146733882E-2</v>
      </c>
      <c r="U18" s="793">
        <f t="shared" si="4"/>
        <v>2.9998743203652568E-2</v>
      </c>
      <c r="Z18" s="47"/>
      <c r="AA18" s="47"/>
    </row>
    <row r="19" spans="1:46" ht="14.85" customHeight="1">
      <c r="A19" s="781" t="s">
        <v>623</v>
      </c>
      <c r="B19" s="781" t="str">
        <f t="shared" si="0"/>
        <v>RES_201202</v>
      </c>
      <c r="C19" s="781" t="str">
        <f>INDEX('AMMO vwFlags'!$C:$C,MATCH($A19&amp;K19,'AMMO vwFlags'!$K:$K,0))</f>
        <v>0</v>
      </c>
      <c r="D19" s="781" t="str">
        <f>INDEX('AMMO vwFlags'!$D:$D,MATCH($A19&amp;$K19,'AMMO vwFlags'!$K:$K,0))</f>
        <v>0</v>
      </c>
      <c r="E19" s="781">
        <f t="shared" si="1"/>
        <v>1</v>
      </c>
      <c r="F19" s="730" t="str">
        <f t="shared" si="2"/>
        <v>Residential</v>
      </c>
      <c r="G19" s="788" t="str">
        <f>INDEX('AMMO Measures'!B:B,MATCH($A19,'AMMO Measures'!$A:$A,0))</f>
        <v>Heat Pump Water Heaters</v>
      </c>
      <c r="H19" s="788" t="str">
        <f>INDEX('AMMO Measures'!C:C,MATCH($A19,'AMMO Measures'!$A:$A,0))</f>
        <v>HPWH (&gt;55 gallons) Existing Construction</v>
      </c>
      <c r="I19" s="788" t="str">
        <f>INDEX('AMMO Measures'!D:D,MATCH($A19,'AMMO Measures'!$A:$A,0))</f>
        <v>Tier 4</v>
      </c>
      <c r="J19" s="789">
        <f>VALUE(INDEX('AMMO Measures'!H:H,MATCH($A19,'AMMO Measures'!A:A,0)))</f>
        <v>13</v>
      </c>
      <c r="K19" s="683">
        <v>2024</v>
      </c>
      <c r="L19" s="732">
        <f>SUMIFS('AMMO Units'!F:F,'AMMO Units'!$A:$A,$K19,'AMMO Units'!$E:$E,$A19)</f>
        <v>8392</v>
      </c>
      <c r="M19" s="733">
        <f>SUMIFS('AMMO Units'!G:G,'AMMO Units'!$A:$A,$K19,'AMMO Units'!$E:$E,$A19)</f>
        <v>3132</v>
      </c>
      <c r="N19" s="733">
        <f>SUMIFS('AMMO Units'!H:H,'AMMO Units'!$A:$A,$K19,'AMMO Units'!$E:$E,$A19)</f>
        <v>293.72000000000003</v>
      </c>
      <c r="O19" s="1769"/>
      <c r="P19" s="73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Q19" s="790">
        <f>$I$90</f>
        <v>199.31897295142858</v>
      </c>
      <c r="R19" s="1763"/>
      <c r="S19" s="791">
        <f t="shared" si="5"/>
        <v>2.5770237789441319E-2</v>
      </c>
      <c r="T19" s="792">
        <f t="shared" si="3"/>
        <v>9.6177770205588924E-3</v>
      </c>
      <c r="U19" s="793">
        <f t="shared" si="4"/>
        <v>1.6152460768882427E-2</v>
      </c>
    </row>
    <row r="20" spans="1:46" ht="14.85" customHeight="1">
      <c r="A20" s="781" t="s">
        <v>612</v>
      </c>
      <c r="B20" s="781" t="str">
        <f t="shared" si="0"/>
        <v>RES_201202</v>
      </c>
      <c r="C20" s="781" t="str">
        <f>INDEX('AMMO vwFlags'!$C:$C,MATCH($A20&amp;K20,'AMMO vwFlags'!$K:$K,0))</f>
        <v>0</v>
      </c>
      <c r="D20" s="781" t="str">
        <f>INDEX('AMMO vwFlags'!$D:$D,MATCH($A20&amp;$K20,'AMMO vwFlags'!$K:$K,0))</f>
        <v>0</v>
      </c>
      <c r="E20" s="781">
        <f t="shared" si="1"/>
        <v>1</v>
      </c>
      <c r="F20" s="730" t="str">
        <f t="shared" si="2"/>
        <v>Residential</v>
      </c>
      <c r="G20" s="788" t="str">
        <f>INDEX('AMMO Measures'!B:B,MATCH($A20,'AMMO Measures'!$A:$A,0))</f>
        <v>Heat Pump Water Heaters</v>
      </c>
      <c r="H20" s="788" t="str">
        <f>INDEX('AMMO Measures'!C:C,MATCH($A20,'AMMO Measures'!$A:$A,0))</f>
        <v>HPWH (&lt;=55 gallons) New Construction</v>
      </c>
      <c r="I20" s="788" t="str">
        <f>INDEX('AMMO Measures'!D:D,MATCH($A20,'AMMO Measures'!$A:$A,0))</f>
        <v>Tier 1</v>
      </c>
      <c r="J20" s="789">
        <f>VALUE(INDEX('AMMO Measures'!H:H,MATCH($A20,'AMMO Measures'!A:A,0)))</f>
        <v>13</v>
      </c>
      <c r="K20" s="683">
        <v>2024</v>
      </c>
      <c r="L20" s="732">
        <f>SUMIFS('AMMO Units'!F:F,'AMMO Units'!$A:$A,$K20,'AMMO Units'!$E:$E,$A20)</f>
        <v>7614</v>
      </c>
      <c r="M20" s="733">
        <f>SUMIFS('AMMO Units'!G:G,'AMMO Units'!$A:$A,$K20,'AMMO Units'!$E:$E,$A20)</f>
        <v>3250</v>
      </c>
      <c r="N20" s="733">
        <f>SUMIFS('AMMO Units'!H:H,'AMMO Units'!$A:$A,$K20,'AMMO Units'!$E:$E,$A20)</f>
        <v>761.4</v>
      </c>
      <c r="O20" s="1769"/>
      <c r="P20" s="734">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Q20" s="790">
        <f>$J$91</f>
        <v>520.87822623575369</v>
      </c>
      <c r="R20" s="1763"/>
      <c r="S20" s="791">
        <f t="shared" si="5"/>
        <v>5.6986053577085707E-2</v>
      </c>
      <c r="T20" s="792">
        <f t="shared" si="3"/>
        <v>2.432422828021126E-2</v>
      </c>
      <c r="U20" s="793">
        <f t="shared" si="4"/>
        <v>3.2661825296874447E-2</v>
      </c>
    </row>
    <row r="21" spans="1:46" ht="14.85" customHeight="1">
      <c r="A21" s="781" t="s">
        <v>613</v>
      </c>
      <c r="B21" s="781" t="str">
        <f t="shared" si="0"/>
        <v>RES_201202</v>
      </c>
      <c r="C21" s="781" t="str">
        <f>INDEX('AMMO vwFlags'!$C:$C,MATCH($A21&amp;K21,'AMMO vwFlags'!$K:$K,0))</f>
        <v>0</v>
      </c>
      <c r="D21" s="781" t="str">
        <f>INDEX('AMMO vwFlags'!$D:$D,MATCH($A21&amp;$K21,'AMMO vwFlags'!$K:$K,0))</f>
        <v>0</v>
      </c>
      <c r="E21" s="781">
        <f t="shared" si="1"/>
        <v>1</v>
      </c>
      <c r="F21" s="730" t="str">
        <f t="shared" si="2"/>
        <v>Residential</v>
      </c>
      <c r="G21" s="788" t="str">
        <f>INDEX('AMMO Measures'!B:B,MATCH($A21,'AMMO Measures'!$A:$A,0))</f>
        <v>Heat Pump Water Heaters</v>
      </c>
      <c r="H21" s="788" t="str">
        <f>INDEX('AMMO Measures'!C:C,MATCH($A21,'AMMO Measures'!$A:$A,0))</f>
        <v>HPWH (&lt;=55 gallons) New Construction</v>
      </c>
      <c r="I21" s="788" t="str">
        <f>INDEX('AMMO Measures'!D:D,MATCH($A21,'AMMO Measures'!$A:$A,0))</f>
        <v>Tier 2</v>
      </c>
      <c r="J21" s="789">
        <f>VALUE(INDEX('AMMO Measures'!H:H,MATCH($A21,'AMMO Measures'!A:A,0)))</f>
        <v>13</v>
      </c>
      <c r="K21" s="683">
        <v>2024</v>
      </c>
      <c r="L21" s="732">
        <f>SUMIFS('AMMO Units'!F:F,'AMMO Units'!$A:$A,$K21,'AMMO Units'!$E:$E,$A21)</f>
        <v>7614</v>
      </c>
      <c r="M21" s="733">
        <f>SUMIFS('AMMO Units'!G:G,'AMMO Units'!$A:$A,$K21,'AMMO Units'!$E:$E,$A21)</f>
        <v>3250</v>
      </c>
      <c r="N21" s="733">
        <f>SUMIFS('AMMO Units'!H:H,'AMMO Units'!$A:$A,$K21,'AMMO Units'!$E:$E,$A21)</f>
        <v>761.4</v>
      </c>
      <c r="O21" s="1769"/>
      <c r="P21" s="734">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Q21" s="790">
        <f>$J$92</f>
        <v>173.86877066931444</v>
      </c>
      <c r="R21" s="1763"/>
      <c r="S21" s="791">
        <f t="shared" si="5"/>
        <v>1.9021902974034274E-2</v>
      </c>
      <c r="T21" s="792">
        <f t="shared" si="3"/>
        <v>8.1194095962189902E-3</v>
      </c>
      <c r="U21" s="793">
        <f t="shared" si="4"/>
        <v>1.0902493377815283E-2</v>
      </c>
      <c r="Z21" s="47"/>
      <c r="AA21" s="47"/>
    </row>
    <row r="22" spans="1:46" ht="14.85" customHeight="1">
      <c r="A22" s="781" t="s">
        <v>624</v>
      </c>
      <c r="B22" s="781" t="str">
        <f t="shared" si="0"/>
        <v>RES_201202</v>
      </c>
      <c r="C22" s="781" t="str">
        <f>INDEX('AMMO vwFlags'!$C:$C,MATCH($A22&amp;K22,'AMMO vwFlags'!$K:$K,0))</f>
        <v>0</v>
      </c>
      <c r="D22" s="781" t="str">
        <f>INDEX('AMMO vwFlags'!$D:$D,MATCH($A22&amp;$K22,'AMMO vwFlags'!$K:$K,0))</f>
        <v>0</v>
      </c>
      <c r="E22" s="781">
        <f t="shared" si="1"/>
        <v>1</v>
      </c>
      <c r="F22" s="730" t="str">
        <f t="shared" si="2"/>
        <v>Residential</v>
      </c>
      <c r="G22" s="788" t="str">
        <f>INDEX('AMMO Measures'!B:B,MATCH($A22,'AMMO Measures'!$A:$A,0))</f>
        <v>Heat Pump Water Heaters</v>
      </c>
      <c r="H22" s="788" t="str">
        <f>INDEX('AMMO Measures'!C:C,MATCH($A22,'AMMO Measures'!$A:$A,0))</f>
        <v>HPWH (&lt;=55 gallons) New Construction</v>
      </c>
      <c r="I22" s="788" t="str">
        <f>INDEX('AMMO Measures'!D:D,MATCH($A22,'AMMO Measures'!$A:$A,0))</f>
        <v>Tier 3</v>
      </c>
      <c r="J22" s="789">
        <f>VALUE(INDEX('AMMO Measures'!H:H,MATCH($A22,'AMMO Measures'!A:A,0)))</f>
        <v>13</v>
      </c>
      <c r="K22" s="683">
        <v>2024</v>
      </c>
      <c r="L22" s="732">
        <f>SUMIFS('AMMO Units'!F:F,'AMMO Units'!$A:$A,$K22,'AMMO Units'!$E:$E,$A22)</f>
        <v>7614</v>
      </c>
      <c r="M22" s="733">
        <f>SUMIFS('AMMO Units'!G:G,'AMMO Units'!$A:$A,$K22,'AMMO Units'!$E:$E,$A22)</f>
        <v>3250</v>
      </c>
      <c r="N22" s="733">
        <f>SUMIFS('AMMO Units'!H:H,'AMMO Units'!$A:$A,$K22,'AMMO Units'!$E:$E,$A22)</f>
        <v>761.4</v>
      </c>
      <c r="O22" s="1769"/>
      <c r="P22" s="734">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Q22" s="790">
        <f>$J$93</f>
        <v>120.87420699810454</v>
      </c>
      <c r="R22" s="1763"/>
      <c r="S22" s="791">
        <f t="shared" si="5"/>
        <v>1.3224096706557482E-2</v>
      </c>
      <c r="T22" s="792">
        <f t="shared" si="3"/>
        <v>5.6446433275954572E-3</v>
      </c>
      <c r="U22" s="793">
        <f t="shared" si="4"/>
        <v>7.5794533789620248E-3</v>
      </c>
      <c r="Z22" s="47"/>
      <c r="AA22" s="47"/>
    </row>
    <row r="23" spans="1:46" ht="14.85" customHeight="1">
      <c r="A23" s="781" t="s">
        <v>625</v>
      </c>
      <c r="B23" s="781" t="str">
        <f t="shared" si="0"/>
        <v>RES_201202</v>
      </c>
      <c r="C23" s="781" t="str">
        <f>INDEX('AMMO vwFlags'!$C:$C,MATCH($A23&amp;K23,'AMMO vwFlags'!$K:$K,0))</f>
        <v>0</v>
      </c>
      <c r="D23" s="781" t="str">
        <f>INDEX('AMMO vwFlags'!$D:$D,MATCH($A23&amp;$K23,'AMMO vwFlags'!$K:$K,0))</f>
        <v>0</v>
      </c>
      <c r="E23" s="781">
        <f t="shared" si="1"/>
        <v>1</v>
      </c>
      <c r="F23" s="730" t="str">
        <f t="shared" si="2"/>
        <v>Residential</v>
      </c>
      <c r="G23" s="788" t="str">
        <f>INDEX('AMMO Measures'!B:B,MATCH($A23,'AMMO Measures'!$A:$A,0))</f>
        <v>Heat Pump Water Heaters</v>
      </c>
      <c r="H23" s="788" t="str">
        <f>INDEX('AMMO Measures'!C:C,MATCH($A23,'AMMO Measures'!$A:$A,0))</f>
        <v>HPWH (&lt;=55 gallons) New Construction</v>
      </c>
      <c r="I23" s="788" t="str">
        <f>INDEX('AMMO Measures'!D:D,MATCH($A23,'AMMO Measures'!$A:$A,0))</f>
        <v>Tier 4</v>
      </c>
      <c r="J23" s="789">
        <f>VALUE(INDEX('AMMO Measures'!H:H,MATCH($A23,'AMMO Measures'!A:A,0)))</f>
        <v>13</v>
      </c>
      <c r="K23" s="683">
        <v>2024</v>
      </c>
      <c r="L23" s="732">
        <f>SUMIFS('AMMO Units'!F:F,'AMMO Units'!$A:$A,$K23,'AMMO Units'!$E:$E,$A23)</f>
        <v>7614</v>
      </c>
      <c r="M23" s="733">
        <f>SUMIFS('AMMO Units'!G:G,'AMMO Units'!$A:$A,$K23,'AMMO Units'!$E:$E,$A23)</f>
        <v>2856</v>
      </c>
      <c r="N23" s="733">
        <f>SUMIFS('AMMO Units'!H:H,'AMMO Units'!$A:$A,$K23,'AMMO Units'!$E:$E,$A23)</f>
        <v>761.4</v>
      </c>
      <c r="O23" s="1769"/>
      <c r="P23" s="734">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0.13985600000000001</v>
      </c>
      <c r="Q23" s="790">
        <f>$J$94</f>
        <v>109.82299404952514</v>
      </c>
      <c r="R23" s="1763"/>
      <c r="S23" s="791">
        <f t="shared" si="5"/>
        <v>1.2015052094094661E-2</v>
      </c>
      <c r="T23" s="792">
        <f t="shared" si="3"/>
        <v>4.506828051055207E-3</v>
      </c>
      <c r="U23" s="793">
        <f t="shared" si="4"/>
        <v>7.5082240430394539E-3</v>
      </c>
      <c r="Z23" s="47"/>
      <c r="AA23" s="47"/>
    </row>
    <row r="24" spans="1:46" ht="13.5" customHeight="1">
      <c r="A24" s="781" t="s">
        <v>626</v>
      </c>
      <c r="B24" s="781" t="str">
        <f t="shared" si="0"/>
        <v>RES_201202</v>
      </c>
      <c r="C24" s="781" t="str">
        <f>INDEX('AMMO vwFlags'!$C:$C,MATCH($A24&amp;K24,'AMMO vwFlags'!$K:$K,0))</f>
        <v>0</v>
      </c>
      <c r="D24" s="781" t="str">
        <f>INDEX('AMMO vwFlags'!$D:$D,MATCH($A24&amp;$K24,'AMMO vwFlags'!$K:$K,0))</f>
        <v>1</v>
      </c>
      <c r="E24" s="781">
        <f t="shared" si="1"/>
        <v>1</v>
      </c>
      <c r="F24" s="730" t="str">
        <f t="shared" si="2"/>
        <v>Residential</v>
      </c>
      <c r="G24" s="788" t="str">
        <f>INDEX('AMMO Measures'!B:B,MATCH($A24,'AMMO Measures'!$A:$A,0))</f>
        <v>Heat Pump Water Heaters</v>
      </c>
      <c r="H24" s="788" t="str">
        <f>INDEX('AMMO Measures'!C:C,MATCH($A24,'AMMO Measures'!$A:$A,0))</f>
        <v>HPWH (&gt;55 gallons) New Construction</v>
      </c>
      <c r="I24" s="788" t="str">
        <f>INDEX('AMMO Measures'!D:D,MATCH($A24,'AMMO Measures'!$A:$A,0))</f>
        <v>Tier 1</v>
      </c>
      <c r="J24" s="789">
        <f>VALUE(INDEX('AMMO Measures'!H:H,MATCH($A24,'AMMO Measures'!A:A,0)))</f>
        <v>13</v>
      </c>
      <c r="K24" s="683">
        <v>2024</v>
      </c>
      <c r="L24" s="732">
        <f>SUMIFS('AMMO Units'!F:F,'AMMO Units'!$A:$A,$K24,'AMMO Units'!$E:$E,$A24)</f>
        <v>4100</v>
      </c>
      <c r="M24" s="733">
        <f>SUMIFS('AMMO Units'!G:G,'AMMO Units'!$A:$A,$K24,'AMMO Units'!$E:$E,$A24)</f>
        <v>1734</v>
      </c>
      <c r="N24" s="733">
        <f>SUMIFS('AMMO Units'!H:H,'AMMO Units'!$A:$A,$K24,'AMMO Units'!$E:$E,$A24)</f>
        <v>4100</v>
      </c>
      <c r="O24" s="1768"/>
      <c r="P24" s="734">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Q24" s="790">
        <f>$K$91</f>
        <v>480.42229068280938</v>
      </c>
      <c r="R24" s="1762"/>
      <c r="S24" s="791">
        <f t="shared" si="5"/>
        <v>0</v>
      </c>
      <c r="T24" s="792">
        <f t="shared" si="3"/>
        <v>0</v>
      </c>
      <c r="U24" s="793">
        <f t="shared" si="4"/>
        <v>0</v>
      </c>
      <c r="V24" s="86"/>
      <c r="W24" s="86"/>
      <c r="X24" s="86"/>
      <c r="Y24" s="86"/>
      <c r="Z24" s="47"/>
      <c r="AA24" s="47"/>
      <c r="AB24" s="86"/>
      <c r="AC24" s="86"/>
      <c r="AD24" s="86"/>
      <c r="AE24" s="86"/>
      <c r="AF24" s="86"/>
      <c r="AG24" s="86"/>
      <c r="AH24" s="86"/>
      <c r="AI24" s="86"/>
      <c r="AJ24" s="86"/>
      <c r="AK24" s="86"/>
      <c r="AL24" s="86"/>
      <c r="AM24" s="86"/>
      <c r="AN24" s="86"/>
      <c r="AO24" s="86"/>
      <c r="AP24" s="86"/>
      <c r="AQ24" s="86"/>
      <c r="AR24" s="86"/>
      <c r="AS24" s="86"/>
      <c r="AT24" s="86"/>
    </row>
    <row r="25" spans="1:46" ht="14.85" customHeight="1">
      <c r="A25" s="781" t="s">
        <v>627</v>
      </c>
      <c r="B25" s="781" t="str">
        <f t="shared" si="0"/>
        <v>RES_201202</v>
      </c>
      <c r="C25" s="781" t="str">
        <f>INDEX('AMMO vwFlags'!$C:$C,MATCH($A25&amp;K25,'AMMO vwFlags'!$K:$K,0))</f>
        <v>0</v>
      </c>
      <c r="D25" s="781" t="str">
        <f>INDEX('AMMO vwFlags'!$D:$D,MATCH($A25&amp;$K25,'AMMO vwFlags'!$K:$K,0))</f>
        <v>0</v>
      </c>
      <c r="E25" s="781">
        <f t="shared" si="1"/>
        <v>1</v>
      </c>
      <c r="F25" s="730" t="str">
        <f t="shared" si="2"/>
        <v>Residential</v>
      </c>
      <c r="G25" s="788" t="str">
        <f>INDEX('AMMO Measures'!B:B,MATCH($A25,'AMMO Measures'!$A:$A,0))</f>
        <v>Heat Pump Water Heaters</v>
      </c>
      <c r="H25" s="788" t="str">
        <f>INDEX('AMMO Measures'!C:C,MATCH($A25,'AMMO Measures'!$A:$A,0))</f>
        <v>HPWH (&gt;55 gallons) New Construction</v>
      </c>
      <c r="I25" s="788" t="str">
        <f>INDEX('AMMO Measures'!D:D,MATCH($A25,'AMMO Measures'!$A:$A,0))</f>
        <v>Tier 2</v>
      </c>
      <c r="J25" s="789">
        <f>VALUE(INDEX('AMMO Measures'!H:H,MATCH($A25,'AMMO Measures'!A:A,0)))</f>
        <v>13</v>
      </c>
      <c r="K25" s="683">
        <v>2024</v>
      </c>
      <c r="L25" s="732">
        <f>SUMIFS('AMMO Units'!F:F,'AMMO Units'!$A:$A,$K25,'AMMO Units'!$E:$E,$A25)</f>
        <v>4100</v>
      </c>
      <c r="M25" s="733">
        <f>SUMIFS('AMMO Units'!G:G,'AMMO Units'!$A:$A,$K25,'AMMO Units'!$E:$E,$A25)</f>
        <v>1734</v>
      </c>
      <c r="N25" s="733">
        <f>SUMIFS('AMMO Units'!H:H,'AMMO Units'!$A:$A,$K25,'AMMO Units'!$E:$E,$A25)</f>
        <v>410</v>
      </c>
      <c r="O25" s="1769"/>
      <c r="P25" s="734">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Q25" s="790">
        <f>$K$92</f>
        <v>160.36460899279277</v>
      </c>
      <c r="R25" s="1763"/>
      <c r="S25" s="791">
        <f t="shared" si="5"/>
        <v>9.4473910578815462E-3</v>
      </c>
      <c r="T25" s="792">
        <f t="shared" si="3"/>
        <v>3.995555144967463E-3</v>
      </c>
      <c r="U25" s="793">
        <f t="shared" si="4"/>
        <v>5.4518359129140832E-3</v>
      </c>
      <c r="Z25" s="47"/>
      <c r="AA25" s="47"/>
    </row>
    <row r="26" spans="1:46" ht="14.85" customHeight="1">
      <c r="A26" s="781" t="s">
        <v>628</v>
      </c>
      <c r="B26" s="781" t="str">
        <f t="shared" si="0"/>
        <v>RES_201202</v>
      </c>
      <c r="C26" s="781" t="str">
        <f>INDEX('AMMO vwFlags'!$C:$C,MATCH($A26&amp;K26,'AMMO vwFlags'!$K:$K,0))</f>
        <v>0</v>
      </c>
      <c r="D26" s="781" t="str">
        <f>INDEX('AMMO vwFlags'!$D:$D,MATCH($A26&amp;$K26,'AMMO vwFlags'!$K:$K,0))</f>
        <v>0</v>
      </c>
      <c r="E26" s="781">
        <f t="shared" si="1"/>
        <v>1</v>
      </c>
      <c r="F26" s="730" t="str">
        <f t="shared" si="2"/>
        <v>Residential</v>
      </c>
      <c r="G26" s="788" t="str">
        <f>INDEX('AMMO Measures'!B:B,MATCH($A26,'AMMO Measures'!$A:$A,0))</f>
        <v>Heat Pump Water Heaters</v>
      </c>
      <c r="H26" s="788" t="str">
        <f>INDEX('AMMO Measures'!C:C,MATCH($A26,'AMMO Measures'!$A:$A,0))</f>
        <v>HPWH (&gt;55 gallons) New Construction</v>
      </c>
      <c r="I26" s="788" t="str">
        <f>INDEX('AMMO Measures'!D:D,MATCH($A26,'AMMO Measures'!$A:$A,0))</f>
        <v>Tier 3</v>
      </c>
      <c r="J26" s="789">
        <f>VALUE(INDEX('AMMO Measures'!H:H,MATCH($A26,'AMMO Measures'!A:A,0)))</f>
        <v>13</v>
      </c>
      <c r="K26" s="683">
        <v>2024</v>
      </c>
      <c r="L26" s="732">
        <f>SUMIFS('AMMO Units'!F:F,'AMMO Units'!$A:$A,$K26,'AMMO Units'!$E:$E,$A26)</f>
        <v>4100</v>
      </c>
      <c r="M26" s="733">
        <f>SUMIFS('AMMO Units'!G:G,'AMMO Units'!$A:$A,$K26,'AMMO Units'!$E:$E,$A26)</f>
        <v>1734</v>
      </c>
      <c r="N26" s="733">
        <f>SUMIFS('AMMO Units'!H:H,'AMMO Units'!$A:$A,$K26,'AMMO Units'!$E:$E,$A26)</f>
        <v>410</v>
      </c>
      <c r="O26" s="1769"/>
      <c r="P26" s="734">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0.13985600000000001</v>
      </c>
      <c r="Q26" s="790">
        <f>$K$93</f>
        <v>111.48606427678585</v>
      </c>
      <c r="R26" s="1763"/>
      <c r="S26" s="791">
        <f t="shared" si="5"/>
        <v>6.5678609098485689E-3</v>
      </c>
      <c r="T26" s="792">
        <f t="shared" si="3"/>
        <v>2.777724589677419E-3</v>
      </c>
      <c r="U26" s="793">
        <f t="shared" si="4"/>
        <v>3.7901363201711499E-3</v>
      </c>
      <c r="Z26" s="47"/>
      <c r="AA26" s="47"/>
    </row>
    <row r="27" spans="1:46" ht="14.85" customHeight="1">
      <c r="A27" s="781" t="s">
        <v>629</v>
      </c>
      <c r="B27" s="781" t="str">
        <f t="shared" si="0"/>
        <v>RES_201202</v>
      </c>
      <c r="C27" s="781" t="str">
        <f>INDEX('AMMO vwFlags'!$C:$C,MATCH($A27&amp;K27,'AMMO vwFlags'!$K:$K,0))</f>
        <v>0</v>
      </c>
      <c r="D27" s="781" t="str">
        <f>INDEX('AMMO vwFlags'!$D:$D,MATCH($A27&amp;$K27,'AMMO vwFlags'!$K:$K,0))</f>
        <v>0</v>
      </c>
      <c r="E27" s="781">
        <f t="shared" si="1"/>
        <v>1</v>
      </c>
      <c r="F27" s="730" t="str">
        <f t="shared" si="2"/>
        <v>Residential</v>
      </c>
      <c r="G27" s="788" t="str">
        <f>INDEX('AMMO Measures'!B:B,MATCH($A27,'AMMO Measures'!$A:$A,0))</f>
        <v>Heat Pump Water Heaters</v>
      </c>
      <c r="H27" s="788" t="str">
        <f>INDEX('AMMO Measures'!C:C,MATCH($A27,'AMMO Measures'!$A:$A,0))</f>
        <v>HPWH (&gt;55 gallons) New Construction</v>
      </c>
      <c r="I27" s="788" t="str">
        <f>INDEX('AMMO Measures'!D:D,MATCH($A27,'AMMO Measures'!$A:$A,0))</f>
        <v>Tier 4</v>
      </c>
      <c r="J27" s="789">
        <f>VALUE(INDEX('AMMO Measures'!H:H,MATCH($A27,'AMMO Measures'!A:A,0)))</f>
        <v>13</v>
      </c>
      <c r="K27" s="683">
        <v>2024</v>
      </c>
      <c r="L27" s="732">
        <f>SUMIFS('AMMO Units'!F:F,'AMMO Units'!$A:$A,$K27,'AMMO Units'!$E:$E,$A27)</f>
        <v>4100</v>
      </c>
      <c r="M27" s="733">
        <f>SUMIFS('AMMO Units'!G:G,'AMMO Units'!$A:$A,$K27,'AMMO Units'!$E:$E,$A27)</f>
        <v>1538</v>
      </c>
      <c r="N27" s="733">
        <f>SUMIFS('AMMO Units'!H:H,'AMMO Units'!$A:$A,$K27,'AMMO Units'!$E:$E,$A27)</f>
        <v>410</v>
      </c>
      <c r="O27" s="1769"/>
      <c r="P27" s="734">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Q27" s="790">
        <f>$K$94</f>
        <v>101.29318468965366</v>
      </c>
      <c r="R27" s="1763"/>
      <c r="S27" s="791">
        <f t="shared" si="5"/>
        <v>5.9673785461253877E-3</v>
      </c>
      <c r="T27" s="792">
        <f t="shared" si="3"/>
        <v>2.2384946838880115E-3</v>
      </c>
      <c r="U27" s="793">
        <f t="shared" si="4"/>
        <v>3.7288838622373762E-3</v>
      </c>
      <c r="Z27" s="47"/>
      <c r="AA27" s="47"/>
    </row>
    <row r="28" spans="1:46" ht="14.85" customHeight="1">
      <c r="A28" s="781" t="s">
        <v>51</v>
      </c>
      <c r="B28" s="781" t="str">
        <f t="shared" ref="B28:B43" si="11">LEFT(A28,10)</f>
        <v>RES_201202</v>
      </c>
      <c r="C28" s="781" t="str">
        <f>INDEX('AMMO vwFlags'!$C:$C,MATCH($A28&amp;K28,'AMMO vwFlags'!$K:$K,0))</f>
        <v>0</v>
      </c>
      <c r="D28" s="781" t="str">
        <f>INDEX('AMMO vwFlags'!$D:$D,MATCH($A28&amp;$K28,'AMMO vwFlags'!$K:$K,0))</f>
        <v>0</v>
      </c>
      <c r="E28" s="781">
        <f t="shared" si="1"/>
        <v>1</v>
      </c>
      <c r="F28" s="730" t="str">
        <f t="shared" si="2"/>
        <v>Residential</v>
      </c>
      <c r="G28" s="788" t="str">
        <f>INDEX('AMMO Measures'!B:B,MATCH($A28,'AMMO Measures'!$A:$A,0))</f>
        <v>Heat Pump Water Heaters</v>
      </c>
      <c r="H28" s="788" t="str">
        <f>INDEX('AMMO Measures'!C:C,MATCH($A28,'AMMO Measures'!$A:$A,0))</f>
        <v>HPWH (&lt;=55 gallons) Existing Construction</v>
      </c>
      <c r="I28" s="788" t="str">
        <f>INDEX('AMMO Measures'!D:D,MATCH($A28,'AMMO Measures'!$A:$A,0))</f>
        <v>Tier 1</v>
      </c>
      <c r="J28" s="789">
        <f>VALUE(INDEX('AMMO Measures'!H:H,MATCH($A28,'AMMO Measures'!A:A,0)))</f>
        <v>13</v>
      </c>
      <c r="K28" s="683">
        <v>2025</v>
      </c>
      <c r="L28" s="732">
        <f>SUMIFS('AMMO Units'!F:F,'AMMO Units'!$A:$A,$K28,'AMMO Units'!$E:$E,$A28)</f>
        <v>19488.615691579998</v>
      </c>
      <c r="M28" s="733">
        <f>SUMIFS('AMMO Units'!G:G,'AMMO Units'!$A:$A,$K28,'AMMO Units'!$E:$E,$A28)</f>
        <v>9237.3342952700004</v>
      </c>
      <c r="N28" s="733">
        <f>SUMIFS('AMMO Units'!H:H,'AMMO Units'!$A:$A,$K28,'AMMO Units'!$E:$E,$A28)</f>
        <v>682.10154921000003</v>
      </c>
      <c r="O28" s="1769"/>
      <c r="P28" s="734">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0.13985600000000001</v>
      </c>
      <c r="Q28" s="790">
        <f>$L$87</f>
        <v>945.34768410387562</v>
      </c>
      <c r="R28" s="1763"/>
      <c r="S28" s="791">
        <f t="shared" ref="S28:S43" si="12">(L28-N28)*P28*Q28/8760000</f>
        <v>0.28384213591973018</v>
      </c>
      <c r="T28" s="792">
        <f t="shared" ref="T28:T43" si="13">IFERROR((M28-N28/L28*M28)*P28*Q28/8760/1000,0)</f>
        <v>0.13453724667097916</v>
      </c>
      <c r="U28" s="793">
        <f t="shared" ref="U28:U43" si="14">S28-T28</f>
        <v>0.14930488924875102</v>
      </c>
    </row>
    <row r="29" spans="1:46" ht="13.5" customHeight="1">
      <c r="A29" s="781" t="s">
        <v>53</v>
      </c>
      <c r="B29" s="781" t="str">
        <f t="shared" si="11"/>
        <v>RES_201202</v>
      </c>
      <c r="C29" s="781" t="str">
        <f>INDEX('AMMO vwFlags'!$C:$C,MATCH($A29&amp;K29,'AMMO vwFlags'!$K:$K,0))</f>
        <v>0</v>
      </c>
      <c r="D29" s="781" t="str">
        <f>INDEX('AMMO vwFlags'!$D:$D,MATCH($A29&amp;$K29,'AMMO vwFlags'!$K:$K,0))</f>
        <v>1</v>
      </c>
      <c r="E29" s="781">
        <f t="shared" si="1"/>
        <v>1</v>
      </c>
      <c r="F29" s="730" t="str">
        <f t="shared" si="2"/>
        <v>Residential</v>
      </c>
      <c r="G29" s="788" t="str">
        <f>INDEX('AMMO Measures'!B:B,MATCH($A29,'AMMO Measures'!$A:$A,0))</f>
        <v>Heat Pump Water Heaters</v>
      </c>
      <c r="H29" s="788" t="str">
        <f>INDEX('AMMO Measures'!C:C,MATCH($A29,'AMMO Measures'!$A:$A,0))</f>
        <v>HPWH (&gt;55 gallons) Existing Construction</v>
      </c>
      <c r="I29" s="788" t="str">
        <f>INDEX('AMMO Measures'!D:D,MATCH($A29,'AMMO Measures'!$A:$A,0))</f>
        <v>Tier 1</v>
      </c>
      <c r="J29" s="789">
        <f>VALUE(INDEX('AMMO Measures'!H:H,MATCH($A29,'AMMO Measures'!A:A,0)))</f>
        <v>13</v>
      </c>
      <c r="K29" s="683">
        <v>2025</v>
      </c>
      <c r="L29" s="732">
        <f>SUMIFS('AMMO Units'!F:F,'AMMO Units'!$A:$A,$K29,'AMMO Units'!$E:$E,$A29)</f>
        <v>8383.9612534499993</v>
      </c>
      <c r="M29" s="733">
        <f>SUMIFS('AMMO Units'!G:G,'AMMO Units'!$A:$A,$K29,'AMMO Units'!$E:$E,$A29)</f>
        <v>3956.0993239700001</v>
      </c>
      <c r="N29" s="733">
        <f>SUMIFS('AMMO Units'!H:H,'AMMO Units'!$A:$A,$K29,'AMMO Units'!$E:$E,$A29)</f>
        <v>8383.9612534499993</v>
      </c>
      <c r="O29" s="1768"/>
      <c r="P29" s="734">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Q29" s="790">
        <f>$L$87</f>
        <v>945.34768410387562</v>
      </c>
      <c r="R29" s="1762"/>
      <c r="S29" s="791">
        <f>(L29-N29)*P29*Q29/8760000</f>
        <v>0</v>
      </c>
      <c r="T29" s="792">
        <f t="shared" si="13"/>
        <v>0</v>
      </c>
      <c r="U29" s="793">
        <f t="shared" si="14"/>
        <v>0</v>
      </c>
    </row>
    <row r="30" spans="1:46" ht="14.85" customHeight="1">
      <c r="A30" s="781" t="s">
        <v>52</v>
      </c>
      <c r="B30" s="781" t="str">
        <f t="shared" si="11"/>
        <v>RES_201202</v>
      </c>
      <c r="C30" s="781" t="str">
        <f>INDEX('AMMO vwFlags'!$C:$C,MATCH($A30&amp;K30,'AMMO vwFlags'!$K:$K,0))</f>
        <v>0</v>
      </c>
      <c r="D30" s="781" t="str">
        <f>INDEX('AMMO vwFlags'!$D:$D,MATCH($A30&amp;$K30,'AMMO vwFlags'!$K:$K,0))</f>
        <v>0</v>
      </c>
      <c r="E30" s="781">
        <f t="shared" si="1"/>
        <v>1</v>
      </c>
      <c r="F30" s="730" t="str">
        <f t="shared" si="2"/>
        <v>Residential</v>
      </c>
      <c r="G30" s="788" t="str">
        <f>INDEX('AMMO Measures'!B:B,MATCH($A30,'AMMO Measures'!$A:$A,0))</f>
        <v>Heat Pump Water Heaters</v>
      </c>
      <c r="H30" s="788" t="str">
        <f>INDEX('AMMO Measures'!C:C,MATCH($A30,'AMMO Measures'!$A:$A,0))</f>
        <v>HPWH (&lt;=55 gallons) Existing Construction</v>
      </c>
      <c r="I30" s="788" t="str">
        <f>INDEX('AMMO Measures'!D:D,MATCH($A30,'AMMO Measures'!$A:$A,0))</f>
        <v>Tier 2</v>
      </c>
      <c r="J30" s="789">
        <f>VALUE(INDEX('AMMO Measures'!H:H,MATCH($A30,'AMMO Measures'!A:A,0)))</f>
        <v>13</v>
      </c>
      <c r="K30" s="683">
        <v>2025</v>
      </c>
      <c r="L30" s="732">
        <f>SUMIFS('AMMO Units'!F:F,'AMMO Units'!$A:$A,$K30,'AMMO Units'!$E:$E,$A30)</f>
        <v>19293.72953466</v>
      </c>
      <c r="M30" s="733">
        <f>SUMIFS('AMMO Units'!G:G,'AMMO Units'!$A:$A,$K30,'AMMO Units'!$E:$E,$A30)</f>
        <v>7793.8944878599996</v>
      </c>
      <c r="N30" s="733">
        <f>SUMIFS('AMMO Units'!H:H,'AMMO Units'!$A:$A,$K30,'AMMO Units'!$E:$E,$A30)</f>
        <v>675.28053370999999</v>
      </c>
      <c r="O30" s="1769"/>
      <c r="P30" s="734">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Q30" s="790">
        <f>$L$88</f>
        <v>315.55636502231266</v>
      </c>
      <c r="R30" s="1763"/>
      <c r="S30" s="791">
        <f t="shared" si="12"/>
        <v>9.379883424431544E-2</v>
      </c>
      <c r="T30" s="792">
        <f t="shared" si="13"/>
        <v>3.7890974675018785E-2</v>
      </c>
      <c r="U30" s="793">
        <f t="shared" si="14"/>
        <v>5.5907859569296656E-2</v>
      </c>
    </row>
    <row r="31" spans="1:46" ht="14.85" customHeight="1">
      <c r="A31" s="781" t="s">
        <v>54</v>
      </c>
      <c r="B31" s="781" t="str">
        <f t="shared" si="11"/>
        <v>RES_201202</v>
      </c>
      <c r="C31" s="781" t="str">
        <f>INDEX('AMMO vwFlags'!$C:$C,MATCH($A31&amp;K31,'AMMO vwFlags'!$K:$K,0))</f>
        <v>0</v>
      </c>
      <c r="D31" s="781" t="str">
        <f>INDEX('AMMO vwFlags'!$D:$D,MATCH($A31&amp;$K31,'AMMO vwFlags'!$K:$K,0))</f>
        <v>0</v>
      </c>
      <c r="E31" s="781">
        <f t="shared" si="1"/>
        <v>1</v>
      </c>
      <c r="F31" s="730" t="str">
        <f t="shared" si="2"/>
        <v>Residential</v>
      </c>
      <c r="G31" s="788" t="str">
        <f>INDEX('AMMO Measures'!B:B,MATCH($A31,'AMMO Measures'!$A:$A,0))</f>
        <v>Heat Pump Water Heaters</v>
      </c>
      <c r="H31" s="788" t="str">
        <f>INDEX('AMMO Measures'!C:C,MATCH($A31,'AMMO Measures'!$A:$A,0))</f>
        <v>HPWH (&gt;55 gallons) Existing Construction</v>
      </c>
      <c r="I31" s="788" t="str">
        <f>INDEX('AMMO Measures'!D:D,MATCH($A31,'AMMO Measures'!$A:$A,0))</f>
        <v>Tier 2</v>
      </c>
      <c r="J31" s="789">
        <f>VALUE(INDEX('AMMO Measures'!H:H,MATCH($A31,'AMMO Measures'!A:A,0)))</f>
        <v>13</v>
      </c>
      <c r="K31" s="683">
        <v>2025</v>
      </c>
      <c r="L31" s="732">
        <f>SUMIFS('AMMO Units'!F:F,'AMMO Units'!$A:$A,$K31,'AMMO Units'!$E:$E,$A31)</f>
        <v>8383.9612534499993</v>
      </c>
      <c r="M31" s="733">
        <f>SUMIFS('AMMO Units'!G:G,'AMMO Units'!$A:$A,$K31,'AMMO Units'!$E:$E,$A31)</f>
        <v>3781.0231516499998</v>
      </c>
      <c r="N31" s="733">
        <f>SUMIFS('AMMO Units'!H:H,'AMMO Units'!$A:$A,$K31,'AMMO Units'!$E:$E,$A31)</f>
        <v>293.43864387000002</v>
      </c>
      <c r="O31" s="1769"/>
      <c r="P31" s="734">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Q31" s="790">
        <f>$L$88</f>
        <v>315.55636502231266</v>
      </c>
      <c r="R31" s="1763"/>
      <c r="S31" s="791">
        <f t="shared" si="12"/>
        <v>4.0759656680701979E-2</v>
      </c>
      <c r="T31" s="792">
        <f t="shared" si="13"/>
        <v>1.8381908134370517E-2</v>
      </c>
      <c r="U31" s="793">
        <f t="shared" si="14"/>
        <v>2.2377748546331462E-2</v>
      </c>
    </row>
    <row r="32" spans="1:46" ht="14.85" customHeight="1">
      <c r="A32" s="781" t="s">
        <v>630</v>
      </c>
      <c r="B32" s="781" t="str">
        <f t="shared" si="11"/>
        <v>RES_201202</v>
      </c>
      <c r="C32" s="781" t="str">
        <f>INDEX('AMMO vwFlags'!$C:$C,MATCH($A32&amp;K32,'AMMO vwFlags'!$K:$K,0))</f>
        <v>0</v>
      </c>
      <c r="D32" s="781" t="str">
        <f>INDEX('AMMO vwFlags'!$D:$D,MATCH($A32&amp;$K32,'AMMO vwFlags'!$K:$K,0))</f>
        <v>0</v>
      </c>
      <c r="E32" s="781">
        <f t="shared" si="1"/>
        <v>1</v>
      </c>
      <c r="F32" s="730" t="str">
        <f t="shared" si="2"/>
        <v>Residential</v>
      </c>
      <c r="G32" s="788" t="str">
        <f>INDEX('AMMO Measures'!B:B,MATCH($A32,'AMMO Measures'!$A:$A,0))</f>
        <v>Heat Pump Water Heaters</v>
      </c>
      <c r="H32" s="788" t="str">
        <f>INDEX('AMMO Measures'!C:C,MATCH($A32,'AMMO Measures'!$A:$A,0))</f>
        <v>HPWH (&lt;=55 gallons) Existing Construction</v>
      </c>
      <c r="I32" s="788" t="str">
        <f>INDEX('AMMO Measures'!D:D,MATCH($A32,'AMMO Measures'!$A:$A,0))</f>
        <v>Tier 3</v>
      </c>
      <c r="J32" s="789">
        <f>VALUE(INDEX('AMMO Measures'!H:H,MATCH($A32,'AMMO Measures'!A:A,0)))</f>
        <v>13</v>
      </c>
      <c r="K32" s="683">
        <v>2025</v>
      </c>
      <c r="L32" s="732">
        <f>SUMIFS('AMMO Units'!F:F,'AMMO Units'!$A:$A,$K32,'AMMO Units'!$E:$E,$A32)</f>
        <v>19293.72953466</v>
      </c>
      <c r="M32" s="733">
        <f>SUMIFS('AMMO Units'!G:G,'AMMO Units'!$A:$A,$K32,'AMMO Units'!$E:$E,$A32)</f>
        <v>3858.7459069299998</v>
      </c>
      <c r="N32" s="733">
        <f>SUMIFS('AMMO Units'!H:H,'AMMO Units'!$A:$A,$K32,'AMMO Units'!$E:$E,$A32)</f>
        <v>675.28053370999999</v>
      </c>
      <c r="O32" s="1769"/>
      <c r="P32" s="734">
        <f>IF(Selection!$A$2="regional",1,IF($L32=0,0,
( INDEX(Allocation!$B:$B,MATCH(K32,Allocation!$A:$A,0)) * INDEX(UnitsFunderShareAllocation!$C:$C, MATCH($A32&amp;K32,UnitsFunderShareAllocation!$H:$H,0))
+ INDEX(Allocation!$C:$C,MATCH(K32,Allocation!$A:$A,0)) * INDEX(UnitsFunderShareAllocation!$D:$D, MATCH($A32&amp;K32,UnitsFunderShareAllocation!$H:$H,0))
+ INDEX(Allocation!$D:$D,MATCH(K32,Allocation!$A:$A,0)) * INDEX(UnitsFunderShareAllocation!$E:$E, MATCH($A32&amp;K32,UnitsFunderShareAllocation!$H:$H,0))
+ INDEX(Allocation!$E:$E,MATCH(K32,Allocation!$A:$A,0)) * INDEX(UnitsFunderShareAllocation!$F:$F, MATCH($A32&amp;K32,UnitsFunderShareAllocation!$H:$H,0)))
))</f>
        <v>0.13985600000000001</v>
      </c>
      <c r="Q32" s="790">
        <f>$L$89</f>
        <v>219.37594220310507</v>
      </c>
      <c r="R32" s="1763"/>
      <c r="S32" s="791">
        <f t="shared" si="12"/>
        <v>6.5209293555034409E-2</v>
      </c>
      <c r="T32" s="792">
        <f t="shared" si="13"/>
        <v>1.3041858711000123E-2</v>
      </c>
      <c r="U32" s="793">
        <f t="shared" si="14"/>
        <v>5.2167434844034286E-2</v>
      </c>
    </row>
    <row r="33" spans="1:27" ht="14.85" customHeight="1">
      <c r="A33" s="781" t="s">
        <v>622</v>
      </c>
      <c r="B33" s="781" t="str">
        <f t="shared" si="11"/>
        <v>RES_201202</v>
      </c>
      <c r="C33" s="781" t="str">
        <f>INDEX('AMMO vwFlags'!$C:$C,MATCH($A33&amp;K33,'AMMO vwFlags'!$K:$K,0))</f>
        <v>0</v>
      </c>
      <c r="D33" s="781" t="str">
        <f>INDEX('AMMO vwFlags'!$D:$D,MATCH($A33&amp;$K33,'AMMO vwFlags'!$K:$K,0))</f>
        <v>0</v>
      </c>
      <c r="E33" s="781">
        <f t="shared" si="1"/>
        <v>1</v>
      </c>
      <c r="F33" s="730" t="str">
        <f t="shared" si="2"/>
        <v>Residential</v>
      </c>
      <c r="G33" s="788" t="str">
        <f>INDEX('AMMO Measures'!B:B,MATCH($A33,'AMMO Measures'!$A:$A,0))</f>
        <v>Heat Pump Water Heaters</v>
      </c>
      <c r="H33" s="788" t="str">
        <f>INDEX('AMMO Measures'!C:C,MATCH($A33,'AMMO Measures'!$A:$A,0))</f>
        <v>HPWH (&gt;55 gallons) Existing Construction</v>
      </c>
      <c r="I33" s="788" t="str">
        <f>INDEX('AMMO Measures'!D:D,MATCH($A33,'AMMO Measures'!$A:$A,0))</f>
        <v>Tier 3</v>
      </c>
      <c r="J33" s="789">
        <f>VALUE(INDEX('AMMO Measures'!H:H,MATCH($A33,'AMMO Measures'!A:A,0)))</f>
        <v>13</v>
      </c>
      <c r="K33" s="683">
        <v>2025</v>
      </c>
      <c r="L33" s="732">
        <f>SUMIFS('AMMO Units'!F:F,'AMMO Units'!$A:$A,$K33,'AMMO Units'!$E:$E,$A33)</f>
        <v>8383.9612534499993</v>
      </c>
      <c r="M33" s="733">
        <f>SUMIFS('AMMO Units'!G:G,'AMMO Units'!$A:$A,$K33,'AMMO Units'!$E:$E,$A33)</f>
        <v>3781.0231516499998</v>
      </c>
      <c r="N33" s="733">
        <f>SUMIFS('AMMO Units'!H:H,'AMMO Units'!$A:$A,$K33,'AMMO Units'!$E:$E,$A33)</f>
        <v>293.43864387000002</v>
      </c>
      <c r="O33" s="1769"/>
      <c r="P33" s="734">
        <f>IF(Selection!$A$2="regional",1,IF($L33=0,0,
( INDEX(Allocation!$B:$B,MATCH(K33,Allocation!$A:$A,0)) * INDEX(UnitsFunderShareAllocation!$C:$C, MATCH($A33&amp;K33,UnitsFunderShareAllocation!$H:$H,0))
+ INDEX(Allocation!$C:$C,MATCH(K33,Allocation!$A:$A,0)) * INDEX(UnitsFunderShareAllocation!$D:$D, MATCH($A33&amp;K33,UnitsFunderShareAllocation!$H:$H,0))
+ INDEX(Allocation!$D:$D,MATCH(K33,Allocation!$A:$A,0)) * INDEX(UnitsFunderShareAllocation!$E:$E, MATCH($A33&amp;K33,UnitsFunderShareAllocation!$H:$H,0))
+ INDEX(Allocation!$E:$E,MATCH(K33,Allocation!$A:$A,0)) * INDEX(UnitsFunderShareAllocation!$F:$F, MATCH($A33&amp;K33,UnitsFunderShareAllocation!$H:$H,0)))
))</f>
        <v>0.13985600000000001</v>
      </c>
      <c r="Q33" s="790">
        <f>$L$89</f>
        <v>219.37594220310507</v>
      </c>
      <c r="R33" s="1763"/>
      <c r="S33" s="791">
        <f t="shared" si="12"/>
        <v>2.8336262802278842E-2</v>
      </c>
      <c r="T33" s="792">
        <f t="shared" si="13"/>
        <v>1.2779169946970698E-2</v>
      </c>
      <c r="U33" s="793">
        <f t="shared" si="14"/>
        <v>1.5557092855308144E-2</v>
      </c>
    </row>
    <row r="34" spans="1:27" ht="15" customHeight="1">
      <c r="A34" s="781" t="s">
        <v>631</v>
      </c>
      <c r="B34" s="781" t="str">
        <f t="shared" si="11"/>
        <v>RES_201202</v>
      </c>
      <c r="C34" s="781" t="str">
        <f>INDEX('AMMO vwFlags'!$C:$C,MATCH($A34&amp;K34,'AMMO vwFlags'!$K:$K,0))</f>
        <v>0</v>
      </c>
      <c r="D34" s="781" t="str">
        <f>INDEX('AMMO vwFlags'!$D:$D,MATCH($A34&amp;$K34,'AMMO vwFlags'!$K:$K,0))</f>
        <v>0</v>
      </c>
      <c r="E34" s="781">
        <f t="shared" si="1"/>
        <v>1</v>
      </c>
      <c r="F34" s="730" t="str">
        <f t="shared" si="2"/>
        <v>Residential</v>
      </c>
      <c r="G34" s="788" t="str">
        <f>INDEX('AMMO Measures'!B:B,MATCH($A34,'AMMO Measures'!$A:$A,0))</f>
        <v>Heat Pump Water Heaters</v>
      </c>
      <c r="H34" s="788" t="str">
        <f>INDEX('AMMO Measures'!C:C,MATCH($A34,'AMMO Measures'!$A:$A,0))</f>
        <v>HPWH (&lt;=55 gallons) Existing Construction</v>
      </c>
      <c r="I34" s="788" t="str">
        <f>INDEX('AMMO Measures'!D:D,MATCH($A34,'AMMO Measures'!$A:$A,0))</f>
        <v>Tier 4</v>
      </c>
      <c r="J34" s="789">
        <f>VALUE(INDEX('AMMO Measures'!H:H,MATCH($A34,'AMMO Measures'!A:A,0)))</f>
        <v>13</v>
      </c>
      <c r="K34" s="683">
        <v>2025</v>
      </c>
      <c r="L34" s="732">
        <f>SUMIFS('AMMO Units'!F:F,'AMMO Units'!$A:$A,$K34,'AMMO Units'!$E:$E,$A34)</f>
        <v>19488.615691579998</v>
      </c>
      <c r="M34" s="733">
        <f>SUMIFS('AMMO Units'!G:G,'AMMO Units'!$A:$A,$K34,'AMMO Units'!$E:$E,$A34)</f>
        <v>9195.9990071400007</v>
      </c>
      <c r="N34" s="733">
        <f>SUMIFS('AMMO Units'!H:H,'AMMO Units'!$A:$A,$K34,'AMMO Units'!$E:$E,$A34)</f>
        <v>682.10154921000003</v>
      </c>
      <c r="O34" s="1769"/>
      <c r="P34" s="734">
        <f>IF(Selection!$A$2="regional",1,IF($L34=0,0,
( INDEX(Allocation!$B:$B,MATCH(K34,Allocation!$A:$A,0)) * INDEX(UnitsFunderShareAllocation!$C:$C, MATCH($A34&amp;K34,UnitsFunderShareAllocation!$H:$H,0))
+ INDEX(Allocation!$C:$C,MATCH(K34,Allocation!$A:$A,0)) * INDEX(UnitsFunderShareAllocation!$D:$D, MATCH($A34&amp;K34,UnitsFunderShareAllocation!$H:$H,0))
+ INDEX(Allocation!$D:$D,MATCH(K34,Allocation!$A:$A,0)) * INDEX(UnitsFunderShareAllocation!$E:$E, MATCH($A34&amp;K34,UnitsFunderShareAllocation!$H:$H,0))
+ INDEX(Allocation!$E:$E,MATCH(K34,Allocation!$A:$A,0)) * INDEX(UnitsFunderShareAllocation!$F:$F, MATCH($A34&amp;K34,UnitsFunderShareAllocation!$H:$H,0)))
))</f>
        <v>0.13985600000000001</v>
      </c>
      <c r="Q34" s="790">
        <f>$L$90</f>
        <v>199.31897295142858</v>
      </c>
      <c r="R34" s="1763"/>
      <c r="S34" s="791">
        <f t="shared" si="12"/>
        <v>5.9845836577565356E-2</v>
      </c>
      <c r="T34" s="792">
        <f>IFERROR((M34-N34/L34*M34)*P34*Q34/8760/1000,0)</f>
        <v>2.8239166006363791E-2</v>
      </c>
      <c r="U34" s="793">
        <f t="shared" si="14"/>
        <v>3.1606670571201562E-2</v>
      </c>
    </row>
    <row r="35" spans="1:27" ht="14.85" customHeight="1">
      <c r="A35" s="781" t="s">
        <v>623</v>
      </c>
      <c r="B35" s="781" t="str">
        <f t="shared" si="11"/>
        <v>RES_201202</v>
      </c>
      <c r="C35" s="781" t="str">
        <f>INDEX('AMMO vwFlags'!$C:$C,MATCH($A35&amp;K35,'AMMO vwFlags'!$K:$K,0))</f>
        <v>0</v>
      </c>
      <c r="D35" s="781" t="str">
        <f>INDEX('AMMO vwFlags'!$D:$D,MATCH($A35&amp;$K35,'AMMO vwFlags'!$K:$K,0))</f>
        <v>0</v>
      </c>
      <c r="E35" s="781">
        <f t="shared" si="1"/>
        <v>1</v>
      </c>
      <c r="F35" s="730" t="str">
        <f t="shared" si="2"/>
        <v>Residential</v>
      </c>
      <c r="G35" s="788" t="str">
        <f>INDEX('AMMO Measures'!B:B,MATCH($A35,'AMMO Measures'!$A:$A,0))</f>
        <v>Heat Pump Water Heaters</v>
      </c>
      <c r="H35" s="788" t="str">
        <f>INDEX('AMMO Measures'!C:C,MATCH($A35,'AMMO Measures'!$A:$A,0))</f>
        <v>HPWH (&gt;55 gallons) Existing Construction</v>
      </c>
      <c r="I35" s="788" t="str">
        <f>INDEX('AMMO Measures'!D:D,MATCH($A35,'AMMO Measures'!$A:$A,0))</f>
        <v>Tier 4</v>
      </c>
      <c r="J35" s="789">
        <f>VALUE(INDEX('AMMO Measures'!H:H,MATCH($A35,'AMMO Measures'!A:A,0)))</f>
        <v>13</v>
      </c>
      <c r="K35" s="683">
        <v>2025</v>
      </c>
      <c r="L35" s="732">
        <f>SUMIFS('AMMO Units'!F:F,'AMMO Units'!$A:$A,$K35,'AMMO Units'!$E:$E,$A35)</f>
        <v>8383.9612534499993</v>
      </c>
      <c r="M35" s="733">
        <f>SUMIFS('AMMO Units'!G:G,'AMMO Units'!$A:$A,$K35,'AMMO Units'!$E:$E,$A35)</f>
        <v>6986.6343778800001</v>
      </c>
      <c r="N35" s="733">
        <f>SUMIFS('AMMO Units'!H:H,'AMMO Units'!$A:$A,$K35,'AMMO Units'!$E:$E,$A35)</f>
        <v>293.43864387000002</v>
      </c>
      <c r="O35" s="1769"/>
      <c r="P35" s="734">
        <f>IF(Selection!$A$2="regional",1,IF($L35=0,0,
( INDEX(Allocation!$B:$B,MATCH(K35,Allocation!$A:$A,0)) * INDEX(UnitsFunderShareAllocation!$C:$C, MATCH($A35&amp;K35,UnitsFunderShareAllocation!$H:$H,0))
+ INDEX(Allocation!$C:$C,MATCH(K35,Allocation!$A:$A,0)) * INDEX(UnitsFunderShareAllocation!$D:$D, MATCH($A35&amp;K35,UnitsFunderShareAllocation!$H:$H,0))
+ INDEX(Allocation!$D:$D,MATCH(K35,Allocation!$A:$A,0)) * INDEX(UnitsFunderShareAllocation!$E:$E, MATCH($A35&amp;K35,UnitsFunderShareAllocation!$H:$H,0))
+ INDEX(Allocation!$E:$E,MATCH(K35,Allocation!$A:$A,0)) * INDEX(UnitsFunderShareAllocation!$F:$F, MATCH($A35&amp;K35,UnitsFunderShareAllocation!$H:$H,0)))
))</f>
        <v>0.13985600000000001</v>
      </c>
      <c r="Q35" s="790">
        <f>$L$90</f>
        <v>199.31897295142858</v>
      </c>
      <c r="R35" s="1763"/>
      <c r="S35" s="791">
        <f t="shared" si="12"/>
        <v>2.5745552325892401E-2</v>
      </c>
      <c r="T35" s="792">
        <f t="shared" si="13"/>
        <v>2.1454626938259027E-2</v>
      </c>
      <c r="U35" s="793">
        <f t="shared" si="14"/>
        <v>4.2909253876333743E-3</v>
      </c>
    </row>
    <row r="36" spans="1:27" ht="14.85" customHeight="1">
      <c r="A36" s="781" t="s">
        <v>612</v>
      </c>
      <c r="B36" s="781" t="str">
        <f t="shared" si="11"/>
        <v>RES_201202</v>
      </c>
      <c r="C36" s="781" t="str">
        <f>INDEX('AMMO vwFlags'!$C:$C,MATCH($A36&amp;K36,'AMMO vwFlags'!$K:$K,0))</f>
        <v>0</v>
      </c>
      <c r="D36" s="781" t="str">
        <f>INDEX('AMMO vwFlags'!$D:$D,MATCH($A36&amp;$K36,'AMMO vwFlags'!$K:$K,0))</f>
        <v>0</v>
      </c>
      <c r="E36" s="781">
        <f t="shared" si="1"/>
        <v>1</v>
      </c>
      <c r="F36" s="730" t="str">
        <f t="shared" si="2"/>
        <v>Residential</v>
      </c>
      <c r="G36" s="788" t="str">
        <f>INDEX('AMMO Measures'!B:B,MATCH($A36,'AMMO Measures'!$A:$A,0))</f>
        <v>Heat Pump Water Heaters</v>
      </c>
      <c r="H36" s="788" t="str">
        <f>INDEX('AMMO Measures'!C:C,MATCH($A36,'AMMO Measures'!$A:$A,0))</f>
        <v>HPWH (&lt;=55 gallons) New Construction</v>
      </c>
      <c r="I36" s="788" t="str">
        <f>INDEX('AMMO Measures'!D:D,MATCH($A36,'AMMO Measures'!$A:$A,0))</f>
        <v>Tier 1</v>
      </c>
      <c r="J36" s="789">
        <f>VALUE(INDEX('AMMO Measures'!H:H,MATCH($A36,'AMMO Measures'!A:A,0)))</f>
        <v>13</v>
      </c>
      <c r="K36" s="683">
        <v>2025</v>
      </c>
      <c r="L36" s="732">
        <f>SUMIFS('AMMO Units'!F:F,'AMMO Units'!$A:$A,$K36,'AMMO Units'!$E:$E,$A36)</f>
        <v>8557.3138605099994</v>
      </c>
      <c r="M36" s="733">
        <f>SUMIFS('AMMO Units'!G:G,'AMMO Units'!$A:$A,$K36,'AMMO Units'!$E:$E,$A36)</f>
        <v>3250</v>
      </c>
      <c r="N36" s="733">
        <f>SUMIFS('AMMO Units'!H:H,'AMMO Units'!$A:$A,$K36,'AMMO Units'!$E:$E,$A36)</f>
        <v>855.73138604999997</v>
      </c>
      <c r="O36" s="1769"/>
      <c r="P36" s="734">
        <f>IF(Selection!$A$2="regional",1,IF($L36=0,0,
( INDEX(Allocation!$B:$B,MATCH(K36,Allocation!$A:$A,0)) * INDEX(UnitsFunderShareAllocation!$C:$C, MATCH($A36&amp;K36,UnitsFunderShareAllocation!$H:$H,0))
+ INDEX(Allocation!$C:$C,MATCH(K36,Allocation!$A:$A,0)) * INDEX(UnitsFunderShareAllocation!$D:$D, MATCH($A36&amp;K36,UnitsFunderShareAllocation!$H:$H,0))
+ INDEX(Allocation!$D:$D,MATCH(K36,Allocation!$A:$A,0)) * INDEX(UnitsFunderShareAllocation!$E:$E, MATCH($A36&amp;K36,UnitsFunderShareAllocation!$H:$H,0))
+ INDEX(Allocation!$E:$E,MATCH(K36,Allocation!$A:$A,0)) * INDEX(UnitsFunderShareAllocation!$F:$F, MATCH($A36&amp;K36,UnitsFunderShareAllocation!$H:$H,0)))
))</f>
        <v>0.13985600000000001</v>
      </c>
      <c r="Q36" s="790">
        <f>$M$91</f>
        <v>529.30925789822606</v>
      </c>
      <c r="R36" s="1763"/>
      <c r="S36" s="791">
        <f t="shared" si="12"/>
        <v>6.5082834231229722E-2</v>
      </c>
      <c r="T36" s="792">
        <f t="shared" si="13"/>
        <v>2.4717944754557644E-2</v>
      </c>
      <c r="U36" s="793">
        <f t="shared" si="14"/>
        <v>4.0364889476672078E-2</v>
      </c>
      <c r="Z36" s="86"/>
      <c r="AA36" s="86"/>
    </row>
    <row r="37" spans="1:27" ht="14.85" customHeight="1">
      <c r="A37" s="781" t="s">
        <v>613</v>
      </c>
      <c r="B37" s="781" t="str">
        <f t="shared" si="11"/>
        <v>RES_201202</v>
      </c>
      <c r="C37" s="781" t="str">
        <f>INDEX('AMMO vwFlags'!$C:$C,MATCH($A37&amp;K37,'AMMO vwFlags'!$K:$K,0))</f>
        <v>0</v>
      </c>
      <c r="D37" s="781" t="str">
        <f>INDEX('AMMO vwFlags'!$D:$D,MATCH($A37&amp;$K37,'AMMO vwFlags'!$K:$K,0))</f>
        <v>0</v>
      </c>
      <c r="E37" s="781">
        <f t="shared" si="1"/>
        <v>1</v>
      </c>
      <c r="F37" s="730" t="str">
        <f t="shared" si="2"/>
        <v>Residential</v>
      </c>
      <c r="G37" s="788" t="str">
        <f>INDEX('AMMO Measures'!B:B,MATCH($A37,'AMMO Measures'!$A:$A,0))</f>
        <v>Heat Pump Water Heaters</v>
      </c>
      <c r="H37" s="788" t="str">
        <f>INDEX('AMMO Measures'!C:C,MATCH($A37,'AMMO Measures'!$A:$A,0))</f>
        <v>HPWH (&lt;=55 gallons) New Construction</v>
      </c>
      <c r="I37" s="788" t="str">
        <f>INDEX('AMMO Measures'!D:D,MATCH($A37,'AMMO Measures'!$A:$A,0))</f>
        <v>Tier 2</v>
      </c>
      <c r="J37" s="789">
        <f>VALUE(INDEX('AMMO Measures'!H:H,MATCH($A37,'AMMO Measures'!A:A,0)))</f>
        <v>13</v>
      </c>
      <c r="K37" s="683">
        <v>2025</v>
      </c>
      <c r="L37" s="732">
        <f>SUMIFS('AMMO Units'!F:F,'AMMO Units'!$A:$A,$K37,'AMMO Units'!$E:$E,$A37)</f>
        <v>8471.7407219100005</v>
      </c>
      <c r="M37" s="733">
        <f>SUMIFS('AMMO Units'!G:G,'AMMO Units'!$A:$A,$K37,'AMMO Units'!$E:$E,$A37)</f>
        <v>3250</v>
      </c>
      <c r="N37" s="733">
        <f>SUMIFS('AMMO Units'!H:H,'AMMO Units'!$A:$A,$K37,'AMMO Units'!$E:$E,$A37)</f>
        <v>847.17407218999995</v>
      </c>
      <c r="O37" s="1769"/>
      <c r="P37" s="734">
        <f>IF(Selection!$A$2="regional",1,IF($L37=0,0,
( INDEX(Allocation!$B:$B,MATCH(K37,Allocation!$A:$A,0)) * INDEX(UnitsFunderShareAllocation!$C:$C, MATCH($A37&amp;K37,UnitsFunderShareAllocation!$H:$H,0))
+ INDEX(Allocation!$C:$C,MATCH(K37,Allocation!$A:$A,0)) * INDEX(UnitsFunderShareAllocation!$D:$D, MATCH($A37&amp;K37,UnitsFunderShareAllocation!$H:$H,0))
+ INDEX(Allocation!$D:$D,MATCH(K37,Allocation!$A:$A,0)) * INDEX(UnitsFunderShareAllocation!$E:$E, MATCH($A37&amp;K37,UnitsFunderShareAllocation!$H:$H,0))
+ INDEX(Allocation!$E:$E,MATCH(K37,Allocation!$A:$A,0)) * INDEX(UnitsFunderShareAllocation!$F:$F, MATCH($A37&amp;K37,UnitsFunderShareAllocation!$H:$H,0)))
))</f>
        <v>0.13985600000000001</v>
      </c>
      <c r="Q37" s="790">
        <f>SUMIFS('AMMO Savings Rates'!$F:$F,'AMMO Savings Rates'!$E:$E,$K37,'AMMO Savings Rates'!$D:$D,$A37)</f>
        <v>174.27239986999999</v>
      </c>
      <c r="R37" s="1763"/>
      <c r="S37" s="791">
        <f t="shared" si="12"/>
        <v>2.1213912523074384E-2</v>
      </c>
      <c r="T37" s="792">
        <f t="shared" si="13"/>
        <v>8.1382584716836875E-3</v>
      </c>
      <c r="U37" s="793">
        <f t="shared" si="14"/>
        <v>1.3075654051390696E-2</v>
      </c>
    </row>
    <row r="38" spans="1:27" ht="14.85" customHeight="1">
      <c r="A38" s="781" t="s">
        <v>624</v>
      </c>
      <c r="B38" s="781" t="str">
        <f t="shared" si="11"/>
        <v>RES_201202</v>
      </c>
      <c r="C38" s="781" t="str">
        <f>INDEX('AMMO vwFlags'!$C:$C,MATCH($A38&amp;K38,'AMMO vwFlags'!$K:$K,0))</f>
        <v>0</v>
      </c>
      <c r="D38" s="781" t="str">
        <f>INDEX('AMMO vwFlags'!$D:$D,MATCH($A38&amp;$K38,'AMMO vwFlags'!$K:$K,0))</f>
        <v>0</v>
      </c>
      <c r="E38" s="781">
        <f t="shared" si="1"/>
        <v>1</v>
      </c>
      <c r="F38" s="730" t="str">
        <f t="shared" si="2"/>
        <v>Residential</v>
      </c>
      <c r="G38" s="788" t="str">
        <f>INDEX('AMMO Measures'!B:B,MATCH($A38,'AMMO Measures'!$A:$A,0))</f>
        <v>Heat Pump Water Heaters</v>
      </c>
      <c r="H38" s="788" t="str">
        <f>INDEX('AMMO Measures'!C:C,MATCH($A38,'AMMO Measures'!$A:$A,0))</f>
        <v>HPWH (&lt;=55 gallons) New Construction</v>
      </c>
      <c r="I38" s="788" t="str">
        <f>INDEX('AMMO Measures'!D:D,MATCH($A38,'AMMO Measures'!$A:$A,0))</f>
        <v>Tier 3</v>
      </c>
      <c r="J38" s="789">
        <f>VALUE(INDEX('AMMO Measures'!H:H,MATCH($A38,'AMMO Measures'!A:A,0)))</f>
        <v>13</v>
      </c>
      <c r="K38" s="683">
        <v>2025</v>
      </c>
      <c r="L38" s="732">
        <f>SUMIFS('AMMO Units'!F:F,'AMMO Units'!$A:$A,$K38,'AMMO Units'!$E:$E,$A38)</f>
        <v>8471.7407219100005</v>
      </c>
      <c r="M38" s="733">
        <f>SUMIFS('AMMO Units'!G:G,'AMMO Units'!$A:$A,$K38,'AMMO Units'!$E:$E,$A38)</f>
        <v>3250</v>
      </c>
      <c r="N38" s="733">
        <f>SUMIFS('AMMO Units'!H:H,'AMMO Units'!$A:$A,$K38,'AMMO Units'!$E:$E,$A38)</f>
        <v>847.17407218999995</v>
      </c>
      <c r="O38" s="1769"/>
      <c r="P38" s="734">
        <f>IF(Selection!$A$2="regional",1,IF($L38=0,0,
( INDEX(Allocation!$B:$B,MATCH(K38,Allocation!$A:$A,0)) * INDEX(UnitsFunderShareAllocation!$C:$C, MATCH($A38&amp;K38,UnitsFunderShareAllocation!$H:$H,0))
+ INDEX(Allocation!$C:$C,MATCH(K38,Allocation!$A:$A,0)) * INDEX(UnitsFunderShareAllocation!$D:$D, MATCH($A38&amp;K38,UnitsFunderShareAllocation!$H:$H,0))
+ INDEX(Allocation!$D:$D,MATCH(K38,Allocation!$A:$A,0)) * INDEX(UnitsFunderShareAllocation!$E:$E, MATCH($A38&amp;K38,UnitsFunderShareAllocation!$H:$H,0))
+ INDEX(Allocation!$E:$E,MATCH(K38,Allocation!$A:$A,0)) * INDEX(UnitsFunderShareAllocation!$F:$F, MATCH($A38&amp;K38,UnitsFunderShareAllocation!$H:$H,0)))
))</f>
        <v>0.13985600000000001</v>
      </c>
      <c r="Q38" s="790">
        <f>$M$93</f>
        <v>122.83069935091793</v>
      </c>
      <c r="R38" s="1763"/>
      <c r="S38" s="791">
        <f t="shared" si="12"/>
        <v>1.4951993047219076E-2</v>
      </c>
      <c r="T38" s="792">
        <f t="shared" si="13"/>
        <v>5.736008572333434E-3</v>
      </c>
      <c r="U38" s="793">
        <f t="shared" si="14"/>
        <v>9.2159844748856412E-3</v>
      </c>
    </row>
    <row r="39" spans="1:27" ht="14.85" customHeight="1">
      <c r="A39" s="781" t="s">
        <v>625</v>
      </c>
      <c r="B39" s="781" t="str">
        <f t="shared" si="11"/>
        <v>RES_201202</v>
      </c>
      <c r="C39" s="781" t="str">
        <f>INDEX('AMMO vwFlags'!$C:$C,MATCH($A39&amp;K39,'AMMO vwFlags'!$K:$K,0))</f>
        <v>0</v>
      </c>
      <c r="D39" s="781" t="str">
        <f>INDEX('AMMO vwFlags'!$D:$D,MATCH($A39&amp;$K39,'AMMO vwFlags'!$K:$K,0))</f>
        <v>0</v>
      </c>
      <c r="E39" s="781">
        <f t="shared" si="1"/>
        <v>1</v>
      </c>
      <c r="F39" s="730" t="str">
        <f t="shared" si="2"/>
        <v>Residential</v>
      </c>
      <c r="G39" s="788" t="str">
        <f>INDEX('AMMO Measures'!B:B,MATCH($A39,'AMMO Measures'!$A:$A,0))</f>
        <v>Heat Pump Water Heaters</v>
      </c>
      <c r="H39" s="788" t="str">
        <f>INDEX('AMMO Measures'!C:C,MATCH($A39,'AMMO Measures'!$A:$A,0))</f>
        <v>HPWH (&lt;=55 gallons) New Construction</v>
      </c>
      <c r="I39" s="788" t="str">
        <f>INDEX('AMMO Measures'!D:D,MATCH($A39,'AMMO Measures'!$A:$A,0))</f>
        <v>Tier 4</v>
      </c>
      <c r="J39" s="789">
        <f>VALUE(INDEX('AMMO Measures'!H:H,MATCH($A39,'AMMO Measures'!A:A,0)))</f>
        <v>13</v>
      </c>
      <c r="K39" s="683">
        <v>2025</v>
      </c>
      <c r="L39" s="732">
        <f>SUMIFS('AMMO Units'!F:F,'AMMO Units'!$A:$A,$K39,'AMMO Units'!$E:$E,$A39)</f>
        <v>8557.3138605099994</v>
      </c>
      <c r="M39" s="733">
        <f>SUMIFS('AMMO Units'!G:G,'AMMO Units'!$A:$A,$K39,'AMMO Units'!$E:$E,$A39)</f>
        <v>0</v>
      </c>
      <c r="N39" s="733">
        <f>SUMIFS('AMMO Units'!H:H,'AMMO Units'!$A:$A,$K39,'AMMO Units'!$E:$E,$A39)</f>
        <v>855.73138604999997</v>
      </c>
      <c r="O39" s="1769"/>
      <c r="P39" s="734">
        <f>IF(Selection!$A$2="regional",1,IF($L39=0,0,
( INDEX(Allocation!$B:$B,MATCH(K39,Allocation!$A:$A,0)) * INDEX(UnitsFunderShareAllocation!$C:$C, MATCH($A39&amp;K39,UnitsFunderShareAllocation!$H:$H,0))
+ INDEX(Allocation!$C:$C,MATCH(K39,Allocation!$A:$A,0)) * INDEX(UnitsFunderShareAllocation!$D:$D, MATCH($A39&amp;K39,UnitsFunderShareAllocation!$H:$H,0))
+ INDEX(Allocation!$D:$D,MATCH(K39,Allocation!$A:$A,0)) * INDEX(UnitsFunderShareAllocation!$E:$E, MATCH($A39&amp;K39,UnitsFunderShareAllocation!$H:$H,0))
+ INDEX(Allocation!$E:$E,MATCH(K39,Allocation!$A:$A,0)) * INDEX(UnitsFunderShareAllocation!$F:$F, MATCH($A39&amp;K39,UnitsFunderShareAllocation!$H:$H,0)))
))</f>
        <v>0.13985600000000001</v>
      </c>
      <c r="Q39" s="790">
        <f>$M$94</f>
        <v>111.60060941807382</v>
      </c>
      <c r="R39" s="1763"/>
      <c r="S39" s="791">
        <f t="shared" si="12"/>
        <v>1.3722193319840391E-2</v>
      </c>
      <c r="T39" s="792">
        <f t="shared" si="13"/>
        <v>0</v>
      </c>
      <c r="U39" s="793">
        <f t="shared" si="14"/>
        <v>1.3722193319840391E-2</v>
      </c>
    </row>
    <row r="40" spans="1:27" s="86" customFormat="1" ht="13.35" customHeight="1">
      <c r="A40" s="781" t="s">
        <v>626</v>
      </c>
      <c r="B40" s="781" t="str">
        <f t="shared" si="11"/>
        <v>RES_201202</v>
      </c>
      <c r="C40" s="781" t="str">
        <f>INDEX('AMMO vwFlags'!$C:$C,MATCH($A40&amp;K40,'AMMO vwFlags'!$K:$K,0))</f>
        <v>0</v>
      </c>
      <c r="D40" s="781" t="str">
        <f>INDEX('AMMO vwFlags'!$D:$D,MATCH($A40&amp;$K40,'AMMO vwFlags'!$K:$K,0))</f>
        <v>1</v>
      </c>
      <c r="E40" s="781">
        <f t="shared" si="1"/>
        <v>1</v>
      </c>
      <c r="F40" s="730" t="str">
        <f t="shared" si="2"/>
        <v>Residential</v>
      </c>
      <c r="G40" s="788" t="str">
        <f>INDEX('AMMO Measures'!B:B,MATCH($A40,'AMMO Measures'!$A:$A,0))</f>
        <v>Heat Pump Water Heaters</v>
      </c>
      <c r="H40" s="788" t="str">
        <f>INDEX('AMMO Measures'!C:C,MATCH($A40,'AMMO Measures'!$A:$A,0))</f>
        <v>HPWH (&gt;55 gallons) New Construction</v>
      </c>
      <c r="I40" s="788" t="str">
        <f>INDEX('AMMO Measures'!D:D,MATCH($A40,'AMMO Measures'!$A:$A,0))</f>
        <v>Tier 1</v>
      </c>
      <c r="J40" s="789">
        <f>VALUE(INDEX('AMMO Measures'!H:H,MATCH($A40,'AMMO Measures'!A:A,0)))</f>
        <v>13</v>
      </c>
      <c r="K40" s="683">
        <v>2025</v>
      </c>
      <c r="L40" s="732">
        <f>SUMIFS('AMMO Units'!F:F,'AMMO Units'!$A:$A,$K40,'AMMO Units'!$E:$E,$A40)</f>
        <v>4826.9748506699998</v>
      </c>
      <c r="M40" s="733">
        <f>SUMIFS('AMMO Units'!G:G,'AMMO Units'!$A:$A,$K40,'AMMO Units'!$E:$E,$A40)</f>
        <v>1734</v>
      </c>
      <c r="N40" s="733">
        <f>SUMIFS('AMMO Units'!H:H,'AMMO Units'!$A:$A,$K40,'AMMO Units'!$E:$E,$A40)</f>
        <v>4826.9748506699998</v>
      </c>
      <c r="O40" s="1768"/>
      <c r="P40" s="734">
        <f>IF(Selection!$A$2="regional",1,IF($L40=0,0,
( INDEX(Allocation!$B:$B,MATCH(K40,Allocation!$A:$A,0)) * INDEX(UnitsFunderShareAllocation!$C:$C, MATCH($A40&amp;K40,UnitsFunderShareAllocation!$H:$H,0))
+ INDEX(Allocation!$C:$C,MATCH(K40,Allocation!$A:$A,0)) * INDEX(UnitsFunderShareAllocation!$D:$D, MATCH($A40&amp;K40,UnitsFunderShareAllocation!$H:$H,0))
+ INDEX(Allocation!$D:$D,MATCH(K40,Allocation!$A:$A,0)) * INDEX(UnitsFunderShareAllocation!$E:$E, MATCH($A40&amp;K40,UnitsFunderShareAllocation!$H:$H,0))
+ INDEX(Allocation!$E:$E,MATCH(K40,Allocation!$A:$A,0)) * INDEX(UnitsFunderShareAllocation!$F:$F, MATCH($A40&amp;K40,UnitsFunderShareAllocation!$H:$H,0)))
))</f>
        <v>0.13985600000000001</v>
      </c>
      <c r="Q40" s="790">
        <f>$N$91</f>
        <v>498.26835487579939</v>
      </c>
      <c r="R40" s="1762"/>
      <c r="S40" s="791">
        <f t="shared" si="12"/>
        <v>0</v>
      </c>
      <c r="T40" s="792">
        <f t="shared" si="13"/>
        <v>0</v>
      </c>
      <c r="U40" s="793">
        <f t="shared" si="14"/>
        <v>0</v>
      </c>
      <c r="Z40" s="50"/>
      <c r="AA40" s="50"/>
    </row>
    <row r="41" spans="1:27" ht="14.85" customHeight="1">
      <c r="A41" s="781" t="s">
        <v>627</v>
      </c>
      <c r="B41" s="781" t="str">
        <f t="shared" si="11"/>
        <v>RES_201202</v>
      </c>
      <c r="C41" s="781" t="str">
        <f>INDEX('AMMO vwFlags'!$C:$C,MATCH($A41&amp;K41,'AMMO vwFlags'!$K:$K,0))</f>
        <v>0</v>
      </c>
      <c r="D41" s="781" t="str">
        <f>INDEX('AMMO vwFlags'!$D:$D,MATCH($A41&amp;$K41,'AMMO vwFlags'!$K:$K,0))</f>
        <v>0</v>
      </c>
      <c r="E41" s="781">
        <f t="shared" si="1"/>
        <v>1</v>
      </c>
      <c r="F41" s="730" t="str">
        <f t="shared" si="2"/>
        <v>Residential</v>
      </c>
      <c r="G41" s="788" t="str">
        <f>INDEX('AMMO Measures'!B:B,MATCH($A41,'AMMO Measures'!$A:$A,0))</f>
        <v>Heat Pump Water Heaters</v>
      </c>
      <c r="H41" s="788" t="str">
        <f>INDEX('AMMO Measures'!C:C,MATCH($A41,'AMMO Measures'!$A:$A,0))</f>
        <v>HPWH (&gt;55 gallons) New Construction</v>
      </c>
      <c r="I41" s="788" t="str">
        <f>INDEX('AMMO Measures'!D:D,MATCH($A41,'AMMO Measures'!$A:$A,0))</f>
        <v>Tier 2</v>
      </c>
      <c r="J41" s="789">
        <f>VALUE(INDEX('AMMO Measures'!H:H,MATCH($A41,'AMMO Measures'!A:A,0)))</f>
        <v>13</v>
      </c>
      <c r="K41" s="683">
        <v>2025</v>
      </c>
      <c r="L41" s="732">
        <f>SUMIFS('AMMO Units'!F:F,'AMMO Units'!$A:$A,$K41,'AMMO Units'!$E:$E,$A41)</f>
        <v>4826.9748506699998</v>
      </c>
      <c r="M41" s="733">
        <f>SUMIFS('AMMO Units'!G:G,'AMMO Units'!$A:$A,$K41,'AMMO Units'!$E:$E,$A41)</f>
        <v>1734</v>
      </c>
      <c r="N41" s="733">
        <f>SUMIFS('AMMO Units'!H:H,'AMMO Units'!$A:$A,$K41,'AMMO Units'!$E:$E,$A41)</f>
        <v>482.69748507000003</v>
      </c>
      <c r="O41" s="1769"/>
      <c r="P41" s="734">
        <f>IF(Selection!$A$2="regional",1,IF($L41=0,0,
( INDEX(Allocation!$B:$B,MATCH(K41,Allocation!$A:$A,0)) * INDEX(UnitsFunderShareAllocation!$C:$C, MATCH($A41&amp;K41,UnitsFunderShareAllocation!$H:$H,0))
+ INDEX(Allocation!$C:$C,MATCH(K41,Allocation!$A:$A,0)) * INDEX(UnitsFunderShareAllocation!$D:$D, MATCH($A41&amp;K41,UnitsFunderShareAllocation!$H:$H,0))
+ INDEX(Allocation!$D:$D,MATCH(K41,Allocation!$A:$A,0)) * INDEX(UnitsFunderShareAllocation!$E:$E, MATCH($A41&amp;K41,UnitsFunderShareAllocation!$H:$H,0))
+ INDEX(Allocation!$E:$E,MATCH(K41,Allocation!$A:$A,0)) * INDEX(UnitsFunderShareAllocation!$F:$F, MATCH($A41&amp;K41,UnitsFunderShareAllocation!$H:$H,0)))
))</f>
        <v>0.13985600000000001</v>
      </c>
      <c r="Q41" s="790">
        <f>$N$92</f>
        <v>166.32161215828208</v>
      </c>
      <c r="R41" s="1763"/>
      <c r="S41" s="791">
        <f t="shared" si="12"/>
        <v>1.1535680743873285E-2</v>
      </c>
      <c r="T41" s="792">
        <f t="shared" si="13"/>
        <v>4.1439765129706058E-3</v>
      </c>
      <c r="U41" s="793">
        <f t="shared" si="14"/>
        <v>7.3917042309026796E-3</v>
      </c>
    </row>
    <row r="42" spans="1:27" ht="14.85" customHeight="1">
      <c r="A42" s="781" t="s">
        <v>628</v>
      </c>
      <c r="B42" s="781" t="str">
        <f t="shared" si="11"/>
        <v>RES_201202</v>
      </c>
      <c r="C42" s="781" t="str">
        <f>INDEX('AMMO vwFlags'!$C:$C,MATCH($A42&amp;K42,'AMMO vwFlags'!$K:$K,0))</f>
        <v>0</v>
      </c>
      <c r="D42" s="781" t="str">
        <f>INDEX('AMMO vwFlags'!$D:$D,MATCH($A42&amp;$K42,'AMMO vwFlags'!$K:$K,0))</f>
        <v>0</v>
      </c>
      <c r="E42" s="781">
        <f t="shared" si="1"/>
        <v>1</v>
      </c>
      <c r="F42" s="730" t="str">
        <f t="shared" si="2"/>
        <v>Residential</v>
      </c>
      <c r="G42" s="788" t="str">
        <f>INDEX('AMMO Measures'!B:B,MATCH($A42,'AMMO Measures'!$A:$A,0))</f>
        <v>Heat Pump Water Heaters</v>
      </c>
      <c r="H42" s="788" t="str">
        <f>INDEX('AMMO Measures'!C:C,MATCH($A42,'AMMO Measures'!$A:$A,0))</f>
        <v>HPWH (&gt;55 gallons) New Construction</v>
      </c>
      <c r="I42" s="788" t="str">
        <f>INDEX('AMMO Measures'!D:D,MATCH($A42,'AMMO Measures'!$A:$A,0))</f>
        <v>Tier 3</v>
      </c>
      <c r="J42" s="789">
        <f>VALUE(INDEX('AMMO Measures'!H:H,MATCH($A42,'AMMO Measures'!A:A,0)))</f>
        <v>13</v>
      </c>
      <c r="K42" s="683">
        <v>2025</v>
      </c>
      <c r="L42" s="732">
        <f>SUMIFS('AMMO Units'!F:F,'AMMO Units'!$A:$A,$K42,'AMMO Units'!$E:$E,$A42)</f>
        <v>4826.9748506699998</v>
      </c>
      <c r="M42" s="733">
        <f>SUMIFS('AMMO Units'!G:G,'AMMO Units'!$A:$A,$K42,'AMMO Units'!$E:$E,$A42)</f>
        <v>1734</v>
      </c>
      <c r="N42" s="733">
        <f>SUMIFS('AMMO Units'!H:H,'AMMO Units'!$A:$A,$K42,'AMMO Units'!$E:$E,$A42)</f>
        <v>482.69748507000003</v>
      </c>
      <c r="O42" s="1769"/>
      <c r="P42" s="734">
        <f>IF(Selection!$A$2="regional",1,IF($L42=0,0,
( INDEX(Allocation!$B:$B,MATCH(K42,Allocation!$A:$A,0)) * INDEX(UnitsFunderShareAllocation!$C:$C, MATCH($A42&amp;K42,UnitsFunderShareAllocation!$H:$H,0))
+ INDEX(Allocation!$C:$C,MATCH(K42,Allocation!$A:$A,0)) * INDEX(UnitsFunderShareAllocation!$D:$D, MATCH($A42&amp;K42,UnitsFunderShareAllocation!$H:$H,0))
+ INDEX(Allocation!$D:$D,MATCH(K42,Allocation!$A:$A,0)) * INDEX(UnitsFunderShareAllocation!$E:$E, MATCH($A42&amp;K42,UnitsFunderShareAllocation!$H:$H,0))
+ INDEX(Allocation!$E:$E,MATCH(K42,Allocation!$A:$A,0)) * INDEX(UnitsFunderShareAllocation!$F:$F, MATCH($A42&amp;K42,UnitsFunderShareAllocation!$H:$H,0)))
))</f>
        <v>0.13985600000000001</v>
      </c>
      <c r="Q42" s="790">
        <f>$N$93</f>
        <v>115.62739472354676</v>
      </c>
      <c r="R42" s="1763"/>
      <c r="S42" s="791">
        <f t="shared" si="12"/>
        <v>8.0196475579330448E-3</v>
      </c>
      <c r="T42" s="792">
        <f t="shared" si="13"/>
        <v>2.8809076690187625E-3</v>
      </c>
      <c r="U42" s="793">
        <f t="shared" si="14"/>
        <v>5.1387398889142823E-3</v>
      </c>
    </row>
    <row r="43" spans="1:27" ht="14.85" customHeight="1">
      <c r="A43" s="781" t="s">
        <v>629</v>
      </c>
      <c r="B43" s="781" t="str">
        <f t="shared" si="11"/>
        <v>RES_201202</v>
      </c>
      <c r="C43" s="781" t="str">
        <f>INDEX('AMMO vwFlags'!$C:$C,MATCH($A43&amp;K43,'AMMO vwFlags'!$K:$K,0))</f>
        <v>0</v>
      </c>
      <c r="D43" s="781" t="str">
        <f>INDEX('AMMO vwFlags'!$D:$D,MATCH($A43&amp;$K43,'AMMO vwFlags'!$K:$K,0))</f>
        <v>0</v>
      </c>
      <c r="E43" s="781">
        <f t="shared" si="1"/>
        <v>1</v>
      </c>
      <c r="F43" s="740" t="str">
        <f t="shared" si="2"/>
        <v>Residential</v>
      </c>
      <c r="G43" s="794" t="str">
        <f>INDEX('AMMO Measures'!B:B,MATCH($A43,'AMMO Measures'!$A:$A,0))</f>
        <v>Heat Pump Water Heaters</v>
      </c>
      <c r="H43" s="794" t="str">
        <f>INDEX('AMMO Measures'!C:C,MATCH($A43,'AMMO Measures'!$A:$A,0))</f>
        <v>HPWH (&gt;55 gallons) New Construction</v>
      </c>
      <c r="I43" s="794" t="str">
        <f>INDEX('AMMO Measures'!D:D,MATCH($A43,'AMMO Measures'!$A:$A,0))</f>
        <v>Tier 4</v>
      </c>
      <c r="J43" s="795">
        <f>VALUE(INDEX('AMMO Measures'!H:H,MATCH($A43,'AMMO Measures'!A:A,0)))</f>
        <v>13</v>
      </c>
      <c r="K43" s="694">
        <v>2025</v>
      </c>
      <c r="L43" s="742">
        <f>SUMIFS('AMMO Units'!F:F,'AMMO Units'!$A:$A,$K43,'AMMO Units'!$E:$E,$A43)</f>
        <v>4826.9748506699998</v>
      </c>
      <c r="M43" s="743">
        <f>SUMIFS('AMMO Units'!G:G,'AMMO Units'!$A:$A,$K43,'AMMO Units'!$E:$E,$A43)</f>
        <v>0</v>
      </c>
      <c r="N43" s="743">
        <f>SUMIFS('AMMO Units'!H:H,'AMMO Units'!$A:$A,$K43,'AMMO Units'!$E:$E,$A43)</f>
        <v>482.69748507000003</v>
      </c>
      <c r="O43" s="1769"/>
      <c r="P43" s="744">
        <f>IF(Selection!$A$2="regional",1,IF($L43=0,0,
( INDEX(Allocation!$B:$B,MATCH(K43,Allocation!$A:$A,0)) * INDEX(UnitsFunderShareAllocation!$C:$C, MATCH($A43&amp;K43,UnitsFunderShareAllocation!$H:$H,0))
+ INDEX(Allocation!$C:$C,MATCH(K43,Allocation!$A:$A,0)) * INDEX(UnitsFunderShareAllocation!$D:$D, MATCH($A43&amp;K43,UnitsFunderShareAllocation!$H:$H,0))
+ INDEX(Allocation!$D:$D,MATCH(K43,Allocation!$A:$A,0)) * INDEX(UnitsFunderShareAllocation!$E:$E, MATCH($A43&amp;K43,UnitsFunderShareAllocation!$H:$H,0))
+ INDEX(Allocation!$E:$E,MATCH(K43,Allocation!$A:$A,0)) * INDEX(UnitsFunderShareAllocation!$F:$F, MATCH($A43&amp;K43,UnitsFunderShareAllocation!$H:$H,0)))
))</f>
        <v>0.13985600000000001</v>
      </c>
      <c r="Q43" s="796">
        <f>$N$94</f>
        <v>105.05588411335181</v>
      </c>
      <c r="R43" s="1763"/>
      <c r="S43" s="797">
        <f t="shared" si="12"/>
        <v>7.2864321339289589E-3</v>
      </c>
      <c r="T43" s="798">
        <f t="shared" si="13"/>
        <v>0</v>
      </c>
      <c r="U43" s="799">
        <f t="shared" si="14"/>
        <v>7.2864321339289589E-3</v>
      </c>
    </row>
    <row r="44" spans="1:27" ht="14.85" customHeight="1">
      <c r="A44" s="768" t="s">
        <v>51</v>
      </c>
      <c r="B44" s="768" t="str">
        <f t="shared" ref="B44:B75" si="15">LEFT(A44,10)</f>
        <v>RES_201202</v>
      </c>
      <c r="C44" s="768" t="str">
        <f>INDEX('AMMO vwFlags'!$C:$C,MATCH($A44&amp;K44,'AMMO vwFlags'!$K:$K,0))</f>
        <v>0</v>
      </c>
      <c r="D44" s="768" t="str">
        <f>INDEX('AMMO vwFlags'!$D:$D,MATCH($A44&amp;$K44,'AMMO vwFlags'!$K:$K,0))</f>
        <v>0</v>
      </c>
      <c r="E44" s="768">
        <f t="shared" ref="E44:E75" si="16">COUNTIFS($A:$A,$A44,$K:$K,$K44)</f>
        <v>1</v>
      </c>
      <c r="F44" s="800" t="str">
        <f t="shared" ref="F44:F75" si="17">IF(LEFT(A44,3)="Res","Residential",IF(LEFT(A44,3)="Ind","industrial",IF(LEFT(A44,3)="Com","Commercial",IF(LEFT(A44,3)="AGR","Agriculture",""))))</f>
        <v>Residential</v>
      </c>
      <c r="G44" s="801" t="str">
        <f>INDEX('AMMO Measures'!B:B,MATCH($A44,'AMMO Measures'!$A:$A,0))</f>
        <v>Heat Pump Water Heaters</v>
      </c>
      <c r="H44" s="801" t="str">
        <f>INDEX('AMMO Measures'!C:C,MATCH($A44,'AMMO Measures'!$A:$A,0))</f>
        <v>HPWH (&lt;=55 gallons) Existing Construction</v>
      </c>
      <c r="I44" s="801" t="str">
        <f>INDEX('AMMO Measures'!D:D,MATCH($A44,'AMMO Measures'!$A:$A,0))</f>
        <v>Tier 1</v>
      </c>
      <c r="J44" s="802">
        <f>VALUE(INDEX('AMMO Measures'!H:H,MATCH($A44,'AMMO Measures'!A:A,0)))</f>
        <v>13</v>
      </c>
      <c r="K44" s="803">
        <v>2026</v>
      </c>
      <c r="L44" s="804">
        <f>SUMIFS('AMMO Units'!F:F,'AMMO Units'!$A:$A,$K44,'AMMO Units'!$E:$E,$A44)</f>
        <v>24644.415839820002</v>
      </c>
      <c r="M44" s="805">
        <f>SUMIFS('AMMO Units'!G:G,'AMMO Units'!$A:$A,$K44,'AMMO Units'!$E:$E,$A44)</f>
        <v>11681.11225685</v>
      </c>
      <c r="N44" s="805">
        <f>SUMIFS('AMMO Units'!H:H,'AMMO Units'!$A:$A,$K44,'AMMO Units'!$E:$E,$A44)</f>
        <v>862.55455439000002</v>
      </c>
      <c r="O44" s="806"/>
      <c r="P44" s="775">
        <f>IF(Selection!$A$2="regional",1,IF($L44=0,0,
( INDEX(Allocation!$B:$B,MATCH(K44,Allocation!$A:$A,0)) * INDEX(UnitsFunderShareAllocation!$C:$C, MATCH($A44&amp;K44,UnitsFunderShareAllocation!$H:$H,0))
+ INDEX(Allocation!$C:$C,MATCH(K44,Allocation!$A:$A,0)) * INDEX(UnitsFunderShareAllocation!$D:$D, MATCH($A44&amp;K44,UnitsFunderShareAllocation!$H:$H,0))
+ INDEX(Allocation!$D:$D,MATCH(K44,Allocation!$A:$A,0)) * INDEX(UnitsFunderShareAllocation!$E:$E, MATCH($A44&amp;K44,UnitsFunderShareAllocation!$H:$H,0))
+ INDEX(Allocation!$E:$E,MATCH(K44,Allocation!$A:$A,0)) * INDEX(UnitsFunderShareAllocation!$F:$F, MATCH($A44&amp;K44,UnitsFunderShareAllocation!$H:$H,0)))
))</f>
        <v>0.13985600000000001</v>
      </c>
      <c r="Q44" s="807">
        <f>$O$87</f>
        <v>945.34768410387562</v>
      </c>
      <c r="R44" s="808"/>
      <c r="S44" s="809">
        <f t="shared" ref="S44" si="18">(L44-N44)*P44*Q44/8760000</f>
        <v>0.3589338381531943</v>
      </c>
      <c r="T44" s="810">
        <f t="shared" ref="T44:T59" si="19">IFERROR((M44-N44/L44*M44)*P44*Q44/8760/1000,0)</f>
        <v>0.1701296749535823</v>
      </c>
      <c r="U44" s="811">
        <f t="shared" ref="U44:U75" si="20">S44-T44</f>
        <v>0.18880416319961199</v>
      </c>
    </row>
    <row r="45" spans="1:27" ht="13.5" customHeight="1">
      <c r="A45" s="768" t="s">
        <v>53</v>
      </c>
      <c r="B45" s="768" t="str">
        <f t="shared" si="15"/>
        <v>RES_201202</v>
      </c>
      <c r="C45" s="768" t="str">
        <f>INDEX('AMMO vwFlags'!$C:$C,MATCH($A45&amp;K45,'AMMO vwFlags'!$K:$K,0))</f>
        <v>0</v>
      </c>
      <c r="D45" s="768" t="str">
        <f>INDEX('AMMO vwFlags'!$D:$D,MATCH($A45&amp;$K45,'AMMO vwFlags'!$K:$K,0))</f>
        <v>1</v>
      </c>
      <c r="E45" s="768">
        <f t="shared" si="16"/>
        <v>1</v>
      </c>
      <c r="F45" s="812" t="str">
        <f t="shared" si="17"/>
        <v>Residential</v>
      </c>
      <c r="G45" s="813" t="str">
        <f>INDEX('AMMO Measures'!B:B,MATCH($A45,'AMMO Measures'!$A:$A,0))</f>
        <v>Heat Pump Water Heaters</v>
      </c>
      <c r="H45" s="813" t="str">
        <f>INDEX('AMMO Measures'!C:C,MATCH($A45,'AMMO Measures'!$A:$A,0))</f>
        <v>HPWH (&gt;55 gallons) Existing Construction</v>
      </c>
      <c r="I45" s="813" t="str">
        <f>INDEX('AMMO Measures'!D:D,MATCH($A45,'AMMO Measures'!$A:$A,0))</f>
        <v>Tier 1</v>
      </c>
      <c r="J45" s="814">
        <f>VALUE(INDEX('AMMO Measures'!H:H,MATCH($A45,'AMMO Measures'!A:A,0)))</f>
        <v>13</v>
      </c>
      <c r="K45" s="815">
        <v>2026</v>
      </c>
      <c r="L45" s="816">
        <f>SUMIFS('AMMO Units'!F:F,'AMMO Units'!$A:$A,$K45,'AMMO Units'!$E:$E,$A45)</f>
        <v>9288.4648193499997</v>
      </c>
      <c r="M45" s="817">
        <f>SUMIFS('AMMO Units'!G:G,'AMMO Units'!$A:$A,$K45,'AMMO Units'!$E:$E,$A45)</f>
        <v>4382.9030552200002</v>
      </c>
      <c r="N45" s="817">
        <f>SUMIFS('AMMO Units'!H:H,'AMMO Units'!$A:$A,$K45,'AMMO Units'!$E:$E,$A45)</f>
        <v>9288.4648193499997</v>
      </c>
      <c r="O45" s="818"/>
      <c r="P45" s="2">
        <f>IF(Selection!$A$2="regional",1,IF($L45=0,0,
( INDEX(Allocation!$B:$B,MATCH(K45,Allocation!$A:$A,0)) * INDEX(UnitsFunderShareAllocation!$C:$C, MATCH($A45&amp;K45,UnitsFunderShareAllocation!$H:$H,0))
+ INDEX(Allocation!$C:$C,MATCH(K45,Allocation!$A:$A,0)) * INDEX(UnitsFunderShareAllocation!$D:$D, MATCH($A45&amp;K45,UnitsFunderShareAllocation!$H:$H,0))
+ INDEX(Allocation!$D:$D,MATCH(K45,Allocation!$A:$A,0)) * INDEX(UnitsFunderShareAllocation!$E:$E, MATCH($A45&amp;K45,UnitsFunderShareAllocation!$H:$H,0))
+ INDEX(Allocation!$E:$E,MATCH(K45,Allocation!$A:$A,0)) * INDEX(UnitsFunderShareAllocation!$F:$F, MATCH($A45&amp;K45,UnitsFunderShareAllocation!$H:$H,0)))
))</f>
        <v>0.13985600000000001</v>
      </c>
      <c r="Q45" s="819">
        <f>$O$87</f>
        <v>945.34768410387562</v>
      </c>
      <c r="R45" s="820"/>
      <c r="S45" s="821">
        <f>(L45-N45)*P45*Q45/8760000</f>
        <v>0</v>
      </c>
      <c r="T45" s="822">
        <f t="shared" si="19"/>
        <v>0</v>
      </c>
      <c r="U45" s="823">
        <f t="shared" si="20"/>
        <v>0</v>
      </c>
    </row>
    <row r="46" spans="1:27" ht="14.85" customHeight="1">
      <c r="A46" s="768" t="s">
        <v>52</v>
      </c>
      <c r="B46" s="768" t="str">
        <f t="shared" si="15"/>
        <v>RES_201202</v>
      </c>
      <c r="C46" s="768" t="str">
        <f>INDEX('AMMO vwFlags'!$C:$C,MATCH($A46&amp;K46,'AMMO vwFlags'!$K:$K,0))</f>
        <v>0</v>
      </c>
      <c r="D46" s="768" t="str">
        <f>INDEX('AMMO vwFlags'!$D:$D,MATCH($A46&amp;$K46,'AMMO vwFlags'!$K:$K,0))</f>
        <v>0</v>
      </c>
      <c r="E46" s="768">
        <f t="shared" si="16"/>
        <v>1</v>
      </c>
      <c r="F46" s="812" t="str">
        <f t="shared" si="17"/>
        <v>Residential</v>
      </c>
      <c r="G46" s="813" t="str">
        <f>INDEX('AMMO Measures'!B:B,MATCH($A46,'AMMO Measures'!$A:$A,0))</f>
        <v>Heat Pump Water Heaters</v>
      </c>
      <c r="H46" s="813" t="str">
        <f>INDEX('AMMO Measures'!C:C,MATCH($A46,'AMMO Measures'!$A:$A,0))</f>
        <v>HPWH (&lt;=55 gallons) Existing Construction</v>
      </c>
      <c r="I46" s="813" t="str">
        <f>INDEX('AMMO Measures'!D:D,MATCH($A46,'AMMO Measures'!$A:$A,0))</f>
        <v>Tier 2</v>
      </c>
      <c r="J46" s="814">
        <f>VALUE(INDEX('AMMO Measures'!H:H,MATCH($A46,'AMMO Measures'!A:A,0)))</f>
        <v>13</v>
      </c>
      <c r="K46" s="815">
        <v>2026</v>
      </c>
      <c r="L46" s="816">
        <f>SUMIFS('AMMO Units'!F:F,'AMMO Units'!$A:$A,$K46,'AMMO Units'!$E:$E,$A46)</f>
        <v>24447.260513099998</v>
      </c>
      <c r="M46" s="817">
        <f>SUMIFS('AMMO Units'!G:G,'AMMO Units'!$A:$A,$K46,'AMMO Units'!$E:$E,$A46)</f>
        <v>9875.7147296999992</v>
      </c>
      <c r="N46" s="817">
        <f>SUMIFS('AMMO Units'!H:H,'AMMO Units'!$A:$A,$K46,'AMMO Units'!$E:$E,$A46)</f>
        <v>855.65411796000001</v>
      </c>
      <c r="O46" s="818"/>
      <c r="P46" s="2">
        <f>IF(Selection!$A$2="regional",1,IF($L46=0,0,
( INDEX(Allocation!$B:$B,MATCH(K46,Allocation!$A:$A,0)) * INDEX(UnitsFunderShareAllocation!$C:$C, MATCH($A46&amp;K46,UnitsFunderShareAllocation!$H:$H,0))
+ INDEX(Allocation!$C:$C,MATCH(K46,Allocation!$A:$A,0)) * INDEX(UnitsFunderShareAllocation!$D:$D, MATCH($A46&amp;K46,UnitsFunderShareAllocation!$H:$H,0))
+ INDEX(Allocation!$D:$D,MATCH(K46,Allocation!$A:$A,0)) * INDEX(UnitsFunderShareAllocation!$E:$E, MATCH($A46&amp;K46,UnitsFunderShareAllocation!$H:$H,0))
+ INDEX(Allocation!$E:$E,MATCH(K46,Allocation!$A:$A,0)) * INDEX(UnitsFunderShareAllocation!$F:$F, MATCH($A46&amp;K46,UnitsFunderShareAllocation!$H:$H,0)))
))</f>
        <v>0.13985600000000001</v>
      </c>
      <c r="Q46" s="819">
        <f>$O$88</f>
        <v>315.55636502231266</v>
      </c>
      <c r="R46" s="820"/>
      <c r="S46" s="821">
        <f t="shared" ref="S46:S60" si="21">(L46-N46)*P46*Q46/8760000</f>
        <v>0.11885335764015352</v>
      </c>
      <c r="T46" s="822">
        <f t="shared" si="19"/>
        <v>4.8011999303243347E-2</v>
      </c>
      <c r="U46" s="823">
        <f t="shared" si="20"/>
        <v>7.0841358336910173E-2</v>
      </c>
    </row>
    <row r="47" spans="1:27" ht="14.85" customHeight="1">
      <c r="A47" s="768" t="s">
        <v>54</v>
      </c>
      <c r="B47" s="768" t="str">
        <f t="shared" si="15"/>
        <v>RES_201202</v>
      </c>
      <c r="C47" s="768" t="str">
        <f>INDEX('AMMO vwFlags'!$C:$C,MATCH($A47&amp;K47,'AMMO vwFlags'!$K:$K,0))</f>
        <v>0</v>
      </c>
      <c r="D47" s="768" t="str">
        <f>INDEX('AMMO vwFlags'!$D:$D,MATCH($A47&amp;$K47,'AMMO vwFlags'!$K:$K,0))</f>
        <v>0</v>
      </c>
      <c r="E47" s="768">
        <f t="shared" si="16"/>
        <v>1</v>
      </c>
      <c r="F47" s="812" t="str">
        <f t="shared" si="17"/>
        <v>Residential</v>
      </c>
      <c r="G47" s="813" t="str">
        <f>INDEX('AMMO Measures'!B:B,MATCH($A47,'AMMO Measures'!$A:$A,0))</f>
        <v>Heat Pump Water Heaters</v>
      </c>
      <c r="H47" s="813" t="str">
        <f>INDEX('AMMO Measures'!C:C,MATCH($A47,'AMMO Measures'!$A:$A,0))</f>
        <v>HPWH (&gt;55 gallons) Existing Construction</v>
      </c>
      <c r="I47" s="813" t="str">
        <f>INDEX('AMMO Measures'!D:D,MATCH($A47,'AMMO Measures'!$A:$A,0))</f>
        <v>Tier 2</v>
      </c>
      <c r="J47" s="814">
        <f>VALUE(INDEX('AMMO Measures'!H:H,MATCH($A47,'AMMO Measures'!A:A,0)))</f>
        <v>13</v>
      </c>
      <c r="K47" s="815">
        <v>2026</v>
      </c>
      <c r="L47" s="816">
        <f>SUMIFS('AMMO Units'!F:F,'AMMO Units'!$A:$A,$K47,'AMMO Units'!$E:$E,$A47)</f>
        <v>9288.4648193499997</v>
      </c>
      <c r="M47" s="817">
        <f>SUMIFS('AMMO Units'!G:G,'AMMO Units'!$A:$A,$K47,'AMMO Units'!$E:$E,$A47)</f>
        <v>4188.9387919999999</v>
      </c>
      <c r="N47" s="817">
        <f>SUMIFS('AMMO Units'!H:H,'AMMO Units'!$A:$A,$K47,'AMMO Units'!$E:$E,$A47)</f>
        <v>325.09626867999998</v>
      </c>
      <c r="O47" s="818"/>
      <c r="P47" s="2">
        <f>IF(Selection!$A$2="regional",1,IF($L47=0,0,
( INDEX(Allocation!$B:$B,MATCH(K47,Allocation!$A:$A,0)) * INDEX(UnitsFunderShareAllocation!$C:$C, MATCH($A47&amp;K47,UnitsFunderShareAllocation!$H:$H,0))
+ INDEX(Allocation!$C:$C,MATCH(K47,Allocation!$A:$A,0)) * INDEX(UnitsFunderShareAllocation!$D:$D, MATCH($A47&amp;K47,UnitsFunderShareAllocation!$H:$H,0))
+ INDEX(Allocation!$D:$D,MATCH(K47,Allocation!$A:$A,0)) * INDEX(UnitsFunderShareAllocation!$E:$E, MATCH($A47&amp;K47,UnitsFunderShareAllocation!$H:$H,0))
+ INDEX(Allocation!$E:$E,MATCH(K47,Allocation!$A:$A,0)) * INDEX(UnitsFunderShareAllocation!$F:$F, MATCH($A47&amp;K47,UnitsFunderShareAllocation!$H:$H,0)))
))</f>
        <v>0.13985600000000001</v>
      </c>
      <c r="Q47" s="819">
        <f>$O$88</f>
        <v>315.55636502231266</v>
      </c>
      <c r="R47" s="820"/>
      <c r="S47" s="821">
        <f t="shared" si="21"/>
        <v>4.5157011785036782E-2</v>
      </c>
      <c r="T47" s="822">
        <f t="shared" si="19"/>
        <v>2.03650400874726E-2</v>
      </c>
      <c r="U47" s="823">
        <f t="shared" si="20"/>
        <v>2.4791971697564183E-2</v>
      </c>
    </row>
    <row r="48" spans="1:27" ht="14.85" customHeight="1">
      <c r="A48" s="768" t="s">
        <v>630</v>
      </c>
      <c r="B48" s="768" t="str">
        <f t="shared" ref="B48" si="22">LEFT(A48,10)</f>
        <v>RES_201202</v>
      </c>
      <c r="C48" s="768" t="str">
        <f>INDEX('AMMO vwFlags'!$C:$C,MATCH($A48&amp;K48,'AMMO vwFlags'!$K:$K,0))</f>
        <v>0</v>
      </c>
      <c r="D48" s="768" t="str">
        <f>INDEX('AMMO vwFlags'!$D:$D,MATCH($A48&amp;$K48,'AMMO vwFlags'!$K:$K,0))</f>
        <v>0</v>
      </c>
      <c r="E48" s="768">
        <f t="shared" si="16"/>
        <v>1</v>
      </c>
      <c r="F48" s="812" t="str">
        <f t="shared" ref="F48" si="23">IF(LEFT(A48,3)="Res","Residential",IF(LEFT(A48,3)="Ind","industrial",IF(LEFT(A48,3)="Com","Commercial",IF(LEFT(A48,3)="AGR","Agriculture",""))))</f>
        <v>Residential</v>
      </c>
      <c r="G48" s="813" t="str">
        <f>INDEX('AMMO Measures'!B:B,MATCH($A48,'AMMO Measures'!$A:$A,0))</f>
        <v>Heat Pump Water Heaters</v>
      </c>
      <c r="H48" s="813" t="str">
        <f>INDEX('AMMO Measures'!C:C,MATCH($A48,'AMMO Measures'!$A:$A,0))</f>
        <v>HPWH (&lt;=55 gallons) Existing Construction</v>
      </c>
      <c r="I48" s="813" t="str">
        <f>INDEX('AMMO Measures'!D:D,MATCH($A48,'AMMO Measures'!$A:$A,0))</f>
        <v>Tier 3</v>
      </c>
      <c r="J48" s="814">
        <f>VALUE(INDEX('AMMO Measures'!H:H,MATCH($A48,'AMMO Measures'!A:A,0)))</f>
        <v>13</v>
      </c>
      <c r="K48" s="815">
        <v>2026</v>
      </c>
      <c r="L48" s="816">
        <f>SUMIFS('AMMO Units'!F:F,'AMMO Units'!$A:$A,$K48,'AMMO Units'!$E:$E,$A48)</f>
        <v>24447.260513099998</v>
      </c>
      <c r="M48" s="817">
        <f>SUMIFS('AMMO Units'!G:G,'AMMO Units'!$A:$A,$K48,'AMMO Units'!$E:$E,$A48)</f>
        <v>4889.45210262</v>
      </c>
      <c r="N48" s="817">
        <f>SUMIFS('AMMO Units'!H:H,'AMMO Units'!$A:$A,$K48,'AMMO Units'!$E:$E,$A48)</f>
        <v>855.65411796000001</v>
      </c>
      <c r="O48" s="818"/>
      <c r="P48" s="2">
        <f>IF(Selection!$A$2="regional",1,IF($L48=0,0,
( INDEX(Allocation!$B:$B,MATCH(K48,Allocation!$A:$A,0)) * INDEX(UnitsFunderShareAllocation!$C:$C, MATCH($A48&amp;K48,UnitsFunderShareAllocation!$H:$H,0))
+ INDEX(Allocation!$C:$C,MATCH(K48,Allocation!$A:$A,0)) * INDEX(UnitsFunderShareAllocation!$D:$D, MATCH($A48&amp;K48,UnitsFunderShareAllocation!$H:$H,0))
+ INDEX(Allocation!$D:$D,MATCH(K48,Allocation!$A:$A,0)) * INDEX(UnitsFunderShareAllocation!$E:$E, MATCH($A48&amp;K48,UnitsFunderShareAllocation!$H:$H,0))
+ INDEX(Allocation!$E:$E,MATCH(K48,Allocation!$A:$A,0)) * INDEX(UnitsFunderShareAllocation!$F:$F, MATCH($A48&amp;K48,UnitsFunderShareAllocation!$H:$H,0)))
))</f>
        <v>0.13985600000000001</v>
      </c>
      <c r="Q48" s="819">
        <f>$O$89</f>
        <v>219.37594220310507</v>
      </c>
      <c r="R48" s="820"/>
      <c r="S48" s="821">
        <f t="shared" ref="S48" si="24">(L48-N48)*P48*Q48/8760000</f>
        <v>8.2627290102253712E-2</v>
      </c>
      <c r="T48" s="822">
        <f t="shared" ref="T48" si="25">IFERROR((M48-N48/L48*M48)*P48*Q48/8760/1000,0)</f>
        <v>1.6525458020450742E-2</v>
      </c>
      <c r="U48" s="823">
        <f t="shared" ref="U48" si="26">S48-T48</f>
        <v>6.6101832081802966E-2</v>
      </c>
    </row>
    <row r="49" spans="1:27" ht="14.85" customHeight="1">
      <c r="A49" s="768" t="s">
        <v>622</v>
      </c>
      <c r="B49" s="768" t="str">
        <f t="shared" si="15"/>
        <v>RES_201202</v>
      </c>
      <c r="C49" s="768" t="str">
        <f>INDEX('AMMO vwFlags'!$C:$C,MATCH($A49&amp;K49,'AMMO vwFlags'!$K:$K,0))</f>
        <v>0</v>
      </c>
      <c r="D49" s="768" t="str">
        <f>INDEX('AMMO vwFlags'!$D:$D,MATCH($A49&amp;$K49,'AMMO vwFlags'!$K:$K,0))</f>
        <v>0</v>
      </c>
      <c r="E49" s="768">
        <f t="shared" si="16"/>
        <v>1</v>
      </c>
      <c r="F49" s="812" t="str">
        <f t="shared" si="17"/>
        <v>Residential</v>
      </c>
      <c r="G49" s="813" t="str">
        <f>INDEX('AMMO Measures'!B:B,MATCH($A49,'AMMO Measures'!$A:$A,0))</f>
        <v>Heat Pump Water Heaters</v>
      </c>
      <c r="H49" s="813" t="str">
        <f>INDEX('AMMO Measures'!C:C,MATCH($A49,'AMMO Measures'!$A:$A,0))</f>
        <v>HPWH (&gt;55 gallons) Existing Construction</v>
      </c>
      <c r="I49" s="813" t="str">
        <f>INDEX('AMMO Measures'!D:D,MATCH($A49,'AMMO Measures'!$A:$A,0))</f>
        <v>Tier 3</v>
      </c>
      <c r="J49" s="814">
        <f>VALUE(INDEX('AMMO Measures'!H:H,MATCH($A49,'AMMO Measures'!A:A,0)))</f>
        <v>13</v>
      </c>
      <c r="K49" s="815">
        <v>2026</v>
      </c>
      <c r="L49" s="816">
        <f>SUMIFS('AMMO Units'!F:F,'AMMO Units'!$A:$A,$K49,'AMMO Units'!$E:$E,$A49)</f>
        <v>9288.4648193499997</v>
      </c>
      <c r="M49" s="817">
        <f>SUMIFS('AMMO Units'!G:G,'AMMO Units'!$A:$A,$K49,'AMMO Units'!$E:$E,$A49)</f>
        <v>4188.9387919999999</v>
      </c>
      <c r="N49" s="817">
        <f>SUMIFS('AMMO Units'!H:H,'AMMO Units'!$A:$A,$K49,'AMMO Units'!$E:$E,$A49)</f>
        <v>325.09626867999998</v>
      </c>
      <c r="O49" s="818"/>
      <c r="P49" s="2">
        <f>IF(Selection!$A$2="regional",1,IF($L49=0,0,
( INDEX(Allocation!$B:$B,MATCH(K49,Allocation!$A:$A,0)) * INDEX(UnitsFunderShareAllocation!$C:$C, MATCH($A49&amp;K49,UnitsFunderShareAllocation!$H:$H,0))
+ INDEX(Allocation!$C:$C,MATCH(K49,Allocation!$A:$A,0)) * INDEX(UnitsFunderShareAllocation!$D:$D, MATCH($A49&amp;K49,UnitsFunderShareAllocation!$H:$H,0))
+ INDEX(Allocation!$D:$D,MATCH(K49,Allocation!$A:$A,0)) * INDEX(UnitsFunderShareAllocation!$E:$E, MATCH($A49&amp;K49,UnitsFunderShareAllocation!$H:$H,0))
+ INDEX(Allocation!$E:$E,MATCH(K49,Allocation!$A:$A,0)) * INDEX(UnitsFunderShareAllocation!$F:$F, MATCH($A49&amp;K49,UnitsFunderShareAllocation!$H:$H,0)))
))</f>
        <v>0.13985600000000001</v>
      </c>
      <c r="Q49" s="819">
        <f>$I$89</f>
        <v>219.37594220310507</v>
      </c>
      <c r="R49" s="820"/>
      <c r="S49" s="821">
        <f t="shared" si="21"/>
        <v>3.1393320197229083E-2</v>
      </c>
      <c r="T49" s="822">
        <f t="shared" si="19"/>
        <v>1.415785055350542E-2</v>
      </c>
      <c r="U49" s="823">
        <f t="shared" si="20"/>
        <v>1.7235469643723661E-2</v>
      </c>
    </row>
    <row r="50" spans="1:27" ht="15" customHeight="1">
      <c r="A50" s="768" t="s">
        <v>631</v>
      </c>
      <c r="B50" s="768" t="str">
        <f t="shared" ref="B50" si="27">LEFT(A50,10)</f>
        <v>RES_201202</v>
      </c>
      <c r="C50" s="768" t="str">
        <f>INDEX('AMMO vwFlags'!$C:$C,MATCH($A50&amp;K50,'AMMO vwFlags'!$K:$K,0))</f>
        <v>0</v>
      </c>
      <c r="D50" s="768" t="str">
        <f>INDEX('AMMO vwFlags'!$D:$D,MATCH($A50&amp;$K50,'AMMO vwFlags'!$K:$K,0))</f>
        <v>0</v>
      </c>
      <c r="E50" s="768">
        <f t="shared" si="16"/>
        <v>1</v>
      </c>
      <c r="F50" s="812" t="str">
        <f t="shared" ref="F50" si="28">IF(LEFT(A50,3)="Res","Residential",IF(LEFT(A50,3)="Ind","industrial",IF(LEFT(A50,3)="Com","Commercial",IF(LEFT(A50,3)="AGR","Agriculture",""))))</f>
        <v>Residential</v>
      </c>
      <c r="G50" s="813" t="str">
        <f>INDEX('AMMO Measures'!B:B,MATCH($A50,'AMMO Measures'!$A:$A,0))</f>
        <v>Heat Pump Water Heaters</v>
      </c>
      <c r="H50" s="813" t="str">
        <f>INDEX('AMMO Measures'!C:C,MATCH($A50,'AMMO Measures'!$A:$A,0))</f>
        <v>HPWH (&lt;=55 gallons) Existing Construction</v>
      </c>
      <c r="I50" s="813" t="str">
        <f>INDEX('AMMO Measures'!D:D,MATCH($A50,'AMMO Measures'!$A:$A,0))</f>
        <v>Tier 4</v>
      </c>
      <c r="J50" s="814">
        <f>VALUE(INDEX('AMMO Measures'!H:H,MATCH($A50,'AMMO Measures'!A:A,0)))</f>
        <v>13</v>
      </c>
      <c r="K50" s="815">
        <v>2026</v>
      </c>
      <c r="L50" s="816">
        <f>SUMIFS('AMMO Units'!F:F,'AMMO Units'!$A:$A,$K50,'AMMO Units'!$E:$E,$A50)</f>
        <v>24644.415839820002</v>
      </c>
      <c r="M50" s="817">
        <f>SUMIFS('AMMO Units'!G:G,'AMMO Units'!$A:$A,$K50,'AMMO Units'!$E:$E,$A50)</f>
        <v>11628.841533999999</v>
      </c>
      <c r="N50" s="817">
        <f>SUMIFS('AMMO Units'!H:H,'AMMO Units'!$A:$A,$K50,'AMMO Units'!$E:$E,$A50)</f>
        <v>862.55455439000002</v>
      </c>
      <c r="O50" s="818"/>
      <c r="P50" s="2">
        <f>IF(Selection!$A$2="regional",1,IF($L50=0,0,
( INDEX(Allocation!$B:$B,MATCH(K50,Allocation!$A:$A,0)) * INDEX(UnitsFunderShareAllocation!$C:$C, MATCH($A50&amp;K50,UnitsFunderShareAllocation!$H:$H,0))
+ INDEX(Allocation!$C:$C,MATCH(K50,Allocation!$A:$A,0)) * INDEX(UnitsFunderShareAllocation!$D:$D, MATCH($A50&amp;K50,UnitsFunderShareAllocation!$H:$H,0))
+ INDEX(Allocation!$D:$D,MATCH(K50,Allocation!$A:$A,0)) * INDEX(UnitsFunderShareAllocation!$E:$E, MATCH($A50&amp;K50,UnitsFunderShareAllocation!$H:$H,0))
+ INDEX(Allocation!$E:$E,MATCH(K50,Allocation!$A:$A,0)) * INDEX(UnitsFunderShareAllocation!$F:$F, MATCH($A50&amp;K50,UnitsFunderShareAllocation!$H:$H,0)))
))</f>
        <v>0.13985600000000001</v>
      </c>
      <c r="Q50" s="819">
        <f>$O$90</f>
        <v>199.31897295142858</v>
      </c>
      <c r="R50" s="820"/>
      <c r="S50" s="821">
        <f t="shared" ref="S50" si="29">(L50-N50)*P50*Q50/8760000</f>
        <v>7.5678319396345881E-2</v>
      </c>
      <c r="T50" s="822">
        <f>IFERROR((M50-N50/L50*M50)*P50*Q50/8760/1000,0)</f>
        <v>3.5709963244394453E-2</v>
      </c>
      <c r="U50" s="823">
        <f t="shared" ref="U50" si="30">S50-T50</f>
        <v>3.9968356151951427E-2</v>
      </c>
    </row>
    <row r="51" spans="1:27" ht="14.85" customHeight="1">
      <c r="A51" s="768" t="s">
        <v>623</v>
      </c>
      <c r="B51" s="768" t="str">
        <f t="shared" si="15"/>
        <v>RES_201202</v>
      </c>
      <c r="C51" s="768" t="str">
        <f>INDEX('AMMO vwFlags'!$C:$C,MATCH($A51&amp;K51,'AMMO vwFlags'!$K:$K,0))</f>
        <v>0</v>
      </c>
      <c r="D51" s="768" t="str">
        <f>INDEX('AMMO vwFlags'!$D:$D,MATCH($A51&amp;$K51,'AMMO vwFlags'!$K:$K,0))</f>
        <v>0</v>
      </c>
      <c r="E51" s="768">
        <f t="shared" si="16"/>
        <v>1</v>
      </c>
      <c r="F51" s="812" t="str">
        <f t="shared" si="17"/>
        <v>Residential</v>
      </c>
      <c r="G51" s="813" t="str">
        <f>INDEX('AMMO Measures'!B:B,MATCH($A51,'AMMO Measures'!$A:$A,0))</f>
        <v>Heat Pump Water Heaters</v>
      </c>
      <c r="H51" s="813" t="str">
        <f>INDEX('AMMO Measures'!C:C,MATCH($A51,'AMMO Measures'!$A:$A,0))</f>
        <v>HPWH (&gt;55 gallons) Existing Construction</v>
      </c>
      <c r="I51" s="813" t="str">
        <f>INDEX('AMMO Measures'!D:D,MATCH($A51,'AMMO Measures'!$A:$A,0))</f>
        <v>Tier 4</v>
      </c>
      <c r="J51" s="814">
        <f>VALUE(INDEX('AMMO Measures'!H:H,MATCH($A51,'AMMO Measures'!A:A,0)))</f>
        <v>13</v>
      </c>
      <c r="K51" s="815">
        <v>2026</v>
      </c>
      <c r="L51" s="816">
        <f>SUMIFS('AMMO Units'!F:F,'AMMO Units'!$A:$A,$K51,'AMMO Units'!$E:$E,$A51)</f>
        <v>9288.4648193499997</v>
      </c>
      <c r="M51" s="817">
        <f>SUMIFS('AMMO Units'!G:G,'AMMO Units'!$A:$A,$K51,'AMMO Units'!$E:$E,$A51)</f>
        <v>7740.3873494600002</v>
      </c>
      <c r="N51" s="817">
        <f>SUMIFS('AMMO Units'!H:H,'AMMO Units'!$A:$A,$K51,'AMMO Units'!$E:$E,$A51)</f>
        <v>325.09626867999998</v>
      </c>
      <c r="O51" s="818"/>
      <c r="P51" s="2">
        <f>IF(Selection!$A$2="regional",1,IF($L51=0,0,
( INDEX(Allocation!$B:$B,MATCH(K51,Allocation!$A:$A,0)) * INDEX(UnitsFunderShareAllocation!$C:$C, MATCH($A51&amp;K51,UnitsFunderShareAllocation!$H:$H,0))
+ INDEX(Allocation!$C:$C,MATCH(K51,Allocation!$A:$A,0)) * INDEX(UnitsFunderShareAllocation!$D:$D, MATCH($A51&amp;K51,UnitsFunderShareAllocation!$H:$H,0))
+ INDEX(Allocation!$D:$D,MATCH(K51,Allocation!$A:$A,0)) * INDEX(UnitsFunderShareAllocation!$E:$E, MATCH($A51&amp;K51,UnitsFunderShareAllocation!$H:$H,0))
+ INDEX(Allocation!$E:$E,MATCH(K51,Allocation!$A:$A,0)) * INDEX(UnitsFunderShareAllocation!$F:$F, MATCH($A51&amp;K51,UnitsFunderShareAllocation!$H:$H,0)))
))</f>
        <v>0.13985600000000001</v>
      </c>
      <c r="Q51" s="819">
        <f>$I$90</f>
        <v>199.31897295142858</v>
      </c>
      <c r="R51" s="820"/>
      <c r="S51" s="821">
        <f t="shared" si="21"/>
        <v>2.8523110950123477E-2</v>
      </c>
      <c r="T51" s="822">
        <f t="shared" si="19"/>
        <v>2.3769259125108015E-2</v>
      </c>
      <c r="U51" s="823">
        <f t="shared" si="20"/>
        <v>4.7538518250154621E-3</v>
      </c>
    </row>
    <row r="52" spans="1:27" ht="14.85" customHeight="1">
      <c r="A52" s="768" t="s">
        <v>612</v>
      </c>
      <c r="B52" s="768" t="str">
        <f t="shared" si="15"/>
        <v>RES_201202</v>
      </c>
      <c r="C52" s="768" t="str">
        <f>INDEX('AMMO vwFlags'!$C:$C,MATCH($A52&amp;K52,'AMMO vwFlags'!$K:$K,0))</f>
        <v>0</v>
      </c>
      <c r="D52" s="768" t="str">
        <f>INDEX('AMMO vwFlags'!$D:$D,MATCH($A52&amp;$K52,'AMMO vwFlags'!$K:$K,0))</f>
        <v>0</v>
      </c>
      <c r="E52" s="768">
        <f t="shared" si="16"/>
        <v>1</v>
      </c>
      <c r="F52" s="812" t="str">
        <f t="shared" si="17"/>
        <v>Residential</v>
      </c>
      <c r="G52" s="813" t="str">
        <f>INDEX('AMMO Measures'!B:B,MATCH($A52,'AMMO Measures'!$A:$A,0))</f>
        <v>Heat Pump Water Heaters</v>
      </c>
      <c r="H52" s="813" t="str">
        <f>INDEX('AMMO Measures'!C:C,MATCH($A52,'AMMO Measures'!$A:$A,0))</f>
        <v>HPWH (&lt;=55 gallons) New Construction</v>
      </c>
      <c r="I52" s="813" t="str">
        <f>INDEX('AMMO Measures'!D:D,MATCH($A52,'AMMO Measures'!$A:$A,0))</f>
        <v>Tier 1</v>
      </c>
      <c r="J52" s="814">
        <f>VALUE(INDEX('AMMO Measures'!H:H,MATCH($A52,'AMMO Measures'!A:A,0)))</f>
        <v>13</v>
      </c>
      <c r="K52" s="815">
        <v>2026</v>
      </c>
      <c r="L52" s="816">
        <f>SUMIFS('AMMO Units'!F:F,'AMMO Units'!$A:$A,$K52,'AMMO Units'!$E:$E,$A52)</f>
        <v>9459.2404764900002</v>
      </c>
      <c r="M52" s="817">
        <f>SUMIFS('AMMO Units'!G:G,'AMMO Units'!$A:$A,$K52,'AMMO Units'!$E:$E,$A52)</f>
        <v>3250</v>
      </c>
      <c r="N52" s="817">
        <f>SUMIFS('AMMO Units'!H:H,'AMMO Units'!$A:$A,$K52,'AMMO Units'!$E:$E,$A52)</f>
        <v>945.92404765000003</v>
      </c>
      <c r="O52" s="818"/>
      <c r="P52" s="2">
        <f>IF(Selection!$A$2="regional",1,IF($L52=0,0,
( INDEX(Allocation!$B:$B,MATCH(K52,Allocation!$A:$A,0)) * INDEX(UnitsFunderShareAllocation!$C:$C, MATCH($A52&amp;K52,UnitsFunderShareAllocation!$H:$H,0))
+ INDEX(Allocation!$C:$C,MATCH(K52,Allocation!$A:$A,0)) * INDEX(UnitsFunderShareAllocation!$D:$D, MATCH($A52&amp;K52,UnitsFunderShareAllocation!$H:$H,0))
+ INDEX(Allocation!$D:$D,MATCH(K52,Allocation!$A:$A,0)) * INDEX(UnitsFunderShareAllocation!$E:$E, MATCH($A52&amp;K52,UnitsFunderShareAllocation!$H:$H,0))
+ INDEX(Allocation!$E:$E,MATCH(K52,Allocation!$A:$A,0)) * INDEX(UnitsFunderShareAllocation!$F:$F, MATCH($A52&amp;K52,UnitsFunderShareAllocation!$H:$H,0)))
))</f>
        <v>0.13985600000000001</v>
      </c>
      <c r="Q52" s="819">
        <f>$P$91</f>
        <v>536.31380874627814</v>
      </c>
      <c r="R52" s="820"/>
      <c r="S52" s="821">
        <f t="shared" si="21"/>
        <v>7.289449837248678E-2</v>
      </c>
      <c r="T52" s="822">
        <f t="shared" si="19"/>
        <v>2.5045046724352874E-2</v>
      </c>
      <c r="U52" s="823">
        <f t="shared" si="20"/>
        <v>4.7849451648133909E-2</v>
      </c>
      <c r="Z52" s="86"/>
      <c r="AA52" s="86"/>
    </row>
    <row r="53" spans="1:27" ht="14.85" customHeight="1">
      <c r="A53" s="768" t="s">
        <v>613</v>
      </c>
      <c r="B53" s="768" t="str">
        <f t="shared" si="15"/>
        <v>RES_201202</v>
      </c>
      <c r="C53" s="768" t="str">
        <f>INDEX('AMMO vwFlags'!$C:$C,MATCH($A53&amp;K53,'AMMO vwFlags'!$K:$K,0))</f>
        <v>0</v>
      </c>
      <c r="D53" s="768" t="str">
        <f>INDEX('AMMO vwFlags'!$D:$D,MATCH($A53&amp;$K53,'AMMO vwFlags'!$K:$K,0))</f>
        <v>0</v>
      </c>
      <c r="E53" s="768">
        <f t="shared" si="16"/>
        <v>1</v>
      </c>
      <c r="F53" s="812" t="str">
        <f t="shared" si="17"/>
        <v>Residential</v>
      </c>
      <c r="G53" s="813" t="str">
        <f>INDEX('AMMO Measures'!B:B,MATCH($A53,'AMMO Measures'!$A:$A,0))</f>
        <v>Heat Pump Water Heaters</v>
      </c>
      <c r="H53" s="813" t="str">
        <f>INDEX('AMMO Measures'!C:C,MATCH($A53,'AMMO Measures'!$A:$A,0))</f>
        <v>HPWH (&lt;=55 gallons) New Construction</v>
      </c>
      <c r="I53" s="813" t="str">
        <f>INDEX('AMMO Measures'!D:D,MATCH($A53,'AMMO Measures'!$A:$A,0))</f>
        <v>Tier 2</v>
      </c>
      <c r="J53" s="814">
        <f>VALUE(INDEX('AMMO Measures'!H:H,MATCH($A53,'AMMO Measures'!A:A,0)))</f>
        <v>13</v>
      </c>
      <c r="K53" s="815">
        <v>2026</v>
      </c>
      <c r="L53" s="816">
        <f>SUMIFS('AMMO Units'!F:F,'AMMO Units'!$A:$A,$K53,'AMMO Units'!$E:$E,$A53)</f>
        <v>9383.5665526800003</v>
      </c>
      <c r="M53" s="817">
        <f>SUMIFS('AMMO Units'!G:G,'AMMO Units'!$A:$A,$K53,'AMMO Units'!$E:$E,$A53)</f>
        <v>3250</v>
      </c>
      <c r="N53" s="817">
        <f>SUMIFS('AMMO Units'!H:H,'AMMO Units'!$A:$A,$K53,'AMMO Units'!$E:$E,$A53)</f>
        <v>938.35665527000003</v>
      </c>
      <c r="O53" s="818"/>
      <c r="P53" s="2">
        <f>IF(Selection!$A$2="regional",1,IF($L53=0,0,
( INDEX(Allocation!$B:$B,MATCH(K53,Allocation!$A:$A,0)) * INDEX(UnitsFunderShareAllocation!$C:$C, MATCH($A53&amp;K53,UnitsFunderShareAllocation!$H:$H,0))
+ INDEX(Allocation!$C:$C,MATCH(K53,Allocation!$A:$A,0)) * INDEX(UnitsFunderShareAllocation!$D:$D, MATCH($A53&amp;K53,UnitsFunderShareAllocation!$H:$H,0))
+ INDEX(Allocation!$D:$D,MATCH(K53,Allocation!$A:$A,0)) * INDEX(UnitsFunderShareAllocation!$E:$E, MATCH($A53&amp;K53,UnitsFunderShareAllocation!$H:$H,0))
+ INDEX(Allocation!$E:$E,MATCH(K53,Allocation!$A:$A,0)) * INDEX(UnitsFunderShareAllocation!$F:$F, MATCH($A53&amp;K53,UnitsFunderShareAllocation!$H:$H,0)))
))</f>
        <v>0.13985600000000001</v>
      </c>
      <c r="Q53" s="819">
        <f>$P$92</f>
        <v>179.02115681350884</v>
      </c>
      <c r="R53" s="820"/>
      <c r="S53" s="821">
        <f>(L53-N53)*P53*Q53/8760000</f>
        <v>2.4137473161196313E-2</v>
      </c>
      <c r="T53" s="822">
        <f t="shared" si="19"/>
        <v>8.3600182652813562E-3</v>
      </c>
      <c r="U53" s="823">
        <f t="shared" si="20"/>
        <v>1.5777454895914957E-2</v>
      </c>
    </row>
    <row r="54" spans="1:27" ht="14.85" customHeight="1">
      <c r="A54" s="768" t="s">
        <v>624</v>
      </c>
      <c r="B54" s="768" t="str">
        <f t="shared" si="15"/>
        <v>RES_201202</v>
      </c>
      <c r="C54" s="768" t="str">
        <f>INDEX('AMMO vwFlags'!$C:$C,MATCH($A54&amp;K54,'AMMO vwFlags'!$K:$K,0))</f>
        <v>0</v>
      </c>
      <c r="D54" s="768" t="str">
        <f>INDEX('AMMO vwFlags'!$D:$D,MATCH($A54&amp;$K54,'AMMO vwFlags'!$K:$K,0))</f>
        <v>0</v>
      </c>
      <c r="E54" s="768">
        <f t="shared" si="16"/>
        <v>1</v>
      </c>
      <c r="F54" s="812" t="str">
        <f t="shared" si="17"/>
        <v>Residential</v>
      </c>
      <c r="G54" s="813" t="str">
        <f>INDEX('AMMO Measures'!B:B,MATCH($A54,'AMMO Measures'!$A:$A,0))</f>
        <v>Heat Pump Water Heaters</v>
      </c>
      <c r="H54" s="813" t="str">
        <f>INDEX('AMMO Measures'!C:C,MATCH($A54,'AMMO Measures'!$A:$A,0))</f>
        <v>HPWH (&lt;=55 gallons) New Construction</v>
      </c>
      <c r="I54" s="813" t="str">
        <f>INDEX('AMMO Measures'!D:D,MATCH($A54,'AMMO Measures'!$A:$A,0))</f>
        <v>Tier 3</v>
      </c>
      <c r="J54" s="814">
        <f>VALUE(INDEX('AMMO Measures'!H:H,MATCH($A54,'AMMO Measures'!A:A,0)))</f>
        <v>13</v>
      </c>
      <c r="K54" s="815">
        <v>2026</v>
      </c>
      <c r="L54" s="816">
        <f>SUMIFS('AMMO Units'!F:F,'AMMO Units'!$A:$A,$K54,'AMMO Units'!$E:$E,$A54)</f>
        <v>9383.5665526800003</v>
      </c>
      <c r="M54" s="817">
        <f>SUMIFS('AMMO Units'!G:G,'AMMO Units'!$A:$A,$K54,'AMMO Units'!$E:$E,$A54)</f>
        <v>3250</v>
      </c>
      <c r="N54" s="817">
        <f>SUMIFS('AMMO Units'!H:H,'AMMO Units'!$A:$A,$K54,'AMMO Units'!$E:$E,$A54)</f>
        <v>938.35665527000003</v>
      </c>
      <c r="O54" s="818"/>
      <c r="P54" s="2">
        <f>IF(Selection!$A$2="regional",1,IF($L54=0,0,
( INDEX(Allocation!$B:$B,MATCH(K54,Allocation!$A:$A,0)) * INDEX(UnitsFunderShareAllocation!$C:$C, MATCH($A54&amp;K54,UnitsFunderShareAllocation!$H:$H,0))
+ INDEX(Allocation!$C:$C,MATCH(K54,Allocation!$A:$A,0)) * INDEX(UnitsFunderShareAllocation!$D:$D, MATCH($A54&amp;K54,UnitsFunderShareAllocation!$H:$H,0))
+ INDEX(Allocation!$D:$D,MATCH(K54,Allocation!$A:$A,0)) * INDEX(UnitsFunderShareAllocation!$E:$E, MATCH($A54&amp;K54,UnitsFunderShareAllocation!$H:$H,0))
+ INDEX(Allocation!$E:$E,MATCH(K54,Allocation!$A:$A,0)) * INDEX(UnitsFunderShareAllocation!$F:$F, MATCH($A54&amp;K54,UnitsFunderShareAllocation!$H:$H,0)))
))</f>
        <v>0.13985600000000001</v>
      </c>
      <c r="Q54" s="819">
        <f>$P$93</f>
        <v>124.45616474088988</v>
      </c>
      <c r="R54" s="820"/>
      <c r="S54" s="821">
        <f t="shared" si="21"/>
        <v>1.6780459860998798E-2</v>
      </c>
      <c r="T54" s="822">
        <f t="shared" si="19"/>
        <v>5.8119153567115856E-3</v>
      </c>
      <c r="U54" s="823">
        <f t="shared" si="20"/>
        <v>1.0968544504287213E-2</v>
      </c>
    </row>
    <row r="55" spans="1:27" ht="14.85" customHeight="1">
      <c r="A55" s="768" t="s">
        <v>625</v>
      </c>
      <c r="B55" s="768" t="str">
        <f t="shared" si="15"/>
        <v>RES_201202</v>
      </c>
      <c r="C55" s="768" t="str">
        <f>INDEX('AMMO vwFlags'!$C:$C,MATCH($A55&amp;K55,'AMMO vwFlags'!$K:$K,0))</f>
        <v>0</v>
      </c>
      <c r="D55" s="768" t="str">
        <f>INDEX('AMMO vwFlags'!$D:$D,MATCH($A55&amp;$K55,'AMMO vwFlags'!$K:$K,0))</f>
        <v>0</v>
      </c>
      <c r="E55" s="768">
        <f t="shared" si="16"/>
        <v>1</v>
      </c>
      <c r="F55" s="812" t="str">
        <f t="shared" si="17"/>
        <v>Residential</v>
      </c>
      <c r="G55" s="813" t="str">
        <f>INDEX('AMMO Measures'!B:B,MATCH($A55,'AMMO Measures'!$A:$A,0))</f>
        <v>Heat Pump Water Heaters</v>
      </c>
      <c r="H55" s="813" t="str">
        <f>INDEX('AMMO Measures'!C:C,MATCH($A55,'AMMO Measures'!$A:$A,0))</f>
        <v>HPWH (&lt;=55 gallons) New Construction</v>
      </c>
      <c r="I55" s="813" t="str">
        <f>INDEX('AMMO Measures'!D:D,MATCH($A55,'AMMO Measures'!$A:$A,0))</f>
        <v>Tier 4</v>
      </c>
      <c r="J55" s="814">
        <f>VALUE(INDEX('AMMO Measures'!H:H,MATCH($A55,'AMMO Measures'!A:A,0)))</f>
        <v>13</v>
      </c>
      <c r="K55" s="815">
        <v>2026</v>
      </c>
      <c r="L55" s="816">
        <f>SUMIFS('AMMO Units'!F:F,'AMMO Units'!$A:$A,$K55,'AMMO Units'!$E:$E,$A55)</f>
        <v>9459.2404764900002</v>
      </c>
      <c r="M55" s="817">
        <f>SUMIFS('AMMO Units'!G:G,'AMMO Units'!$A:$A,$K55,'AMMO Units'!$E:$E,$A55)</f>
        <v>0</v>
      </c>
      <c r="N55" s="817">
        <f>SUMIFS('AMMO Units'!H:H,'AMMO Units'!$A:$A,$K55,'AMMO Units'!$E:$E,$A55)</f>
        <v>945.92404765000003</v>
      </c>
      <c r="O55" s="818"/>
      <c r="P55" s="2">
        <f>IF(Selection!$A$2="regional",1,IF($L55=0,0,
( INDEX(Allocation!$B:$B,MATCH(K55,Allocation!$A:$A,0)) * INDEX(UnitsFunderShareAllocation!$C:$C, MATCH($A55&amp;K55,UnitsFunderShareAllocation!$H:$H,0))
+ INDEX(Allocation!$C:$C,MATCH(K55,Allocation!$A:$A,0)) * INDEX(UnitsFunderShareAllocation!$D:$D, MATCH($A55&amp;K55,UnitsFunderShareAllocation!$H:$H,0))
+ INDEX(Allocation!$D:$D,MATCH(K55,Allocation!$A:$A,0)) * INDEX(UnitsFunderShareAllocation!$E:$E, MATCH($A55&amp;K55,UnitsFunderShareAllocation!$H:$H,0))
+ INDEX(Allocation!$E:$E,MATCH(K55,Allocation!$A:$A,0)) * INDEX(UnitsFunderShareAllocation!$F:$F, MATCH($A55&amp;K55,UnitsFunderShareAllocation!$H:$H,0)))
))</f>
        <v>0.13985600000000001</v>
      </c>
      <c r="Q55" s="819">
        <f>$P$94</f>
        <v>113.07746275414905</v>
      </c>
      <c r="R55" s="820"/>
      <c r="S55" s="821">
        <f t="shared" si="21"/>
        <v>1.5369220016851664E-2</v>
      </c>
      <c r="T55" s="822">
        <f t="shared" si="19"/>
        <v>0</v>
      </c>
      <c r="U55" s="823">
        <f t="shared" si="20"/>
        <v>1.5369220016851664E-2</v>
      </c>
    </row>
    <row r="56" spans="1:27" s="86" customFormat="1" ht="13.35" customHeight="1">
      <c r="A56" s="768" t="s">
        <v>626</v>
      </c>
      <c r="B56" s="768" t="str">
        <f t="shared" si="15"/>
        <v>RES_201202</v>
      </c>
      <c r="C56" s="768" t="str">
        <f>INDEX('AMMO vwFlags'!$C:$C,MATCH($A56&amp;K56,'AMMO vwFlags'!$K:$K,0))</f>
        <v>0</v>
      </c>
      <c r="D56" s="768" t="str">
        <f>INDEX('AMMO vwFlags'!$D:$D,MATCH($A56&amp;$K56,'AMMO vwFlags'!$K:$K,0))</f>
        <v>1</v>
      </c>
      <c r="E56" s="768">
        <f t="shared" si="16"/>
        <v>1</v>
      </c>
      <c r="F56" s="812" t="str">
        <f t="shared" si="17"/>
        <v>Residential</v>
      </c>
      <c r="G56" s="813" t="str">
        <f>INDEX('AMMO Measures'!B:B,MATCH($A56,'AMMO Measures'!$A:$A,0))</f>
        <v>Heat Pump Water Heaters</v>
      </c>
      <c r="H56" s="813" t="str">
        <f>INDEX('AMMO Measures'!C:C,MATCH($A56,'AMMO Measures'!$A:$A,0))</f>
        <v>HPWH (&gt;55 gallons) New Construction</v>
      </c>
      <c r="I56" s="813" t="str">
        <f>INDEX('AMMO Measures'!D:D,MATCH($A56,'AMMO Measures'!$A:$A,0))</f>
        <v>Tier 1</v>
      </c>
      <c r="J56" s="814">
        <f>VALUE(INDEX('AMMO Measures'!H:H,MATCH($A56,'AMMO Measures'!A:A,0)))</f>
        <v>13</v>
      </c>
      <c r="K56" s="815">
        <v>2026</v>
      </c>
      <c r="L56" s="816">
        <f>SUMIFS('AMMO Units'!F:F,'AMMO Units'!$A:$A,$K56,'AMMO Units'!$E:$E,$A56)</f>
        <v>5110.1434833599997</v>
      </c>
      <c r="M56" s="817">
        <f>SUMIFS('AMMO Units'!G:G,'AMMO Units'!$A:$A,$K56,'AMMO Units'!$E:$E,$A56)</f>
        <v>1734</v>
      </c>
      <c r="N56" s="817">
        <f>SUMIFS('AMMO Units'!H:H,'AMMO Units'!$A:$A,$K56,'AMMO Units'!$E:$E,$A56)</f>
        <v>5110.1434833599997</v>
      </c>
      <c r="O56" s="818"/>
      <c r="P56" s="2">
        <f>IF(Selection!$A$2="regional",1,IF($L56=0,0,
( INDEX(Allocation!$B:$B,MATCH(K56,Allocation!$A:$A,0)) * INDEX(UnitsFunderShareAllocation!$C:$C, MATCH($A56&amp;K56,UnitsFunderShareAllocation!$H:$H,0))
+ INDEX(Allocation!$C:$C,MATCH(K56,Allocation!$A:$A,0)) * INDEX(UnitsFunderShareAllocation!$D:$D, MATCH($A56&amp;K56,UnitsFunderShareAllocation!$H:$H,0))
+ INDEX(Allocation!$D:$D,MATCH(K56,Allocation!$A:$A,0)) * INDEX(UnitsFunderShareAllocation!$E:$E, MATCH($A56&amp;K56,UnitsFunderShareAllocation!$H:$H,0))
+ INDEX(Allocation!$E:$E,MATCH(K56,Allocation!$A:$A,0)) * INDEX(UnitsFunderShareAllocation!$F:$F, MATCH($A56&amp;K56,UnitsFunderShareAllocation!$H:$H,0)))
))</f>
        <v>0.13985600000000001</v>
      </c>
      <c r="Q56" s="819">
        <f>$Q$91</f>
        <v>504.09458843727322</v>
      </c>
      <c r="R56" s="820"/>
      <c r="S56" s="821">
        <f t="shared" si="21"/>
        <v>0</v>
      </c>
      <c r="T56" s="822">
        <f t="shared" si="19"/>
        <v>0</v>
      </c>
      <c r="U56" s="823">
        <f t="shared" si="20"/>
        <v>0</v>
      </c>
      <c r="Z56" s="50"/>
      <c r="AA56" s="50"/>
    </row>
    <row r="57" spans="1:27" ht="14.85" customHeight="1">
      <c r="A57" s="768" t="s">
        <v>627</v>
      </c>
      <c r="B57" s="768" t="str">
        <f t="shared" si="15"/>
        <v>RES_201202</v>
      </c>
      <c r="C57" s="768" t="str">
        <f>INDEX('AMMO vwFlags'!$C:$C,MATCH($A57&amp;K57,'AMMO vwFlags'!$K:$K,0))</f>
        <v>0</v>
      </c>
      <c r="D57" s="768" t="str">
        <f>INDEX('AMMO vwFlags'!$D:$D,MATCH($A57&amp;$K57,'AMMO vwFlags'!$K:$K,0))</f>
        <v>0</v>
      </c>
      <c r="E57" s="768">
        <f t="shared" si="16"/>
        <v>1</v>
      </c>
      <c r="F57" s="812" t="str">
        <f t="shared" si="17"/>
        <v>Residential</v>
      </c>
      <c r="G57" s="813" t="str">
        <f>INDEX('AMMO Measures'!B:B,MATCH($A57,'AMMO Measures'!$A:$A,0))</f>
        <v>Heat Pump Water Heaters</v>
      </c>
      <c r="H57" s="813" t="str">
        <f>INDEX('AMMO Measures'!C:C,MATCH($A57,'AMMO Measures'!$A:$A,0))</f>
        <v>HPWH (&gt;55 gallons) New Construction</v>
      </c>
      <c r="I57" s="813" t="str">
        <f>INDEX('AMMO Measures'!D:D,MATCH($A57,'AMMO Measures'!$A:$A,0))</f>
        <v>Tier 2</v>
      </c>
      <c r="J57" s="814">
        <f>VALUE(INDEX('AMMO Measures'!H:H,MATCH($A57,'AMMO Measures'!A:A,0)))</f>
        <v>13</v>
      </c>
      <c r="K57" s="815">
        <v>2026</v>
      </c>
      <c r="L57" s="816">
        <f>SUMIFS('AMMO Units'!F:F,'AMMO Units'!$A:$A,$K57,'AMMO Units'!$E:$E,$A57)</f>
        <v>5110.1434833599997</v>
      </c>
      <c r="M57" s="817">
        <f>SUMIFS('AMMO Units'!G:G,'AMMO Units'!$A:$A,$K57,'AMMO Units'!$E:$E,$A57)</f>
        <v>1734</v>
      </c>
      <c r="N57" s="817">
        <f>SUMIFS('AMMO Units'!H:H,'AMMO Units'!$A:$A,$K57,'AMMO Units'!$E:$E,$A57)</f>
        <v>511.01434834000003</v>
      </c>
      <c r="O57" s="818"/>
      <c r="P57" s="2">
        <f>IF(Selection!$A$2="regional",1,IF($L57=0,0,
( INDEX(Allocation!$B:$B,MATCH(K57,Allocation!$A:$A,0)) * INDEX(UnitsFunderShareAllocation!$C:$C, MATCH($A57&amp;K57,UnitsFunderShareAllocation!$H:$H,0))
+ INDEX(Allocation!$C:$C,MATCH(K57,Allocation!$A:$A,0)) * INDEX(UnitsFunderShareAllocation!$D:$D, MATCH($A57&amp;K57,UnitsFunderShareAllocation!$H:$H,0))
+ INDEX(Allocation!$D:$D,MATCH(K57,Allocation!$A:$A,0)) * INDEX(UnitsFunderShareAllocation!$E:$E, MATCH($A57&amp;K57,UnitsFunderShareAllocation!$H:$H,0))
+ INDEX(Allocation!$E:$E,MATCH(K57,Allocation!$A:$A,0)) * INDEX(UnitsFunderShareAllocation!$F:$F, MATCH($A57&amp;K57,UnitsFunderShareAllocation!$H:$H,0)))
))</f>
        <v>0.13985600000000001</v>
      </c>
      <c r="Q57" s="819">
        <f>$Q$92</f>
        <v>168.266404656687</v>
      </c>
      <c r="R57" s="820"/>
      <c r="S57" s="821">
        <f t="shared" si="21"/>
        <v>1.2355206713374218E-2</v>
      </c>
      <c r="T57" s="822">
        <f t="shared" si="19"/>
        <v>4.1924318780388378E-3</v>
      </c>
      <c r="U57" s="823">
        <f t="shared" si="20"/>
        <v>8.1627748353353801E-3</v>
      </c>
    </row>
    <row r="58" spans="1:27" ht="14.85" customHeight="1">
      <c r="A58" s="768" t="s">
        <v>628</v>
      </c>
      <c r="B58" s="768" t="str">
        <f t="shared" si="15"/>
        <v>RES_201202</v>
      </c>
      <c r="C58" s="768" t="str">
        <f>INDEX('AMMO vwFlags'!$C:$C,MATCH($A58&amp;K58,'AMMO vwFlags'!$K:$K,0))</f>
        <v>0</v>
      </c>
      <c r="D58" s="768" t="str">
        <f>INDEX('AMMO vwFlags'!$D:$D,MATCH($A58&amp;$K58,'AMMO vwFlags'!$K:$K,0))</f>
        <v>0</v>
      </c>
      <c r="E58" s="768">
        <f t="shared" si="16"/>
        <v>1</v>
      </c>
      <c r="F58" s="812" t="str">
        <f t="shared" si="17"/>
        <v>Residential</v>
      </c>
      <c r="G58" s="813" t="str">
        <f>INDEX('AMMO Measures'!B:B,MATCH($A58,'AMMO Measures'!$A:$A,0))</f>
        <v>Heat Pump Water Heaters</v>
      </c>
      <c r="H58" s="813" t="str">
        <f>INDEX('AMMO Measures'!C:C,MATCH($A58,'AMMO Measures'!$A:$A,0))</f>
        <v>HPWH (&gt;55 gallons) New Construction</v>
      </c>
      <c r="I58" s="813" t="str">
        <f>INDEX('AMMO Measures'!D:D,MATCH($A58,'AMMO Measures'!$A:$A,0))</f>
        <v>Tier 3</v>
      </c>
      <c r="J58" s="814">
        <f>VALUE(INDEX('AMMO Measures'!H:H,MATCH($A58,'AMMO Measures'!A:A,0)))</f>
        <v>13</v>
      </c>
      <c r="K58" s="815">
        <v>2026</v>
      </c>
      <c r="L58" s="816">
        <f>SUMIFS('AMMO Units'!F:F,'AMMO Units'!$A:$A,$K58,'AMMO Units'!$E:$E,$A58)</f>
        <v>5110.1434833599997</v>
      </c>
      <c r="M58" s="817">
        <f>SUMIFS('AMMO Units'!G:G,'AMMO Units'!$A:$A,$K58,'AMMO Units'!$E:$E,$A58)</f>
        <v>1734</v>
      </c>
      <c r="N58" s="817">
        <f>SUMIFS('AMMO Units'!H:H,'AMMO Units'!$A:$A,$K58,'AMMO Units'!$E:$E,$A58)</f>
        <v>511.01434834000003</v>
      </c>
      <c r="O58" s="818"/>
      <c r="P58" s="2">
        <f>IF(Selection!$A$2="regional",1,IF($L58=0,0,
( INDEX(Allocation!$B:$B,MATCH(K58,Allocation!$A:$A,0)) * INDEX(UnitsFunderShareAllocation!$C:$C, MATCH($A58&amp;K58,UnitsFunderShareAllocation!$H:$H,0))
+ INDEX(Allocation!$C:$C,MATCH(K58,Allocation!$A:$A,0)) * INDEX(UnitsFunderShareAllocation!$D:$D, MATCH($A58&amp;K58,UnitsFunderShareAllocation!$H:$H,0))
+ INDEX(Allocation!$D:$D,MATCH(K58,Allocation!$A:$A,0)) * INDEX(UnitsFunderShareAllocation!$E:$E, MATCH($A58&amp;K58,UnitsFunderShareAllocation!$H:$H,0))
+ INDEX(Allocation!$E:$E,MATCH(K58,Allocation!$A:$A,0)) * INDEX(UnitsFunderShareAllocation!$F:$F, MATCH($A58&amp;K58,UnitsFunderShareAllocation!$H:$H,0)))
))</f>
        <v>0.13985600000000001</v>
      </c>
      <c r="Q58" s="819">
        <f>$Q$93</f>
        <v>116.97942160057376</v>
      </c>
      <c r="R58" s="820"/>
      <c r="S58" s="821">
        <f t="shared" si="21"/>
        <v>8.5893850173769954E-3</v>
      </c>
      <c r="T58" s="822">
        <f t="shared" si="19"/>
        <v>2.9145940165145176E-3</v>
      </c>
      <c r="U58" s="823">
        <f t="shared" si="20"/>
        <v>5.6747910008624778E-3</v>
      </c>
    </row>
    <row r="59" spans="1:27" ht="14.85" customHeight="1">
      <c r="A59" s="768" t="s">
        <v>629</v>
      </c>
      <c r="B59" s="768" t="str">
        <f t="shared" si="15"/>
        <v>RES_201202</v>
      </c>
      <c r="C59" s="768" t="str">
        <f>INDEX('AMMO vwFlags'!$C:$C,MATCH($A59&amp;K59,'AMMO vwFlags'!$K:$K,0))</f>
        <v>0</v>
      </c>
      <c r="D59" s="768" t="str">
        <f>INDEX('AMMO vwFlags'!$D:$D,MATCH($A59&amp;$K59,'AMMO vwFlags'!$K:$K,0))</f>
        <v>0</v>
      </c>
      <c r="E59" s="768">
        <f t="shared" si="16"/>
        <v>1</v>
      </c>
      <c r="F59" s="812" t="str">
        <f t="shared" si="17"/>
        <v>Residential</v>
      </c>
      <c r="G59" s="813" t="str">
        <f>INDEX('AMMO Measures'!B:B,MATCH($A59,'AMMO Measures'!$A:$A,0))</f>
        <v>Heat Pump Water Heaters</v>
      </c>
      <c r="H59" s="813" t="str">
        <f>INDEX('AMMO Measures'!C:C,MATCH($A59,'AMMO Measures'!$A:$A,0))</f>
        <v>HPWH (&gt;55 gallons) New Construction</v>
      </c>
      <c r="I59" s="813" t="str">
        <f>INDEX('AMMO Measures'!D:D,MATCH($A59,'AMMO Measures'!$A:$A,0))</f>
        <v>Tier 4</v>
      </c>
      <c r="J59" s="814">
        <f>VALUE(INDEX('AMMO Measures'!H:H,MATCH($A59,'AMMO Measures'!A:A,0)))</f>
        <v>13</v>
      </c>
      <c r="K59" s="815">
        <v>2026</v>
      </c>
      <c r="L59" s="816">
        <f>SUMIFS('AMMO Units'!F:F,'AMMO Units'!$A:$A,$K59,'AMMO Units'!$E:$E,$A59)</f>
        <v>5110.1434833599997</v>
      </c>
      <c r="M59" s="817">
        <f>SUMIFS('AMMO Units'!G:G,'AMMO Units'!$A:$A,$K59,'AMMO Units'!$E:$E,$A59)</f>
        <v>0</v>
      </c>
      <c r="N59" s="817">
        <f>SUMIFS('AMMO Units'!H:H,'AMMO Units'!$A:$A,$K59,'AMMO Units'!$E:$E,$A59)</f>
        <v>511.01434834000003</v>
      </c>
      <c r="O59" s="818"/>
      <c r="P59" s="2">
        <f>IF(Selection!$A$2="regional",1,IF($L59=0,0,
( INDEX(Allocation!$B:$B,MATCH(K59,Allocation!$A:$A,0)) * INDEX(UnitsFunderShareAllocation!$C:$C, MATCH($A59&amp;K59,UnitsFunderShareAllocation!$H:$H,0))
+ INDEX(Allocation!$C:$C,MATCH(K59,Allocation!$A:$A,0)) * INDEX(UnitsFunderShareAllocation!$D:$D, MATCH($A59&amp;K59,UnitsFunderShareAllocation!$H:$H,0))
+ INDEX(Allocation!$D:$D,MATCH(K59,Allocation!$A:$A,0)) * INDEX(UnitsFunderShareAllocation!$E:$E, MATCH($A59&amp;K59,UnitsFunderShareAllocation!$H:$H,0))
+ INDEX(Allocation!$E:$E,MATCH(K59,Allocation!$A:$A,0)) * INDEX(UnitsFunderShareAllocation!$F:$F, MATCH($A59&amp;K59,UnitsFunderShareAllocation!$H:$H,0)))
))</f>
        <v>0.13985600000000001</v>
      </c>
      <c r="Q59" s="819">
        <f>$Q$94</f>
        <v>106.28429870533223</v>
      </c>
      <c r="R59" s="820"/>
      <c r="S59" s="821">
        <f t="shared" si="21"/>
        <v>7.8040799859581825E-3</v>
      </c>
      <c r="T59" s="822">
        <f t="shared" si="19"/>
        <v>0</v>
      </c>
      <c r="U59" s="823">
        <f t="shared" si="20"/>
        <v>7.8040799859581825E-3</v>
      </c>
    </row>
    <row r="60" spans="1:27" ht="14.85" customHeight="1">
      <c r="A60" s="768" t="s">
        <v>51</v>
      </c>
      <c r="B60" s="768" t="str">
        <f t="shared" si="15"/>
        <v>RES_201202</v>
      </c>
      <c r="C60" s="768" t="str">
        <f>INDEX('AMMO vwFlags'!$C:$C,MATCH($A60&amp;K60,'AMMO vwFlags'!$K:$K,0))</f>
        <v>0</v>
      </c>
      <c r="D60" s="768" t="str">
        <f>INDEX('AMMO vwFlags'!$D:$D,MATCH($A60&amp;$K60,'AMMO vwFlags'!$K:$K,0))</f>
        <v>0</v>
      </c>
      <c r="E60" s="768">
        <f t="shared" si="16"/>
        <v>1</v>
      </c>
      <c r="F60" s="812" t="str">
        <f t="shared" si="17"/>
        <v>Residential</v>
      </c>
      <c r="G60" s="813" t="str">
        <f>INDEX('AMMO Measures'!B:B,MATCH($A60,'AMMO Measures'!$A:$A,0))</f>
        <v>Heat Pump Water Heaters</v>
      </c>
      <c r="H60" s="813" t="str">
        <f>INDEX('AMMO Measures'!C:C,MATCH($A60,'AMMO Measures'!$A:$A,0))</f>
        <v>HPWH (&lt;=55 gallons) Existing Construction</v>
      </c>
      <c r="I60" s="813" t="str">
        <f>INDEX('AMMO Measures'!D:D,MATCH($A60,'AMMO Measures'!$A:$A,0))</f>
        <v>Tier 1</v>
      </c>
      <c r="J60" s="814">
        <f>VALUE(INDEX('AMMO Measures'!H:H,MATCH($A60,'AMMO Measures'!A:A,0)))</f>
        <v>13</v>
      </c>
      <c r="K60" s="815">
        <v>2027</v>
      </c>
      <c r="L60" s="816">
        <f>SUMIFS('AMMO Units'!F:F,'AMMO Units'!$A:$A,$K60,'AMMO Units'!$E:$E,$A60)</f>
        <v>29799.121590719998</v>
      </c>
      <c r="M60" s="817">
        <f>SUMIFS('AMMO Units'!G:G,'AMMO Units'!$A:$A,$K60,'AMMO Units'!$E:$E,$A60)</f>
        <v>14124.37148924</v>
      </c>
      <c r="N60" s="817">
        <f>SUMIFS('AMMO Units'!H:H,'AMMO Units'!$A:$A,$K60,'AMMO Units'!$E:$E,$A60)</f>
        <v>1042.9692556800001</v>
      </c>
      <c r="O60" s="818"/>
      <c r="P60" s="2">
        <f>IF(Selection!$A$2="regional",1,IF($L60=0,0,
( INDEX(Allocation!$B:$B,MATCH(K60,Allocation!$A:$A,0)) * INDEX(UnitsFunderShareAllocation!$C:$C, MATCH($A60&amp;K60,UnitsFunderShareAllocation!$H:$H,0))
+ INDEX(Allocation!$C:$C,MATCH(K60,Allocation!$A:$A,0)) * INDEX(UnitsFunderShareAllocation!$D:$D, MATCH($A60&amp;K60,UnitsFunderShareAllocation!$H:$H,0))
+ INDEX(Allocation!$D:$D,MATCH(K60,Allocation!$A:$A,0)) * INDEX(UnitsFunderShareAllocation!$E:$E, MATCH($A60&amp;K60,UnitsFunderShareAllocation!$H:$H,0))
+ INDEX(Allocation!$E:$E,MATCH(K60,Allocation!$A:$A,0)) * INDEX(UnitsFunderShareAllocation!$F:$F, MATCH($A60&amp;K60,UnitsFunderShareAllocation!$H:$H,0)))
))</f>
        <v>0.13985600000000001</v>
      </c>
      <c r="Q60" s="819">
        <f>$R$87</f>
        <v>945.34768410387562</v>
      </c>
      <c r="R60" s="820"/>
      <c r="S60" s="821">
        <f t="shared" si="21"/>
        <v>0.43400960102552466</v>
      </c>
      <c r="T60" s="822">
        <f t="shared" ref="T60:T75" si="31">IFERROR((M60-N60/L60*M60)*P60*Q60/8760/1000,0)</f>
        <v>0.20571454819964827</v>
      </c>
      <c r="U60" s="823">
        <f t="shared" si="20"/>
        <v>0.22829505282587639</v>
      </c>
    </row>
    <row r="61" spans="1:27" ht="13.5" customHeight="1">
      <c r="A61" s="768" t="s">
        <v>53</v>
      </c>
      <c r="B61" s="768" t="str">
        <f t="shared" si="15"/>
        <v>RES_201202</v>
      </c>
      <c r="C61" s="768" t="str">
        <f>INDEX('AMMO vwFlags'!$C:$C,MATCH($A61&amp;K61,'AMMO vwFlags'!$K:$K,0))</f>
        <v>0</v>
      </c>
      <c r="D61" s="768" t="str">
        <f>INDEX('AMMO vwFlags'!$D:$D,MATCH($A61&amp;$K61,'AMMO vwFlags'!$K:$K,0))</f>
        <v>1</v>
      </c>
      <c r="E61" s="768">
        <f t="shared" si="16"/>
        <v>1</v>
      </c>
      <c r="F61" s="812" t="str">
        <f t="shared" si="17"/>
        <v>Residential</v>
      </c>
      <c r="G61" s="813" t="str">
        <f>INDEX('AMMO Measures'!B:B,MATCH($A61,'AMMO Measures'!$A:$A,0))</f>
        <v>Heat Pump Water Heaters</v>
      </c>
      <c r="H61" s="813" t="str">
        <f>INDEX('AMMO Measures'!C:C,MATCH($A61,'AMMO Measures'!$A:$A,0))</f>
        <v>HPWH (&gt;55 gallons) Existing Construction</v>
      </c>
      <c r="I61" s="813" t="str">
        <f>INDEX('AMMO Measures'!D:D,MATCH($A61,'AMMO Measures'!$A:$A,0))</f>
        <v>Tier 1</v>
      </c>
      <c r="J61" s="814">
        <f>VALUE(INDEX('AMMO Measures'!H:H,MATCH($A61,'AMMO Measures'!A:A,0)))</f>
        <v>13</v>
      </c>
      <c r="K61" s="815">
        <v>2027</v>
      </c>
      <c r="L61" s="816">
        <f>SUMIFS('AMMO Units'!F:F,'AMMO Units'!$A:$A,$K61,'AMMO Units'!$E:$E,$A61)</f>
        <v>9919.4533983099991</v>
      </c>
      <c r="M61" s="817">
        <f>SUMIFS('AMMO Units'!G:G,'AMMO Units'!$A:$A,$K61,'AMMO Units'!$E:$E,$A61)</f>
        <v>4680.6445899399996</v>
      </c>
      <c r="N61" s="817">
        <f>SUMIFS('AMMO Units'!H:H,'AMMO Units'!$A:$A,$K61,'AMMO Units'!$E:$E,$A61)</f>
        <v>9919.4533983099991</v>
      </c>
      <c r="O61" s="818"/>
      <c r="P61" s="2">
        <f>IF(Selection!$A$2="regional",1,IF($L61=0,0,
( INDEX(Allocation!$B:$B,MATCH(K61,Allocation!$A:$A,0)) * INDEX(UnitsFunderShareAllocation!$C:$C, MATCH($A61&amp;K61,UnitsFunderShareAllocation!$H:$H,0))
+ INDEX(Allocation!$C:$C,MATCH(K61,Allocation!$A:$A,0)) * INDEX(UnitsFunderShareAllocation!$D:$D, MATCH($A61&amp;K61,UnitsFunderShareAllocation!$H:$H,0))
+ INDEX(Allocation!$D:$D,MATCH(K61,Allocation!$A:$A,0)) * INDEX(UnitsFunderShareAllocation!$E:$E, MATCH($A61&amp;K61,UnitsFunderShareAllocation!$H:$H,0))
+ INDEX(Allocation!$E:$E,MATCH(K61,Allocation!$A:$A,0)) * INDEX(UnitsFunderShareAllocation!$F:$F, MATCH($A61&amp;K61,UnitsFunderShareAllocation!$H:$H,0)))
))</f>
        <v>0.13985600000000001</v>
      </c>
      <c r="Q61" s="819">
        <f>$R$87</f>
        <v>945.34768410387562</v>
      </c>
      <c r="R61" s="820"/>
      <c r="S61" s="821">
        <f>(L61-N61)*P61*Q61/8760000</f>
        <v>0</v>
      </c>
      <c r="T61" s="822">
        <f t="shared" si="31"/>
        <v>0</v>
      </c>
      <c r="U61" s="823">
        <f t="shared" si="20"/>
        <v>0</v>
      </c>
    </row>
    <row r="62" spans="1:27" ht="14.85" customHeight="1">
      <c r="A62" s="768" t="s">
        <v>52</v>
      </c>
      <c r="B62" s="768" t="str">
        <f t="shared" si="15"/>
        <v>RES_201202</v>
      </c>
      <c r="C62" s="768" t="str">
        <f>INDEX('AMMO vwFlags'!$C:$C,MATCH($A62&amp;K62,'AMMO vwFlags'!$K:$K,0))</f>
        <v>0</v>
      </c>
      <c r="D62" s="768" t="str">
        <f>INDEX('AMMO vwFlags'!$D:$D,MATCH($A62&amp;$K62,'AMMO vwFlags'!$K:$K,0))</f>
        <v>0</v>
      </c>
      <c r="E62" s="768">
        <f t="shared" si="16"/>
        <v>1</v>
      </c>
      <c r="F62" s="812" t="str">
        <f t="shared" si="17"/>
        <v>Residential</v>
      </c>
      <c r="G62" s="813" t="str">
        <f>INDEX('AMMO Measures'!B:B,MATCH($A62,'AMMO Measures'!$A:$A,0))</f>
        <v>Heat Pump Water Heaters</v>
      </c>
      <c r="H62" s="813" t="str">
        <f>INDEX('AMMO Measures'!C:C,MATCH($A62,'AMMO Measures'!$A:$A,0))</f>
        <v>HPWH (&lt;=55 gallons) Existing Construction</v>
      </c>
      <c r="I62" s="813" t="str">
        <f>INDEX('AMMO Measures'!D:D,MATCH($A62,'AMMO Measures'!$A:$A,0))</f>
        <v>Tier 2</v>
      </c>
      <c r="J62" s="814">
        <f>VALUE(INDEX('AMMO Measures'!H:H,MATCH($A62,'AMMO Measures'!A:A,0)))</f>
        <v>13</v>
      </c>
      <c r="K62" s="815">
        <v>2027</v>
      </c>
      <c r="L62" s="816">
        <f>SUMIFS('AMMO Units'!F:F,'AMMO Units'!$A:$A,$K62,'AMMO Units'!$E:$E,$A62)</f>
        <v>29620.326861180001</v>
      </c>
      <c r="M62" s="817">
        <f>SUMIFS('AMMO Units'!G:G,'AMMO Units'!$A:$A,$K62,'AMMO Units'!$E:$E,$A62)</f>
        <v>11965.42647896</v>
      </c>
      <c r="N62" s="817">
        <f>SUMIFS('AMMO Units'!H:H,'AMMO Units'!$A:$A,$K62,'AMMO Units'!$E:$E,$A62)</f>
        <v>1036.7114401399999</v>
      </c>
      <c r="O62" s="818"/>
      <c r="P62" s="2">
        <f>IF(Selection!$A$2="regional",1,IF($L62=0,0,
( INDEX(Allocation!$B:$B,MATCH(K62,Allocation!$A:$A,0)) * INDEX(UnitsFunderShareAllocation!$C:$C, MATCH($A62&amp;K62,UnitsFunderShareAllocation!$H:$H,0))
+ INDEX(Allocation!$C:$C,MATCH(K62,Allocation!$A:$A,0)) * INDEX(UnitsFunderShareAllocation!$D:$D, MATCH($A62&amp;K62,UnitsFunderShareAllocation!$H:$H,0))
+ INDEX(Allocation!$D:$D,MATCH(K62,Allocation!$A:$A,0)) * INDEX(UnitsFunderShareAllocation!$E:$E, MATCH($A62&amp;K62,UnitsFunderShareAllocation!$H:$H,0))
+ INDEX(Allocation!$E:$E,MATCH(K62,Allocation!$A:$A,0)) * INDEX(UnitsFunderShareAllocation!$F:$F, MATCH($A62&amp;K62,UnitsFunderShareAllocation!$H:$H,0)))
))</f>
        <v>0.13985600000000001</v>
      </c>
      <c r="Q62" s="819">
        <f>$R$88</f>
        <v>315.55636502231266</v>
      </c>
      <c r="R62" s="820"/>
      <c r="S62" s="821">
        <f t="shared" ref="S62:S75" si="32">(L62-N62)*P62*Q62/8760000</f>
        <v>0.14400285463330417</v>
      </c>
      <c r="T62" s="822">
        <f t="shared" si="31"/>
        <v>5.8171389463408607E-2</v>
      </c>
      <c r="U62" s="823">
        <f t="shared" si="20"/>
        <v>8.5831465169895566E-2</v>
      </c>
    </row>
    <row r="63" spans="1:27" ht="14.85" customHeight="1">
      <c r="A63" s="768" t="s">
        <v>54</v>
      </c>
      <c r="B63" s="768" t="str">
        <f t="shared" si="15"/>
        <v>RES_201202</v>
      </c>
      <c r="C63" s="768" t="str">
        <f>INDEX('AMMO vwFlags'!$C:$C,MATCH($A63&amp;K63,'AMMO vwFlags'!$K:$K,0))</f>
        <v>0</v>
      </c>
      <c r="D63" s="768" t="str">
        <f>INDEX('AMMO vwFlags'!$D:$D,MATCH($A63&amp;$K63,'AMMO vwFlags'!$K:$K,0))</f>
        <v>0</v>
      </c>
      <c r="E63" s="768">
        <f t="shared" si="16"/>
        <v>1</v>
      </c>
      <c r="F63" s="812" t="str">
        <f t="shared" si="17"/>
        <v>Residential</v>
      </c>
      <c r="G63" s="813" t="str">
        <f>INDEX('AMMO Measures'!B:B,MATCH($A63,'AMMO Measures'!$A:$A,0))</f>
        <v>Heat Pump Water Heaters</v>
      </c>
      <c r="H63" s="813" t="str">
        <f>INDEX('AMMO Measures'!C:C,MATCH($A63,'AMMO Measures'!$A:$A,0))</f>
        <v>HPWH (&gt;55 gallons) Existing Construction</v>
      </c>
      <c r="I63" s="813" t="str">
        <f>INDEX('AMMO Measures'!D:D,MATCH($A63,'AMMO Measures'!$A:$A,0))</f>
        <v>Tier 2</v>
      </c>
      <c r="J63" s="814">
        <f>VALUE(INDEX('AMMO Measures'!H:H,MATCH($A63,'AMMO Measures'!A:A,0)))</f>
        <v>13</v>
      </c>
      <c r="K63" s="815">
        <v>2027</v>
      </c>
      <c r="L63" s="816">
        <f>SUMIFS('AMMO Units'!F:F,'AMMO Units'!$A:$A,$K63,'AMMO Units'!$E:$E,$A63)</f>
        <v>9919.4533983099991</v>
      </c>
      <c r="M63" s="817">
        <f>SUMIFS('AMMO Units'!G:G,'AMMO Units'!$A:$A,$K63,'AMMO Units'!$E:$E,$A63)</f>
        <v>4473.50385061</v>
      </c>
      <c r="N63" s="817">
        <f>SUMIFS('AMMO Units'!H:H,'AMMO Units'!$A:$A,$K63,'AMMO Units'!$E:$E,$A63)</f>
        <v>347.18086893999998</v>
      </c>
      <c r="O63" s="818"/>
      <c r="P63" s="2">
        <f>IF(Selection!$A$2="regional",1,IF($L63=0,0,
( INDEX(Allocation!$B:$B,MATCH(K63,Allocation!$A:$A,0)) * INDEX(UnitsFunderShareAllocation!$C:$C, MATCH($A63&amp;K63,UnitsFunderShareAllocation!$H:$H,0))
+ INDEX(Allocation!$C:$C,MATCH(K63,Allocation!$A:$A,0)) * INDEX(UnitsFunderShareAllocation!$D:$D, MATCH($A63&amp;K63,UnitsFunderShareAllocation!$H:$H,0))
+ INDEX(Allocation!$D:$D,MATCH(K63,Allocation!$A:$A,0)) * INDEX(UnitsFunderShareAllocation!$E:$E, MATCH($A63&amp;K63,UnitsFunderShareAllocation!$H:$H,0))
+ INDEX(Allocation!$E:$E,MATCH(K63,Allocation!$A:$A,0)) * INDEX(UnitsFunderShareAllocation!$F:$F, MATCH($A63&amp;K63,UnitsFunderShareAllocation!$H:$H,0)))
))</f>
        <v>0.13985600000000001</v>
      </c>
      <c r="Q63" s="819">
        <f>$R$88</f>
        <v>315.55636502231266</v>
      </c>
      <c r="R63" s="820"/>
      <c r="S63" s="821">
        <f t="shared" si="32"/>
        <v>4.822464020918054E-2</v>
      </c>
      <c r="T63" s="822">
        <f t="shared" si="31"/>
        <v>2.1748488047416598E-2</v>
      </c>
      <c r="U63" s="823">
        <f t="shared" si="20"/>
        <v>2.6476152161763942E-2</v>
      </c>
    </row>
    <row r="64" spans="1:27" ht="14.85" customHeight="1">
      <c r="A64" s="768" t="s">
        <v>630</v>
      </c>
      <c r="B64" s="768" t="str">
        <f t="shared" ref="B64" si="33">LEFT(A64,10)</f>
        <v>RES_201202</v>
      </c>
      <c r="C64" s="768" t="str">
        <f>INDEX('AMMO vwFlags'!$C:$C,MATCH($A64&amp;K64,'AMMO vwFlags'!$K:$K,0))</f>
        <v>0</v>
      </c>
      <c r="D64" s="768" t="str">
        <f>INDEX('AMMO vwFlags'!$D:$D,MATCH($A64&amp;$K64,'AMMO vwFlags'!$K:$K,0))</f>
        <v>0</v>
      </c>
      <c r="E64" s="768">
        <f t="shared" si="16"/>
        <v>1</v>
      </c>
      <c r="F64" s="812" t="str">
        <f t="shared" ref="F64" si="34">IF(LEFT(A64,3)="Res","Residential",IF(LEFT(A64,3)="Ind","industrial",IF(LEFT(A64,3)="Com","Commercial",IF(LEFT(A64,3)="AGR","Agriculture",""))))</f>
        <v>Residential</v>
      </c>
      <c r="G64" s="813" t="str">
        <f>INDEX('AMMO Measures'!B:B,MATCH($A64,'AMMO Measures'!$A:$A,0))</f>
        <v>Heat Pump Water Heaters</v>
      </c>
      <c r="H64" s="813" t="str">
        <f>INDEX('AMMO Measures'!C:C,MATCH($A64,'AMMO Measures'!$A:$A,0))</f>
        <v>HPWH (&lt;=55 gallons) Existing Construction</v>
      </c>
      <c r="I64" s="813" t="str">
        <f>INDEX('AMMO Measures'!D:D,MATCH($A64,'AMMO Measures'!$A:$A,0))</f>
        <v>Tier 3</v>
      </c>
      <c r="J64" s="814">
        <f>VALUE(INDEX('AMMO Measures'!H:H,MATCH($A64,'AMMO Measures'!A:A,0)))</f>
        <v>13</v>
      </c>
      <c r="K64" s="815">
        <v>2027</v>
      </c>
      <c r="L64" s="816">
        <f>SUMIFS('AMMO Units'!F:F,'AMMO Units'!$A:$A,$K64,'AMMO Units'!$E:$E,$A64)</f>
        <v>29620.326861180001</v>
      </c>
      <c r="M64" s="817">
        <f>SUMIFS('AMMO Units'!G:G,'AMMO Units'!$A:$A,$K64,'AMMO Units'!$E:$E,$A64)</f>
        <v>5924.0653722400002</v>
      </c>
      <c r="N64" s="817">
        <f>SUMIFS('AMMO Units'!H:H,'AMMO Units'!$A:$A,$K64,'AMMO Units'!$E:$E,$A64)</f>
        <v>1036.7114401399999</v>
      </c>
      <c r="O64" s="818"/>
      <c r="P64" s="2">
        <f>IF(Selection!$A$2="regional",1,IF($L64=0,0,
( INDEX(Allocation!$B:$B,MATCH(K64,Allocation!$A:$A,0)) * INDEX(UnitsFunderShareAllocation!$C:$C, MATCH($A64&amp;K64,UnitsFunderShareAllocation!$H:$H,0))
+ INDEX(Allocation!$C:$C,MATCH(K64,Allocation!$A:$A,0)) * INDEX(UnitsFunderShareAllocation!$D:$D, MATCH($A64&amp;K64,UnitsFunderShareAllocation!$H:$H,0))
+ INDEX(Allocation!$D:$D,MATCH(K64,Allocation!$A:$A,0)) * INDEX(UnitsFunderShareAllocation!$E:$E, MATCH($A64&amp;K64,UnitsFunderShareAllocation!$H:$H,0))
+ INDEX(Allocation!$E:$E,MATCH(K64,Allocation!$A:$A,0)) * INDEX(UnitsFunderShareAllocation!$F:$F, MATCH($A64&amp;K64,UnitsFunderShareAllocation!$H:$H,0)))
))</f>
        <v>0.13985600000000001</v>
      </c>
      <c r="Q64" s="819">
        <f>$R$89</f>
        <v>219.37594220310507</v>
      </c>
      <c r="R64" s="820"/>
      <c r="S64" s="821">
        <f t="shared" ref="S64" si="35">(L64-N64)*P64*Q64/8760000</f>
        <v>0.10011131264262131</v>
      </c>
      <c r="T64" s="822">
        <f t="shared" ref="T64" si="36">IFERROR((M64-N64/L64*M64)*P64*Q64/8760/1000,0)</f>
        <v>2.0022262528537785E-2</v>
      </c>
      <c r="U64" s="823">
        <f t="shared" ref="U64" si="37">S64-T64</f>
        <v>8.0089050114083529E-2</v>
      </c>
    </row>
    <row r="65" spans="1:27" ht="14.85" customHeight="1">
      <c r="A65" s="768" t="s">
        <v>622</v>
      </c>
      <c r="B65" s="768" t="str">
        <f t="shared" si="15"/>
        <v>RES_201202</v>
      </c>
      <c r="C65" s="768" t="str">
        <f>INDEX('AMMO vwFlags'!$C:$C,MATCH($A65&amp;K65,'AMMO vwFlags'!$K:$K,0))</f>
        <v>0</v>
      </c>
      <c r="D65" s="768" t="str">
        <f>INDEX('AMMO vwFlags'!$D:$D,MATCH($A65&amp;$K65,'AMMO vwFlags'!$K:$K,0))</f>
        <v>0</v>
      </c>
      <c r="E65" s="768">
        <f t="shared" si="16"/>
        <v>1</v>
      </c>
      <c r="F65" s="812" t="str">
        <f t="shared" si="17"/>
        <v>Residential</v>
      </c>
      <c r="G65" s="813" t="str">
        <f>INDEX('AMMO Measures'!B:B,MATCH($A65,'AMMO Measures'!$A:$A,0))</f>
        <v>Heat Pump Water Heaters</v>
      </c>
      <c r="H65" s="813" t="str">
        <f>INDEX('AMMO Measures'!C:C,MATCH($A65,'AMMO Measures'!$A:$A,0))</f>
        <v>HPWH (&gt;55 gallons) Existing Construction</v>
      </c>
      <c r="I65" s="813" t="str">
        <f>INDEX('AMMO Measures'!D:D,MATCH($A65,'AMMO Measures'!$A:$A,0))</f>
        <v>Tier 3</v>
      </c>
      <c r="J65" s="814">
        <f>VALUE(INDEX('AMMO Measures'!H:H,MATCH($A65,'AMMO Measures'!A:A,0)))</f>
        <v>13</v>
      </c>
      <c r="K65" s="815">
        <v>2027</v>
      </c>
      <c r="L65" s="816">
        <f>SUMIFS('AMMO Units'!F:F,'AMMO Units'!$A:$A,$K65,'AMMO Units'!$E:$E,$A65)</f>
        <v>9919.4533983099991</v>
      </c>
      <c r="M65" s="817">
        <f>SUMIFS('AMMO Units'!G:G,'AMMO Units'!$A:$A,$K65,'AMMO Units'!$E:$E,$A65)</f>
        <v>4473.50385061</v>
      </c>
      <c r="N65" s="817">
        <f>SUMIFS('AMMO Units'!H:H,'AMMO Units'!$A:$A,$K65,'AMMO Units'!$E:$E,$A65)</f>
        <v>347.18086893999998</v>
      </c>
      <c r="O65" s="818"/>
      <c r="P65" s="2">
        <f>IF(Selection!$A$2="regional",1,IF($L65=0,0,
( INDEX(Allocation!$B:$B,MATCH(K65,Allocation!$A:$A,0)) * INDEX(UnitsFunderShareAllocation!$C:$C, MATCH($A65&amp;K65,UnitsFunderShareAllocation!$H:$H,0))
+ INDEX(Allocation!$C:$C,MATCH(K65,Allocation!$A:$A,0)) * INDEX(UnitsFunderShareAllocation!$D:$D, MATCH($A65&amp;K65,UnitsFunderShareAllocation!$H:$H,0))
+ INDEX(Allocation!$D:$D,MATCH(K65,Allocation!$A:$A,0)) * INDEX(UnitsFunderShareAllocation!$E:$E, MATCH($A65&amp;K65,UnitsFunderShareAllocation!$H:$H,0))
+ INDEX(Allocation!$E:$E,MATCH(K65,Allocation!$A:$A,0)) * INDEX(UnitsFunderShareAllocation!$F:$F, MATCH($A65&amp;K65,UnitsFunderShareAllocation!$H:$H,0)))
))</f>
        <v>0.13985600000000001</v>
      </c>
      <c r="Q65" s="819">
        <f>$R$89</f>
        <v>219.37594220310507</v>
      </c>
      <c r="R65" s="820"/>
      <c r="S65" s="821">
        <f t="shared" si="32"/>
        <v>3.3525946727604984E-2</v>
      </c>
      <c r="T65" s="822">
        <f t="shared" si="31"/>
        <v>1.5119628648776031E-2</v>
      </c>
      <c r="U65" s="823">
        <f t="shared" si="20"/>
        <v>1.8406318078828955E-2</v>
      </c>
    </row>
    <row r="66" spans="1:27" ht="15" customHeight="1">
      <c r="A66" s="768" t="s">
        <v>631</v>
      </c>
      <c r="B66" s="768" t="str">
        <f t="shared" ref="B66" si="38">LEFT(A66,10)</f>
        <v>RES_201202</v>
      </c>
      <c r="C66" s="768" t="str">
        <f>INDEX('AMMO vwFlags'!$C:$C,MATCH($A66&amp;K66,'AMMO vwFlags'!$K:$K,0))</f>
        <v>0</v>
      </c>
      <c r="D66" s="768" t="str">
        <f>INDEX('AMMO vwFlags'!$D:$D,MATCH($A66&amp;$K66,'AMMO vwFlags'!$K:$K,0))</f>
        <v>0</v>
      </c>
      <c r="E66" s="768">
        <f t="shared" si="16"/>
        <v>1</v>
      </c>
      <c r="F66" s="812" t="str">
        <f t="shared" ref="F66" si="39">IF(LEFT(A66,3)="Res","Residential",IF(LEFT(A66,3)="Ind","industrial",IF(LEFT(A66,3)="Com","Commercial",IF(LEFT(A66,3)="AGR","Agriculture",""))))</f>
        <v>Residential</v>
      </c>
      <c r="G66" s="813" t="str">
        <f>INDEX('AMMO Measures'!B:B,MATCH($A66,'AMMO Measures'!$A:$A,0))</f>
        <v>Heat Pump Water Heaters</v>
      </c>
      <c r="H66" s="813" t="str">
        <f>INDEX('AMMO Measures'!C:C,MATCH($A66,'AMMO Measures'!$A:$A,0))</f>
        <v>HPWH (&lt;=55 gallons) Existing Construction</v>
      </c>
      <c r="I66" s="813" t="str">
        <f>INDEX('AMMO Measures'!D:D,MATCH($A66,'AMMO Measures'!$A:$A,0))</f>
        <v>Tier 4</v>
      </c>
      <c r="J66" s="814">
        <f>VALUE(INDEX('AMMO Measures'!H:H,MATCH($A66,'AMMO Measures'!A:A,0)))</f>
        <v>13</v>
      </c>
      <c r="K66" s="815">
        <v>2027</v>
      </c>
      <c r="L66" s="816">
        <f>SUMIFS('AMMO Units'!F:F,'AMMO Units'!$A:$A,$K66,'AMMO Units'!$E:$E,$A66)</f>
        <v>29799.121590719998</v>
      </c>
      <c r="M66" s="817">
        <f>SUMIFS('AMMO Units'!G:G,'AMMO Units'!$A:$A,$K66,'AMMO Units'!$E:$E,$A66)</f>
        <v>14061.16765288</v>
      </c>
      <c r="N66" s="817">
        <f>SUMIFS('AMMO Units'!H:H,'AMMO Units'!$A:$A,$K66,'AMMO Units'!$E:$E,$A66)</f>
        <v>1042.9692556800001</v>
      </c>
      <c r="O66" s="818"/>
      <c r="P66" s="2">
        <f>IF(Selection!$A$2="regional",1,IF($L66=0,0,
( INDEX(Allocation!$B:$B,MATCH(K66,Allocation!$A:$A,0)) * INDEX(UnitsFunderShareAllocation!$C:$C, MATCH($A66&amp;K66,UnitsFunderShareAllocation!$H:$H,0))
+ INDEX(Allocation!$C:$C,MATCH(K66,Allocation!$A:$A,0)) * INDEX(UnitsFunderShareAllocation!$D:$D, MATCH($A66&amp;K66,UnitsFunderShareAllocation!$H:$H,0))
+ INDEX(Allocation!$D:$D,MATCH(K66,Allocation!$A:$A,0)) * INDEX(UnitsFunderShareAllocation!$E:$E, MATCH($A66&amp;K66,UnitsFunderShareAllocation!$H:$H,0))
+ INDEX(Allocation!$E:$E,MATCH(K66,Allocation!$A:$A,0)) * INDEX(UnitsFunderShareAllocation!$F:$F, MATCH($A66&amp;K66,UnitsFunderShareAllocation!$H:$H,0)))
))</f>
        <v>0.13985600000000001</v>
      </c>
      <c r="Q66" s="819">
        <f>$R$90</f>
        <v>199.31897295142858</v>
      </c>
      <c r="R66" s="820"/>
      <c r="S66" s="821">
        <f t="shared" ref="S66" si="40">(L66-N66)*P66*Q66/8760000</f>
        <v>9.1507441528741795E-2</v>
      </c>
      <c r="T66" s="822">
        <f>IFERROR((M66-N66/L66*M66)*P66*Q66/8760/1000,0)</f>
        <v>4.3179174691594095E-2</v>
      </c>
      <c r="U66" s="823">
        <f t="shared" ref="U66" si="41">S66-T66</f>
        <v>4.83282668371477E-2</v>
      </c>
    </row>
    <row r="67" spans="1:27" ht="14.85" customHeight="1">
      <c r="A67" s="768" t="s">
        <v>623</v>
      </c>
      <c r="B67" s="768" t="str">
        <f t="shared" si="15"/>
        <v>RES_201202</v>
      </c>
      <c r="C67" s="768" t="str">
        <f>INDEX('AMMO vwFlags'!$C:$C,MATCH($A67&amp;K67,'AMMO vwFlags'!$K:$K,0))</f>
        <v>0</v>
      </c>
      <c r="D67" s="768" t="str">
        <f>INDEX('AMMO vwFlags'!$D:$D,MATCH($A67&amp;$K67,'AMMO vwFlags'!$K:$K,0))</f>
        <v>0</v>
      </c>
      <c r="E67" s="768">
        <f t="shared" si="16"/>
        <v>1</v>
      </c>
      <c r="F67" s="812" t="str">
        <f t="shared" si="17"/>
        <v>Residential</v>
      </c>
      <c r="G67" s="813" t="str">
        <f>INDEX('AMMO Measures'!B:B,MATCH($A67,'AMMO Measures'!$A:$A,0))</f>
        <v>Heat Pump Water Heaters</v>
      </c>
      <c r="H67" s="813" t="str">
        <f>INDEX('AMMO Measures'!C:C,MATCH($A67,'AMMO Measures'!$A:$A,0))</f>
        <v>HPWH (&gt;55 gallons) Existing Construction</v>
      </c>
      <c r="I67" s="813" t="str">
        <f>INDEX('AMMO Measures'!D:D,MATCH($A67,'AMMO Measures'!$A:$A,0))</f>
        <v>Tier 4</v>
      </c>
      <c r="J67" s="814">
        <f>VALUE(INDEX('AMMO Measures'!H:H,MATCH($A67,'AMMO Measures'!A:A,0)))</f>
        <v>13</v>
      </c>
      <c r="K67" s="815">
        <v>2027</v>
      </c>
      <c r="L67" s="816">
        <f>SUMIFS('AMMO Units'!F:F,'AMMO Units'!$A:$A,$K67,'AMMO Units'!$E:$E,$A67)</f>
        <v>9919.4533983099991</v>
      </c>
      <c r="M67" s="817">
        <f>SUMIFS('AMMO Units'!G:G,'AMMO Units'!$A:$A,$K67,'AMMO Units'!$E:$E,$A67)</f>
        <v>8266.2111652599997</v>
      </c>
      <c r="N67" s="817">
        <f>SUMIFS('AMMO Units'!H:H,'AMMO Units'!$A:$A,$K67,'AMMO Units'!$E:$E,$A67)</f>
        <v>347.18086893999998</v>
      </c>
      <c r="O67" s="818"/>
      <c r="P67" s="2">
        <f>IF(Selection!$A$2="regional",1,IF($L67=0,0,
( INDEX(Allocation!$B:$B,MATCH(K67,Allocation!$A:$A,0)) * INDEX(UnitsFunderShareAllocation!$C:$C, MATCH($A67&amp;K67,UnitsFunderShareAllocation!$H:$H,0))
+ INDEX(Allocation!$C:$C,MATCH(K67,Allocation!$A:$A,0)) * INDEX(UnitsFunderShareAllocation!$D:$D, MATCH($A67&amp;K67,UnitsFunderShareAllocation!$H:$H,0))
+ INDEX(Allocation!$D:$D,MATCH(K67,Allocation!$A:$A,0)) * INDEX(UnitsFunderShareAllocation!$E:$E, MATCH($A67&amp;K67,UnitsFunderShareAllocation!$H:$H,0))
+ INDEX(Allocation!$E:$E,MATCH(K67,Allocation!$A:$A,0)) * INDEX(UnitsFunderShareAllocation!$F:$F, MATCH($A67&amp;K67,UnitsFunderShareAllocation!$H:$H,0)))
))</f>
        <v>0.13985600000000001</v>
      </c>
      <c r="Q67" s="819">
        <f>$R$90</f>
        <v>199.31897295142858</v>
      </c>
      <c r="R67" s="820"/>
      <c r="S67" s="821">
        <f t="shared" si="32"/>
        <v>3.046075700855019E-2</v>
      </c>
      <c r="T67" s="822">
        <f t="shared" si="31"/>
        <v>2.5383964173796941E-2</v>
      </c>
      <c r="U67" s="823">
        <f t="shared" si="20"/>
        <v>5.0767928347532493E-3</v>
      </c>
    </row>
    <row r="68" spans="1:27" ht="14.85" customHeight="1">
      <c r="A68" s="768" t="s">
        <v>612</v>
      </c>
      <c r="B68" s="768" t="str">
        <f t="shared" si="15"/>
        <v>RES_201202</v>
      </c>
      <c r="C68" s="768" t="str">
        <f>INDEX('AMMO vwFlags'!$C:$C,MATCH($A68&amp;K68,'AMMO vwFlags'!$K:$K,0))</f>
        <v>0</v>
      </c>
      <c r="D68" s="768" t="str">
        <f>INDEX('AMMO vwFlags'!$D:$D,MATCH($A68&amp;$K68,'AMMO vwFlags'!$K:$K,0))</f>
        <v>0</v>
      </c>
      <c r="E68" s="768">
        <f t="shared" si="16"/>
        <v>1</v>
      </c>
      <c r="F68" s="812" t="str">
        <f t="shared" si="17"/>
        <v>Residential</v>
      </c>
      <c r="G68" s="813" t="str">
        <f>INDEX('AMMO Measures'!B:B,MATCH($A68,'AMMO Measures'!$A:$A,0))</f>
        <v>Heat Pump Water Heaters</v>
      </c>
      <c r="H68" s="813" t="str">
        <f>INDEX('AMMO Measures'!C:C,MATCH($A68,'AMMO Measures'!$A:$A,0))</f>
        <v>HPWH (&lt;=55 gallons) New Construction</v>
      </c>
      <c r="I68" s="813" t="str">
        <f>INDEX('AMMO Measures'!D:D,MATCH($A68,'AMMO Measures'!$A:$A,0))</f>
        <v>Tier 1</v>
      </c>
      <c r="J68" s="814">
        <f>VALUE(INDEX('AMMO Measures'!H:H,MATCH($A68,'AMMO Measures'!A:A,0)))</f>
        <v>13</v>
      </c>
      <c r="K68" s="815">
        <v>2027</v>
      </c>
      <c r="L68" s="816">
        <f>SUMIFS('AMMO Units'!F:F,'AMMO Units'!$A:$A,$K68,'AMMO Units'!$E:$E,$A68)</f>
        <v>10285.729101069999</v>
      </c>
      <c r="M68" s="817">
        <f>SUMIFS('AMMO Units'!G:G,'AMMO Units'!$A:$A,$K68,'AMMO Units'!$E:$E,$A68)</f>
        <v>3250</v>
      </c>
      <c r="N68" s="817">
        <f>SUMIFS('AMMO Units'!H:H,'AMMO Units'!$A:$A,$K68,'AMMO Units'!$E:$E,$A68)</f>
        <v>1028.5729101100001</v>
      </c>
      <c r="O68" s="818"/>
      <c r="P68" s="2">
        <f>IF(Selection!$A$2="regional",1,IF($L68=0,0,
( INDEX(Allocation!$B:$B,MATCH(K68,Allocation!$A:$A,0)) * INDEX(UnitsFunderShareAllocation!$C:$C, MATCH($A68&amp;K68,UnitsFunderShareAllocation!$H:$H,0))
+ INDEX(Allocation!$C:$C,MATCH(K68,Allocation!$A:$A,0)) * INDEX(UnitsFunderShareAllocation!$D:$D, MATCH($A68&amp;K68,UnitsFunderShareAllocation!$H:$H,0))
+ INDEX(Allocation!$D:$D,MATCH(K68,Allocation!$A:$A,0)) * INDEX(UnitsFunderShareAllocation!$E:$E, MATCH($A68&amp;K68,UnitsFunderShareAllocation!$H:$H,0))
+ INDEX(Allocation!$E:$E,MATCH(K68,Allocation!$A:$A,0)) * INDEX(UnitsFunderShareAllocation!$F:$F, MATCH($A68&amp;K68,UnitsFunderShareAllocation!$H:$H,0)))
))</f>
        <v>0.13985600000000001</v>
      </c>
      <c r="Q68" s="819">
        <f>$S$91</f>
        <v>541.28350748111939</v>
      </c>
      <c r="R68" s="820"/>
      <c r="S68" s="821">
        <f t="shared" si="32"/>
        <v>7.9998046656170857E-2</v>
      </c>
      <c r="T68" s="822">
        <f t="shared" si="31"/>
        <v>2.5277124166677583E-2</v>
      </c>
      <c r="U68" s="823">
        <f t="shared" si="20"/>
        <v>5.4720922489493271E-2</v>
      </c>
      <c r="Z68" s="86"/>
      <c r="AA68" s="86"/>
    </row>
    <row r="69" spans="1:27" ht="14.85" customHeight="1">
      <c r="A69" s="768" t="s">
        <v>613</v>
      </c>
      <c r="B69" s="768" t="str">
        <f t="shared" si="15"/>
        <v>RES_201202</v>
      </c>
      <c r="C69" s="768" t="str">
        <f>INDEX('AMMO vwFlags'!$C:$C,MATCH($A69&amp;K69,'AMMO vwFlags'!$K:$K,0))</f>
        <v>0</v>
      </c>
      <c r="D69" s="768" t="str">
        <f>INDEX('AMMO vwFlags'!$D:$D,MATCH($A69&amp;$K69,'AMMO vwFlags'!$K:$K,0))</f>
        <v>0</v>
      </c>
      <c r="E69" s="768">
        <f t="shared" si="16"/>
        <v>1</v>
      </c>
      <c r="F69" s="812" t="str">
        <f t="shared" si="17"/>
        <v>Residential</v>
      </c>
      <c r="G69" s="813" t="str">
        <f>INDEX('AMMO Measures'!B:B,MATCH($A69,'AMMO Measures'!$A:$A,0))</f>
        <v>Heat Pump Water Heaters</v>
      </c>
      <c r="H69" s="813" t="str">
        <f>INDEX('AMMO Measures'!C:C,MATCH($A69,'AMMO Measures'!$A:$A,0))</f>
        <v>HPWH (&lt;=55 gallons) New Construction</v>
      </c>
      <c r="I69" s="813" t="str">
        <f>INDEX('AMMO Measures'!D:D,MATCH($A69,'AMMO Measures'!$A:$A,0))</f>
        <v>Tier 2</v>
      </c>
      <c r="J69" s="814">
        <f>VALUE(INDEX('AMMO Measures'!H:H,MATCH($A69,'AMMO Measures'!A:A,0)))</f>
        <v>13</v>
      </c>
      <c r="K69" s="815">
        <v>2027</v>
      </c>
      <c r="L69" s="816">
        <f>SUMIFS('AMMO Units'!F:F,'AMMO Units'!$A:$A,$K69,'AMMO Units'!$E:$E,$A69)</f>
        <v>10224.01472646</v>
      </c>
      <c r="M69" s="817">
        <f>SUMIFS('AMMO Units'!G:G,'AMMO Units'!$A:$A,$K69,'AMMO Units'!$E:$E,$A69)</f>
        <v>3250</v>
      </c>
      <c r="N69" s="817">
        <f>SUMIFS('AMMO Units'!H:H,'AMMO Units'!$A:$A,$K69,'AMMO Units'!$E:$E,$A69)</f>
        <v>1022.40147265</v>
      </c>
      <c r="O69" s="818"/>
      <c r="P69" s="2">
        <f>IF(Selection!$A$2="regional",1,IF($L69=0,0,
( INDEX(Allocation!$B:$B,MATCH(K69,Allocation!$A:$A,0)) * INDEX(UnitsFunderShareAllocation!$C:$C, MATCH($A69&amp;K69,UnitsFunderShareAllocation!$H:$H,0))
+ INDEX(Allocation!$C:$C,MATCH(K69,Allocation!$A:$A,0)) * INDEX(UnitsFunderShareAllocation!$D:$D, MATCH($A69&amp;K69,UnitsFunderShareAllocation!$H:$H,0))
+ INDEX(Allocation!$D:$D,MATCH(K69,Allocation!$A:$A,0)) * INDEX(UnitsFunderShareAllocation!$E:$E, MATCH($A69&amp;K69,UnitsFunderShareAllocation!$H:$H,0))
+ INDEX(Allocation!$E:$E,MATCH(K69,Allocation!$A:$A,0)) * INDEX(UnitsFunderShareAllocation!$F:$F, MATCH($A69&amp;K69,UnitsFunderShareAllocation!$H:$H,0)))
))</f>
        <v>0.13985600000000001</v>
      </c>
      <c r="Q69" s="819">
        <f>$S$92</f>
        <v>180.68003861371025</v>
      </c>
      <c r="R69" s="820"/>
      <c r="S69" s="821">
        <f t="shared" si="32"/>
        <v>2.6543069684050416E-2</v>
      </c>
      <c r="T69" s="822">
        <f t="shared" si="31"/>
        <v>8.4374855456641681E-3</v>
      </c>
      <c r="U69" s="823">
        <f t="shared" si="20"/>
        <v>1.8105584138386248E-2</v>
      </c>
    </row>
    <row r="70" spans="1:27" ht="14.85" customHeight="1">
      <c r="A70" s="768" t="s">
        <v>624</v>
      </c>
      <c r="B70" s="768" t="str">
        <f t="shared" si="15"/>
        <v>RES_201202</v>
      </c>
      <c r="C70" s="768" t="str">
        <f>INDEX('AMMO vwFlags'!$C:$C,MATCH($A70&amp;K70,'AMMO vwFlags'!$K:$K,0))</f>
        <v>0</v>
      </c>
      <c r="D70" s="768" t="str">
        <f>INDEX('AMMO vwFlags'!$D:$D,MATCH($A70&amp;$K70,'AMMO vwFlags'!$K:$K,0))</f>
        <v>0</v>
      </c>
      <c r="E70" s="768">
        <f t="shared" si="16"/>
        <v>1</v>
      </c>
      <c r="F70" s="812" t="str">
        <f t="shared" si="17"/>
        <v>Residential</v>
      </c>
      <c r="G70" s="813" t="str">
        <f>INDEX('AMMO Measures'!B:B,MATCH($A70,'AMMO Measures'!$A:$A,0))</f>
        <v>Heat Pump Water Heaters</v>
      </c>
      <c r="H70" s="813" t="str">
        <f>INDEX('AMMO Measures'!C:C,MATCH($A70,'AMMO Measures'!$A:$A,0))</f>
        <v>HPWH (&lt;=55 gallons) New Construction</v>
      </c>
      <c r="I70" s="813" t="str">
        <f>INDEX('AMMO Measures'!D:D,MATCH($A70,'AMMO Measures'!$A:$A,0))</f>
        <v>Tier 3</v>
      </c>
      <c r="J70" s="814">
        <f>VALUE(INDEX('AMMO Measures'!H:H,MATCH($A70,'AMMO Measures'!A:A,0)))</f>
        <v>13</v>
      </c>
      <c r="K70" s="815">
        <v>2027</v>
      </c>
      <c r="L70" s="816">
        <f>SUMIFS('AMMO Units'!F:F,'AMMO Units'!$A:$A,$K70,'AMMO Units'!$E:$E,$A70)</f>
        <v>10224.01472646</v>
      </c>
      <c r="M70" s="817">
        <f>SUMIFS('AMMO Units'!G:G,'AMMO Units'!$A:$A,$K70,'AMMO Units'!$E:$E,$A70)</f>
        <v>3250</v>
      </c>
      <c r="N70" s="817">
        <f>SUMIFS('AMMO Units'!H:H,'AMMO Units'!$A:$A,$K70,'AMMO Units'!$E:$E,$A70)</f>
        <v>1022.40147265</v>
      </c>
      <c r="O70" s="818"/>
      <c r="P70" s="2">
        <f>IF(Selection!$A$2="regional",1,IF($L70=0,0,
( INDEX(Allocation!$B:$B,MATCH(K70,Allocation!$A:$A,0)) * INDEX(UnitsFunderShareAllocation!$C:$C, MATCH($A70&amp;K70,UnitsFunderShareAllocation!$H:$H,0))
+ INDEX(Allocation!$C:$C,MATCH(K70,Allocation!$A:$A,0)) * INDEX(UnitsFunderShareAllocation!$D:$D, MATCH($A70&amp;K70,UnitsFunderShareAllocation!$H:$H,0))
+ INDEX(Allocation!$D:$D,MATCH(K70,Allocation!$A:$A,0)) * INDEX(UnitsFunderShareAllocation!$E:$E, MATCH($A70&amp;K70,UnitsFunderShareAllocation!$H:$H,0))
+ INDEX(Allocation!$E:$E,MATCH(K70,Allocation!$A:$A,0)) * INDEX(UnitsFunderShareAllocation!$F:$F, MATCH($A70&amp;K70,UnitsFunderShareAllocation!$H:$H,0)))
))</f>
        <v>0.13985600000000001</v>
      </c>
      <c r="Q70" s="819">
        <f>$S$93</f>
        <v>125.60942545200574</v>
      </c>
      <c r="R70" s="820"/>
      <c r="S70" s="821">
        <f t="shared" si="32"/>
        <v>1.8452839385729083E-2</v>
      </c>
      <c r="T70" s="822">
        <f t="shared" si="31"/>
        <v>5.8657708941294096E-3</v>
      </c>
      <c r="U70" s="823">
        <f t="shared" si="20"/>
        <v>1.2587068491599674E-2</v>
      </c>
    </row>
    <row r="71" spans="1:27" ht="14.85" customHeight="1">
      <c r="A71" s="768" t="s">
        <v>625</v>
      </c>
      <c r="B71" s="768" t="str">
        <f t="shared" si="15"/>
        <v>RES_201202</v>
      </c>
      <c r="C71" s="768" t="str">
        <f>INDEX('AMMO vwFlags'!$C:$C,MATCH($A71&amp;K71,'AMMO vwFlags'!$K:$K,0))</f>
        <v>0</v>
      </c>
      <c r="D71" s="768" t="str">
        <f>INDEX('AMMO vwFlags'!$D:$D,MATCH($A71&amp;$K71,'AMMO vwFlags'!$K:$K,0))</f>
        <v>0</v>
      </c>
      <c r="E71" s="768">
        <f t="shared" si="16"/>
        <v>1</v>
      </c>
      <c r="F71" s="812" t="str">
        <f t="shared" si="17"/>
        <v>Residential</v>
      </c>
      <c r="G71" s="813" t="str">
        <f>INDEX('AMMO Measures'!B:B,MATCH($A71,'AMMO Measures'!$A:$A,0))</f>
        <v>Heat Pump Water Heaters</v>
      </c>
      <c r="H71" s="813" t="str">
        <f>INDEX('AMMO Measures'!C:C,MATCH($A71,'AMMO Measures'!$A:$A,0))</f>
        <v>HPWH (&lt;=55 gallons) New Construction</v>
      </c>
      <c r="I71" s="813" t="str">
        <f>INDEX('AMMO Measures'!D:D,MATCH($A71,'AMMO Measures'!$A:$A,0))</f>
        <v>Tier 4</v>
      </c>
      <c r="J71" s="814">
        <f>VALUE(INDEX('AMMO Measures'!H:H,MATCH($A71,'AMMO Measures'!A:A,0)))</f>
        <v>13</v>
      </c>
      <c r="K71" s="815">
        <v>2027</v>
      </c>
      <c r="L71" s="816">
        <f>SUMIFS('AMMO Units'!F:F,'AMMO Units'!$A:$A,$K71,'AMMO Units'!$E:$E,$A71)</f>
        <v>10285.729101069999</v>
      </c>
      <c r="M71" s="817">
        <f>SUMIFS('AMMO Units'!G:G,'AMMO Units'!$A:$A,$K71,'AMMO Units'!$E:$E,$A71)</f>
        <v>0</v>
      </c>
      <c r="N71" s="817">
        <f>SUMIFS('AMMO Units'!H:H,'AMMO Units'!$A:$A,$K71,'AMMO Units'!$E:$E,$A71)</f>
        <v>1028.5729101100001</v>
      </c>
      <c r="O71" s="818"/>
      <c r="P71" s="2">
        <f>IF(Selection!$A$2="regional",1,IF($L71=0,0,
( INDEX(Allocation!$B:$B,MATCH(K71,Allocation!$A:$A,0)) * INDEX(UnitsFunderShareAllocation!$C:$C, MATCH($A71&amp;K71,UnitsFunderShareAllocation!$H:$H,0))
+ INDEX(Allocation!$C:$C,MATCH(K71,Allocation!$A:$A,0)) * INDEX(UnitsFunderShareAllocation!$D:$D, MATCH($A71&amp;K71,UnitsFunderShareAllocation!$H:$H,0))
+ INDEX(Allocation!$D:$D,MATCH(K71,Allocation!$A:$A,0)) * INDEX(UnitsFunderShareAllocation!$E:$E, MATCH($A71&amp;K71,UnitsFunderShareAllocation!$H:$H,0))
+ INDEX(Allocation!$E:$E,MATCH(K71,Allocation!$A:$A,0)) * INDEX(UnitsFunderShareAllocation!$F:$F, MATCH($A71&amp;K71,UnitsFunderShareAllocation!$H:$H,0)))
))</f>
        <v>0.13985600000000001</v>
      </c>
      <c r="Q71" s="819">
        <f>$S$94</f>
        <v>114.12528385146896</v>
      </c>
      <c r="R71" s="820"/>
      <c r="S71" s="821">
        <f t="shared" si="32"/>
        <v>1.6866946167793623E-2</v>
      </c>
      <c r="T71" s="822">
        <f t="shared" si="31"/>
        <v>0</v>
      </c>
      <c r="U71" s="823">
        <f t="shared" si="20"/>
        <v>1.6866946167793623E-2</v>
      </c>
    </row>
    <row r="72" spans="1:27" s="86" customFormat="1" ht="13.35" customHeight="1">
      <c r="A72" s="768" t="s">
        <v>626</v>
      </c>
      <c r="B72" s="768" t="str">
        <f t="shared" si="15"/>
        <v>RES_201202</v>
      </c>
      <c r="C72" s="768" t="str">
        <f>INDEX('AMMO vwFlags'!$C:$C,MATCH($A72&amp;K72,'AMMO vwFlags'!$K:$K,0))</f>
        <v>0</v>
      </c>
      <c r="D72" s="768" t="str">
        <f>INDEX('AMMO vwFlags'!$D:$D,MATCH($A72&amp;$K72,'AMMO vwFlags'!$K:$K,0))</f>
        <v>1</v>
      </c>
      <c r="E72" s="768">
        <f t="shared" si="16"/>
        <v>1</v>
      </c>
      <c r="F72" s="812" t="str">
        <f t="shared" si="17"/>
        <v>Residential</v>
      </c>
      <c r="G72" s="813" t="str">
        <f>INDEX('AMMO Measures'!B:B,MATCH($A72,'AMMO Measures'!$A:$A,0))</f>
        <v>Heat Pump Water Heaters</v>
      </c>
      <c r="H72" s="813" t="str">
        <f>INDEX('AMMO Measures'!C:C,MATCH($A72,'AMMO Measures'!$A:$A,0))</f>
        <v>HPWH (&gt;55 gallons) New Construction</v>
      </c>
      <c r="I72" s="813" t="str">
        <f>INDEX('AMMO Measures'!D:D,MATCH($A72,'AMMO Measures'!$A:$A,0))</f>
        <v>Tier 1</v>
      </c>
      <c r="J72" s="814">
        <f>VALUE(INDEX('AMMO Measures'!H:H,MATCH($A72,'AMMO Measures'!A:A,0)))</f>
        <v>13</v>
      </c>
      <c r="K72" s="815">
        <v>2027</v>
      </c>
      <c r="L72" s="816">
        <f>SUMIFS('AMMO Units'!F:F,'AMMO Units'!$A:$A,$K72,'AMMO Units'!$E:$E,$A72)</f>
        <v>5389.4182836</v>
      </c>
      <c r="M72" s="817">
        <f>SUMIFS('AMMO Units'!G:G,'AMMO Units'!$A:$A,$K72,'AMMO Units'!$E:$E,$A72)</f>
        <v>1734</v>
      </c>
      <c r="N72" s="817">
        <f>SUMIFS('AMMO Units'!H:H,'AMMO Units'!$A:$A,$K72,'AMMO Units'!$E:$E,$A72)</f>
        <v>5389.4182836</v>
      </c>
      <c r="O72" s="818"/>
      <c r="P72" s="2">
        <f>IF(Selection!$A$2="regional",1,IF($L72=0,0,
( INDEX(Allocation!$B:$B,MATCH(K72,Allocation!$A:$A,0)) * INDEX(UnitsFunderShareAllocation!$C:$C, MATCH($A72&amp;K72,UnitsFunderShareAllocation!$H:$H,0))
+ INDEX(Allocation!$C:$C,MATCH(K72,Allocation!$A:$A,0)) * INDEX(UnitsFunderShareAllocation!$D:$D, MATCH($A72&amp;K72,UnitsFunderShareAllocation!$H:$H,0))
+ INDEX(Allocation!$D:$D,MATCH(K72,Allocation!$A:$A,0)) * INDEX(UnitsFunderShareAllocation!$E:$E, MATCH($A72&amp;K72,UnitsFunderShareAllocation!$H:$H,0))
+ INDEX(Allocation!$E:$E,MATCH(K72,Allocation!$A:$A,0)) * INDEX(UnitsFunderShareAllocation!$F:$F, MATCH($A72&amp;K72,UnitsFunderShareAllocation!$H:$H,0)))
))</f>
        <v>0.13985600000000001</v>
      </c>
      <c r="Q72" s="819">
        <f>$T$91</f>
        <v>508.8816451648816</v>
      </c>
      <c r="R72" s="820"/>
      <c r="S72" s="821">
        <f t="shared" si="32"/>
        <v>0</v>
      </c>
      <c r="T72" s="822">
        <f t="shared" si="31"/>
        <v>0</v>
      </c>
      <c r="U72" s="823">
        <f t="shared" si="20"/>
        <v>0</v>
      </c>
      <c r="Z72" s="50"/>
      <c r="AA72" s="50"/>
    </row>
    <row r="73" spans="1:27" ht="14.85" customHeight="1">
      <c r="A73" s="768" t="s">
        <v>627</v>
      </c>
      <c r="B73" s="768" t="str">
        <f t="shared" si="15"/>
        <v>RES_201202</v>
      </c>
      <c r="C73" s="768" t="str">
        <f>INDEX('AMMO vwFlags'!$C:$C,MATCH($A73&amp;K73,'AMMO vwFlags'!$K:$K,0))</f>
        <v>0</v>
      </c>
      <c r="D73" s="768" t="str">
        <f>INDEX('AMMO vwFlags'!$D:$D,MATCH($A73&amp;$K73,'AMMO vwFlags'!$K:$K,0))</f>
        <v>0</v>
      </c>
      <c r="E73" s="768">
        <f t="shared" si="16"/>
        <v>1</v>
      </c>
      <c r="F73" s="812" t="str">
        <f t="shared" si="17"/>
        <v>Residential</v>
      </c>
      <c r="G73" s="813" t="str">
        <f>INDEX('AMMO Measures'!B:B,MATCH($A73,'AMMO Measures'!$A:$A,0))</f>
        <v>Heat Pump Water Heaters</v>
      </c>
      <c r="H73" s="813" t="str">
        <f>INDEX('AMMO Measures'!C:C,MATCH($A73,'AMMO Measures'!$A:$A,0))</f>
        <v>HPWH (&gt;55 gallons) New Construction</v>
      </c>
      <c r="I73" s="813" t="str">
        <f>INDEX('AMMO Measures'!D:D,MATCH($A73,'AMMO Measures'!$A:$A,0))</f>
        <v>Tier 2</v>
      </c>
      <c r="J73" s="814">
        <f>VALUE(INDEX('AMMO Measures'!H:H,MATCH($A73,'AMMO Measures'!A:A,0)))</f>
        <v>13</v>
      </c>
      <c r="K73" s="815">
        <v>2027</v>
      </c>
      <c r="L73" s="816">
        <f>SUMIFS('AMMO Units'!F:F,'AMMO Units'!$A:$A,$K73,'AMMO Units'!$E:$E,$A73)</f>
        <v>5389.4182836</v>
      </c>
      <c r="M73" s="817">
        <f>SUMIFS('AMMO Units'!G:G,'AMMO Units'!$A:$A,$K73,'AMMO Units'!$E:$E,$A73)</f>
        <v>1734</v>
      </c>
      <c r="N73" s="817">
        <f>SUMIFS('AMMO Units'!H:H,'AMMO Units'!$A:$A,$K73,'AMMO Units'!$E:$E,$A73)</f>
        <v>538.94182836000004</v>
      </c>
      <c r="O73" s="818"/>
      <c r="P73" s="2">
        <f>IF(Selection!$A$2="regional",1,IF($L73=0,0,
( INDEX(Allocation!$B:$B,MATCH(K73,Allocation!$A:$A,0)) * INDEX(UnitsFunderShareAllocation!$C:$C, MATCH($A73&amp;K73,UnitsFunderShareAllocation!$H:$H,0))
+ INDEX(Allocation!$C:$C,MATCH(K73,Allocation!$A:$A,0)) * INDEX(UnitsFunderShareAllocation!$D:$D, MATCH($A73&amp;K73,UnitsFunderShareAllocation!$H:$H,0))
+ INDEX(Allocation!$D:$D,MATCH(K73,Allocation!$A:$A,0)) * INDEX(UnitsFunderShareAllocation!$E:$E, MATCH($A73&amp;K73,UnitsFunderShareAllocation!$H:$H,0))
+ INDEX(Allocation!$E:$E,MATCH(K73,Allocation!$A:$A,0)) * INDEX(UnitsFunderShareAllocation!$F:$F, MATCH($A73&amp;K73,UnitsFunderShareAllocation!$H:$H,0)))
))</f>
        <v>0.13985600000000001</v>
      </c>
      <c r="Q73" s="819">
        <f>$T$92</f>
        <v>169.86432068855589</v>
      </c>
      <c r="R73" s="820"/>
      <c r="S73" s="821">
        <f t="shared" si="32"/>
        <v>1.3154173451602802E-2</v>
      </c>
      <c r="T73" s="822">
        <f t="shared" si="31"/>
        <v>4.2322446625618331E-3</v>
      </c>
      <c r="U73" s="823">
        <f t="shared" si="20"/>
        <v>8.9219287890409688E-3</v>
      </c>
    </row>
    <row r="74" spans="1:27" ht="14.85" customHeight="1">
      <c r="A74" s="768" t="s">
        <v>628</v>
      </c>
      <c r="B74" s="768" t="str">
        <f t="shared" si="15"/>
        <v>RES_201202</v>
      </c>
      <c r="C74" s="768" t="str">
        <f>INDEX('AMMO vwFlags'!$C:$C,MATCH($A74&amp;K74,'AMMO vwFlags'!$K:$K,0))</f>
        <v>0</v>
      </c>
      <c r="D74" s="768" t="str">
        <f>INDEX('AMMO vwFlags'!$D:$D,MATCH($A74&amp;$K74,'AMMO vwFlags'!$K:$K,0))</f>
        <v>0</v>
      </c>
      <c r="E74" s="768">
        <f t="shared" si="16"/>
        <v>1</v>
      </c>
      <c r="F74" s="812" t="str">
        <f t="shared" si="17"/>
        <v>Residential</v>
      </c>
      <c r="G74" s="813" t="str">
        <f>INDEX('AMMO Measures'!B:B,MATCH($A74,'AMMO Measures'!$A:$A,0))</f>
        <v>Heat Pump Water Heaters</v>
      </c>
      <c r="H74" s="813" t="str">
        <f>INDEX('AMMO Measures'!C:C,MATCH($A74,'AMMO Measures'!$A:$A,0))</f>
        <v>HPWH (&gt;55 gallons) New Construction</v>
      </c>
      <c r="I74" s="813" t="str">
        <f>INDEX('AMMO Measures'!D:D,MATCH($A74,'AMMO Measures'!$A:$A,0))</f>
        <v>Tier 3</v>
      </c>
      <c r="J74" s="814">
        <f>VALUE(INDEX('AMMO Measures'!H:H,MATCH($A74,'AMMO Measures'!A:A,0)))</f>
        <v>13</v>
      </c>
      <c r="K74" s="815">
        <v>2027</v>
      </c>
      <c r="L74" s="816">
        <f>SUMIFS('AMMO Units'!F:F,'AMMO Units'!$A:$A,$K74,'AMMO Units'!$E:$E,$A74)</f>
        <v>5389.4182836</v>
      </c>
      <c r="M74" s="817">
        <f>SUMIFS('AMMO Units'!G:G,'AMMO Units'!$A:$A,$K74,'AMMO Units'!$E:$E,$A74)</f>
        <v>1734</v>
      </c>
      <c r="N74" s="817">
        <f>SUMIFS('AMMO Units'!H:H,'AMMO Units'!$A:$A,$K74,'AMMO Units'!$E:$E,$A74)</f>
        <v>538.94182836000004</v>
      </c>
      <c r="O74" s="818"/>
      <c r="P74" s="2">
        <f>IF(Selection!$A$2="regional",1,IF($L74=0,0,
( INDEX(Allocation!$B:$B,MATCH(K74,Allocation!$A:$A,0)) * INDEX(UnitsFunderShareAllocation!$C:$C, MATCH($A74&amp;K74,UnitsFunderShareAllocation!$H:$H,0))
+ INDEX(Allocation!$C:$C,MATCH(K74,Allocation!$A:$A,0)) * INDEX(UnitsFunderShareAllocation!$D:$D, MATCH($A74&amp;K74,UnitsFunderShareAllocation!$H:$H,0))
+ INDEX(Allocation!$D:$D,MATCH(K74,Allocation!$A:$A,0)) * INDEX(UnitsFunderShareAllocation!$E:$E, MATCH($A74&amp;K74,UnitsFunderShareAllocation!$H:$H,0))
+ INDEX(Allocation!$E:$E,MATCH(K74,Allocation!$A:$A,0)) * INDEX(UnitsFunderShareAllocation!$F:$F, MATCH($A74&amp;K74,UnitsFunderShareAllocation!$H:$H,0)))
))</f>
        <v>0.13985600000000001</v>
      </c>
      <c r="Q74" s="819">
        <f>$T$93</f>
        <v>118.09029868596514</v>
      </c>
      <c r="R74" s="820"/>
      <c r="S74" s="821">
        <f t="shared" si="32"/>
        <v>9.1448296238435586E-3</v>
      </c>
      <c r="T74" s="822">
        <f t="shared" si="31"/>
        <v>2.9422720103202951E-3</v>
      </c>
      <c r="U74" s="823">
        <f t="shared" si="20"/>
        <v>6.2025576135232635E-3</v>
      </c>
    </row>
    <row r="75" spans="1:27" ht="14.85" customHeight="1">
      <c r="A75" s="768" t="s">
        <v>629</v>
      </c>
      <c r="B75" s="768" t="str">
        <f t="shared" si="15"/>
        <v>RES_201202</v>
      </c>
      <c r="C75" s="768" t="str">
        <f>INDEX('AMMO vwFlags'!$C:$C,MATCH($A75&amp;K75,'AMMO vwFlags'!$K:$K,0))</f>
        <v>0</v>
      </c>
      <c r="D75" s="768" t="str">
        <f>INDEX('AMMO vwFlags'!$D:$D,MATCH($A75&amp;$K75,'AMMO vwFlags'!$K:$K,0))</f>
        <v>0</v>
      </c>
      <c r="E75" s="768">
        <f t="shared" si="16"/>
        <v>1</v>
      </c>
      <c r="F75" s="824" t="str">
        <f t="shared" si="17"/>
        <v>Residential</v>
      </c>
      <c r="G75" s="825" t="str">
        <f>INDEX('AMMO Measures'!B:B,MATCH($A75,'AMMO Measures'!$A:$A,0))</f>
        <v>Heat Pump Water Heaters</v>
      </c>
      <c r="H75" s="825" t="str">
        <f>INDEX('AMMO Measures'!C:C,MATCH($A75,'AMMO Measures'!$A:$A,0))</f>
        <v>HPWH (&gt;55 gallons) New Construction</v>
      </c>
      <c r="I75" s="825" t="str">
        <f>INDEX('AMMO Measures'!D:D,MATCH($A75,'AMMO Measures'!$A:$A,0))</f>
        <v>Tier 4</v>
      </c>
      <c r="J75" s="826">
        <f>VALUE(INDEX('AMMO Measures'!H:H,MATCH($A75,'AMMO Measures'!A:A,0)))</f>
        <v>13</v>
      </c>
      <c r="K75" s="827">
        <v>2027</v>
      </c>
      <c r="L75" s="828">
        <f>SUMIFS('AMMO Units'!F:F,'AMMO Units'!$A:$A,$K75,'AMMO Units'!$E:$E,$A75)</f>
        <v>5389.4182836</v>
      </c>
      <c r="M75" s="829">
        <f>SUMIFS('AMMO Units'!G:G,'AMMO Units'!$A:$A,$K75,'AMMO Units'!$E:$E,$A75)</f>
        <v>0</v>
      </c>
      <c r="N75" s="829">
        <f>SUMIFS('AMMO Units'!H:H,'AMMO Units'!$A:$A,$K75,'AMMO Units'!$E:$E,$A75)</f>
        <v>538.94182836000004</v>
      </c>
      <c r="O75" s="830"/>
      <c r="P75" s="774">
        <f>IF(Selection!$A$2="regional",1,IF($L75=0,0,
( INDEX(Allocation!$B:$B,MATCH(K75,Allocation!$A:$A,0)) * INDEX(UnitsFunderShareAllocation!$C:$C, MATCH($A75&amp;K75,UnitsFunderShareAllocation!$H:$H,0))
+ INDEX(Allocation!$C:$C,MATCH(K75,Allocation!$A:$A,0)) * INDEX(UnitsFunderShareAllocation!$D:$D, MATCH($A75&amp;K75,UnitsFunderShareAllocation!$H:$H,0))
+ INDEX(Allocation!$D:$D,MATCH(K75,Allocation!$A:$A,0)) * INDEX(UnitsFunderShareAllocation!$E:$E, MATCH($A75&amp;K75,UnitsFunderShareAllocation!$H:$H,0))
+ INDEX(Allocation!$E:$E,MATCH(K75,Allocation!$A:$A,0)) * INDEX(UnitsFunderShareAllocation!$F:$F, MATCH($A75&amp;K75,UnitsFunderShareAllocation!$H:$H,0)))
))</f>
        <v>0.13985600000000001</v>
      </c>
      <c r="Q75" s="831">
        <f>$T$94</f>
        <v>107.29361120109574</v>
      </c>
      <c r="R75" s="832"/>
      <c r="S75" s="833">
        <f t="shared" si="32"/>
        <v>8.3087417432160787E-3</v>
      </c>
      <c r="T75" s="834">
        <f t="shared" si="31"/>
        <v>0</v>
      </c>
      <c r="U75" s="835">
        <f t="shared" si="20"/>
        <v>8.3087417432160787E-3</v>
      </c>
    </row>
    <row r="76" spans="1:27" ht="12.75" customHeight="1">
      <c r="Y76" s="47"/>
      <c r="Z76" s="47"/>
    </row>
    <row r="77" spans="1:27" ht="12.75" customHeight="1">
      <c r="Y77" s="47"/>
      <c r="Z77" s="47"/>
    </row>
    <row r="78" spans="1:27" ht="12.75" customHeight="1">
      <c r="F78" s="127" t="s">
        <v>773</v>
      </c>
      <c r="Y78" s="47"/>
      <c r="Z78" s="47"/>
    </row>
    <row r="79" spans="1:27" ht="34.35" customHeight="1">
      <c r="F79" s="1709" t="s">
        <v>2684</v>
      </c>
      <c r="G79" s="1796"/>
      <c r="H79" s="1796"/>
      <c r="I79" s="1796"/>
      <c r="J79" s="1796"/>
      <c r="K79" s="1796"/>
      <c r="L79" s="1796"/>
      <c r="M79" s="1796"/>
      <c r="N79" s="1711"/>
      <c r="O79"/>
      <c r="P79"/>
      <c r="Q79"/>
      <c r="R79"/>
      <c r="S79"/>
      <c r="T79"/>
      <c r="U79"/>
      <c r="Y79" s="47"/>
      <c r="Z79" s="47"/>
    </row>
    <row r="80" spans="1:27" ht="12.75" customHeight="1">
      <c r="F80" s="127" t="s">
        <v>2377</v>
      </c>
      <c r="Y80" s="47"/>
      <c r="Z80" s="47"/>
    </row>
    <row r="81" spans="1:26" ht="125.85" customHeight="1">
      <c r="F81" s="1709" t="s">
        <v>2719</v>
      </c>
      <c r="G81" s="1796"/>
      <c r="H81" s="1796"/>
      <c r="I81" s="1796"/>
      <c r="J81" s="1796"/>
      <c r="K81" s="1796"/>
      <c r="L81" s="1796"/>
      <c r="M81" s="1796"/>
      <c r="N81" s="1711"/>
      <c r="O81"/>
      <c r="P81"/>
      <c r="Q81"/>
      <c r="R81"/>
      <c r="S81"/>
      <c r="T81"/>
      <c r="U81"/>
      <c r="Y81" s="47"/>
      <c r="Z81" s="47"/>
    </row>
    <row r="82" spans="1:26" ht="12.75" customHeight="1">
      <c r="H82" s="134"/>
    </row>
    <row r="83" spans="1:26" ht="12.75" customHeight="1">
      <c r="F83" s="1800" t="s">
        <v>761</v>
      </c>
      <c r="G83" s="1800"/>
      <c r="H83" s="1800"/>
      <c r="I83" s="1800"/>
      <c r="J83" s="1800"/>
      <c r="K83" s="1800"/>
      <c r="L83" s="1800"/>
      <c r="M83" s="1800"/>
      <c r="N83" s="1800"/>
      <c r="O83" s="1800"/>
      <c r="P83" s="1800"/>
      <c r="Q83" s="1800"/>
      <c r="R83" s="1800"/>
      <c r="S83" s="1800"/>
      <c r="T83" s="1800"/>
    </row>
    <row r="84" spans="1:26" s="47" customFormat="1" ht="12.75" customHeight="1">
      <c r="A84" s="768"/>
      <c r="B84" s="768"/>
      <c r="C84" s="768"/>
      <c r="D84" s="768"/>
      <c r="E84" s="768"/>
      <c r="F84" s="1801"/>
      <c r="G84" s="1801"/>
      <c r="H84" s="1801"/>
      <c r="I84" s="1801"/>
      <c r="J84" s="1801"/>
      <c r="K84" s="1801"/>
      <c r="L84" s="1801"/>
      <c r="M84" s="1801"/>
      <c r="N84" s="1801"/>
      <c r="O84" s="1801"/>
      <c r="P84" s="1801"/>
      <c r="Q84" s="1801"/>
      <c r="R84" s="1801"/>
      <c r="S84" s="1801"/>
      <c r="T84" s="1801"/>
    </row>
    <row r="85" spans="1:26" ht="12.75" customHeight="1">
      <c r="F85" s="1784" t="s">
        <v>767</v>
      </c>
      <c r="G85" s="1784" t="s">
        <v>609</v>
      </c>
      <c r="H85" s="1784" t="s">
        <v>610</v>
      </c>
      <c r="I85" s="1764">
        <v>2024</v>
      </c>
      <c r="J85" s="1765"/>
      <c r="K85" s="1766"/>
      <c r="L85" s="1793">
        <v>2025</v>
      </c>
      <c r="M85" s="1794"/>
      <c r="N85" s="1795"/>
      <c r="O85" s="1764">
        <v>2026</v>
      </c>
      <c r="P85" s="1765"/>
      <c r="Q85" s="1766"/>
      <c r="R85" s="1793">
        <v>2027</v>
      </c>
      <c r="S85" s="1794"/>
      <c r="T85" s="1795"/>
      <c r="Y85" s="47"/>
      <c r="Z85" s="47"/>
    </row>
    <row r="86" spans="1:26" ht="12.75" customHeight="1">
      <c r="F86" s="1784" t="s">
        <v>768</v>
      </c>
      <c r="G86" s="1784" t="s">
        <v>609</v>
      </c>
      <c r="H86" s="1784"/>
      <c r="I86" s="446" t="s">
        <v>757</v>
      </c>
      <c r="J86" s="135" t="s">
        <v>758</v>
      </c>
      <c r="K86" s="135" t="s">
        <v>759</v>
      </c>
      <c r="L86" s="446" t="s">
        <v>757</v>
      </c>
      <c r="M86" s="135" t="s">
        <v>758</v>
      </c>
      <c r="N86" s="135" t="s">
        <v>759</v>
      </c>
      <c r="O86" s="446" t="s">
        <v>757</v>
      </c>
      <c r="P86" s="135" t="s">
        <v>758</v>
      </c>
      <c r="Q86" s="135" t="s">
        <v>759</v>
      </c>
      <c r="R86" s="446" t="s">
        <v>757</v>
      </c>
      <c r="S86" s="135" t="s">
        <v>758</v>
      </c>
      <c r="T86" s="135" t="s">
        <v>759</v>
      </c>
      <c r="Y86" s="47"/>
      <c r="Z86" s="47"/>
    </row>
    <row r="87" spans="1:26" ht="12.75" customHeight="1">
      <c r="F87" s="136" t="s">
        <v>754</v>
      </c>
      <c r="G87" s="137" t="s">
        <v>145</v>
      </c>
      <c r="H87" s="1790" t="s">
        <v>662</v>
      </c>
      <c r="I87" s="138">
        <f>$O$243</f>
        <v>945.34768410387562</v>
      </c>
      <c r="J87" s="138"/>
      <c r="K87" s="138"/>
      <c r="L87" s="448">
        <f>$O$243</f>
        <v>945.34768410387562</v>
      </c>
      <c r="M87" s="448"/>
      <c r="N87" s="448"/>
      <c r="O87" s="138">
        <f>$O$243</f>
        <v>945.34768410387562</v>
      </c>
      <c r="P87" s="138"/>
      <c r="Q87" s="138"/>
      <c r="R87" s="448">
        <f>$O$243</f>
        <v>945.34768410387562</v>
      </c>
      <c r="S87" s="448"/>
      <c r="T87" s="448"/>
      <c r="Y87" s="47"/>
      <c r="Z87" s="47"/>
    </row>
    <row r="88" spans="1:26" ht="12.75" customHeight="1">
      <c r="F88" s="136" t="s">
        <v>754</v>
      </c>
      <c r="G88" s="137" t="s">
        <v>146</v>
      </c>
      <c r="H88" s="1791"/>
      <c r="I88" s="138">
        <f>$O$245</f>
        <v>315.55636502231266</v>
      </c>
      <c r="J88" s="138"/>
      <c r="K88" s="138"/>
      <c r="L88" s="448">
        <f>$O$245</f>
        <v>315.55636502231266</v>
      </c>
      <c r="M88" s="448"/>
      <c r="N88" s="448"/>
      <c r="O88" s="138">
        <f>$O$245</f>
        <v>315.55636502231266</v>
      </c>
      <c r="P88" s="138"/>
      <c r="Q88" s="138"/>
      <c r="R88" s="448">
        <f>$O$245</f>
        <v>315.55636502231266</v>
      </c>
      <c r="S88" s="448"/>
      <c r="T88" s="448"/>
      <c r="Y88" s="47"/>
      <c r="Z88" s="47"/>
    </row>
    <row r="89" spans="1:26" ht="12.75" customHeight="1">
      <c r="F89" s="136" t="s">
        <v>754</v>
      </c>
      <c r="G89" s="137" t="s">
        <v>660</v>
      </c>
      <c r="H89" s="1791"/>
      <c r="I89" s="139">
        <f>$O$247</f>
        <v>219.37594220310507</v>
      </c>
      <c r="J89" s="139"/>
      <c r="K89" s="139"/>
      <c r="L89" s="139">
        <f>$O$247</f>
        <v>219.37594220310507</v>
      </c>
      <c r="M89" s="139"/>
      <c r="N89" s="139"/>
      <c r="O89" s="139">
        <f>$O$247</f>
        <v>219.37594220310507</v>
      </c>
      <c r="P89" s="139"/>
      <c r="Q89" s="139"/>
      <c r="R89" s="139">
        <f>$O$247</f>
        <v>219.37594220310507</v>
      </c>
      <c r="S89" s="139"/>
      <c r="T89" s="139"/>
    </row>
    <row r="90" spans="1:26" ht="12.75" customHeight="1">
      <c r="F90" s="136" t="s">
        <v>754</v>
      </c>
      <c r="G90" s="137" t="s">
        <v>661</v>
      </c>
      <c r="H90" s="1792"/>
      <c r="I90" s="139">
        <f>$O$249</f>
        <v>199.31897295142858</v>
      </c>
      <c r="J90" s="139"/>
      <c r="K90" s="139"/>
      <c r="L90" s="139">
        <f>O249</f>
        <v>199.31897295142858</v>
      </c>
      <c r="M90" s="139"/>
      <c r="N90" s="139"/>
      <c r="O90" s="139">
        <f>$O$249</f>
        <v>199.31897295142858</v>
      </c>
      <c r="P90" s="139"/>
      <c r="Q90" s="139"/>
      <c r="R90" s="139">
        <f>$O$249</f>
        <v>199.31897295142858</v>
      </c>
      <c r="S90" s="139"/>
      <c r="T90" s="139"/>
    </row>
    <row r="91" spans="1:26" ht="12.75" customHeight="1">
      <c r="F91" s="136" t="s">
        <v>755</v>
      </c>
      <c r="G91" s="137" t="s">
        <v>145</v>
      </c>
      <c r="H91" s="1787" t="s">
        <v>760</v>
      </c>
      <c r="I91" s="140"/>
      <c r="J91" s="140">
        <f t="shared" ref="J91:K94" si="42">$I87*R$262</f>
        <v>520.87822623575369</v>
      </c>
      <c r="K91" s="140">
        <f t="shared" si="42"/>
        <v>480.42229068280938</v>
      </c>
      <c r="L91" s="140"/>
      <c r="M91" s="140">
        <f>$L87*$R$263</f>
        <v>529.30925789822606</v>
      </c>
      <c r="N91" s="140">
        <f>$L87*$S$263</f>
        <v>498.26835487579939</v>
      </c>
      <c r="O91" s="140"/>
      <c r="P91" s="140">
        <f>$O87*R$264</f>
        <v>536.31380874627814</v>
      </c>
      <c r="Q91" s="140">
        <f>$I87*S$264</f>
        <v>504.09458843727322</v>
      </c>
      <c r="R91" s="140"/>
      <c r="S91" s="140">
        <f>$R87*$R$265</f>
        <v>541.28350748111939</v>
      </c>
      <c r="T91" s="140">
        <f>$R87*$S$265</f>
        <v>508.8816451648816</v>
      </c>
    </row>
    <row r="92" spans="1:26" ht="12.75" customHeight="1">
      <c r="F92" s="136" t="s">
        <v>755</v>
      </c>
      <c r="G92" s="137" t="s">
        <v>146</v>
      </c>
      <c r="H92" s="1788"/>
      <c r="I92" s="140"/>
      <c r="J92" s="140">
        <f t="shared" si="42"/>
        <v>173.86877066931444</v>
      </c>
      <c r="K92" s="140">
        <f t="shared" si="42"/>
        <v>160.36460899279277</v>
      </c>
      <c r="L92" s="140"/>
      <c r="M92" s="140">
        <f>$L88*$R$263</f>
        <v>176.68304286729389</v>
      </c>
      <c r="N92" s="140">
        <f>$L88*$S$263</f>
        <v>166.32161215828208</v>
      </c>
      <c r="O92" s="140"/>
      <c r="P92" s="140">
        <f t="shared" ref="P92:P94" si="43">$O88*R$264</f>
        <v>179.02115681350884</v>
      </c>
      <c r="Q92" s="140">
        <f t="shared" ref="Q92:Q94" si="44">$I88*S$264</f>
        <v>168.266404656687</v>
      </c>
      <c r="R92" s="140"/>
      <c r="S92" s="140">
        <f t="shared" ref="S92:S94" si="45">$R88*$R$265</f>
        <v>180.68003861371025</v>
      </c>
      <c r="T92" s="140">
        <f t="shared" ref="T92:T94" si="46">$R88*$S$265</f>
        <v>169.86432068855589</v>
      </c>
    </row>
    <row r="93" spans="1:26" ht="12.75" customHeight="1">
      <c r="F93" s="136" t="s">
        <v>755</v>
      </c>
      <c r="G93" s="137" t="s">
        <v>660</v>
      </c>
      <c r="H93" s="1788"/>
      <c r="I93" s="140"/>
      <c r="J93" s="140">
        <f t="shared" si="42"/>
        <v>120.87420699810454</v>
      </c>
      <c r="K93" s="140">
        <f t="shared" si="42"/>
        <v>111.48606427678585</v>
      </c>
      <c r="L93" s="140"/>
      <c r="M93" s="140">
        <f>$L89*$R$263</f>
        <v>122.83069935091793</v>
      </c>
      <c r="N93" s="140">
        <f>$L89*$S$263</f>
        <v>115.62739472354676</v>
      </c>
      <c r="O93" s="140"/>
      <c r="P93" s="140">
        <f t="shared" si="43"/>
        <v>124.45616474088988</v>
      </c>
      <c r="Q93" s="140">
        <f t="shared" si="44"/>
        <v>116.97942160057376</v>
      </c>
      <c r="R93" s="140"/>
      <c r="S93" s="140">
        <f t="shared" si="45"/>
        <v>125.60942545200574</v>
      </c>
      <c r="T93" s="140">
        <f t="shared" si="46"/>
        <v>118.09029868596514</v>
      </c>
    </row>
    <row r="94" spans="1:26" ht="12.75" customHeight="1">
      <c r="F94" s="136" t="s">
        <v>755</v>
      </c>
      <c r="G94" s="137" t="s">
        <v>661</v>
      </c>
      <c r="H94" s="1789"/>
      <c r="I94" s="140"/>
      <c r="J94" s="140">
        <f t="shared" si="42"/>
        <v>109.82299404952514</v>
      </c>
      <c r="K94" s="140">
        <f t="shared" si="42"/>
        <v>101.29318468965366</v>
      </c>
      <c r="L94" s="140"/>
      <c r="M94" s="140">
        <f>$L90*$R$263</f>
        <v>111.60060941807382</v>
      </c>
      <c r="N94" s="140">
        <f>$L90*$S$263</f>
        <v>105.05588411335181</v>
      </c>
      <c r="O94" s="140"/>
      <c r="P94" s="140">
        <f t="shared" si="43"/>
        <v>113.07746275414905</v>
      </c>
      <c r="Q94" s="140">
        <f t="shared" si="44"/>
        <v>106.28429870533223</v>
      </c>
      <c r="R94" s="140"/>
      <c r="S94" s="140">
        <f t="shared" si="45"/>
        <v>114.12528385146896</v>
      </c>
      <c r="T94" s="140">
        <f t="shared" si="46"/>
        <v>107.29361120109574</v>
      </c>
    </row>
    <row r="95" spans="1:26" ht="12" customHeight="1">
      <c r="J95" s="141" t="str">
        <f>"HPWH (&lt;=55 gallons) New Construction"&amp;$J$85</f>
        <v>HPWH (&lt;=55 gallons) New Construction</v>
      </c>
      <c r="K95" s="141" t="str">
        <f>"HPWH (&gt;55 gallons) New Construction"&amp;$J$85</f>
        <v>HPWH (&gt;55 gallons) New Construction</v>
      </c>
      <c r="L95" s="141" t="str">
        <f>"HPWH (&lt;=55 gallons) New Construction"&amp;$L$85</f>
        <v>HPWH (&lt;=55 gallons) New Construction2025</v>
      </c>
      <c r="M95" s="141" t="str">
        <f>"HPWH (&gt;55 gallons) New Construction"&amp;$L$85</f>
        <v>HPWH (&gt;55 gallons) New Construction2025</v>
      </c>
      <c r="N95"/>
      <c r="O95"/>
      <c r="P95"/>
      <c r="Q95"/>
    </row>
    <row r="96" spans="1:26" ht="12" customHeight="1">
      <c r="F96" s="1785"/>
      <c r="G96" s="1785"/>
      <c r="H96" s="1785"/>
      <c r="I96" s="1785"/>
      <c r="J96" s="1785"/>
      <c r="K96" s="1785"/>
      <c r="L96" s="1785"/>
      <c r="M96" s="1785"/>
      <c r="N96"/>
      <c r="O96"/>
      <c r="P96"/>
      <c r="Q96"/>
    </row>
    <row r="97" spans="6:22 16375:16382">
      <c r="F97" s="1785"/>
      <c r="G97" s="1785"/>
      <c r="H97" s="1785"/>
      <c r="I97" s="1785"/>
      <c r="J97" s="1785"/>
      <c r="K97" s="1785"/>
      <c r="L97" s="1785"/>
      <c r="M97" s="1785"/>
    </row>
    <row r="98" spans="6:22 16375:16382" ht="12" customHeight="1">
      <c r="J98" s="141"/>
      <c r="K98" s="141"/>
      <c r="L98" s="141"/>
      <c r="M98" s="141"/>
    </row>
    <row r="99" spans="6:22 16375:16382" ht="12.75" customHeight="1" thickBot="1">
      <c r="F99" s="128" t="s">
        <v>2580</v>
      </c>
      <c r="G99" s="128"/>
      <c r="H99" s="128"/>
      <c r="I99" s="128"/>
      <c r="J99" s="128"/>
      <c r="K99" s="128"/>
      <c r="L99" s="128"/>
      <c r="M99" s="50"/>
      <c r="N99" s="50"/>
      <c r="T99" s="50"/>
      <c r="XEU99" s="128"/>
      <c r="XEV99" s="128"/>
      <c r="XEW99" s="128"/>
      <c r="XEX99" s="128"/>
      <c r="XEY99" s="128"/>
      <c r="XEZ99" s="128"/>
      <c r="XFA99" s="128"/>
      <c r="XFB99" s="128"/>
    </row>
    <row r="100" spans="6:22 16375:16382" ht="12.75" customHeight="1" thickTop="1"/>
    <row r="102" spans="6:22 16375:16382" ht="12.75" customHeight="1">
      <c r="F102" s="50" t="s">
        <v>2722</v>
      </c>
      <c r="L102" s="50"/>
      <c r="M102" s="50"/>
      <c r="N102" s="50"/>
    </row>
    <row r="103" spans="6:22 16375:16382" ht="12.75" customHeight="1" thickBot="1">
      <c r="L103" s="50"/>
      <c r="M103" s="50"/>
      <c r="N103" s="50"/>
    </row>
    <row r="104" spans="6:22 16375:16382" ht="12.75" customHeight="1" thickTop="1" thickBot="1">
      <c r="F104" s="47" t="s">
        <v>478</v>
      </c>
      <c r="G104" s="130" t="s">
        <v>2409</v>
      </c>
      <c r="H104" s="50" t="s">
        <v>2720</v>
      </c>
      <c r="L104" s="50"/>
      <c r="M104" s="50"/>
      <c r="N104" s="50"/>
    </row>
    <row r="105" spans="6:22 16375:16382" ht="12.75" customHeight="1" thickTop="1" thickBot="1">
      <c r="L105" s="50"/>
      <c r="M105" s="50"/>
      <c r="N105" s="50"/>
    </row>
    <row r="106" spans="6:22 16375:16382" ht="12.75" customHeight="1" thickBot="1">
      <c r="F106" s="1751" t="s">
        <v>532</v>
      </c>
      <c r="G106" s="1752"/>
      <c r="H106" s="1752"/>
      <c r="I106" s="1753"/>
      <c r="J106" s="142"/>
      <c r="K106" s="50"/>
      <c r="L106" s="47"/>
      <c r="M106" s="47"/>
      <c r="N106" s="47"/>
      <c r="O106" s="47"/>
      <c r="P106" s="47"/>
      <c r="Q106" s="47"/>
      <c r="R106" s="47"/>
      <c r="S106" s="47"/>
      <c r="T106" s="47"/>
      <c r="U106" s="47"/>
      <c r="V106" s="47"/>
    </row>
    <row r="107" spans="6:22 16375:16382" ht="12.75" customHeight="1">
      <c r="K107" s="50"/>
      <c r="L107" s="47"/>
      <c r="M107" s="47"/>
      <c r="N107" s="47"/>
      <c r="O107" s="47"/>
      <c r="P107" s="47"/>
      <c r="Q107" s="47"/>
      <c r="R107" s="47"/>
      <c r="S107" s="47"/>
      <c r="T107" s="47"/>
      <c r="U107" s="47"/>
      <c r="V107" s="143"/>
    </row>
    <row r="108" spans="6:22 16375:16382" ht="12.75" customHeight="1">
      <c r="F108" s="50" t="s">
        <v>665</v>
      </c>
      <c r="G108" s="1754" t="s">
        <v>666</v>
      </c>
      <c r="H108" s="1754"/>
      <c r="I108" s="1754"/>
      <c r="K108" s="50"/>
      <c r="L108" s="47"/>
      <c r="M108" s="47"/>
      <c r="N108" s="47"/>
      <c r="O108" s="47"/>
      <c r="P108" s="47"/>
      <c r="Q108" s="47"/>
      <c r="R108" s="47"/>
      <c r="S108" s="47"/>
      <c r="T108" s="47"/>
      <c r="U108" s="47"/>
      <c r="V108" s="47"/>
    </row>
    <row r="109" spans="6:22 16375:16382" ht="12.75" customHeight="1">
      <c r="G109" s="186" t="s">
        <v>529</v>
      </c>
      <c r="H109" s="186" t="s">
        <v>530</v>
      </c>
      <c r="I109" s="186" t="s">
        <v>531</v>
      </c>
      <c r="K109" s="50"/>
      <c r="L109" s="1755" t="s">
        <v>667</v>
      </c>
      <c r="M109" s="1756"/>
      <c r="N109" s="1756"/>
      <c r="O109" s="1756"/>
      <c r="P109" s="1757"/>
      <c r="Q109" s="1758" t="s">
        <v>668</v>
      </c>
      <c r="R109" s="1759"/>
      <c r="S109" s="1759"/>
      <c r="T109" s="1759"/>
      <c r="U109" s="1760"/>
      <c r="V109" s="187" t="s">
        <v>2376</v>
      </c>
    </row>
    <row r="110" spans="6:22 16375:16382" ht="12.75" customHeight="1">
      <c r="F110" s="186" t="s">
        <v>787</v>
      </c>
      <c r="G110" s="65">
        <v>955.45514862280459</v>
      </c>
      <c r="H110" s="65">
        <v>0</v>
      </c>
      <c r="I110" s="65">
        <v>0</v>
      </c>
      <c r="J110" s="65"/>
      <c r="K110" s="65"/>
      <c r="L110" s="188" t="s">
        <v>826</v>
      </c>
      <c r="M110" s="144" t="s">
        <v>494</v>
      </c>
      <c r="N110" s="144" t="s">
        <v>495</v>
      </c>
      <c r="O110" s="144" t="s">
        <v>505</v>
      </c>
      <c r="P110" s="144"/>
      <c r="Q110" s="145" t="str">
        <f t="shared" ref="Q110:Q173" si="47">L110</f>
        <v>Tier1</v>
      </c>
      <c r="R110" s="145" t="str">
        <f t="shared" ref="R110:R173" si="48">IF(M110="basmnt","Unheated Basement",IF(M110="indor2","Interior",IF(M110="ducted","Interior - Exhaust Ducted",M110)))</f>
        <v>garage</v>
      </c>
      <c r="S110" s="145" t="str">
        <f t="shared" ref="S110:S173" si="49">N110</f>
        <v>HZ1</v>
      </c>
      <c r="T110" s="145" t="str">
        <f t="shared" ref="T110:T173" si="50">IF(OR(P110="0-55gallons",P110="&gt;55gallons",P110="AnySize"),IF(O110="resistheat","Electric Resistance",IF(O110="hp85","Heat Pump HSPF 8.5",O110)),"Any")</f>
        <v>Any</v>
      </c>
      <c r="U110" s="145" t="str">
        <f t="shared" ref="U110:U173" si="51">IF(T110="Any",O110,P110)</f>
        <v>AnySize</v>
      </c>
      <c r="V110" s="146">
        <f>IF(Q110="tier1",IFERROR(INDEX($J$229:$L$233,MATCH(R110&amp;T110,$I$229:$I$233,0),MATCH(S110,$J$227:$L$227,0)),""),IFERROR(INDEX($R$229:$T$236,MATCH(R110&amp;T110,$Q$229:$Q$236,0),MATCH(S110,$R$227:$T$227,0)),""))</f>
        <v>0.30443599999999998</v>
      </c>
    </row>
    <row r="111" spans="6:22 16375:16382" ht="12.75" customHeight="1">
      <c r="F111" s="186" t="s">
        <v>788</v>
      </c>
      <c r="G111" s="65">
        <v>671.05603267333754</v>
      </c>
      <c r="H111" s="65">
        <v>0</v>
      </c>
      <c r="I111" s="65">
        <v>0</v>
      </c>
      <c r="J111" s="65"/>
      <c r="K111" s="65"/>
      <c r="L111" s="188" t="s">
        <v>826</v>
      </c>
      <c r="M111" s="144" t="s">
        <v>494</v>
      </c>
      <c r="N111" s="144" t="s">
        <v>496</v>
      </c>
      <c r="O111" s="144" t="s">
        <v>505</v>
      </c>
      <c r="P111" s="144"/>
      <c r="Q111" s="145" t="str">
        <f t="shared" si="47"/>
        <v>Tier1</v>
      </c>
      <c r="R111" s="145" t="str">
        <f t="shared" si="48"/>
        <v>garage</v>
      </c>
      <c r="S111" s="145" t="str">
        <f t="shared" si="49"/>
        <v>HZ2</v>
      </c>
      <c r="T111" s="145" t="str">
        <f t="shared" si="50"/>
        <v>Any</v>
      </c>
      <c r="U111" s="145" t="str">
        <f t="shared" si="51"/>
        <v>AnySize</v>
      </c>
      <c r="V111" s="146">
        <f t="shared" ref="V111:V174" si="52">IF(Q111="tier1",IFERROR(INDEX($J$229:$L$233,MATCH(R111&amp;T111,$I$229:$I$233,0),MATCH(S111,$J$227:$L$227,0)),""),IFERROR(INDEX($R$229:$T$236,MATCH(R111&amp;T111,$Q$229:$Q$236,0),MATCH(S111,$R$227:$T$227,0)),""))</f>
        <v>3.4254E-2</v>
      </c>
    </row>
    <row r="112" spans="6:22 16375:16382" ht="12.75" customHeight="1">
      <c r="F112" s="186" t="s">
        <v>789</v>
      </c>
      <c r="G112" s="65">
        <v>528.46105757801149</v>
      </c>
      <c r="H112" s="65">
        <v>0</v>
      </c>
      <c r="I112" s="65">
        <v>0</v>
      </c>
      <c r="J112" s="65"/>
      <c r="K112" s="65"/>
      <c r="L112" s="188" t="s">
        <v>826</v>
      </c>
      <c r="M112" s="144" t="s">
        <v>494</v>
      </c>
      <c r="N112" s="144" t="s">
        <v>497</v>
      </c>
      <c r="O112" s="144" t="s">
        <v>505</v>
      </c>
      <c r="P112" s="144"/>
      <c r="Q112" s="145" t="str">
        <f t="shared" si="47"/>
        <v>Tier1</v>
      </c>
      <c r="R112" s="145" t="str">
        <f t="shared" si="48"/>
        <v>garage</v>
      </c>
      <c r="S112" s="145" t="str">
        <f t="shared" si="49"/>
        <v>HZ3</v>
      </c>
      <c r="T112" s="145" t="str">
        <f t="shared" si="50"/>
        <v>Any</v>
      </c>
      <c r="U112" s="145" t="str">
        <f t="shared" si="51"/>
        <v>AnySize</v>
      </c>
      <c r="V112" s="146">
        <f t="shared" si="52"/>
        <v>7.1999999999999998E-3</v>
      </c>
    </row>
    <row r="113" spans="6:22" ht="12.75" customHeight="1">
      <c r="F113" s="186" t="s">
        <v>790</v>
      </c>
      <c r="G113" s="65">
        <v>970.76095028890506</v>
      </c>
      <c r="H113" s="65">
        <v>0</v>
      </c>
      <c r="I113" s="65">
        <v>0</v>
      </c>
      <c r="J113" s="65"/>
      <c r="K113" s="65"/>
      <c r="L113" s="188" t="s">
        <v>826</v>
      </c>
      <c r="M113" s="144" t="s">
        <v>498</v>
      </c>
      <c r="N113" s="144" t="s">
        <v>495</v>
      </c>
      <c r="O113" s="144" t="s">
        <v>505</v>
      </c>
      <c r="P113" s="144"/>
      <c r="Q113" s="145" t="str">
        <f t="shared" si="47"/>
        <v>Tier1</v>
      </c>
      <c r="R113" s="145" t="str">
        <f t="shared" si="48"/>
        <v>Unheated Basement</v>
      </c>
      <c r="S113" s="145" t="str">
        <f t="shared" si="49"/>
        <v>HZ1</v>
      </c>
      <c r="T113" s="145" t="str">
        <f t="shared" si="50"/>
        <v>Any</v>
      </c>
      <c r="U113" s="145" t="str">
        <f t="shared" si="51"/>
        <v>AnySize</v>
      </c>
      <c r="V113" s="146">
        <f t="shared" si="52"/>
        <v>0.22664399999999998</v>
      </c>
    </row>
    <row r="114" spans="6:22" ht="12.75" customHeight="1">
      <c r="F114" s="186" t="s">
        <v>791</v>
      </c>
      <c r="G114" s="65">
        <v>880.64451324399033</v>
      </c>
      <c r="H114" s="65">
        <v>0</v>
      </c>
      <c r="I114" s="65">
        <v>0</v>
      </c>
      <c r="J114" s="65"/>
      <c r="K114" s="65"/>
      <c r="L114" s="188" t="s">
        <v>826</v>
      </c>
      <c r="M114" s="144" t="s">
        <v>498</v>
      </c>
      <c r="N114" s="144" t="s">
        <v>496</v>
      </c>
      <c r="O114" s="144" t="s">
        <v>505</v>
      </c>
      <c r="P114" s="144"/>
      <c r="Q114" s="145" t="str">
        <f t="shared" si="47"/>
        <v>Tier1</v>
      </c>
      <c r="R114" s="145" t="str">
        <f t="shared" si="48"/>
        <v>Unheated Basement</v>
      </c>
      <c r="S114" s="145" t="str">
        <f t="shared" si="49"/>
        <v>HZ2</v>
      </c>
      <c r="T114" s="145" t="str">
        <f t="shared" si="50"/>
        <v>Any</v>
      </c>
      <c r="U114" s="145" t="str">
        <f t="shared" si="51"/>
        <v>AnySize</v>
      </c>
      <c r="V114" s="146">
        <f t="shared" si="52"/>
        <v>8.3039999999999989E-2</v>
      </c>
    </row>
    <row r="115" spans="6:22" ht="12.75" customHeight="1">
      <c r="F115" s="186" t="s">
        <v>792</v>
      </c>
      <c r="G115" s="65">
        <v>809.58979430307431</v>
      </c>
      <c r="H115" s="65">
        <v>0</v>
      </c>
      <c r="I115" s="65">
        <v>0</v>
      </c>
      <c r="J115" s="65"/>
      <c r="K115" s="65"/>
      <c r="L115" s="188" t="s">
        <v>826</v>
      </c>
      <c r="M115" s="144" t="s">
        <v>498</v>
      </c>
      <c r="N115" s="144" t="s">
        <v>497</v>
      </c>
      <c r="O115" s="144" t="s">
        <v>505</v>
      </c>
      <c r="P115" s="144"/>
      <c r="Q115" s="145" t="str">
        <f t="shared" si="47"/>
        <v>Tier1</v>
      </c>
      <c r="R115" s="145" t="str">
        <f t="shared" si="48"/>
        <v>Unheated Basement</v>
      </c>
      <c r="S115" s="145" t="str">
        <f t="shared" si="49"/>
        <v>HZ3</v>
      </c>
      <c r="T115" s="145" t="str">
        <f t="shared" si="50"/>
        <v>Any</v>
      </c>
      <c r="U115" s="145" t="str">
        <f t="shared" si="51"/>
        <v>AnySize</v>
      </c>
      <c r="V115" s="146">
        <f t="shared" si="52"/>
        <v>4.9279999999999997E-2</v>
      </c>
    </row>
    <row r="116" spans="6:22" ht="12.75" customHeight="1">
      <c r="F116" s="186" t="s">
        <v>793</v>
      </c>
      <c r="G116" s="65">
        <v>1100.2206460488762</v>
      </c>
      <c r="H116" s="65">
        <v>-9.1304205253024442</v>
      </c>
      <c r="I116" s="65">
        <v>18.409901708340847</v>
      </c>
      <c r="J116" s="65"/>
      <c r="K116" s="65"/>
      <c r="L116" s="188" t="s">
        <v>826</v>
      </c>
      <c r="M116" s="144" t="s">
        <v>499</v>
      </c>
      <c r="N116" s="144" t="s">
        <v>495</v>
      </c>
      <c r="O116" s="144" t="s">
        <v>500</v>
      </c>
      <c r="P116" s="144" t="s">
        <v>505</v>
      </c>
      <c r="Q116" s="145" t="str">
        <f t="shared" si="47"/>
        <v>Tier1</v>
      </c>
      <c r="R116" s="145" t="str">
        <f t="shared" si="48"/>
        <v>Interior</v>
      </c>
      <c r="S116" s="145" t="str">
        <f t="shared" si="49"/>
        <v>HZ1</v>
      </c>
      <c r="T116" s="145" t="str">
        <f t="shared" si="50"/>
        <v>gas</v>
      </c>
      <c r="U116" s="145" t="str">
        <f t="shared" si="51"/>
        <v>AnySize</v>
      </c>
      <c r="V116" s="146">
        <f t="shared" si="52"/>
        <v>0.13917587199999995</v>
      </c>
    </row>
    <row r="117" spans="6:22" ht="12.75" customHeight="1">
      <c r="F117" s="186" t="s">
        <v>794</v>
      </c>
      <c r="G117" s="65">
        <v>1092.6871572189493</v>
      </c>
      <c r="H117" s="65">
        <v>-370.86668213125375</v>
      </c>
      <c r="I117" s="65">
        <v>0</v>
      </c>
      <c r="J117" s="65"/>
      <c r="K117" s="65"/>
      <c r="L117" s="188" t="s">
        <v>826</v>
      </c>
      <c r="M117" s="144" t="s">
        <v>499</v>
      </c>
      <c r="N117" s="144" t="s">
        <v>495</v>
      </c>
      <c r="O117" s="144" t="s">
        <v>501</v>
      </c>
      <c r="P117" s="144" t="s">
        <v>505</v>
      </c>
      <c r="Q117" s="145" t="str">
        <f t="shared" si="47"/>
        <v>Tier1</v>
      </c>
      <c r="R117" s="145" t="str">
        <f t="shared" si="48"/>
        <v>Interior</v>
      </c>
      <c r="S117" s="145" t="str">
        <f t="shared" si="49"/>
        <v>HZ1</v>
      </c>
      <c r="T117" s="145" t="str">
        <f t="shared" si="50"/>
        <v>Electric Resistance</v>
      </c>
      <c r="U117" s="145" t="str">
        <f t="shared" si="51"/>
        <v>AnySize</v>
      </c>
      <c r="V117" s="146">
        <f t="shared" si="52"/>
        <v>4.3145388E-2</v>
      </c>
    </row>
    <row r="118" spans="6:22" ht="12.75" customHeight="1">
      <c r="F118" s="186" t="s">
        <v>795</v>
      </c>
      <c r="G118" s="65">
        <v>1087.670301699374</v>
      </c>
      <c r="H118" s="65">
        <v>-176.96643532923548</v>
      </c>
      <c r="I118" s="65">
        <v>38.728328342845572</v>
      </c>
      <c r="J118" s="65"/>
      <c r="K118" s="65"/>
      <c r="L118" s="188" t="s">
        <v>826</v>
      </c>
      <c r="M118" s="144" t="s">
        <v>499</v>
      </c>
      <c r="N118" s="144" t="s">
        <v>495</v>
      </c>
      <c r="O118" s="144" t="s">
        <v>502</v>
      </c>
      <c r="P118" s="144" t="s">
        <v>505</v>
      </c>
      <c r="Q118" s="145" t="str">
        <f t="shared" si="47"/>
        <v>Tier1</v>
      </c>
      <c r="R118" s="145" t="str">
        <f t="shared" si="48"/>
        <v>Interior</v>
      </c>
      <c r="S118" s="145" t="str">
        <f t="shared" si="49"/>
        <v>HZ1</v>
      </c>
      <c r="T118" s="145" t="str">
        <f t="shared" si="50"/>
        <v>Heat Pump HSPF 8.5</v>
      </c>
      <c r="U118" s="145" t="str">
        <f t="shared" si="51"/>
        <v>AnySize</v>
      </c>
      <c r="V118" s="146">
        <f t="shared" si="52"/>
        <v>3.4577047999999999E-2</v>
      </c>
    </row>
    <row r="119" spans="6:22" ht="12.75" customHeight="1">
      <c r="F119" s="186" t="s">
        <v>796</v>
      </c>
      <c r="G119" s="65">
        <v>1044.3954433377653</v>
      </c>
      <c r="H119" s="65">
        <v>-7.7792328440885772</v>
      </c>
      <c r="I119" s="65">
        <v>30.74473278592345</v>
      </c>
      <c r="J119" s="65"/>
      <c r="K119" s="65"/>
      <c r="L119" s="188" t="s">
        <v>826</v>
      </c>
      <c r="M119" s="144" t="s">
        <v>499</v>
      </c>
      <c r="N119" s="144" t="s">
        <v>496</v>
      </c>
      <c r="O119" s="144" t="s">
        <v>500</v>
      </c>
      <c r="P119" s="144" t="s">
        <v>505</v>
      </c>
      <c r="Q119" s="145" t="str">
        <f t="shared" si="47"/>
        <v>Tier1</v>
      </c>
      <c r="R119" s="145" t="str">
        <f t="shared" si="48"/>
        <v>Interior</v>
      </c>
      <c r="S119" s="145" t="str">
        <f t="shared" si="49"/>
        <v>HZ2</v>
      </c>
      <c r="T119" s="145" t="str">
        <f t="shared" si="50"/>
        <v>gas</v>
      </c>
      <c r="U119" s="145" t="str">
        <f t="shared" si="51"/>
        <v>AnySize</v>
      </c>
      <c r="V119" s="146">
        <f t="shared" si="52"/>
        <v>3.5740969599999992E-2</v>
      </c>
    </row>
    <row r="120" spans="6:22" ht="12.75" customHeight="1">
      <c r="F120" s="186" t="s">
        <v>797</v>
      </c>
      <c r="G120" s="65">
        <v>1044.7730445281968</v>
      </c>
      <c r="H120" s="65">
        <v>-294.59507827238161</v>
      </c>
      <c r="I120" s="65">
        <v>0</v>
      </c>
      <c r="J120" s="65"/>
      <c r="K120" s="65"/>
      <c r="L120" s="188" t="s">
        <v>826</v>
      </c>
      <c r="M120" s="144" t="s">
        <v>499</v>
      </c>
      <c r="N120" s="144" t="s">
        <v>496</v>
      </c>
      <c r="O120" s="144" t="s">
        <v>501</v>
      </c>
      <c r="P120" s="144" t="s">
        <v>505</v>
      </c>
      <c r="Q120" s="145" t="str">
        <f t="shared" si="47"/>
        <v>Tier1</v>
      </c>
      <c r="R120" s="145" t="str">
        <f t="shared" si="48"/>
        <v>Interior</v>
      </c>
      <c r="S120" s="145" t="str">
        <f t="shared" si="49"/>
        <v>HZ2</v>
      </c>
      <c r="T120" s="145" t="str">
        <f t="shared" si="50"/>
        <v>Electric Resistance</v>
      </c>
      <c r="U120" s="145" t="str">
        <f t="shared" si="51"/>
        <v>AnySize</v>
      </c>
      <c r="V120" s="146">
        <f t="shared" si="52"/>
        <v>1.10799234E-2</v>
      </c>
    </row>
    <row r="121" spans="6:22" ht="12.75" customHeight="1">
      <c r="F121" s="186" t="s">
        <v>798</v>
      </c>
      <c r="G121" s="65">
        <v>1030.0743027670753</v>
      </c>
      <c r="H121" s="65">
        <v>-209.89272529669694</v>
      </c>
      <c r="I121" s="65">
        <v>62.692803531527176</v>
      </c>
      <c r="J121" s="65"/>
      <c r="K121" s="65"/>
      <c r="L121" s="188" t="s">
        <v>826</v>
      </c>
      <c r="M121" s="144" t="s">
        <v>499</v>
      </c>
      <c r="N121" s="144" t="s">
        <v>496</v>
      </c>
      <c r="O121" s="144" t="s">
        <v>502</v>
      </c>
      <c r="P121" s="144" t="s">
        <v>505</v>
      </c>
      <c r="Q121" s="145" t="str">
        <f t="shared" si="47"/>
        <v>Tier1</v>
      </c>
      <c r="R121" s="145" t="str">
        <f t="shared" si="48"/>
        <v>Interior</v>
      </c>
      <c r="S121" s="145" t="str">
        <f t="shared" si="49"/>
        <v>HZ2</v>
      </c>
      <c r="T121" s="145" t="str">
        <f t="shared" si="50"/>
        <v>Heat Pump HSPF 8.5</v>
      </c>
      <c r="U121" s="145" t="str">
        <f t="shared" si="51"/>
        <v>AnySize</v>
      </c>
      <c r="V121" s="146">
        <f t="shared" si="52"/>
        <v>8.8795364000000005E-3</v>
      </c>
    </row>
    <row r="122" spans="6:22" ht="12.75" customHeight="1">
      <c r="F122" s="186" t="s">
        <v>799</v>
      </c>
      <c r="G122" s="65">
        <v>1003.3896792101007</v>
      </c>
      <c r="H122" s="65">
        <v>-7.2907751729369856</v>
      </c>
      <c r="I122" s="65">
        <v>24.38701963159442</v>
      </c>
      <c r="J122" s="65"/>
      <c r="K122" s="65"/>
      <c r="L122" s="188" t="s">
        <v>826</v>
      </c>
      <c r="M122" s="144" t="s">
        <v>499</v>
      </c>
      <c r="N122" s="144" t="s">
        <v>497</v>
      </c>
      <c r="O122" s="144" t="s">
        <v>500</v>
      </c>
      <c r="P122" s="144" t="s">
        <v>505</v>
      </c>
      <c r="Q122" s="145" t="str">
        <f t="shared" si="47"/>
        <v>Tier1</v>
      </c>
      <c r="R122" s="145" t="str">
        <f t="shared" si="48"/>
        <v>Interior</v>
      </c>
      <c r="S122" s="145" t="str">
        <f t="shared" si="49"/>
        <v>HZ3</v>
      </c>
      <c r="T122" s="145" t="str">
        <f t="shared" si="50"/>
        <v>gas</v>
      </c>
      <c r="U122" s="145" t="str">
        <f t="shared" si="51"/>
        <v>AnySize</v>
      </c>
      <c r="V122" s="146">
        <f t="shared" si="52"/>
        <v>1.5090431999999996E-2</v>
      </c>
    </row>
    <row r="123" spans="6:22" ht="12.75" customHeight="1">
      <c r="F123" s="186" t="s">
        <v>800</v>
      </c>
      <c r="G123" s="65">
        <v>1004.4749758399648</v>
      </c>
      <c r="H123" s="65">
        <v>-268.67665901682301</v>
      </c>
      <c r="I123" s="65">
        <v>0</v>
      </c>
      <c r="J123" s="65"/>
      <c r="K123" s="65"/>
      <c r="L123" s="188" t="s">
        <v>826</v>
      </c>
      <c r="M123" s="144" t="s">
        <v>499</v>
      </c>
      <c r="N123" s="144" t="s">
        <v>497</v>
      </c>
      <c r="O123" s="144" t="s">
        <v>501</v>
      </c>
      <c r="P123" s="144" t="s">
        <v>505</v>
      </c>
      <c r="Q123" s="145" t="str">
        <f t="shared" si="47"/>
        <v>Tier1</v>
      </c>
      <c r="R123" s="145" t="str">
        <f t="shared" si="48"/>
        <v>Interior</v>
      </c>
      <c r="S123" s="145" t="str">
        <f t="shared" si="49"/>
        <v>HZ3</v>
      </c>
      <c r="T123" s="145" t="str">
        <f t="shared" si="50"/>
        <v>Electric Resistance</v>
      </c>
      <c r="U123" s="145" t="str">
        <f t="shared" si="51"/>
        <v>AnySize</v>
      </c>
      <c r="V123" s="146">
        <f t="shared" si="52"/>
        <v>4.6781280000000001E-3</v>
      </c>
    </row>
    <row r="124" spans="6:22" ht="12.75" customHeight="1">
      <c r="F124" s="186" t="s">
        <v>801</v>
      </c>
      <c r="G124" s="65">
        <v>987.79835277564132</v>
      </c>
      <c r="H124" s="65">
        <v>-208.06432749794416</v>
      </c>
      <c r="I124" s="65">
        <v>49.775913448477866</v>
      </c>
      <c r="J124" s="65"/>
      <c r="K124" s="65"/>
      <c r="L124" s="188" t="s">
        <v>826</v>
      </c>
      <c r="M124" s="144" t="s">
        <v>499</v>
      </c>
      <c r="N124" s="144" t="s">
        <v>497</v>
      </c>
      <c r="O124" s="144" t="s">
        <v>502</v>
      </c>
      <c r="P124" s="144" t="s">
        <v>505</v>
      </c>
      <c r="Q124" s="145" t="str">
        <f t="shared" si="47"/>
        <v>Tier1</v>
      </c>
      <c r="R124" s="145" t="str">
        <f t="shared" si="48"/>
        <v>Interior</v>
      </c>
      <c r="S124" s="145" t="str">
        <f t="shared" si="49"/>
        <v>HZ3</v>
      </c>
      <c r="T124" s="145" t="str">
        <f t="shared" si="50"/>
        <v>Heat Pump HSPF 8.5</v>
      </c>
      <c r="U124" s="145" t="str">
        <f t="shared" si="51"/>
        <v>AnySize</v>
      </c>
      <c r="V124" s="146">
        <f t="shared" si="52"/>
        <v>3.7490880000000002E-3</v>
      </c>
    </row>
    <row r="125" spans="6:22" ht="12.75" customHeight="1">
      <c r="F125" s="186" t="s">
        <v>802</v>
      </c>
      <c r="G125" s="65">
        <v>1286.7153265030413</v>
      </c>
      <c r="H125" s="65">
        <v>0</v>
      </c>
      <c r="I125" s="65">
        <v>0</v>
      </c>
      <c r="J125" s="65"/>
      <c r="K125" s="65"/>
      <c r="L125" s="188" t="s">
        <v>827</v>
      </c>
      <c r="M125" s="144" t="s">
        <v>494</v>
      </c>
      <c r="N125" s="144" t="s">
        <v>495</v>
      </c>
      <c r="O125" s="144" t="s">
        <v>505</v>
      </c>
      <c r="P125" s="144"/>
      <c r="Q125" s="145" t="str">
        <f t="shared" si="47"/>
        <v>Tier2</v>
      </c>
      <c r="R125" s="145" t="str">
        <f t="shared" si="48"/>
        <v>garage</v>
      </c>
      <c r="S125" s="145" t="str">
        <f t="shared" si="49"/>
        <v>HZ1</v>
      </c>
      <c r="T125" s="145" t="str">
        <f t="shared" si="50"/>
        <v>Any</v>
      </c>
      <c r="U125" s="145" t="str">
        <f t="shared" si="51"/>
        <v>AnySize</v>
      </c>
      <c r="V125" s="146">
        <f t="shared" si="52"/>
        <v>0.30443599999999998</v>
      </c>
    </row>
    <row r="126" spans="6:22" ht="12.75" customHeight="1">
      <c r="F126" s="186" t="s">
        <v>803</v>
      </c>
      <c r="G126" s="65">
        <v>1035.2004636793711</v>
      </c>
      <c r="H126" s="65">
        <v>0</v>
      </c>
      <c r="I126" s="65">
        <v>0</v>
      </c>
      <c r="J126" s="65"/>
      <c r="K126" s="65"/>
      <c r="L126" s="188" t="s">
        <v>827</v>
      </c>
      <c r="M126" s="144" t="s">
        <v>494</v>
      </c>
      <c r="N126" s="144" t="s">
        <v>496</v>
      </c>
      <c r="O126" s="144" t="s">
        <v>505</v>
      </c>
      <c r="P126" s="144"/>
      <c r="Q126" s="145" t="str">
        <f t="shared" si="47"/>
        <v>Tier2</v>
      </c>
      <c r="R126" s="145" t="str">
        <f t="shared" si="48"/>
        <v>garage</v>
      </c>
      <c r="S126" s="145" t="str">
        <f t="shared" si="49"/>
        <v>HZ2</v>
      </c>
      <c r="T126" s="145" t="str">
        <f t="shared" si="50"/>
        <v>Any</v>
      </c>
      <c r="U126" s="145" t="str">
        <f t="shared" si="51"/>
        <v>AnySize</v>
      </c>
      <c r="V126" s="146">
        <f t="shared" si="52"/>
        <v>3.4254E-2</v>
      </c>
    </row>
    <row r="127" spans="6:22" ht="12.75" customHeight="1">
      <c r="F127" s="186" t="s">
        <v>804</v>
      </c>
      <c r="G127" s="65">
        <v>979.26325249903539</v>
      </c>
      <c r="H127" s="65">
        <v>0</v>
      </c>
      <c r="I127" s="65">
        <v>0</v>
      </c>
      <c r="J127" s="65"/>
      <c r="K127" s="65"/>
      <c r="L127" s="188" t="s">
        <v>827</v>
      </c>
      <c r="M127" s="144" t="s">
        <v>494</v>
      </c>
      <c r="N127" s="144" t="s">
        <v>497</v>
      </c>
      <c r="O127" s="144" t="s">
        <v>505</v>
      </c>
      <c r="P127" s="144"/>
      <c r="Q127" s="145" t="str">
        <f t="shared" si="47"/>
        <v>Tier2</v>
      </c>
      <c r="R127" s="145" t="str">
        <f t="shared" si="48"/>
        <v>garage</v>
      </c>
      <c r="S127" s="145" t="str">
        <f t="shared" si="49"/>
        <v>HZ3</v>
      </c>
      <c r="T127" s="145" t="str">
        <f t="shared" si="50"/>
        <v>Any</v>
      </c>
      <c r="U127" s="145" t="str">
        <f t="shared" si="51"/>
        <v>AnySize</v>
      </c>
      <c r="V127" s="146">
        <f t="shared" si="52"/>
        <v>7.1999999999999998E-3</v>
      </c>
    </row>
    <row r="128" spans="6:22" ht="12.75" customHeight="1">
      <c r="F128" s="186" t="s">
        <v>805</v>
      </c>
      <c r="G128" s="65">
        <v>1290.8011909033994</v>
      </c>
      <c r="H128" s="65">
        <v>0</v>
      </c>
      <c r="I128" s="65">
        <v>0</v>
      </c>
      <c r="J128" s="65"/>
      <c r="K128" s="65"/>
      <c r="L128" s="188" t="s">
        <v>827</v>
      </c>
      <c r="M128" s="144" t="s">
        <v>498</v>
      </c>
      <c r="N128" s="144" t="s">
        <v>495</v>
      </c>
      <c r="O128" s="144" t="s">
        <v>505</v>
      </c>
      <c r="P128" s="144"/>
      <c r="Q128" s="145" t="str">
        <f t="shared" si="47"/>
        <v>Tier2</v>
      </c>
      <c r="R128" s="145" t="str">
        <f t="shared" si="48"/>
        <v>Unheated Basement</v>
      </c>
      <c r="S128" s="145" t="str">
        <f t="shared" si="49"/>
        <v>HZ1</v>
      </c>
      <c r="T128" s="145" t="str">
        <f t="shared" si="50"/>
        <v>Any</v>
      </c>
      <c r="U128" s="145" t="str">
        <f t="shared" si="51"/>
        <v>AnySize</v>
      </c>
      <c r="V128" s="146">
        <f t="shared" si="52"/>
        <v>0.22664399999999998</v>
      </c>
    </row>
    <row r="129" spans="6:22" ht="12.75" customHeight="1">
      <c r="F129" s="186" t="s">
        <v>806</v>
      </c>
      <c r="G129" s="65">
        <v>1154.2605618899561</v>
      </c>
      <c r="H129" s="65">
        <v>0</v>
      </c>
      <c r="I129" s="65">
        <v>0</v>
      </c>
      <c r="J129" s="65"/>
      <c r="K129" s="65"/>
      <c r="L129" s="188" t="s">
        <v>827</v>
      </c>
      <c r="M129" s="144" t="s">
        <v>498</v>
      </c>
      <c r="N129" s="144" t="s">
        <v>496</v>
      </c>
      <c r="O129" s="144" t="s">
        <v>505</v>
      </c>
      <c r="P129" s="144"/>
      <c r="Q129" s="145" t="str">
        <f t="shared" si="47"/>
        <v>Tier2</v>
      </c>
      <c r="R129" s="145" t="str">
        <f t="shared" si="48"/>
        <v>Unheated Basement</v>
      </c>
      <c r="S129" s="145" t="str">
        <f t="shared" si="49"/>
        <v>HZ2</v>
      </c>
      <c r="T129" s="145" t="str">
        <f t="shared" si="50"/>
        <v>Any</v>
      </c>
      <c r="U129" s="145" t="str">
        <f t="shared" si="51"/>
        <v>AnySize</v>
      </c>
      <c r="V129" s="146">
        <f t="shared" si="52"/>
        <v>8.3039999999999989E-2</v>
      </c>
    </row>
    <row r="130" spans="6:22" ht="12.75" customHeight="1">
      <c r="F130" s="186" t="s">
        <v>807</v>
      </c>
      <c r="G130" s="65">
        <v>1153.5645435253207</v>
      </c>
      <c r="H130" s="65">
        <v>0</v>
      </c>
      <c r="I130" s="65">
        <v>0</v>
      </c>
      <c r="J130" s="65"/>
      <c r="K130" s="65"/>
      <c r="L130" s="188" t="s">
        <v>827</v>
      </c>
      <c r="M130" s="144" t="s">
        <v>498</v>
      </c>
      <c r="N130" s="144" t="s">
        <v>497</v>
      </c>
      <c r="O130" s="144" t="s">
        <v>505</v>
      </c>
      <c r="P130" s="144"/>
      <c r="Q130" s="145" t="str">
        <f t="shared" si="47"/>
        <v>Tier2</v>
      </c>
      <c r="R130" s="145" t="str">
        <f t="shared" si="48"/>
        <v>Unheated Basement</v>
      </c>
      <c r="S130" s="145" t="str">
        <f t="shared" si="49"/>
        <v>HZ3</v>
      </c>
      <c r="T130" s="145" t="str">
        <f t="shared" si="50"/>
        <v>Any</v>
      </c>
      <c r="U130" s="145" t="str">
        <f t="shared" si="51"/>
        <v>AnySize</v>
      </c>
      <c r="V130" s="146">
        <f t="shared" si="52"/>
        <v>4.9279999999999997E-2</v>
      </c>
    </row>
    <row r="131" spans="6:22" ht="12.75" customHeight="1">
      <c r="F131" s="186" t="s">
        <v>808</v>
      </c>
      <c r="G131" s="65">
        <v>1456.1918144420486</v>
      </c>
      <c r="H131" s="65">
        <v>-14.463057570919132</v>
      </c>
      <c r="I131" s="65">
        <v>23.259333420628664</v>
      </c>
      <c r="J131" s="65"/>
      <c r="K131" s="65"/>
      <c r="L131" s="188" t="s">
        <v>827</v>
      </c>
      <c r="M131" s="144" t="s">
        <v>499</v>
      </c>
      <c r="N131" s="144" t="s">
        <v>495</v>
      </c>
      <c r="O131" s="144" t="s">
        <v>500</v>
      </c>
      <c r="P131" s="144" t="s">
        <v>505</v>
      </c>
      <c r="Q131" s="145" t="str">
        <f t="shared" si="47"/>
        <v>Tier2</v>
      </c>
      <c r="R131" s="145" t="str">
        <f t="shared" si="48"/>
        <v>Interior</v>
      </c>
      <c r="S131" s="145" t="str">
        <f t="shared" si="49"/>
        <v>HZ1</v>
      </c>
      <c r="T131" s="145" t="str">
        <f t="shared" si="50"/>
        <v>gas</v>
      </c>
      <c r="U131" s="145" t="str">
        <f t="shared" si="51"/>
        <v>AnySize</v>
      </c>
      <c r="V131" s="146">
        <f t="shared" si="52"/>
        <v>0.13360883711999993</v>
      </c>
    </row>
    <row r="132" spans="6:22" ht="12.75" customHeight="1">
      <c r="F132" s="186" t="s">
        <v>809</v>
      </c>
      <c r="G132" s="65">
        <v>1449.4839660594757</v>
      </c>
      <c r="H132" s="65">
        <v>-598.85874798763757</v>
      </c>
      <c r="I132" s="65">
        <v>0</v>
      </c>
      <c r="J132" s="65"/>
      <c r="K132" s="65"/>
      <c r="L132" s="188" t="s">
        <v>827</v>
      </c>
      <c r="M132" s="144" t="s">
        <v>499</v>
      </c>
      <c r="N132" s="144" t="s">
        <v>495</v>
      </c>
      <c r="O132" s="144" t="s">
        <v>501</v>
      </c>
      <c r="P132" s="144" t="s">
        <v>505</v>
      </c>
      <c r="Q132" s="145" t="str">
        <f t="shared" si="47"/>
        <v>Tier2</v>
      </c>
      <c r="R132" s="145" t="str">
        <f t="shared" si="48"/>
        <v>Interior</v>
      </c>
      <c r="S132" s="145" t="str">
        <f t="shared" si="49"/>
        <v>HZ1</v>
      </c>
      <c r="T132" s="145" t="str">
        <f t="shared" si="50"/>
        <v>Electric Resistance</v>
      </c>
      <c r="U132" s="145" t="str">
        <f t="shared" si="51"/>
        <v>AnySize</v>
      </c>
      <c r="V132" s="146">
        <f t="shared" si="52"/>
        <v>4.141957248E-2</v>
      </c>
    </row>
    <row r="133" spans="6:22" ht="12.75" customHeight="1">
      <c r="F133" s="186" t="s">
        <v>810</v>
      </c>
      <c r="G133" s="65">
        <v>1444.7944403769916</v>
      </c>
      <c r="H133" s="65">
        <v>-287.52061474851888</v>
      </c>
      <c r="I133" s="65">
        <v>48.962218805728703</v>
      </c>
      <c r="J133" s="65"/>
      <c r="K133" s="65"/>
      <c r="L133" s="188" t="s">
        <v>827</v>
      </c>
      <c r="M133" s="144" t="s">
        <v>499</v>
      </c>
      <c r="N133" s="144" t="s">
        <v>495</v>
      </c>
      <c r="O133" s="144" t="s">
        <v>502</v>
      </c>
      <c r="P133" s="144" t="s">
        <v>505</v>
      </c>
      <c r="Q133" s="145" t="str">
        <f t="shared" si="47"/>
        <v>Tier2</v>
      </c>
      <c r="R133" s="145" t="str">
        <f t="shared" si="48"/>
        <v>Interior</v>
      </c>
      <c r="S133" s="145" t="str">
        <f t="shared" si="49"/>
        <v>HZ1</v>
      </c>
      <c r="T133" s="145" t="str">
        <f t="shared" si="50"/>
        <v>Heat Pump HSPF 8.5</v>
      </c>
      <c r="U133" s="145" t="str">
        <f t="shared" si="51"/>
        <v>AnySize</v>
      </c>
      <c r="V133" s="146">
        <f t="shared" si="52"/>
        <v>3.3193966079999998E-2</v>
      </c>
    </row>
    <row r="134" spans="6:22" ht="12.75" customHeight="1">
      <c r="F134" s="186" t="s">
        <v>811</v>
      </c>
      <c r="G134" s="65">
        <v>1363.5851180154029</v>
      </c>
      <c r="H134" s="65">
        <v>-12.619133199424303</v>
      </c>
      <c r="I134" s="65">
        <v>40.733282299675594</v>
      </c>
      <c r="J134" s="65"/>
      <c r="K134" s="65"/>
      <c r="L134" s="188" t="s">
        <v>827</v>
      </c>
      <c r="M134" s="144" t="s">
        <v>499</v>
      </c>
      <c r="N134" s="144" t="s">
        <v>496</v>
      </c>
      <c r="O134" s="144" t="s">
        <v>500</v>
      </c>
      <c r="P134" s="144" t="s">
        <v>505</v>
      </c>
      <c r="Q134" s="145" t="str">
        <f t="shared" si="47"/>
        <v>Tier2</v>
      </c>
      <c r="R134" s="145" t="str">
        <f t="shared" si="48"/>
        <v>Interior</v>
      </c>
      <c r="S134" s="145" t="str">
        <f t="shared" si="49"/>
        <v>HZ2</v>
      </c>
      <c r="T134" s="145" t="str">
        <f t="shared" si="50"/>
        <v>gas</v>
      </c>
      <c r="U134" s="145" t="str">
        <f t="shared" si="51"/>
        <v>AnySize</v>
      </c>
      <c r="V134" s="146">
        <f t="shared" si="52"/>
        <v>3.4311330815999991E-2</v>
      </c>
    </row>
    <row r="135" spans="6:22" ht="12.75" customHeight="1">
      <c r="F135" s="186" t="s">
        <v>812</v>
      </c>
      <c r="G135" s="65">
        <v>1359.4529505742921</v>
      </c>
      <c r="H135" s="65">
        <v>-479.65612681129949</v>
      </c>
      <c r="I135" s="65">
        <v>0</v>
      </c>
      <c r="J135" s="65"/>
      <c r="K135" s="65"/>
      <c r="L135" s="188" t="s">
        <v>827</v>
      </c>
      <c r="M135" s="144" t="s">
        <v>499</v>
      </c>
      <c r="N135" s="144" t="s">
        <v>496</v>
      </c>
      <c r="O135" s="144" t="s">
        <v>501</v>
      </c>
      <c r="P135" s="144" t="s">
        <v>505</v>
      </c>
      <c r="Q135" s="145" t="str">
        <f t="shared" si="47"/>
        <v>Tier2</v>
      </c>
      <c r="R135" s="145" t="str">
        <f t="shared" si="48"/>
        <v>Interior</v>
      </c>
      <c r="S135" s="145" t="str">
        <f t="shared" si="49"/>
        <v>HZ2</v>
      </c>
      <c r="T135" s="145" t="str">
        <f t="shared" si="50"/>
        <v>Electric Resistance</v>
      </c>
      <c r="U135" s="145" t="str">
        <f t="shared" si="51"/>
        <v>AnySize</v>
      </c>
      <c r="V135" s="146">
        <f t="shared" si="52"/>
        <v>1.0636726464000001E-2</v>
      </c>
    </row>
    <row r="136" spans="6:22" ht="12.75" customHeight="1">
      <c r="F136" s="186" t="s">
        <v>813</v>
      </c>
      <c r="G136" s="65">
        <v>1344.8879693443157</v>
      </c>
      <c r="H136" s="65">
        <v>-339.58152095663871</v>
      </c>
      <c r="I136" s="65">
        <v>83.218373884677206</v>
      </c>
      <c r="J136" s="65"/>
      <c r="K136" s="65"/>
      <c r="L136" s="188" t="s">
        <v>827</v>
      </c>
      <c r="M136" s="144" t="s">
        <v>499</v>
      </c>
      <c r="N136" s="144" t="s">
        <v>496</v>
      </c>
      <c r="O136" s="144" t="s">
        <v>502</v>
      </c>
      <c r="P136" s="144" t="s">
        <v>505</v>
      </c>
      <c r="Q136" s="145" t="str">
        <f t="shared" si="47"/>
        <v>Tier2</v>
      </c>
      <c r="R136" s="145" t="str">
        <f t="shared" si="48"/>
        <v>Interior</v>
      </c>
      <c r="S136" s="145" t="str">
        <f t="shared" si="49"/>
        <v>HZ2</v>
      </c>
      <c r="T136" s="145" t="str">
        <f t="shared" si="50"/>
        <v>Heat Pump HSPF 8.5</v>
      </c>
      <c r="U136" s="145" t="str">
        <f t="shared" si="51"/>
        <v>AnySize</v>
      </c>
      <c r="V136" s="146">
        <f t="shared" si="52"/>
        <v>8.5243549439999993E-3</v>
      </c>
    </row>
    <row r="137" spans="6:22" ht="12.75" customHeight="1">
      <c r="F137" s="186" t="s">
        <v>814</v>
      </c>
      <c r="G137" s="65">
        <v>1397.2376106261192</v>
      </c>
      <c r="H137" s="65">
        <v>-12.288995067478739</v>
      </c>
      <c r="I137" s="65">
        <v>36.458425840783597</v>
      </c>
      <c r="J137" s="65"/>
      <c r="K137" s="65"/>
      <c r="L137" s="188" t="s">
        <v>827</v>
      </c>
      <c r="M137" s="144" t="s">
        <v>499</v>
      </c>
      <c r="N137" s="144" t="s">
        <v>497</v>
      </c>
      <c r="O137" s="144" t="s">
        <v>500</v>
      </c>
      <c r="P137" s="144" t="s">
        <v>505</v>
      </c>
      <c r="Q137" s="145" t="str">
        <f t="shared" si="47"/>
        <v>Tier2</v>
      </c>
      <c r="R137" s="145" t="str">
        <f t="shared" si="48"/>
        <v>Interior</v>
      </c>
      <c r="S137" s="145" t="str">
        <f t="shared" si="49"/>
        <v>HZ3</v>
      </c>
      <c r="T137" s="145" t="str">
        <f t="shared" si="50"/>
        <v>gas</v>
      </c>
      <c r="U137" s="145" t="str">
        <f t="shared" si="51"/>
        <v>AnySize</v>
      </c>
      <c r="V137" s="146">
        <f t="shared" si="52"/>
        <v>1.4486814719999996E-2</v>
      </c>
    </row>
    <row r="138" spans="6:22" ht="12.75" customHeight="1">
      <c r="F138" s="186" t="s">
        <v>815</v>
      </c>
      <c r="G138" s="65">
        <v>1392.4371986506958</v>
      </c>
      <c r="H138" s="65">
        <v>-456.12791965167742</v>
      </c>
      <c r="I138" s="65">
        <v>0</v>
      </c>
      <c r="J138" s="65"/>
      <c r="K138" s="65"/>
      <c r="L138" s="188" t="s">
        <v>827</v>
      </c>
      <c r="M138" s="144" t="s">
        <v>499</v>
      </c>
      <c r="N138" s="144" t="s">
        <v>497</v>
      </c>
      <c r="O138" s="144" t="s">
        <v>501</v>
      </c>
      <c r="P138" s="144" t="s">
        <v>505</v>
      </c>
      <c r="Q138" s="145" t="str">
        <f t="shared" si="47"/>
        <v>Tier2</v>
      </c>
      <c r="R138" s="145" t="str">
        <f t="shared" si="48"/>
        <v>Interior</v>
      </c>
      <c r="S138" s="145" t="str">
        <f t="shared" si="49"/>
        <v>HZ3</v>
      </c>
      <c r="T138" s="145" t="str">
        <f t="shared" si="50"/>
        <v>Electric Resistance</v>
      </c>
      <c r="U138" s="145" t="str">
        <f t="shared" si="51"/>
        <v>AnySize</v>
      </c>
      <c r="V138" s="146">
        <f t="shared" si="52"/>
        <v>4.49100288E-3</v>
      </c>
    </row>
    <row r="139" spans="6:22" ht="12.75" customHeight="1">
      <c r="F139" s="186" t="s">
        <v>816</v>
      </c>
      <c r="G139" s="65">
        <v>1380.1067088702991</v>
      </c>
      <c r="H139" s="65">
        <v>-352.72654262955501</v>
      </c>
      <c r="I139" s="65">
        <v>73.946081656575842</v>
      </c>
      <c r="J139" s="65"/>
      <c r="K139" s="65"/>
      <c r="L139" s="188" t="s">
        <v>827</v>
      </c>
      <c r="M139" s="144" t="s">
        <v>499</v>
      </c>
      <c r="N139" s="144" t="s">
        <v>497</v>
      </c>
      <c r="O139" s="144" t="s">
        <v>502</v>
      </c>
      <c r="P139" s="144" t="s">
        <v>505</v>
      </c>
      <c r="Q139" s="145" t="str">
        <f t="shared" si="47"/>
        <v>Tier2</v>
      </c>
      <c r="R139" s="145" t="str">
        <f t="shared" si="48"/>
        <v>Interior</v>
      </c>
      <c r="S139" s="145" t="str">
        <f t="shared" si="49"/>
        <v>HZ3</v>
      </c>
      <c r="T139" s="145" t="str">
        <f t="shared" si="50"/>
        <v>Heat Pump HSPF 8.5</v>
      </c>
      <c r="U139" s="145" t="str">
        <f t="shared" si="51"/>
        <v>AnySize</v>
      </c>
      <c r="V139" s="146">
        <f t="shared" si="52"/>
        <v>3.5991244800000002E-3</v>
      </c>
    </row>
    <row r="140" spans="6:22" ht="12.75" customHeight="1">
      <c r="F140" s="186" t="s">
        <v>817</v>
      </c>
      <c r="G140" s="65">
        <v>1459.2697347294873</v>
      </c>
      <c r="H140" s="65">
        <v>-9.9735426495222228</v>
      </c>
      <c r="I140" s="65">
        <v>-7.7190573346947211</v>
      </c>
      <c r="J140" s="65"/>
      <c r="K140" s="65"/>
      <c r="L140" s="188" t="s">
        <v>827</v>
      </c>
      <c r="M140" s="144" t="s">
        <v>503</v>
      </c>
      <c r="N140" s="144" t="s">
        <v>495</v>
      </c>
      <c r="O140" s="144" t="s">
        <v>500</v>
      </c>
      <c r="P140" s="144" t="s">
        <v>505</v>
      </c>
      <c r="Q140" s="145" t="str">
        <f t="shared" si="47"/>
        <v>Tier2</v>
      </c>
      <c r="R140" s="145" t="str">
        <f t="shared" si="48"/>
        <v>Interior - Exhaust Ducted</v>
      </c>
      <c r="S140" s="145" t="str">
        <f t="shared" si="49"/>
        <v>HZ1</v>
      </c>
      <c r="T140" s="145" t="str">
        <f t="shared" si="50"/>
        <v>gas</v>
      </c>
      <c r="U140" s="145" t="str">
        <f t="shared" si="51"/>
        <v>AnySize</v>
      </c>
      <c r="V140" s="146">
        <f t="shared" si="52"/>
        <v>5.5670348799999984E-3</v>
      </c>
    </row>
    <row r="141" spans="6:22" ht="12.75" customHeight="1">
      <c r="F141" s="186" t="s">
        <v>818</v>
      </c>
      <c r="G141" s="65">
        <v>1453.7265171313454</v>
      </c>
      <c r="H141" s="65">
        <v>-411.24357105752915</v>
      </c>
      <c r="I141" s="65">
        <v>0</v>
      </c>
      <c r="J141" s="65"/>
      <c r="K141" s="65"/>
      <c r="L141" s="188" t="s">
        <v>827</v>
      </c>
      <c r="M141" s="144" t="s">
        <v>503</v>
      </c>
      <c r="N141" s="144" t="s">
        <v>495</v>
      </c>
      <c r="O141" s="144" t="s">
        <v>501</v>
      </c>
      <c r="P141" s="144" t="s">
        <v>505</v>
      </c>
      <c r="Q141" s="145" t="str">
        <f t="shared" si="47"/>
        <v>Tier2</v>
      </c>
      <c r="R141" s="145" t="str">
        <f t="shared" si="48"/>
        <v>Interior - Exhaust Ducted</v>
      </c>
      <c r="S141" s="145" t="str">
        <f t="shared" si="49"/>
        <v>HZ1</v>
      </c>
      <c r="T141" s="145" t="str">
        <f t="shared" si="50"/>
        <v>Electric Resistance</v>
      </c>
      <c r="U141" s="145" t="str">
        <f t="shared" si="51"/>
        <v>AnySize</v>
      </c>
      <c r="V141" s="146">
        <f t="shared" si="52"/>
        <v>1.72581552E-3</v>
      </c>
    </row>
    <row r="142" spans="6:22" ht="12.75" customHeight="1">
      <c r="F142" s="186" t="s">
        <v>819</v>
      </c>
      <c r="G142" s="65">
        <v>1447.4274209665784</v>
      </c>
      <c r="H142" s="65">
        <v>-213.50056967543861</v>
      </c>
      <c r="I142" s="65">
        <v>-14.779546468732953</v>
      </c>
      <c r="J142" s="65"/>
      <c r="K142" s="65"/>
      <c r="L142" s="188" t="s">
        <v>827</v>
      </c>
      <c r="M142" s="144" t="s">
        <v>503</v>
      </c>
      <c r="N142" s="144" t="s">
        <v>495</v>
      </c>
      <c r="O142" s="144" t="s">
        <v>502</v>
      </c>
      <c r="P142" s="144" t="s">
        <v>505</v>
      </c>
      <c r="Q142" s="145" t="str">
        <f t="shared" si="47"/>
        <v>Tier2</v>
      </c>
      <c r="R142" s="145" t="str">
        <f t="shared" si="48"/>
        <v>Interior - Exhaust Ducted</v>
      </c>
      <c r="S142" s="145" t="str">
        <f t="shared" si="49"/>
        <v>HZ1</v>
      </c>
      <c r="T142" s="145" t="str">
        <f t="shared" si="50"/>
        <v>Heat Pump HSPF 8.5</v>
      </c>
      <c r="U142" s="145" t="str">
        <f t="shared" si="51"/>
        <v>AnySize</v>
      </c>
      <c r="V142" s="146">
        <f t="shared" si="52"/>
        <v>1.38308192E-3</v>
      </c>
    </row>
    <row r="143" spans="6:22" ht="12.75" customHeight="1">
      <c r="F143" s="186" t="s">
        <v>820</v>
      </c>
      <c r="G143" s="65">
        <v>1367.8553568681309</v>
      </c>
      <c r="H143" s="65">
        <v>-12.566127875468297</v>
      </c>
      <c r="I143" s="65">
        <v>-22.604118686105704</v>
      </c>
      <c r="J143" s="65"/>
      <c r="K143" s="65"/>
      <c r="L143" s="188" t="s">
        <v>827</v>
      </c>
      <c r="M143" s="144" t="s">
        <v>503</v>
      </c>
      <c r="N143" s="144" t="s">
        <v>496</v>
      </c>
      <c r="O143" s="144" t="s">
        <v>500</v>
      </c>
      <c r="P143" s="144" t="s">
        <v>505</v>
      </c>
      <c r="Q143" s="145" t="str">
        <f t="shared" si="47"/>
        <v>Tier2</v>
      </c>
      <c r="R143" s="145" t="str">
        <f t="shared" si="48"/>
        <v>Interior - Exhaust Ducted</v>
      </c>
      <c r="S143" s="145" t="str">
        <f t="shared" si="49"/>
        <v>HZ2</v>
      </c>
      <c r="T143" s="145" t="str">
        <f t="shared" si="50"/>
        <v>gas</v>
      </c>
      <c r="U143" s="145" t="str">
        <f t="shared" si="51"/>
        <v>AnySize</v>
      </c>
      <c r="V143" s="146">
        <f t="shared" si="52"/>
        <v>1.4296387839999997E-3</v>
      </c>
    </row>
    <row r="144" spans="6:22" ht="12.75" customHeight="1">
      <c r="F144" s="186" t="s">
        <v>821</v>
      </c>
      <c r="G144" s="65">
        <v>1364.3453023018105</v>
      </c>
      <c r="H144" s="65">
        <v>-477.05783542281102</v>
      </c>
      <c r="I144" s="65">
        <v>0</v>
      </c>
      <c r="J144" s="65"/>
      <c r="K144" s="65"/>
      <c r="L144" s="188" t="s">
        <v>827</v>
      </c>
      <c r="M144" s="144" t="s">
        <v>503</v>
      </c>
      <c r="N144" s="144" t="s">
        <v>496</v>
      </c>
      <c r="O144" s="144" t="s">
        <v>501</v>
      </c>
      <c r="P144" s="144" t="s">
        <v>505</v>
      </c>
      <c r="Q144" s="145" t="str">
        <f t="shared" si="47"/>
        <v>Tier2</v>
      </c>
      <c r="R144" s="145" t="str">
        <f t="shared" si="48"/>
        <v>Interior - Exhaust Ducted</v>
      </c>
      <c r="S144" s="145" t="str">
        <f t="shared" si="49"/>
        <v>HZ2</v>
      </c>
      <c r="T144" s="145" t="str">
        <f t="shared" si="50"/>
        <v>Electric Resistance</v>
      </c>
      <c r="U144" s="145" t="str">
        <f t="shared" si="51"/>
        <v>AnySize</v>
      </c>
      <c r="V144" s="146">
        <f t="shared" si="52"/>
        <v>4.4319693600000003E-4</v>
      </c>
    </row>
    <row r="145" spans="6:22" ht="12.75" customHeight="1">
      <c r="F145" s="186" t="s">
        <v>822</v>
      </c>
      <c r="G145" s="65">
        <v>1346.8457396082797</v>
      </c>
      <c r="H145" s="65">
        <v>-396.69291780475305</v>
      </c>
      <c r="I145" s="65">
        <v>-44.136880259702863</v>
      </c>
      <c r="J145" s="65"/>
      <c r="K145" s="65"/>
      <c r="L145" s="188" t="s">
        <v>827</v>
      </c>
      <c r="M145" s="144" t="s">
        <v>503</v>
      </c>
      <c r="N145" s="144" t="s">
        <v>496</v>
      </c>
      <c r="O145" s="144" t="s">
        <v>502</v>
      </c>
      <c r="P145" s="144" t="s">
        <v>505</v>
      </c>
      <c r="Q145" s="145" t="str">
        <f t="shared" si="47"/>
        <v>Tier2</v>
      </c>
      <c r="R145" s="145" t="str">
        <f t="shared" si="48"/>
        <v>Interior - Exhaust Ducted</v>
      </c>
      <c r="S145" s="145" t="str">
        <f t="shared" si="49"/>
        <v>HZ2</v>
      </c>
      <c r="T145" s="145" t="str">
        <f t="shared" si="50"/>
        <v>Heat Pump HSPF 8.5</v>
      </c>
      <c r="U145" s="145" t="str">
        <f t="shared" si="51"/>
        <v>AnySize</v>
      </c>
      <c r="V145" s="146">
        <f t="shared" si="52"/>
        <v>3.5518145600000001E-4</v>
      </c>
    </row>
    <row r="146" spans="6:22" ht="12.75" customHeight="1">
      <c r="F146" s="186" t="s">
        <v>823</v>
      </c>
      <c r="G146" s="65">
        <v>1400.9000264251986</v>
      </c>
      <c r="H146" s="65">
        <v>-13.076150034954175</v>
      </c>
      <c r="I146" s="65">
        <v>-17.270538976217985</v>
      </c>
      <c r="J146" s="65"/>
      <c r="K146" s="65"/>
      <c r="L146" s="188" t="s">
        <v>827</v>
      </c>
      <c r="M146" s="144" t="s">
        <v>503</v>
      </c>
      <c r="N146" s="144" t="s">
        <v>497</v>
      </c>
      <c r="O146" s="144" t="s">
        <v>500</v>
      </c>
      <c r="P146" s="144" t="s">
        <v>505</v>
      </c>
      <c r="Q146" s="145" t="str">
        <f t="shared" si="47"/>
        <v>Tier2</v>
      </c>
      <c r="R146" s="145" t="str">
        <f t="shared" si="48"/>
        <v>Interior - Exhaust Ducted</v>
      </c>
      <c r="S146" s="145" t="str">
        <f t="shared" si="49"/>
        <v>HZ3</v>
      </c>
      <c r="T146" s="145" t="str">
        <f t="shared" si="50"/>
        <v>gas</v>
      </c>
      <c r="U146" s="145" t="str">
        <f t="shared" si="51"/>
        <v>AnySize</v>
      </c>
      <c r="V146" s="146">
        <f t="shared" si="52"/>
        <v>6.0361727999999983E-4</v>
      </c>
    </row>
    <row r="147" spans="6:22" ht="12.75" customHeight="1">
      <c r="F147" s="186" t="s">
        <v>824</v>
      </c>
      <c r="G147" s="65">
        <v>1398.0661383973984</v>
      </c>
      <c r="H147" s="65">
        <v>-486.36630621075943</v>
      </c>
      <c r="I147" s="65">
        <v>0</v>
      </c>
      <c r="J147" s="65"/>
      <c r="K147" s="65"/>
      <c r="L147" s="188" t="s">
        <v>827</v>
      </c>
      <c r="M147" s="144" t="s">
        <v>503</v>
      </c>
      <c r="N147" s="144" t="s">
        <v>497</v>
      </c>
      <c r="O147" s="144" t="s">
        <v>501</v>
      </c>
      <c r="P147" s="144" t="s">
        <v>505</v>
      </c>
      <c r="Q147" s="145" t="str">
        <f t="shared" si="47"/>
        <v>Tier2</v>
      </c>
      <c r="R147" s="145" t="str">
        <f t="shared" si="48"/>
        <v>Interior - Exhaust Ducted</v>
      </c>
      <c r="S147" s="145" t="str">
        <f t="shared" si="49"/>
        <v>HZ3</v>
      </c>
      <c r="T147" s="145" t="str">
        <f t="shared" si="50"/>
        <v>Electric Resistance</v>
      </c>
      <c r="U147" s="145" t="str">
        <f t="shared" si="51"/>
        <v>AnySize</v>
      </c>
      <c r="V147" s="146">
        <f t="shared" si="52"/>
        <v>1.8712512000000002E-4</v>
      </c>
    </row>
    <row r="148" spans="6:22" ht="12.75" customHeight="1">
      <c r="F148" s="186" t="s">
        <v>825</v>
      </c>
      <c r="G148" s="65">
        <v>1381.9734798269469</v>
      </c>
      <c r="H148" s="65">
        <v>-439.74307783114011</v>
      </c>
      <c r="I148" s="65">
        <v>-33.73547355829249</v>
      </c>
      <c r="J148" s="65"/>
      <c r="K148" s="65"/>
      <c r="L148" s="188" t="s">
        <v>827</v>
      </c>
      <c r="M148" s="144" t="s">
        <v>503</v>
      </c>
      <c r="N148" s="144" t="s">
        <v>497</v>
      </c>
      <c r="O148" s="144" t="s">
        <v>502</v>
      </c>
      <c r="P148" s="144" t="s">
        <v>505</v>
      </c>
      <c r="Q148" s="145" t="str">
        <f t="shared" si="47"/>
        <v>Tier2</v>
      </c>
      <c r="R148" s="145" t="str">
        <f t="shared" si="48"/>
        <v>Interior - Exhaust Ducted</v>
      </c>
      <c r="S148" s="145" t="str">
        <f t="shared" si="49"/>
        <v>HZ3</v>
      </c>
      <c r="T148" s="145" t="str">
        <f t="shared" si="50"/>
        <v>Heat Pump HSPF 8.5</v>
      </c>
      <c r="U148" s="145" t="str">
        <f t="shared" si="51"/>
        <v>AnySize</v>
      </c>
      <c r="V148" s="146">
        <f t="shared" si="52"/>
        <v>1.4996352000000001E-4</v>
      </c>
    </row>
    <row r="149" spans="6:22" ht="12.75" customHeight="1">
      <c r="F149" s="186" t="s">
        <v>504</v>
      </c>
      <c r="G149" s="65">
        <v>1493.7784108923338</v>
      </c>
      <c r="H149" s="65">
        <v>0</v>
      </c>
      <c r="I149" s="65">
        <v>0</v>
      </c>
      <c r="J149" s="65"/>
      <c r="K149" s="65"/>
      <c r="L149" s="188" t="s">
        <v>493</v>
      </c>
      <c r="M149" s="144" t="s">
        <v>494</v>
      </c>
      <c r="N149" s="144" t="s">
        <v>495</v>
      </c>
      <c r="O149" s="144" t="s">
        <v>505</v>
      </c>
      <c r="P149" s="144"/>
      <c r="Q149" s="145" t="str">
        <f t="shared" si="47"/>
        <v>Tier3</v>
      </c>
      <c r="R149" s="145" t="str">
        <f t="shared" si="48"/>
        <v>garage</v>
      </c>
      <c r="S149" s="145" t="str">
        <f t="shared" si="49"/>
        <v>HZ1</v>
      </c>
      <c r="T149" s="145" t="str">
        <f t="shared" si="50"/>
        <v>Any</v>
      </c>
      <c r="U149" s="145" t="str">
        <f t="shared" si="51"/>
        <v>AnySize</v>
      </c>
      <c r="V149" s="146">
        <f t="shared" si="52"/>
        <v>0.30443599999999998</v>
      </c>
    </row>
    <row r="150" spans="6:22" ht="12.75" customHeight="1">
      <c r="F150" s="186" t="s">
        <v>506</v>
      </c>
      <c r="G150" s="65">
        <v>1354.6655083445532</v>
      </c>
      <c r="H150" s="65">
        <v>0</v>
      </c>
      <c r="I150" s="65">
        <v>0</v>
      </c>
      <c r="J150" s="65"/>
      <c r="K150" s="65"/>
      <c r="L150" s="188" t="s">
        <v>493</v>
      </c>
      <c r="M150" s="144" t="s">
        <v>494</v>
      </c>
      <c r="N150" s="144" t="s">
        <v>496</v>
      </c>
      <c r="O150" s="144" t="s">
        <v>505</v>
      </c>
      <c r="P150" s="144"/>
      <c r="Q150" s="145" t="str">
        <f t="shared" si="47"/>
        <v>Tier3</v>
      </c>
      <c r="R150" s="145" t="str">
        <f t="shared" si="48"/>
        <v>garage</v>
      </c>
      <c r="S150" s="145" t="str">
        <f t="shared" si="49"/>
        <v>HZ2</v>
      </c>
      <c r="T150" s="145" t="str">
        <f t="shared" si="50"/>
        <v>Any</v>
      </c>
      <c r="U150" s="145" t="str">
        <f t="shared" si="51"/>
        <v>AnySize</v>
      </c>
      <c r="V150" s="146">
        <f t="shared" si="52"/>
        <v>3.4254E-2</v>
      </c>
    </row>
    <row r="151" spans="6:22" ht="12.75" customHeight="1">
      <c r="F151" s="186" t="s">
        <v>507</v>
      </c>
      <c r="G151" s="65">
        <v>1318.2282734553073</v>
      </c>
      <c r="H151" s="65">
        <v>0</v>
      </c>
      <c r="I151" s="65">
        <v>0</v>
      </c>
      <c r="J151" s="65"/>
      <c r="K151" s="65"/>
      <c r="L151" s="188" t="s">
        <v>493</v>
      </c>
      <c r="M151" s="144" t="s">
        <v>494</v>
      </c>
      <c r="N151" s="144" t="s">
        <v>497</v>
      </c>
      <c r="O151" s="144" t="s">
        <v>505</v>
      </c>
      <c r="P151" s="144"/>
      <c r="Q151" s="145" t="str">
        <f t="shared" si="47"/>
        <v>Tier3</v>
      </c>
      <c r="R151" s="145" t="str">
        <f t="shared" si="48"/>
        <v>garage</v>
      </c>
      <c r="S151" s="145" t="str">
        <f t="shared" si="49"/>
        <v>HZ3</v>
      </c>
      <c r="T151" s="145" t="str">
        <f t="shared" si="50"/>
        <v>Any</v>
      </c>
      <c r="U151" s="145" t="str">
        <f t="shared" si="51"/>
        <v>AnySize</v>
      </c>
      <c r="V151" s="146">
        <f t="shared" si="52"/>
        <v>7.1999999999999998E-3</v>
      </c>
    </row>
    <row r="152" spans="6:22" ht="12.75" customHeight="1">
      <c r="F152" s="186" t="s">
        <v>508</v>
      </c>
      <c r="G152" s="65">
        <v>1496.8027251220403</v>
      </c>
      <c r="H152" s="65">
        <v>0</v>
      </c>
      <c r="I152" s="65">
        <v>0</v>
      </c>
      <c r="J152" s="65"/>
      <c r="K152" s="65"/>
      <c r="L152" s="188" t="s">
        <v>493</v>
      </c>
      <c r="M152" s="144" t="s">
        <v>498</v>
      </c>
      <c r="N152" s="144" t="s">
        <v>495</v>
      </c>
      <c r="O152" s="144" t="s">
        <v>505</v>
      </c>
      <c r="P152" s="144"/>
      <c r="Q152" s="145" t="str">
        <f t="shared" si="47"/>
        <v>Tier3</v>
      </c>
      <c r="R152" s="145" t="str">
        <f t="shared" si="48"/>
        <v>Unheated Basement</v>
      </c>
      <c r="S152" s="145" t="str">
        <f t="shared" si="49"/>
        <v>HZ1</v>
      </c>
      <c r="T152" s="145" t="str">
        <f t="shared" si="50"/>
        <v>Any</v>
      </c>
      <c r="U152" s="145" t="str">
        <f t="shared" si="51"/>
        <v>AnySize</v>
      </c>
      <c r="V152" s="146">
        <f t="shared" si="52"/>
        <v>0.22664399999999998</v>
      </c>
    </row>
    <row r="153" spans="6:22" ht="12.75" customHeight="1">
      <c r="F153" s="186" t="s">
        <v>509</v>
      </c>
      <c r="G153" s="65">
        <v>1455.144695442337</v>
      </c>
      <c r="H153" s="65">
        <v>0</v>
      </c>
      <c r="I153" s="65">
        <v>0</v>
      </c>
      <c r="J153" s="65"/>
      <c r="K153" s="65"/>
      <c r="L153" s="188" t="s">
        <v>493</v>
      </c>
      <c r="M153" s="144" t="s">
        <v>498</v>
      </c>
      <c r="N153" s="144" t="s">
        <v>496</v>
      </c>
      <c r="O153" s="144" t="s">
        <v>505</v>
      </c>
      <c r="P153" s="144"/>
      <c r="Q153" s="145" t="str">
        <f t="shared" si="47"/>
        <v>Tier3</v>
      </c>
      <c r="R153" s="145" t="str">
        <f t="shared" si="48"/>
        <v>Unheated Basement</v>
      </c>
      <c r="S153" s="145" t="str">
        <f t="shared" si="49"/>
        <v>HZ2</v>
      </c>
      <c r="T153" s="145" t="str">
        <f t="shared" si="50"/>
        <v>Any</v>
      </c>
      <c r="U153" s="145" t="str">
        <f t="shared" si="51"/>
        <v>AnySize</v>
      </c>
      <c r="V153" s="146">
        <f t="shared" si="52"/>
        <v>8.3039999999999989E-2</v>
      </c>
    </row>
    <row r="154" spans="6:22" ht="12.75" customHeight="1">
      <c r="F154" s="186" t="s">
        <v>510</v>
      </c>
      <c r="G154" s="65">
        <v>1484.397793378864</v>
      </c>
      <c r="H154" s="65">
        <v>0</v>
      </c>
      <c r="I154" s="65">
        <v>0</v>
      </c>
      <c r="J154" s="65"/>
      <c r="K154" s="65"/>
      <c r="L154" s="188" t="s">
        <v>493</v>
      </c>
      <c r="M154" s="144" t="s">
        <v>498</v>
      </c>
      <c r="N154" s="144" t="s">
        <v>497</v>
      </c>
      <c r="O154" s="144" t="s">
        <v>505</v>
      </c>
      <c r="P154" s="144"/>
      <c r="Q154" s="145" t="str">
        <f t="shared" si="47"/>
        <v>Tier3</v>
      </c>
      <c r="R154" s="145" t="str">
        <f t="shared" si="48"/>
        <v>Unheated Basement</v>
      </c>
      <c r="S154" s="145" t="str">
        <f t="shared" si="49"/>
        <v>HZ3</v>
      </c>
      <c r="T154" s="145" t="str">
        <f t="shared" si="50"/>
        <v>Any</v>
      </c>
      <c r="U154" s="145" t="str">
        <f t="shared" si="51"/>
        <v>AnySize</v>
      </c>
      <c r="V154" s="146">
        <f t="shared" si="52"/>
        <v>4.9279999999999997E-2</v>
      </c>
    </row>
    <row r="155" spans="6:22" ht="12.75" customHeight="1">
      <c r="F155" s="186" t="s">
        <v>511</v>
      </c>
      <c r="G155" s="65">
        <v>1623.155327311586</v>
      </c>
      <c r="H155" s="65">
        <v>-14.683441317782101</v>
      </c>
      <c r="I155" s="65">
        <v>22.430435722683406</v>
      </c>
      <c r="J155" s="65"/>
      <c r="K155" s="65"/>
      <c r="L155" s="188" t="s">
        <v>493</v>
      </c>
      <c r="M155" s="144" t="s">
        <v>499</v>
      </c>
      <c r="N155" s="144" t="s">
        <v>495</v>
      </c>
      <c r="O155" s="144" t="s">
        <v>500</v>
      </c>
      <c r="P155" s="144" t="s">
        <v>505</v>
      </c>
      <c r="Q155" s="145" t="str">
        <f t="shared" si="47"/>
        <v>Tier3</v>
      </c>
      <c r="R155" s="145" t="str">
        <f t="shared" si="48"/>
        <v>Interior</v>
      </c>
      <c r="S155" s="145" t="str">
        <f t="shared" si="49"/>
        <v>HZ1</v>
      </c>
      <c r="T155" s="145" t="str">
        <f t="shared" si="50"/>
        <v>gas</v>
      </c>
      <c r="U155" s="145" t="str">
        <f t="shared" si="51"/>
        <v>AnySize</v>
      </c>
      <c r="V155" s="146">
        <f t="shared" si="52"/>
        <v>0.13360883711999993</v>
      </c>
    </row>
    <row r="156" spans="6:22" ht="12.75" customHeight="1">
      <c r="F156" s="186" t="s">
        <v>512</v>
      </c>
      <c r="G156" s="65">
        <v>1618.0213873959494</v>
      </c>
      <c r="H156" s="65">
        <v>-610.453555869002</v>
      </c>
      <c r="I156" s="65">
        <v>0</v>
      </c>
      <c r="J156" s="65"/>
      <c r="K156" s="65"/>
      <c r="L156" s="188" t="s">
        <v>493</v>
      </c>
      <c r="M156" s="144" t="s">
        <v>499</v>
      </c>
      <c r="N156" s="144" t="s">
        <v>495</v>
      </c>
      <c r="O156" s="144" t="s">
        <v>501</v>
      </c>
      <c r="P156" s="144" t="s">
        <v>505</v>
      </c>
      <c r="Q156" s="145" t="str">
        <f t="shared" si="47"/>
        <v>Tier3</v>
      </c>
      <c r="R156" s="145" t="str">
        <f t="shared" si="48"/>
        <v>Interior</v>
      </c>
      <c r="S156" s="145" t="str">
        <f t="shared" si="49"/>
        <v>HZ1</v>
      </c>
      <c r="T156" s="145" t="str">
        <f t="shared" si="50"/>
        <v>Electric Resistance</v>
      </c>
      <c r="U156" s="145" t="str">
        <f t="shared" si="51"/>
        <v>AnySize</v>
      </c>
      <c r="V156" s="146">
        <f t="shared" si="52"/>
        <v>4.141957248E-2</v>
      </c>
    </row>
    <row r="157" spans="6:22" ht="12.75" customHeight="1">
      <c r="F157" s="186" t="s">
        <v>513</v>
      </c>
      <c r="G157" s="65">
        <v>1614.3168554633639</v>
      </c>
      <c r="H157" s="65">
        <v>-294.26694522679935</v>
      </c>
      <c r="I157" s="65">
        <v>47.088609720955041</v>
      </c>
      <c r="J157" s="65"/>
      <c r="K157" s="65"/>
      <c r="L157" s="188" t="s">
        <v>493</v>
      </c>
      <c r="M157" s="144" t="s">
        <v>499</v>
      </c>
      <c r="N157" s="144" t="s">
        <v>495</v>
      </c>
      <c r="O157" s="144" t="s">
        <v>502</v>
      </c>
      <c r="P157" s="144" t="s">
        <v>505</v>
      </c>
      <c r="Q157" s="145" t="str">
        <f t="shared" si="47"/>
        <v>Tier3</v>
      </c>
      <c r="R157" s="145" t="str">
        <f t="shared" si="48"/>
        <v>Interior</v>
      </c>
      <c r="S157" s="145" t="str">
        <f t="shared" si="49"/>
        <v>HZ1</v>
      </c>
      <c r="T157" s="145" t="str">
        <f t="shared" si="50"/>
        <v>Heat Pump HSPF 8.5</v>
      </c>
      <c r="U157" s="145" t="str">
        <f t="shared" si="51"/>
        <v>AnySize</v>
      </c>
      <c r="V157" s="146">
        <f t="shared" si="52"/>
        <v>3.3193966079999998E-2</v>
      </c>
    </row>
    <row r="158" spans="6:22" ht="12.75" customHeight="1">
      <c r="F158" s="186" t="s">
        <v>514</v>
      </c>
      <c r="G158" s="65">
        <v>1617.3496649115943</v>
      </c>
      <c r="H158" s="65">
        <v>-13.605544442650391</v>
      </c>
      <c r="I158" s="65">
        <v>39.283365296022964</v>
      </c>
      <c r="J158" s="65"/>
      <c r="K158" s="65"/>
      <c r="L158" s="188" t="s">
        <v>493</v>
      </c>
      <c r="M158" s="144" t="s">
        <v>499</v>
      </c>
      <c r="N158" s="144" t="s">
        <v>496</v>
      </c>
      <c r="O158" s="144" t="s">
        <v>500</v>
      </c>
      <c r="P158" s="144" t="s">
        <v>505</v>
      </c>
      <c r="Q158" s="145" t="str">
        <f t="shared" si="47"/>
        <v>Tier3</v>
      </c>
      <c r="R158" s="145" t="str">
        <f t="shared" si="48"/>
        <v>Interior</v>
      </c>
      <c r="S158" s="145" t="str">
        <f t="shared" si="49"/>
        <v>HZ2</v>
      </c>
      <c r="T158" s="145" t="str">
        <f t="shared" si="50"/>
        <v>gas</v>
      </c>
      <c r="U158" s="145" t="str">
        <f t="shared" si="51"/>
        <v>AnySize</v>
      </c>
      <c r="V158" s="146">
        <f t="shared" si="52"/>
        <v>3.4311330815999991E-2</v>
      </c>
    </row>
    <row r="159" spans="6:22" ht="12.75" customHeight="1">
      <c r="F159" s="186" t="s">
        <v>515</v>
      </c>
      <c r="G159" s="65">
        <v>1614.5999046503812</v>
      </c>
      <c r="H159" s="65">
        <v>-519.25762842678159</v>
      </c>
      <c r="I159" s="65">
        <v>0</v>
      </c>
      <c r="J159" s="65"/>
      <c r="K159" s="65"/>
      <c r="L159" s="188" t="s">
        <v>493</v>
      </c>
      <c r="M159" s="144" t="s">
        <v>499</v>
      </c>
      <c r="N159" s="144" t="s">
        <v>496</v>
      </c>
      <c r="O159" s="144" t="s">
        <v>501</v>
      </c>
      <c r="P159" s="144" t="s">
        <v>505</v>
      </c>
      <c r="Q159" s="145" t="str">
        <f t="shared" si="47"/>
        <v>Tier3</v>
      </c>
      <c r="R159" s="145" t="str">
        <f t="shared" si="48"/>
        <v>Interior</v>
      </c>
      <c r="S159" s="145" t="str">
        <f t="shared" si="49"/>
        <v>HZ2</v>
      </c>
      <c r="T159" s="145" t="str">
        <f t="shared" si="50"/>
        <v>Electric Resistance</v>
      </c>
      <c r="U159" s="145" t="str">
        <f t="shared" si="51"/>
        <v>AnySize</v>
      </c>
      <c r="V159" s="146">
        <f t="shared" si="52"/>
        <v>1.0636726464000001E-2</v>
      </c>
    </row>
    <row r="160" spans="6:22" ht="12.75" customHeight="1">
      <c r="F160" s="186" t="s">
        <v>516</v>
      </c>
      <c r="G160" s="65">
        <v>1603.546958357048</v>
      </c>
      <c r="H160" s="65">
        <v>-369.52525998141886</v>
      </c>
      <c r="I160" s="65">
        <v>79.941517620570821</v>
      </c>
      <c r="J160" s="65"/>
      <c r="K160" s="65"/>
      <c r="L160" s="188" t="s">
        <v>493</v>
      </c>
      <c r="M160" s="144" t="s">
        <v>499</v>
      </c>
      <c r="N160" s="144" t="s">
        <v>496</v>
      </c>
      <c r="O160" s="144" t="s">
        <v>502</v>
      </c>
      <c r="P160" s="144" t="s">
        <v>505</v>
      </c>
      <c r="Q160" s="145" t="str">
        <f t="shared" si="47"/>
        <v>Tier3</v>
      </c>
      <c r="R160" s="145" t="str">
        <f t="shared" si="48"/>
        <v>Interior</v>
      </c>
      <c r="S160" s="145" t="str">
        <f t="shared" si="49"/>
        <v>HZ2</v>
      </c>
      <c r="T160" s="145" t="str">
        <f t="shared" si="50"/>
        <v>Heat Pump HSPF 8.5</v>
      </c>
      <c r="U160" s="145" t="str">
        <f t="shared" si="51"/>
        <v>AnySize</v>
      </c>
      <c r="V160" s="146">
        <f t="shared" si="52"/>
        <v>8.5243549439999993E-3</v>
      </c>
    </row>
    <row r="161" spans="6:22" ht="12.75" customHeight="1">
      <c r="F161" s="186" t="s">
        <v>517</v>
      </c>
      <c r="G161" s="65">
        <v>1668.9452530279459</v>
      </c>
      <c r="H161" s="65">
        <v>-13.19094268241748</v>
      </c>
      <c r="I161" s="65">
        <v>35.781109076484007</v>
      </c>
      <c r="J161" s="65"/>
      <c r="K161" s="65"/>
      <c r="L161" s="188" t="s">
        <v>493</v>
      </c>
      <c r="M161" s="144" t="s">
        <v>499</v>
      </c>
      <c r="N161" s="144" t="s">
        <v>497</v>
      </c>
      <c r="O161" s="144" t="s">
        <v>500</v>
      </c>
      <c r="P161" s="144" t="s">
        <v>505</v>
      </c>
      <c r="Q161" s="145" t="str">
        <f t="shared" si="47"/>
        <v>Tier3</v>
      </c>
      <c r="R161" s="145" t="str">
        <f t="shared" si="48"/>
        <v>Interior</v>
      </c>
      <c r="S161" s="145" t="str">
        <f t="shared" si="49"/>
        <v>HZ3</v>
      </c>
      <c r="T161" s="145" t="str">
        <f t="shared" si="50"/>
        <v>gas</v>
      </c>
      <c r="U161" s="145" t="str">
        <f t="shared" si="51"/>
        <v>AnySize</v>
      </c>
      <c r="V161" s="146">
        <f t="shared" si="52"/>
        <v>1.4486814719999996E-2</v>
      </c>
    </row>
    <row r="162" spans="6:22" ht="12.75" customHeight="1">
      <c r="F162" s="186" t="s">
        <v>518</v>
      </c>
      <c r="G162" s="65">
        <v>1665.1717464350836</v>
      </c>
      <c r="H162" s="65">
        <v>-491.42991036300288</v>
      </c>
      <c r="I162" s="65">
        <v>0</v>
      </c>
      <c r="J162" s="65"/>
      <c r="K162" s="65"/>
      <c r="L162" s="188" t="s">
        <v>493</v>
      </c>
      <c r="M162" s="144" t="s">
        <v>499</v>
      </c>
      <c r="N162" s="144" t="s">
        <v>497</v>
      </c>
      <c r="O162" s="144" t="s">
        <v>501</v>
      </c>
      <c r="P162" s="144" t="s">
        <v>505</v>
      </c>
      <c r="Q162" s="145" t="str">
        <f t="shared" si="47"/>
        <v>Tier3</v>
      </c>
      <c r="R162" s="145" t="str">
        <f t="shared" si="48"/>
        <v>Interior</v>
      </c>
      <c r="S162" s="145" t="str">
        <f t="shared" si="49"/>
        <v>HZ3</v>
      </c>
      <c r="T162" s="145" t="str">
        <f t="shared" si="50"/>
        <v>Electric Resistance</v>
      </c>
      <c r="U162" s="145" t="str">
        <f t="shared" si="51"/>
        <v>AnySize</v>
      </c>
      <c r="V162" s="146">
        <f t="shared" si="52"/>
        <v>4.49100288E-3</v>
      </c>
    </row>
    <row r="163" spans="6:22" ht="12.75" customHeight="1">
      <c r="F163" s="186" t="s">
        <v>519</v>
      </c>
      <c r="G163" s="65">
        <v>1655.7629450815864</v>
      </c>
      <c r="H163" s="65">
        <v>-381.91329926381593</v>
      </c>
      <c r="I163" s="65">
        <v>72.51443257865354</v>
      </c>
      <c r="J163" s="65"/>
      <c r="K163" s="65"/>
      <c r="L163" s="188" t="s">
        <v>493</v>
      </c>
      <c r="M163" s="144" t="s">
        <v>499</v>
      </c>
      <c r="N163" s="144" t="s">
        <v>497</v>
      </c>
      <c r="O163" s="144" t="s">
        <v>502</v>
      </c>
      <c r="P163" s="144" t="s">
        <v>505</v>
      </c>
      <c r="Q163" s="145" t="str">
        <f t="shared" si="47"/>
        <v>Tier3</v>
      </c>
      <c r="R163" s="145" t="str">
        <f t="shared" si="48"/>
        <v>Interior</v>
      </c>
      <c r="S163" s="145" t="str">
        <f t="shared" si="49"/>
        <v>HZ3</v>
      </c>
      <c r="T163" s="145" t="str">
        <f t="shared" si="50"/>
        <v>Heat Pump HSPF 8.5</v>
      </c>
      <c r="U163" s="145" t="str">
        <f t="shared" si="51"/>
        <v>AnySize</v>
      </c>
      <c r="V163" s="146">
        <f t="shared" si="52"/>
        <v>3.5991244800000002E-3</v>
      </c>
    </row>
    <row r="164" spans="6:22" ht="12.75" customHeight="1">
      <c r="F164" s="186" t="s">
        <v>520</v>
      </c>
      <c r="G164" s="65">
        <v>1625.4493493954888</v>
      </c>
      <c r="H164" s="65">
        <v>-9.9735426495222228</v>
      </c>
      <c r="I164" s="65">
        <v>-7.7190573346947211</v>
      </c>
      <c r="J164" s="65"/>
      <c r="K164" s="65"/>
      <c r="L164" s="188" t="s">
        <v>493</v>
      </c>
      <c r="M164" s="144" t="s">
        <v>503</v>
      </c>
      <c r="N164" s="144" t="s">
        <v>495</v>
      </c>
      <c r="O164" s="144" t="s">
        <v>500</v>
      </c>
      <c r="P164" s="144" t="s">
        <v>505</v>
      </c>
      <c r="Q164" s="145" t="str">
        <f t="shared" si="47"/>
        <v>Tier3</v>
      </c>
      <c r="R164" s="145" t="str">
        <f t="shared" si="48"/>
        <v>Interior - Exhaust Ducted</v>
      </c>
      <c r="S164" s="145" t="str">
        <f t="shared" si="49"/>
        <v>HZ1</v>
      </c>
      <c r="T164" s="145" t="str">
        <f t="shared" si="50"/>
        <v>gas</v>
      </c>
      <c r="U164" s="145" t="str">
        <f t="shared" si="51"/>
        <v>AnySize</v>
      </c>
      <c r="V164" s="146">
        <f t="shared" si="52"/>
        <v>5.5670348799999984E-3</v>
      </c>
    </row>
    <row r="165" spans="6:22" ht="12.75" customHeight="1">
      <c r="F165" s="186" t="s">
        <v>521</v>
      </c>
      <c r="G165" s="65">
        <v>1621.225110590244</v>
      </c>
      <c r="H165" s="65">
        <v>-411.24357105752915</v>
      </c>
      <c r="I165" s="65">
        <v>0</v>
      </c>
      <c r="J165" s="65"/>
      <c r="K165" s="65"/>
      <c r="L165" s="188" t="s">
        <v>493</v>
      </c>
      <c r="M165" s="144" t="s">
        <v>503</v>
      </c>
      <c r="N165" s="144" t="s">
        <v>495</v>
      </c>
      <c r="O165" s="144" t="s">
        <v>501</v>
      </c>
      <c r="P165" s="144" t="s">
        <v>505</v>
      </c>
      <c r="Q165" s="145" t="str">
        <f t="shared" si="47"/>
        <v>Tier3</v>
      </c>
      <c r="R165" s="145" t="str">
        <f t="shared" si="48"/>
        <v>Interior - Exhaust Ducted</v>
      </c>
      <c r="S165" s="145" t="str">
        <f t="shared" si="49"/>
        <v>HZ1</v>
      </c>
      <c r="T165" s="145" t="str">
        <f t="shared" si="50"/>
        <v>Electric Resistance</v>
      </c>
      <c r="U165" s="145" t="str">
        <f t="shared" si="51"/>
        <v>AnySize</v>
      </c>
      <c r="V165" s="146">
        <f t="shared" si="52"/>
        <v>1.72581552E-3</v>
      </c>
    </row>
    <row r="166" spans="6:22" ht="12.75" customHeight="1">
      <c r="F166" s="186" t="s">
        <v>522</v>
      </c>
      <c r="G166" s="65">
        <v>1616.3024963948299</v>
      </c>
      <c r="H166" s="65">
        <v>-213.50056967543861</v>
      </c>
      <c r="I166" s="65">
        <v>-14.779546468732953</v>
      </c>
      <c r="J166" s="65"/>
      <c r="K166" s="65"/>
      <c r="L166" s="188" t="s">
        <v>493</v>
      </c>
      <c r="M166" s="144" t="s">
        <v>503</v>
      </c>
      <c r="N166" s="144" t="s">
        <v>495</v>
      </c>
      <c r="O166" s="144" t="s">
        <v>502</v>
      </c>
      <c r="P166" s="144" t="s">
        <v>505</v>
      </c>
      <c r="Q166" s="145" t="str">
        <f t="shared" si="47"/>
        <v>Tier3</v>
      </c>
      <c r="R166" s="145" t="str">
        <f t="shared" si="48"/>
        <v>Interior - Exhaust Ducted</v>
      </c>
      <c r="S166" s="145" t="str">
        <f t="shared" si="49"/>
        <v>HZ1</v>
      </c>
      <c r="T166" s="145" t="str">
        <f t="shared" si="50"/>
        <v>Heat Pump HSPF 8.5</v>
      </c>
      <c r="U166" s="145" t="str">
        <f t="shared" si="51"/>
        <v>AnySize</v>
      </c>
      <c r="V166" s="146">
        <f t="shared" si="52"/>
        <v>1.38308192E-3</v>
      </c>
    </row>
    <row r="167" spans="6:22" ht="12.75" customHeight="1">
      <c r="F167" s="186" t="s">
        <v>523</v>
      </c>
      <c r="G167" s="65">
        <v>1620.4302780950375</v>
      </c>
      <c r="H167" s="65">
        <v>-12.566127875468297</v>
      </c>
      <c r="I167" s="65">
        <v>-22.604118686105704</v>
      </c>
      <c r="J167" s="65"/>
      <c r="K167" s="65"/>
      <c r="L167" s="188" t="s">
        <v>493</v>
      </c>
      <c r="M167" s="144" t="s">
        <v>503</v>
      </c>
      <c r="N167" s="144" t="s">
        <v>496</v>
      </c>
      <c r="O167" s="144" t="s">
        <v>500</v>
      </c>
      <c r="P167" s="144" t="s">
        <v>505</v>
      </c>
      <c r="Q167" s="145" t="str">
        <f t="shared" si="47"/>
        <v>Tier3</v>
      </c>
      <c r="R167" s="145" t="str">
        <f t="shared" si="48"/>
        <v>Interior - Exhaust Ducted</v>
      </c>
      <c r="S167" s="145" t="str">
        <f t="shared" si="49"/>
        <v>HZ2</v>
      </c>
      <c r="T167" s="145" t="str">
        <f t="shared" si="50"/>
        <v>gas</v>
      </c>
      <c r="U167" s="145" t="str">
        <f t="shared" si="51"/>
        <v>AnySize</v>
      </c>
      <c r="V167" s="146">
        <f t="shared" si="52"/>
        <v>1.4296387839999997E-3</v>
      </c>
    </row>
    <row r="168" spans="6:22" ht="12.75" customHeight="1">
      <c r="F168" s="186" t="s">
        <v>524</v>
      </c>
      <c r="G168" s="65">
        <v>1618.3360435543063</v>
      </c>
      <c r="H168" s="65">
        <v>-477.05783542281102</v>
      </c>
      <c r="I168" s="65">
        <v>0</v>
      </c>
      <c r="J168" s="65"/>
      <c r="K168" s="65"/>
      <c r="L168" s="188" t="s">
        <v>493</v>
      </c>
      <c r="M168" s="144" t="s">
        <v>503</v>
      </c>
      <c r="N168" s="144" t="s">
        <v>496</v>
      </c>
      <c r="O168" s="144" t="s">
        <v>501</v>
      </c>
      <c r="P168" s="144" t="s">
        <v>505</v>
      </c>
      <c r="Q168" s="145" t="str">
        <f t="shared" si="47"/>
        <v>Tier3</v>
      </c>
      <c r="R168" s="145" t="str">
        <f t="shared" si="48"/>
        <v>Interior - Exhaust Ducted</v>
      </c>
      <c r="S168" s="145" t="str">
        <f t="shared" si="49"/>
        <v>HZ2</v>
      </c>
      <c r="T168" s="145" t="str">
        <f t="shared" si="50"/>
        <v>Electric Resistance</v>
      </c>
      <c r="U168" s="145" t="str">
        <f t="shared" si="51"/>
        <v>AnySize</v>
      </c>
      <c r="V168" s="146">
        <f t="shared" si="52"/>
        <v>4.4319693600000003E-4</v>
      </c>
    </row>
    <row r="169" spans="6:22" ht="12.75" customHeight="1">
      <c r="F169" s="186" t="s">
        <v>525</v>
      </c>
      <c r="G169" s="65">
        <v>1605.0941707945294</v>
      </c>
      <c r="H169" s="65">
        <v>-396.69291780475305</v>
      </c>
      <c r="I169" s="65">
        <v>-44.136880259702863</v>
      </c>
      <c r="J169" s="65"/>
      <c r="K169" s="65"/>
      <c r="L169" s="188" t="s">
        <v>493</v>
      </c>
      <c r="M169" s="144" t="s">
        <v>503</v>
      </c>
      <c r="N169" s="144" t="s">
        <v>496</v>
      </c>
      <c r="O169" s="144" t="s">
        <v>502</v>
      </c>
      <c r="P169" s="144" t="s">
        <v>505</v>
      </c>
      <c r="Q169" s="145" t="str">
        <f t="shared" si="47"/>
        <v>Tier3</v>
      </c>
      <c r="R169" s="145" t="str">
        <f t="shared" si="48"/>
        <v>Interior - Exhaust Ducted</v>
      </c>
      <c r="S169" s="145" t="str">
        <f t="shared" si="49"/>
        <v>HZ2</v>
      </c>
      <c r="T169" s="145" t="str">
        <f t="shared" si="50"/>
        <v>Heat Pump HSPF 8.5</v>
      </c>
      <c r="U169" s="145" t="str">
        <f t="shared" si="51"/>
        <v>AnySize</v>
      </c>
      <c r="V169" s="146">
        <f t="shared" si="52"/>
        <v>3.5518145600000001E-4</v>
      </c>
    </row>
    <row r="170" spans="6:22" ht="12.75" customHeight="1">
      <c r="F170" s="186" t="s">
        <v>526</v>
      </c>
      <c r="G170" s="65">
        <v>1671.6808854616352</v>
      </c>
      <c r="H170" s="65">
        <v>-13.076150034954175</v>
      </c>
      <c r="I170" s="65">
        <v>-17.270538976217985</v>
      </c>
      <c r="J170" s="65"/>
      <c r="K170" s="65"/>
      <c r="L170" s="188" t="s">
        <v>493</v>
      </c>
      <c r="M170" s="144" t="s">
        <v>503</v>
      </c>
      <c r="N170" s="144" t="s">
        <v>497</v>
      </c>
      <c r="O170" s="144" t="s">
        <v>500</v>
      </c>
      <c r="P170" s="144" t="s">
        <v>505</v>
      </c>
      <c r="Q170" s="145" t="str">
        <f t="shared" si="47"/>
        <v>Tier3</v>
      </c>
      <c r="R170" s="145" t="str">
        <f t="shared" si="48"/>
        <v>Interior - Exhaust Ducted</v>
      </c>
      <c r="S170" s="145" t="str">
        <f t="shared" si="49"/>
        <v>HZ3</v>
      </c>
      <c r="T170" s="145" t="str">
        <f t="shared" si="50"/>
        <v>gas</v>
      </c>
      <c r="U170" s="145" t="str">
        <f t="shared" si="51"/>
        <v>AnySize</v>
      </c>
      <c r="V170" s="146">
        <f t="shared" si="52"/>
        <v>6.0361727999999983E-4</v>
      </c>
    </row>
    <row r="171" spans="6:22" ht="12.75" customHeight="1">
      <c r="F171" s="186" t="s">
        <v>527</v>
      </c>
      <c r="G171" s="65">
        <v>1669.3229229222484</v>
      </c>
      <c r="H171" s="65">
        <v>-486.36630621075943</v>
      </c>
      <c r="I171" s="65">
        <v>0</v>
      </c>
      <c r="J171" s="65"/>
      <c r="K171" s="65"/>
      <c r="L171" s="188" t="s">
        <v>493</v>
      </c>
      <c r="M171" s="144" t="s">
        <v>503</v>
      </c>
      <c r="N171" s="144" t="s">
        <v>497</v>
      </c>
      <c r="O171" s="144" t="s">
        <v>501</v>
      </c>
      <c r="P171" s="144" t="s">
        <v>505</v>
      </c>
      <c r="Q171" s="145" t="str">
        <f t="shared" si="47"/>
        <v>Tier3</v>
      </c>
      <c r="R171" s="145" t="str">
        <f t="shared" si="48"/>
        <v>Interior - Exhaust Ducted</v>
      </c>
      <c r="S171" s="145" t="str">
        <f t="shared" si="49"/>
        <v>HZ3</v>
      </c>
      <c r="T171" s="145" t="str">
        <f t="shared" si="50"/>
        <v>Electric Resistance</v>
      </c>
      <c r="U171" s="145" t="str">
        <f t="shared" si="51"/>
        <v>AnySize</v>
      </c>
      <c r="V171" s="146">
        <f t="shared" si="52"/>
        <v>1.8712512000000002E-4</v>
      </c>
    </row>
    <row r="172" spans="6:22" ht="12.75" customHeight="1">
      <c r="F172" s="186" t="s">
        <v>528</v>
      </c>
      <c r="G172" s="65">
        <v>1657.2616255758592</v>
      </c>
      <c r="H172" s="65">
        <v>-439.74307783114011</v>
      </c>
      <c r="I172" s="65">
        <v>-33.73547355829249</v>
      </c>
      <c r="J172" s="65"/>
      <c r="K172" s="65"/>
      <c r="L172" s="188" t="s">
        <v>493</v>
      </c>
      <c r="M172" s="144" t="s">
        <v>503</v>
      </c>
      <c r="N172" s="144" t="s">
        <v>497</v>
      </c>
      <c r="O172" s="144" t="s">
        <v>502</v>
      </c>
      <c r="P172" s="144" t="s">
        <v>505</v>
      </c>
      <c r="Q172" s="145" t="str">
        <f t="shared" si="47"/>
        <v>Tier3</v>
      </c>
      <c r="R172" s="145" t="str">
        <f t="shared" si="48"/>
        <v>Interior - Exhaust Ducted</v>
      </c>
      <c r="S172" s="145" t="str">
        <f t="shared" si="49"/>
        <v>HZ3</v>
      </c>
      <c r="T172" s="145" t="str">
        <f t="shared" si="50"/>
        <v>Heat Pump HSPF 8.5</v>
      </c>
      <c r="U172" s="145" t="str">
        <f t="shared" si="51"/>
        <v>AnySize</v>
      </c>
      <c r="V172" s="146">
        <f t="shared" si="52"/>
        <v>1.4996352000000001E-4</v>
      </c>
    </row>
    <row r="173" spans="6:22" ht="12.75" customHeight="1">
      <c r="F173" s="186" t="s">
        <v>2379</v>
      </c>
      <c r="G173" s="65">
        <v>1674.7117197362504</v>
      </c>
      <c r="H173" s="65">
        <v>0</v>
      </c>
      <c r="I173" s="65">
        <v>0</v>
      </c>
      <c r="J173" s="65"/>
      <c r="K173" s="65"/>
      <c r="L173" s="188" t="s">
        <v>2403</v>
      </c>
      <c r="M173" s="144" t="s">
        <v>494</v>
      </c>
      <c r="N173" s="144" t="s">
        <v>495</v>
      </c>
      <c r="O173" s="144" t="s">
        <v>505</v>
      </c>
      <c r="P173" s="144"/>
      <c r="Q173" s="145" t="str">
        <f t="shared" si="47"/>
        <v>Tier4</v>
      </c>
      <c r="R173" s="145" t="str">
        <f t="shared" si="48"/>
        <v>garage</v>
      </c>
      <c r="S173" s="145" t="str">
        <f t="shared" si="49"/>
        <v>HZ1</v>
      </c>
      <c r="T173" s="145" t="str">
        <f t="shared" si="50"/>
        <v>Any</v>
      </c>
      <c r="U173" s="145" t="str">
        <f t="shared" si="51"/>
        <v>AnySize</v>
      </c>
      <c r="V173" s="146">
        <f t="shared" si="52"/>
        <v>0.30443599999999998</v>
      </c>
    </row>
    <row r="174" spans="6:22" ht="12.75" customHeight="1">
      <c r="F174" s="186" t="s">
        <v>2380</v>
      </c>
      <c r="G174" s="65">
        <v>1669.3934971791246</v>
      </c>
      <c r="H174" s="65">
        <v>0</v>
      </c>
      <c r="I174" s="65">
        <v>0</v>
      </c>
      <c r="J174" s="65"/>
      <c r="K174" s="65"/>
      <c r="L174" s="188" t="s">
        <v>2403</v>
      </c>
      <c r="M174" s="144" t="s">
        <v>494</v>
      </c>
      <c r="N174" s="144" t="s">
        <v>496</v>
      </c>
      <c r="O174" s="144" t="s">
        <v>505</v>
      </c>
      <c r="P174" s="144"/>
      <c r="Q174" s="145" t="str">
        <f t="shared" ref="Q174:Q196" si="53">L174</f>
        <v>Tier4</v>
      </c>
      <c r="R174" s="145" t="str">
        <f t="shared" ref="R174:R196" si="54">IF(M174="basmnt","Unheated Basement",IF(M174="indor2","Interior",IF(M174="ducted","Interior - Exhaust Ducted",M174)))</f>
        <v>garage</v>
      </c>
      <c r="S174" s="145" t="str">
        <f t="shared" ref="S174:S196" si="55">N174</f>
        <v>HZ2</v>
      </c>
      <c r="T174" s="145" t="str">
        <f t="shared" ref="T174:T196" si="56">IF(OR(P174="0-55gallons",P174="&gt;55gallons",P174="AnySize"),IF(O174="resistheat","Electric Resistance",IF(O174="hp85","Heat Pump HSPF 8.5",O174)),"Any")</f>
        <v>Any</v>
      </c>
      <c r="U174" s="145" t="str">
        <f t="shared" ref="U174:U196" si="57">IF(T174="Any",O174,P174)</f>
        <v>AnySize</v>
      </c>
      <c r="V174" s="146">
        <f t="shared" si="52"/>
        <v>3.4254E-2</v>
      </c>
    </row>
    <row r="175" spans="6:22" ht="12.75" customHeight="1">
      <c r="F175" s="186" t="s">
        <v>2381</v>
      </c>
      <c r="G175" s="65">
        <v>1662.8101744950338</v>
      </c>
      <c r="H175" s="65">
        <v>0</v>
      </c>
      <c r="I175" s="65">
        <v>0</v>
      </c>
      <c r="J175" s="65"/>
      <c r="K175" s="65"/>
      <c r="L175" s="188" t="s">
        <v>2403</v>
      </c>
      <c r="M175" s="144" t="s">
        <v>494</v>
      </c>
      <c r="N175" s="144" t="s">
        <v>497</v>
      </c>
      <c r="O175" s="144" t="s">
        <v>505</v>
      </c>
      <c r="P175" s="144"/>
      <c r="Q175" s="145" t="str">
        <f t="shared" si="53"/>
        <v>Tier4</v>
      </c>
      <c r="R175" s="145" t="str">
        <f t="shared" si="54"/>
        <v>garage</v>
      </c>
      <c r="S175" s="145" t="str">
        <f t="shared" si="55"/>
        <v>HZ3</v>
      </c>
      <c r="T175" s="145" t="str">
        <f t="shared" si="56"/>
        <v>Any</v>
      </c>
      <c r="U175" s="145" t="str">
        <f t="shared" si="57"/>
        <v>AnySize</v>
      </c>
      <c r="V175" s="146">
        <f t="shared" ref="V175:V196" si="58">IF(Q175="tier1",IFERROR(INDEX($J$229:$L$233,MATCH(R175&amp;T175,$I$229:$I$233,0),MATCH(S175,$J$227:$L$227,0)),""),IFERROR(INDEX($R$229:$T$236,MATCH(R175&amp;T175,$Q$229:$Q$236,0),MATCH(S175,$R$227:$T$227,0)),""))</f>
        <v>7.1999999999999998E-3</v>
      </c>
    </row>
    <row r="176" spans="6:22" ht="12.75" customHeight="1">
      <c r="F176" s="186" t="s">
        <v>2382</v>
      </c>
      <c r="G176" s="65">
        <v>1675.8776782104101</v>
      </c>
      <c r="H176" s="65">
        <v>0</v>
      </c>
      <c r="I176" s="65">
        <v>0</v>
      </c>
      <c r="J176" s="65"/>
      <c r="K176" s="65"/>
      <c r="L176" s="188" t="s">
        <v>2403</v>
      </c>
      <c r="M176" s="144" t="s">
        <v>498</v>
      </c>
      <c r="N176" s="144" t="s">
        <v>495</v>
      </c>
      <c r="O176" s="144" t="s">
        <v>505</v>
      </c>
      <c r="P176" s="144"/>
      <c r="Q176" s="145" t="str">
        <f t="shared" si="53"/>
        <v>Tier4</v>
      </c>
      <c r="R176" s="145" t="str">
        <f t="shared" si="54"/>
        <v>Unheated Basement</v>
      </c>
      <c r="S176" s="145" t="str">
        <f t="shared" si="55"/>
        <v>HZ1</v>
      </c>
      <c r="T176" s="145" t="str">
        <f t="shared" si="56"/>
        <v>Any</v>
      </c>
      <c r="U176" s="145" t="str">
        <f t="shared" si="57"/>
        <v>AnySize</v>
      </c>
      <c r="V176" s="146">
        <f t="shared" si="58"/>
        <v>0.22664399999999998</v>
      </c>
    </row>
    <row r="177" spans="6:22" ht="12.75" customHeight="1">
      <c r="F177" s="186" t="s">
        <v>2383</v>
      </c>
      <c r="G177" s="65">
        <v>1761.3109942745461</v>
      </c>
      <c r="H177" s="65">
        <v>0</v>
      </c>
      <c r="I177" s="65">
        <v>0</v>
      </c>
      <c r="J177" s="65"/>
      <c r="K177" s="65"/>
      <c r="L177" s="188" t="s">
        <v>2403</v>
      </c>
      <c r="M177" s="144" t="s">
        <v>498</v>
      </c>
      <c r="N177" s="144" t="s">
        <v>496</v>
      </c>
      <c r="O177" s="144" t="s">
        <v>505</v>
      </c>
      <c r="P177" s="144"/>
      <c r="Q177" s="145" t="str">
        <f t="shared" si="53"/>
        <v>Tier4</v>
      </c>
      <c r="R177" s="145" t="str">
        <f t="shared" si="54"/>
        <v>Unheated Basement</v>
      </c>
      <c r="S177" s="145" t="str">
        <f t="shared" si="55"/>
        <v>HZ2</v>
      </c>
      <c r="T177" s="145" t="str">
        <f t="shared" si="56"/>
        <v>Any</v>
      </c>
      <c r="U177" s="145" t="str">
        <f t="shared" si="57"/>
        <v>AnySize</v>
      </c>
      <c r="V177" s="146">
        <f t="shared" si="58"/>
        <v>8.3039999999999989E-2</v>
      </c>
    </row>
    <row r="178" spans="6:22" ht="12.75" customHeight="1">
      <c r="F178" s="186" t="s">
        <v>2384</v>
      </c>
      <c r="G178" s="65">
        <v>1821.5696889980736</v>
      </c>
      <c r="H178" s="65">
        <v>0</v>
      </c>
      <c r="I178" s="65">
        <v>0</v>
      </c>
      <c r="J178" s="65"/>
      <c r="K178" s="65"/>
      <c r="L178" s="188" t="s">
        <v>2403</v>
      </c>
      <c r="M178" s="144" t="s">
        <v>498</v>
      </c>
      <c r="N178" s="144" t="s">
        <v>497</v>
      </c>
      <c r="O178" s="144" t="s">
        <v>505</v>
      </c>
      <c r="P178" s="144"/>
      <c r="Q178" s="145" t="str">
        <f t="shared" si="53"/>
        <v>Tier4</v>
      </c>
      <c r="R178" s="145" t="str">
        <f t="shared" si="54"/>
        <v>Unheated Basement</v>
      </c>
      <c r="S178" s="145" t="str">
        <f t="shared" si="55"/>
        <v>HZ3</v>
      </c>
      <c r="T178" s="145" t="str">
        <f t="shared" si="56"/>
        <v>Any</v>
      </c>
      <c r="U178" s="145" t="str">
        <f t="shared" si="57"/>
        <v>AnySize</v>
      </c>
      <c r="V178" s="146">
        <f t="shared" si="58"/>
        <v>4.9279999999999997E-2</v>
      </c>
    </row>
    <row r="179" spans="6:22" ht="12.75" customHeight="1">
      <c r="F179" s="186" t="s">
        <v>2385</v>
      </c>
      <c r="G179" s="65">
        <v>1774.1597786086895</v>
      </c>
      <c r="H179" s="65">
        <v>-15.773931114571587</v>
      </c>
      <c r="I179" s="65">
        <v>21.160104243779497</v>
      </c>
      <c r="J179" s="65"/>
      <c r="K179" s="65"/>
      <c r="L179" s="188" t="s">
        <v>2403</v>
      </c>
      <c r="M179" s="144" t="s">
        <v>499</v>
      </c>
      <c r="N179" s="144" t="s">
        <v>495</v>
      </c>
      <c r="O179" s="144" t="s">
        <v>500</v>
      </c>
      <c r="P179" s="144" t="s">
        <v>505</v>
      </c>
      <c r="Q179" s="145" t="str">
        <f t="shared" si="53"/>
        <v>Tier4</v>
      </c>
      <c r="R179" s="145" t="str">
        <f t="shared" si="54"/>
        <v>Interior</v>
      </c>
      <c r="S179" s="145" t="str">
        <f t="shared" si="55"/>
        <v>HZ1</v>
      </c>
      <c r="T179" s="145" t="str">
        <f t="shared" si="56"/>
        <v>gas</v>
      </c>
      <c r="U179" s="145" t="str">
        <f t="shared" si="57"/>
        <v>AnySize</v>
      </c>
      <c r="V179" s="146">
        <f t="shared" si="58"/>
        <v>0.13360883711999993</v>
      </c>
    </row>
    <row r="180" spans="6:22" ht="12.75" customHeight="1">
      <c r="F180" s="186" t="s">
        <v>2386</v>
      </c>
      <c r="G180" s="65">
        <v>1771.5079661686837</v>
      </c>
      <c r="H180" s="65">
        <v>-660.30571270596738</v>
      </c>
      <c r="I180" s="65">
        <v>0</v>
      </c>
      <c r="J180" s="65"/>
      <c r="K180" s="65"/>
      <c r="L180" s="188" t="s">
        <v>2403</v>
      </c>
      <c r="M180" s="144" t="s">
        <v>499</v>
      </c>
      <c r="N180" s="144" t="s">
        <v>495</v>
      </c>
      <c r="O180" s="144" t="s">
        <v>501</v>
      </c>
      <c r="P180" s="144" t="s">
        <v>505</v>
      </c>
      <c r="Q180" s="145" t="str">
        <f t="shared" si="53"/>
        <v>Tier4</v>
      </c>
      <c r="R180" s="145" t="str">
        <f t="shared" si="54"/>
        <v>Interior</v>
      </c>
      <c r="S180" s="145" t="str">
        <f t="shared" si="55"/>
        <v>HZ1</v>
      </c>
      <c r="T180" s="145" t="str">
        <f t="shared" si="56"/>
        <v>Electric Resistance</v>
      </c>
      <c r="U180" s="145" t="str">
        <f t="shared" si="57"/>
        <v>AnySize</v>
      </c>
      <c r="V180" s="146">
        <f t="shared" si="58"/>
        <v>4.141957248E-2</v>
      </c>
    </row>
    <row r="181" spans="6:22" ht="12.75" customHeight="1">
      <c r="F181" s="186" t="s">
        <v>2387</v>
      </c>
      <c r="G181" s="65">
        <v>1768.5570206488403</v>
      </c>
      <c r="H181" s="65">
        <v>-321.82020259575563</v>
      </c>
      <c r="I181" s="65">
        <v>44.606675600010121</v>
      </c>
      <c r="J181" s="65"/>
      <c r="K181" s="65"/>
      <c r="L181" s="188" t="s">
        <v>2403</v>
      </c>
      <c r="M181" s="144" t="s">
        <v>499</v>
      </c>
      <c r="N181" s="144" t="s">
        <v>495</v>
      </c>
      <c r="O181" s="144" t="s">
        <v>502</v>
      </c>
      <c r="P181" s="144" t="s">
        <v>505</v>
      </c>
      <c r="Q181" s="145" t="str">
        <f t="shared" si="53"/>
        <v>Tier4</v>
      </c>
      <c r="R181" s="145" t="str">
        <f t="shared" si="54"/>
        <v>Interior</v>
      </c>
      <c r="S181" s="145" t="str">
        <f t="shared" si="55"/>
        <v>HZ1</v>
      </c>
      <c r="T181" s="145" t="str">
        <f t="shared" si="56"/>
        <v>Heat Pump HSPF 8.5</v>
      </c>
      <c r="U181" s="145" t="str">
        <f t="shared" si="57"/>
        <v>AnySize</v>
      </c>
      <c r="V181" s="146">
        <f t="shared" si="58"/>
        <v>3.3193966079999998E-2</v>
      </c>
    </row>
    <row r="182" spans="6:22" ht="12.75" customHeight="1">
      <c r="F182" s="186" t="s">
        <v>2388</v>
      </c>
      <c r="G182" s="65">
        <v>1892.1732014308134</v>
      </c>
      <c r="H182" s="65">
        <v>-16.240235025500311</v>
      </c>
      <c r="I182" s="65">
        <v>37.2371695217225</v>
      </c>
      <c r="J182" s="65"/>
      <c r="K182" s="65"/>
      <c r="L182" s="188" t="s">
        <v>2403</v>
      </c>
      <c r="M182" s="144" t="s">
        <v>499</v>
      </c>
      <c r="N182" s="144" t="s">
        <v>496</v>
      </c>
      <c r="O182" s="144" t="s">
        <v>500</v>
      </c>
      <c r="P182" s="144" t="s">
        <v>505</v>
      </c>
      <c r="Q182" s="145" t="str">
        <f t="shared" si="53"/>
        <v>Tier4</v>
      </c>
      <c r="R182" s="145" t="str">
        <f t="shared" si="54"/>
        <v>Interior</v>
      </c>
      <c r="S182" s="145" t="str">
        <f t="shared" si="55"/>
        <v>HZ2</v>
      </c>
      <c r="T182" s="145" t="str">
        <f t="shared" si="56"/>
        <v>gas</v>
      </c>
      <c r="U182" s="145" t="str">
        <f t="shared" si="57"/>
        <v>AnySize</v>
      </c>
      <c r="V182" s="146">
        <f t="shared" si="58"/>
        <v>3.4311330815999991E-2</v>
      </c>
    </row>
    <row r="183" spans="6:22" ht="12.75" customHeight="1">
      <c r="F183" s="186" t="s">
        <v>2389</v>
      </c>
      <c r="G183" s="65">
        <v>1891.5570895961318</v>
      </c>
      <c r="H183" s="65">
        <v>-623.19390458246778</v>
      </c>
      <c r="I183" s="65">
        <v>0</v>
      </c>
      <c r="J183" s="65"/>
      <c r="K183" s="65"/>
      <c r="L183" s="188" t="s">
        <v>2403</v>
      </c>
      <c r="M183" s="144" t="s">
        <v>499</v>
      </c>
      <c r="N183" s="144" t="s">
        <v>496</v>
      </c>
      <c r="O183" s="144" t="s">
        <v>501</v>
      </c>
      <c r="P183" s="144" t="s">
        <v>505</v>
      </c>
      <c r="Q183" s="145" t="str">
        <f t="shared" si="53"/>
        <v>Tier4</v>
      </c>
      <c r="R183" s="145" t="str">
        <f t="shared" si="54"/>
        <v>Interior</v>
      </c>
      <c r="S183" s="145" t="str">
        <f t="shared" si="55"/>
        <v>HZ2</v>
      </c>
      <c r="T183" s="145" t="str">
        <f t="shared" si="56"/>
        <v>Electric Resistance</v>
      </c>
      <c r="U183" s="145" t="str">
        <f t="shared" si="57"/>
        <v>AnySize</v>
      </c>
      <c r="V183" s="146">
        <f t="shared" si="58"/>
        <v>1.0636726464000001E-2</v>
      </c>
    </row>
    <row r="184" spans="6:22" ht="12.75" customHeight="1">
      <c r="F184" s="186" t="s">
        <v>2390</v>
      </c>
      <c r="G184" s="65">
        <v>1882.2877357570042</v>
      </c>
      <c r="H184" s="65">
        <v>-457.19965136314204</v>
      </c>
      <c r="I184" s="65">
        <v>75.747038531600339</v>
      </c>
      <c r="J184" s="65"/>
      <c r="K184" s="65"/>
      <c r="L184" s="188" t="s">
        <v>2403</v>
      </c>
      <c r="M184" s="144" t="s">
        <v>499</v>
      </c>
      <c r="N184" s="144" t="s">
        <v>496</v>
      </c>
      <c r="O184" s="144" t="s">
        <v>502</v>
      </c>
      <c r="P184" s="144" t="s">
        <v>505</v>
      </c>
      <c r="Q184" s="145" t="str">
        <f t="shared" si="53"/>
        <v>Tier4</v>
      </c>
      <c r="R184" s="145" t="str">
        <f t="shared" si="54"/>
        <v>Interior</v>
      </c>
      <c r="S184" s="145" t="str">
        <f t="shared" si="55"/>
        <v>HZ2</v>
      </c>
      <c r="T184" s="145" t="str">
        <f t="shared" si="56"/>
        <v>Heat Pump HSPF 8.5</v>
      </c>
      <c r="U184" s="145" t="str">
        <f t="shared" si="57"/>
        <v>AnySize</v>
      </c>
      <c r="V184" s="146">
        <f t="shared" si="58"/>
        <v>8.5243549439999993E-3</v>
      </c>
    </row>
    <row r="185" spans="6:22" ht="12.75" customHeight="1">
      <c r="F185" s="186" t="s">
        <v>2391</v>
      </c>
      <c r="G185" s="65">
        <v>1960.7982910835535</v>
      </c>
      <c r="H185" s="65">
        <v>-15.532588370111627</v>
      </c>
      <c r="I185" s="65">
        <v>35.354342427349074</v>
      </c>
      <c r="J185" s="65"/>
      <c r="K185" s="65"/>
      <c r="L185" s="188" t="s">
        <v>2403</v>
      </c>
      <c r="M185" s="144" t="s">
        <v>499</v>
      </c>
      <c r="N185" s="144" t="s">
        <v>497</v>
      </c>
      <c r="O185" s="144" t="s">
        <v>500</v>
      </c>
      <c r="P185" s="144" t="s">
        <v>505</v>
      </c>
      <c r="Q185" s="145" t="str">
        <f t="shared" si="53"/>
        <v>Tier4</v>
      </c>
      <c r="R185" s="145" t="str">
        <f t="shared" si="54"/>
        <v>Interior</v>
      </c>
      <c r="S185" s="145" t="str">
        <f t="shared" si="55"/>
        <v>HZ3</v>
      </c>
      <c r="T185" s="145" t="str">
        <f t="shared" si="56"/>
        <v>gas</v>
      </c>
      <c r="U185" s="145" t="str">
        <f t="shared" si="57"/>
        <v>AnySize</v>
      </c>
      <c r="V185" s="146">
        <f t="shared" si="58"/>
        <v>1.4486814719999996E-2</v>
      </c>
    </row>
    <row r="186" spans="6:22" ht="12.75" customHeight="1">
      <c r="F186" s="186" t="s">
        <v>2392</v>
      </c>
      <c r="G186" s="65">
        <v>1959.5981992432571</v>
      </c>
      <c r="H186" s="65">
        <v>-582.26485325828071</v>
      </c>
      <c r="I186" s="65">
        <v>0</v>
      </c>
      <c r="J186" s="65"/>
      <c r="K186" s="65"/>
      <c r="L186" s="188" t="s">
        <v>2403</v>
      </c>
      <c r="M186" s="144" t="s">
        <v>499</v>
      </c>
      <c r="N186" s="144" t="s">
        <v>497</v>
      </c>
      <c r="O186" s="144" t="s">
        <v>501</v>
      </c>
      <c r="P186" s="144" t="s">
        <v>505</v>
      </c>
      <c r="Q186" s="145" t="str">
        <f t="shared" si="53"/>
        <v>Tier4</v>
      </c>
      <c r="R186" s="145" t="str">
        <f t="shared" si="54"/>
        <v>Interior</v>
      </c>
      <c r="S186" s="145" t="str">
        <f t="shared" si="55"/>
        <v>HZ3</v>
      </c>
      <c r="T186" s="145" t="str">
        <f t="shared" si="56"/>
        <v>Electric Resistance</v>
      </c>
      <c r="U186" s="145" t="str">
        <f t="shared" si="57"/>
        <v>AnySize</v>
      </c>
      <c r="V186" s="146">
        <f t="shared" si="58"/>
        <v>4.49100288E-3</v>
      </c>
    </row>
    <row r="187" spans="6:22" ht="12.75" customHeight="1">
      <c r="F187" s="186" t="s">
        <v>2393</v>
      </c>
      <c r="G187" s="65">
        <v>1952.2831226814521</v>
      </c>
      <c r="H187" s="65">
        <v>-465.56405615553302</v>
      </c>
      <c r="I187" s="65">
        <v>71.754530107733743</v>
      </c>
      <c r="J187" s="65"/>
      <c r="K187" s="65"/>
      <c r="L187" s="188" t="s">
        <v>2403</v>
      </c>
      <c r="M187" s="144" t="s">
        <v>499</v>
      </c>
      <c r="N187" s="144" t="s">
        <v>497</v>
      </c>
      <c r="O187" s="144" t="s">
        <v>502</v>
      </c>
      <c r="P187" s="144" t="s">
        <v>505</v>
      </c>
      <c r="Q187" s="145" t="str">
        <f t="shared" si="53"/>
        <v>Tier4</v>
      </c>
      <c r="R187" s="145" t="str">
        <f t="shared" si="54"/>
        <v>Interior</v>
      </c>
      <c r="S187" s="145" t="str">
        <f t="shared" si="55"/>
        <v>HZ3</v>
      </c>
      <c r="T187" s="145" t="str">
        <f t="shared" si="56"/>
        <v>Heat Pump HSPF 8.5</v>
      </c>
      <c r="U187" s="145" t="str">
        <f t="shared" si="57"/>
        <v>AnySize</v>
      </c>
      <c r="V187" s="146">
        <f t="shared" si="58"/>
        <v>3.5991244800000002E-3</v>
      </c>
    </row>
    <row r="188" spans="6:22" ht="12.75" customHeight="1">
      <c r="F188" s="186" t="s">
        <v>2394</v>
      </c>
      <c r="G188" s="65">
        <v>1775.9994438981494</v>
      </c>
      <c r="H188" s="65">
        <v>-13.247496205592572</v>
      </c>
      <c r="I188" s="65">
        <v>-10.308443543483188</v>
      </c>
      <c r="J188" s="65"/>
      <c r="K188" s="65"/>
      <c r="L188" s="188" t="s">
        <v>2403</v>
      </c>
      <c r="M188" s="144" t="s">
        <v>503</v>
      </c>
      <c r="N188" s="144" t="s">
        <v>495</v>
      </c>
      <c r="O188" s="144" t="s">
        <v>500</v>
      </c>
      <c r="P188" s="144" t="s">
        <v>505</v>
      </c>
      <c r="Q188" s="145" t="str">
        <f t="shared" si="53"/>
        <v>Tier4</v>
      </c>
      <c r="R188" s="145" t="str">
        <f t="shared" si="54"/>
        <v>Interior - Exhaust Ducted</v>
      </c>
      <c r="S188" s="145" t="str">
        <f t="shared" si="55"/>
        <v>HZ1</v>
      </c>
      <c r="T188" s="145" t="str">
        <f t="shared" si="56"/>
        <v>gas</v>
      </c>
      <c r="U188" s="145" t="str">
        <f t="shared" si="57"/>
        <v>AnySize</v>
      </c>
      <c r="V188" s="146">
        <f t="shared" si="58"/>
        <v>5.5670348799999984E-3</v>
      </c>
    </row>
    <row r="189" spans="6:22" ht="12.75" customHeight="1">
      <c r="F189" s="186" t="s">
        <v>2395</v>
      </c>
      <c r="G189" s="65">
        <v>1774.2148922147703</v>
      </c>
      <c r="H189" s="65">
        <v>-553.12906901180509</v>
      </c>
      <c r="I189" s="65">
        <v>0</v>
      </c>
      <c r="J189" s="65"/>
      <c r="K189" s="65"/>
      <c r="L189" s="188" t="s">
        <v>2403</v>
      </c>
      <c r="M189" s="144" t="s">
        <v>503</v>
      </c>
      <c r="N189" s="144" t="s">
        <v>495</v>
      </c>
      <c r="O189" s="144" t="s">
        <v>501</v>
      </c>
      <c r="P189" s="144" t="s">
        <v>505</v>
      </c>
      <c r="Q189" s="145" t="str">
        <f t="shared" si="53"/>
        <v>Tier4</v>
      </c>
      <c r="R189" s="145" t="str">
        <f t="shared" si="54"/>
        <v>Interior - Exhaust Ducted</v>
      </c>
      <c r="S189" s="145" t="str">
        <f t="shared" si="55"/>
        <v>HZ1</v>
      </c>
      <c r="T189" s="145" t="str">
        <f t="shared" si="56"/>
        <v>Electric Resistance</v>
      </c>
      <c r="U189" s="145" t="str">
        <f t="shared" si="57"/>
        <v>AnySize</v>
      </c>
      <c r="V189" s="146">
        <f t="shared" si="58"/>
        <v>1.72581552E-3</v>
      </c>
    </row>
    <row r="190" spans="6:22" ht="12.75" customHeight="1">
      <c r="F190" s="186" t="s">
        <v>2396</v>
      </c>
      <c r="G190" s="65">
        <v>1770.2727208232714</v>
      </c>
      <c r="H190" s="65">
        <v>-290.46946143389255</v>
      </c>
      <c r="I190" s="65">
        <v>-20.186074325250754</v>
      </c>
      <c r="J190" s="65"/>
      <c r="K190" s="65"/>
      <c r="L190" s="188" t="s">
        <v>2403</v>
      </c>
      <c r="M190" s="144" t="s">
        <v>503</v>
      </c>
      <c r="N190" s="144" t="s">
        <v>495</v>
      </c>
      <c r="O190" s="144" t="s">
        <v>502</v>
      </c>
      <c r="P190" s="144" t="s">
        <v>505</v>
      </c>
      <c r="Q190" s="145" t="str">
        <f t="shared" si="53"/>
        <v>Tier4</v>
      </c>
      <c r="R190" s="145" t="str">
        <f t="shared" si="54"/>
        <v>Interior - Exhaust Ducted</v>
      </c>
      <c r="S190" s="145" t="str">
        <f t="shared" si="55"/>
        <v>HZ1</v>
      </c>
      <c r="T190" s="145" t="str">
        <f t="shared" si="56"/>
        <v>Heat Pump HSPF 8.5</v>
      </c>
      <c r="U190" s="145" t="str">
        <f t="shared" si="57"/>
        <v>AnySize</v>
      </c>
      <c r="V190" s="146">
        <f t="shared" si="58"/>
        <v>1.38308192E-3</v>
      </c>
    </row>
    <row r="191" spans="6:22" ht="12.75" customHeight="1">
      <c r="F191" s="186" t="s">
        <v>2397</v>
      </c>
      <c r="G191" s="65">
        <v>1894.3733776580443</v>
      </c>
      <c r="H191" s="65">
        <v>-19.350828452859204</v>
      </c>
      <c r="I191" s="65">
        <v>-29.075305154836805</v>
      </c>
      <c r="J191" s="65"/>
      <c r="K191" s="65"/>
      <c r="L191" s="188" t="s">
        <v>2403</v>
      </c>
      <c r="M191" s="144" t="s">
        <v>503</v>
      </c>
      <c r="N191" s="144" t="s">
        <v>496</v>
      </c>
      <c r="O191" s="144" t="s">
        <v>500</v>
      </c>
      <c r="P191" s="144" t="s">
        <v>505</v>
      </c>
      <c r="Q191" s="145" t="str">
        <f t="shared" si="53"/>
        <v>Tier4</v>
      </c>
      <c r="R191" s="145" t="str">
        <f t="shared" si="54"/>
        <v>Interior - Exhaust Ducted</v>
      </c>
      <c r="S191" s="145" t="str">
        <f t="shared" si="55"/>
        <v>HZ2</v>
      </c>
      <c r="T191" s="145" t="str">
        <f t="shared" si="56"/>
        <v>gas</v>
      </c>
      <c r="U191" s="145" t="str">
        <f t="shared" si="57"/>
        <v>AnySize</v>
      </c>
      <c r="V191" s="146">
        <f t="shared" si="58"/>
        <v>1.4296387839999997E-3</v>
      </c>
    </row>
    <row r="192" spans="6:22" ht="12.75" customHeight="1">
      <c r="F192" s="186" t="s">
        <v>2398</v>
      </c>
      <c r="G192" s="65">
        <v>1894.7260866560373</v>
      </c>
      <c r="H192" s="65">
        <v>-740.83165472935377</v>
      </c>
      <c r="I192" s="65">
        <v>0</v>
      </c>
      <c r="J192" s="65"/>
      <c r="K192" s="65"/>
      <c r="L192" s="188" t="s">
        <v>2403</v>
      </c>
      <c r="M192" s="144" t="s">
        <v>503</v>
      </c>
      <c r="N192" s="144" t="s">
        <v>496</v>
      </c>
      <c r="O192" s="144" t="s">
        <v>501</v>
      </c>
      <c r="P192" s="144" t="s">
        <v>505</v>
      </c>
      <c r="Q192" s="145" t="str">
        <f t="shared" si="53"/>
        <v>Tier4</v>
      </c>
      <c r="R192" s="145" t="str">
        <f t="shared" si="54"/>
        <v>Interior - Exhaust Ducted</v>
      </c>
      <c r="S192" s="145" t="str">
        <f t="shared" si="55"/>
        <v>HZ2</v>
      </c>
      <c r="T192" s="145" t="str">
        <f t="shared" si="56"/>
        <v>Electric Resistance</v>
      </c>
      <c r="U192" s="145" t="str">
        <f t="shared" si="57"/>
        <v>AnySize</v>
      </c>
      <c r="V192" s="146">
        <f t="shared" si="58"/>
        <v>4.4319693600000003E-4</v>
      </c>
    </row>
    <row r="193" spans="6:22" ht="12.75" customHeight="1">
      <c r="F193" s="186" t="s">
        <v>2399</v>
      </c>
      <c r="G193" s="65">
        <v>1883.8284598265673</v>
      </c>
      <c r="H193" s="65">
        <v>-613.51246548937991</v>
      </c>
      <c r="I193" s="65">
        <v>-57.180504119110637</v>
      </c>
      <c r="J193" s="65"/>
      <c r="K193" s="65"/>
      <c r="L193" s="188" t="s">
        <v>2403</v>
      </c>
      <c r="M193" s="144" t="s">
        <v>503</v>
      </c>
      <c r="N193" s="144" t="s">
        <v>496</v>
      </c>
      <c r="O193" s="144" t="s">
        <v>502</v>
      </c>
      <c r="P193" s="144" t="s">
        <v>505</v>
      </c>
      <c r="Q193" s="145" t="str">
        <f t="shared" si="53"/>
        <v>Tier4</v>
      </c>
      <c r="R193" s="145" t="str">
        <f t="shared" si="54"/>
        <v>Interior - Exhaust Ducted</v>
      </c>
      <c r="S193" s="145" t="str">
        <f t="shared" si="55"/>
        <v>HZ2</v>
      </c>
      <c r="T193" s="145" t="str">
        <f t="shared" si="56"/>
        <v>Heat Pump HSPF 8.5</v>
      </c>
      <c r="U193" s="145" t="str">
        <f t="shared" si="57"/>
        <v>AnySize</v>
      </c>
      <c r="V193" s="146">
        <f t="shared" si="58"/>
        <v>3.5518145600000001E-4</v>
      </c>
    </row>
    <row r="194" spans="6:22" ht="12.75" customHeight="1">
      <c r="F194" s="186" t="s">
        <v>2400</v>
      </c>
      <c r="G194" s="65">
        <v>1962.6775752261901</v>
      </c>
      <c r="H194" s="65">
        <v>-19.679491473097311</v>
      </c>
      <c r="I194" s="65">
        <v>-22.50628011938829</v>
      </c>
      <c r="J194" s="65"/>
      <c r="K194" s="65"/>
      <c r="L194" s="188" t="s">
        <v>2403</v>
      </c>
      <c r="M194" s="144" t="s">
        <v>503</v>
      </c>
      <c r="N194" s="144" t="s">
        <v>497</v>
      </c>
      <c r="O194" s="144" t="s">
        <v>500</v>
      </c>
      <c r="P194" s="144" t="s">
        <v>505</v>
      </c>
      <c r="Q194" s="145" t="str">
        <f t="shared" si="53"/>
        <v>Tier4</v>
      </c>
      <c r="R194" s="145" t="str">
        <f t="shared" si="54"/>
        <v>Interior - Exhaust Ducted</v>
      </c>
      <c r="S194" s="145" t="str">
        <f t="shared" si="55"/>
        <v>HZ3</v>
      </c>
      <c r="T194" s="145" t="str">
        <f t="shared" si="56"/>
        <v>gas</v>
      </c>
      <c r="U194" s="145" t="str">
        <f t="shared" si="57"/>
        <v>AnySize</v>
      </c>
      <c r="V194" s="146">
        <f t="shared" si="58"/>
        <v>6.0361727999999983E-4</v>
      </c>
    </row>
    <row r="195" spans="6:22" ht="12.75" customHeight="1">
      <c r="F195" s="186" t="s">
        <v>2401</v>
      </c>
      <c r="G195" s="65">
        <v>1962.5863434719849</v>
      </c>
      <c r="H195" s="65">
        <v>-738.93100978768121</v>
      </c>
      <c r="I195" s="65">
        <v>0</v>
      </c>
      <c r="J195" s="65"/>
      <c r="K195" s="65"/>
      <c r="L195" s="188" t="s">
        <v>2403</v>
      </c>
      <c r="M195" s="144" t="s">
        <v>503</v>
      </c>
      <c r="N195" s="144" t="s">
        <v>497</v>
      </c>
      <c r="O195" s="144" t="s">
        <v>501</v>
      </c>
      <c r="P195" s="144" t="s">
        <v>505</v>
      </c>
      <c r="Q195" s="145" t="str">
        <f t="shared" si="53"/>
        <v>Tier4</v>
      </c>
      <c r="R195" s="145" t="str">
        <f t="shared" si="54"/>
        <v>Interior - Exhaust Ducted</v>
      </c>
      <c r="S195" s="145" t="str">
        <f t="shared" si="55"/>
        <v>HZ3</v>
      </c>
      <c r="T195" s="145" t="str">
        <f t="shared" si="56"/>
        <v>Electric Resistance</v>
      </c>
      <c r="U195" s="145" t="str">
        <f t="shared" si="57"/>
        <v>AnySize</v>
      </c>
      <c r="V195" s="146">
        <f t="shared" si="58"/>
        <v>1.8712512000000002E-4</v>
      </c>
    </row>
    <row r="196" spans="6:22" ht="12.75" customHeight="1">
      <c r="F196" s="186" t="s">
        <v>2402</v>
      </c>
      <c r="G196" s="65">
        <v>1953.4962320999493</v>
      </c>
      <c r="H196" s="65">
        <v>-660.5264096490688</v>
      </c>
      <c r="I196" s="65">
        <v>-44.3989278066258</v>
      </c>
      <c r="J196" s="65"/>
      <c r="K196" s="65"/>
      <c r="L196" s="188" t="s">
        <v>2403</v>
      </c>
      <c r="M196" s="144" t="s">
        <v>503</v>
      </c>
      <c r="N196" s="144" t="s">
        <v>497</v>
      </c>
      <c r="O196" s="144" t="s">
        <v>502</v>
      </c>
      <c r="P196" s="144" t="s">
        <v>505</v>
      </c>
      <c r="Q196" s="145" t="str">
        <f t="shared" si="53"/>
        <v>Tier4</v>
      </c>
      <c r="R196" s="145" t="str">
        <f t="shared" si="54"/>
        <v>Interior - Exhaust Ducted</v>
      </c>
      <c r="S196" s="145" t="str">
        <f t="shared" si="55"/>
        <v>HZ3</v>
      </c>
      <c r="T196" s="145" t="str">
        <f t="shared" si="56"/>
        <v>Heat Pump HSPF 8.5</v>
      </c>
      <c r="U196" s="145" t="str">
        <f t="shared" si="57"/>
        <v>AnySize</v>
      </c>
      <c r="V196" s="146">
        <f t="shared" si="58"/>
        <v>1.4996352000000001E-4</v>
      </c>
    </row>
    <row r="197" spans="6:22" ht="12.75" customHeight="1">
      <c r="F197" s="186"/>
      <c r="G197" s="65"/>
      <c r="H197" s="65"/>
      <c r="I197" s="65"/>
      <c r="J197" s="65"/>
      <c r="K197" s="65"/>
      <c r="L197" s="186"/>
      <c r="M197" s="47"/>
      <c r="N197" s="47"/>
      <c r="O197" s="47"/>
      <c r="P197" s="47"/>
      <c r="Q197" s="47"/>
      <c r="R197" s="47"/>
      <c r="S197" s="47"/>
      <c r="T197" s="47"/>
      <c r="U197" s="47"/>
      <c r="V197" s="447"/>
    </row>
    <row r="199" spans="6:22" ht="12.75" customHeight="1">
      <c r="F199" s="54" t="s">
        <v>552</v>
      </c>
    </row>
    <row r="201" spans="6:22" ht="12.75" customHeight="1">
      <c r="G201" s="147" t="s">
        <v>533</v>
      </c>
      <c r="K201" s="50"/>
      <c r="L201" s="50"/>
      <c r="M201" s="50"/>
      <c r="N201" s="50"/>
      <c r="O201" s="47"/>
      <c r="P201" s="47"/>
      <c r="Q201" s="47"/>
      <c r="R201" s="47"/>
    </row>
    <row r="202" spans="6:22" ht="12.75" customHeight="1">
      <c r="H202" s="46" t="s">
        <v>534</v>
      </c>
      <c r="I202" s="46" t="s">
        <v>535</v>
      </c>
      <c r="J202" s="46" t="s">
        <v>536</v>
      </c>
      <c r="K202" s="46" t="s">
        <v>537</v>
      </c>
      <c r="L202" s="50"/>
      <c r="M202" s="50"/>
      <c r="N202" s="50"/>
    </row>
    <row r="203" spans="6:22" ht="12.75" customHeight="1" thickBot="1">
      <c r="G203" s="50" t="s">
        <v>538</v>
      </c>
      <c r="H203" s="148"/>
      <c r="I203" s="148"/>
      <c r="J203" s="148"/>
      <c r="K203" s="148"/>
      <c r="L203" s="50"/>
      <c r="M203" s="50"/>
      <c r="N203" s="50"/>
    </row>
    <row r="204" spans="6:22" ht="12.75" customHeight="1" thickTop="1" thickBot="1">
      <c r="G204" s="50" t="s">
        <v>495</v>
      </c>
      <c r="H204" s="148">
        <v>0.748</v>
      </c>
      <c r="I204" s="148">
        <v>0.28999999999999998</v>
      </c>
      <c r="J204" s="148">
        <v>0.40699999999999997</v>
      </c>
      <c r="K204" s="148">
        <v>0.30299999999999999</v>
      </c>
      <c r="L204" s="50"/>
      <c r="M204" s="50"/>
      <c r="N204" s="50"/>
    </row>
    <row r="205" spans="6:22" ht="12.75" customHeight="1" thickTop="1" thickBot="1">
      <c r="G205" s="50" t="s">
        <v>496</v>
      </c>
      <c r="H205" s="148">
        <v>0.17299999999999999</v>
      </c>
      <c r="I205" s="148">
        <v>0.32200000000000001</v>
      </c>
      <c r="J205" s="148">
        <v>0.19800000000000001</v>
      </c>
      <c r="K205" s="148">
        <v>0.48</v>
      </c>
      <c r="L205" s="50"/>
      <c r="M205" s="50"/>
      <c r="N205" s="50"/>
    </row>
    <row r="206" spans="6:22" ht="12.75" customHeight="1" thickTop="1" thickBot="1">
      <c r="G206" s="50" t="s">
        <v>497</v>
      </c>
      <c r="H206" s="148">
        <v>0.08</v>
      </c>
      <c r="I206" s="148">
        <v>0.29399999999999998</v>
      </c>
      <c r="J206" s="148">
        <v>0.09</v>
      </c>
      <c r="K206" s="148">
        <v>0.61599999999999999</v>
      </c>
      <c r="L206" s="50"/>
      <c r="M206" s="50"/>
      <c r="N206" s="50"/>
    </row>
    <row r="207" spans="6:22" ht="12.75" customHeight="1" thickTop="1" thickBot="1">
      <c r="G207" s="50" t="s">
        <v>478</v>
      </c>
      <c r="H207" s="1773" t="s">
        <v>1073</v>
      </c>
      <c r="I207" s="1774"/>
      <c r="J207" s="1774"/>
      <c r="K207" s="1774"/>
      <c r="L207" s="50"/>
      <c r="M207" s="50"/>
      <c r="N207" s="50"/>
    </row>
    <row r="208" spans="6:22" ht="12.75" customHeight="1">
      <c r="G208" s="47"/>
      <c r="H208" s="47"/>
      <c r="I208" s="47"/>
      <c r="J208" s="47"/>
      <c r="K208" s="47"/>
      <c r="L208" s="50"/>
      <c r="M208" s="50"/>
      <c r="N208" s="50"/>
    </row>
    <row r="209" spans="7:15" ht="12.75" customHeight="1">
      <c r="G209" s="147" t="s">
        <v>539</v>
      </c>
      <c r="H209" s="47"/>
      <c r="I209" s="47"/>
      <c r="J209" s="47"/>
      <c r="K209" s="50"/>
      <c r="L209" s="50"/>
      <c r="M209" s="50"/>
      <c r="N209" s="50"/>
    </row>
    <row r="210" spans="7:15" ht="12.75" customHeight="1" thickBot="1">
      <c r="G210" s="50" t="s">
        <v>540</v>
      </c>
      <c r="H210" s="47"/>
      <c r="I210" s="50" t="s">
        <v>547</v>
      </c>
      <c r="K210" s="50"/>
      <c r="L210" s="47"/>
      <c r="M210" s="50"/>
      <c r="N210" s="50"/>
    </row>
    <row r="211" spans="7:15" ht="12.75" customHeight="1" thickBot="1">
      <c r="G211" s="149" t="s">
        <v>541</v>
      </c>
      <c r="H211" s="150">
        <v>0.64159999999999984</v>
      </c>
      <c r="I211" s="23" t="s">
        <v>1073</v>
      </c>
      <c r="J211" s="24"/>
      <c r="K211" s="50"/>
    </row>
    <row r="212" spans="7:15" ht="12.75" customHeight="1" thickBot="1">
      <c r="G212" s="151" t="s">
        <v>542</v>
      </c>
      <c r="H212" s="152">
        <v>0.19890000000000002</v>
      </c>
      <c r="I212" s="23" t="s">
        <v>1073</v>
      </c>
      <c r="J212" s="24"/>
      <c r="K212" s="50"/>
    </row>
    <row r="213" spans="7:15" ht="12.75" customHeight="1" thickBot="1">
      <c r="G213" s="153" t="s">
        <v>543</v>
      </c>
      <c r="H213" s="154">
        <v>0.15940000000000001</v>
      </c>
      <c r="I213" s="23" t="s">
        <v>1073</v>
      </c>
      <c r="J213" s="24"/>
      <c r="K213" s="50"/>
    </row>
    <row r="214" spans="7:15" ht="12.75" customHeight="1">
      <c r="G214" s="47"/>
      <c r="H214" s="47"/>
      <c r="I214" s="47"/>
      <c r="K214" s="50"/>
    </row>
    <row r="215" spans="7:15" ht="12.75" customHeight="1" thickBot="1">
      <c r="G215" s="47"/>
      <c r="H215" s="47"/>
      <c r="I215" s="47"/>
      <c r="K215" s="50"/>
    </row>
    <row r="216" spans="7:15" ht="12.75" customHeight="1" thickBot="1">
      <c r="G216" s="155"/>
      <c r="H216" s="156"/>
      <c r="K216" s="50"/>
      <c r="O216" s="129"/>
    </row>
    <row r="217" spans="7:15" ht="12.75" customHeight="1" thickBot="1">
      <c r="G217" s="133" t="s">
        <v>535</v>
      </c>
      <c r="H217" s="157">
        <f>1-H218</f>
        <v>0.96</v>
      </c>
      <c r="I217" s="27" t="s">
        <v>567</v>
      </c>
      <c r="J217" s="25"/>
      <c r="K217" s="47"/>
    </row>
    <row r="218" spans="7:15" ht="12.75" customHeight="1" thickBot="1">
      <c r="G218" s="133" t="s">
        <v>544</v>
      </c>
      <c r="H218" s="157">
        <v>0.04</v>
      </c>
      <c r="I218" s="27" t="s">
        <v>567</v>
      </c>
      <c r="J218" s="25"/>
      <c r="K218" s="47"/>
      <c r="L218" s="50"/>
      <c r="M218" s="50"/>
      <c r="N218" s="50"/>
    </row>
    <row r="219" spans="7:15" ht="12.75" customHeight="1" thickBot="1">
      <c r="G219" s="133"/>
      <c r="H219" s="158"/>
      <c r="K219" s="47"/>
      <c r="L219" s="50"/>
      <c r="M219" s="50"/>
      <c r="N219" s="50"/>
    </row>
    <row r="220" spans="7:15" ht="12.75" customHeight="1" thickBot="1">
      <c r="G220" s="133" t="s">
        <v>545</v>
      </c>
      <c r="H220" s="157">
        <v>0.48291742717100261</v>
      </c>
      <c r="I220" s="23" t="s">
        <v>1073</v>
      </c>
      <c r="J220" s="24"/>
      <c r="K220" s="50"/>
    </row>
    <row r="221" spans="7:15" ht="12.75" customHeight="1" thickBot="1">
      <c r="G221" s="159" t="s">
        <v>546</v>
      </c>
      <c r="H221" s="157">
        <v>0.51708257282899739</v>
      </c>
      <c r="I221" s="23" t="s">
        <v>1073</v>
      </c>
      <c r="J221" s="24"/>
      <c r="K221" s="50"/>
    </row>
    <row r="222" spans="7:15" ht="12.75" customHeight="1" thickBot="1">
      <c r="G222" s="131"/>
      <c r="H222" s="160"/>
      <c r="K222" s="50"/>
    </row>
    <row r="223" spans="7:15" ht="12.75" customHeight="1">
      <c r="K223" s="50"/>
    </row>
    <row r="224" spans="7:15" ht="12.75" customHeight="1">
      <c r="K224" s="50"/>
    </row>
    <row r="225" spans="6:20" ht="12.75" customHeight="1">
      <c r="K225" s="50"/>
    </row>
    <row r="226" spans="6:20" ht="12.75" customHeight="1" thickBot="1">
      <c r="G226" s="147" t="s">
        <v>857</v>
      </c>
      <c r="H226" s="47"/>
      <c r="I226" s="47"/>
      <c r="J226" s="47"/>
      <c r="K226" s="47"/>
      <c r="L226" s="50"/>
      <c r="M226" s="50"/>
      <c r="N226" s="50"/>
      <c r="O226" s="147" t="s">
        <v>858</v>
      </c>
      <c r="P226" s="47"/>
      <c r="Q226" s="47"/>
      <c r="R226" s="47"/>
      <c r="S226" s="47"/>
      <c r="T226" s="50"/>
    </row>
    <row r="227" spans="6:20" ht="12.75" customHeight="1">
      <c r="G227" s="189" t="s">
        <v>465</v>
      </c>
      <c r="H227" s="190"/>
      <c r="I227" s="190"/>
      <c r="J227" s="101" t="s">
        <v>495</v>
      </c>
      <c r="K227" s="101" t="s">
        <v>496</v>
      </c>
      <c r="L227" s="156" t="s">
        <v>497</v>
      </c>
      <c r="M227" s="50"/>
      <c r="N227" s="50"/>
      <c r="O227" s="189" t="s">
        <v>465</v>
      </c>
      <c r="P227" s="190"/>
      <c r="Q227" s="190"/>
      <c r="R227" s="101" t="s">
        <v>495</v>
      </c>
      <c r="S227" s="101" t="s">
        <v>496</v>
      </c>
      <c r="T227" s="156" t="s">
        <v>497</v>
      </c>
    </row>
    <row r="228" spans="6:20" ht="12.75" customHeight="1" thickBot="1">
      <c r="G228" s="191" t="s">
        <v>548</v>
      </c>
      <c r="H228" s="192" t="s">
        <v>549</v>
      </c>
      <c r="I228" s="192" t="s">
        <v>550</v>
      </c>
      <c r="K228" s="50"/>
      <c r="L228" s="193"/>
      <c r="M228" s="50"/>
      <c r="N228" s="50"/>
      <c r="O228" s="191" t="s">
        <v>548</v>
      </c>
      <c r="P228" s="192" t="s">
        <v>549</v>
      </c>
      <c r="Q228" s="192" t="s">
        <v>550</v>
      </c>
      <c r="T228" s="193"/>
    </row>
    <row r="229" spans="6:20" ht="12.75" customHeight="1" thickBot="1">
      <c r="F229" s="161" t="s">
        <v>535</v>
      </c>
      <c r="G229" s="149" t="s">
        <v>535</v>
      </c>
      <c r="H229" s="162" t="s">
        <v>541</v>
      </c>
      <c r="I229" s="149" t="str">
        <f>G229&amp;H229</f>
        <v>InteriorGas</v>
      </c>
      <c r="J229" s="163">
        <f t="shared" ref="J229:L231" si="59">INDEX($H$204:$H$206,MATCH(R$227,$G$204:$G$206,0))*INDEX($I$204:$K$206,MATCH(R$227,$G$204:$G$206,0),MATCH($N229,$I$202:$K$202,0))*INDEX($H$211:$H$213,MATCH($P229,$G$211:$G$213,0))</f>
        <v>0.13917587199999995</v>
      </c>
      <c r="K229" s="163">
        <f t="shared" si="59"/>
        <v>3.5740969599999992E-2</v>
      </c>
      <c r="L229" s="163">
        <f t="shared" si="59"/>
        <v>1.5090431999999996E-2</v>
      </c>
      <c r="M229" s="50"/>
      <c r="N229" s="161" t="s">
        <v>535</v>
      </c>
      <c r="O229" s="149" t="s">
        <v>535</v>
      </c>
      <c r="P229" s="162" t="s">
        <v>541</v>
      </c>
      <c r="Q229" s="149" t="str">
        <f t="shared" ref="Q229:Q236" si="60">O229&amp;P229</f>
        <v>InteriorGas</v>
      </c>
      <c r="R229" s="164">
        <f>INDEX($H$204:$H$206,MATCH(R$227,$G$204:$G$206,0))*INDEX($I$204:$K$206,MATCH(R$227,$G$204:$G$206,0),MATCH($N229,$I$202:$K$202,0))*INDEX($H$211:$H$213,MATCH($P229,$G$211:$G$213,0))*INDEX($H$217:$H$218,MATCH($O229,$G$217:$G$218,0))</f>
        <v>0.13360883711999993</v>
      </c>
      <c r="S229" s="164">
        <f t="shared" ref="S229:T234" si="61">INDEX($H$204:$H$206,MATCH(S$227,$G$204:$G$206,0))*INDEX($I$204:$K$206,MATCH(S$227,$G$204:$G$206,0),MATCH($N229,$I$202:$K$202,0))*INDEX($H$211:$H$213,MATCH($P229,$G$211:$G$213,0))*INDEX($H$217:$H$218,MATCH($O229,$G$217:$G$218,0))</f>
        <v>3.4311330815999991E-2</v>
      </c>
      <c r="T229" s="164">
        <f t="shared" si="61"/>
        <v>1.4486814719999996E-2</v>
      </c>
    </row>
    <row r="230" spans="6:20" ht="12.75" customHeight="1" thickBot="1">
      <c r="F230" s="161" t="s">
        <v>535</v>
      </c>
      <c r="G230" s="151" t="s">
        <v>535</v>
      </c>
      <c r="H230" s="165" t="s">
        <v>542</v>
      </c>
      <c r="I230" s="151" t="str">
        <f>G230&amp;H230</f>
        <v>InteriorElectric Resistance</v>
      </c>
      <c r="J230" s="163">
        <f t="shared" si="59"/>
        <v>4.3145388E-2</v>
      </c>
      <c r="K230" s="163">
        <f t="shared" si="59"/>
        <v>1.10799234E-2</v>
      </c>
      <c r="L230" s="163">
        <f t="shared" si="59"/>
        <v>4.6781280000000001E-3</v>
      </c>
      <c r="M230" s="50"/>
      <c r="N230" s="161" t="s">
        <v>535</v>
      </c>
      <c r="O230" s="151" t="s">
        <v>535</v>
      </c>
      <c r="P230" s="165" t="s">
        <v>542</v>
      </c>
      <c r="Q230" s="151" t="str">
        <f t="shared" si="60"/>
        <v>InteriorElectric Resistance</v>
      </c>
      <c r="R230" s="164">
        <f t="shared" ref="R230:R234" si="62">INDEX($H$204:$H$206,MATCH(R$227,$G$204:$G$206,0))*INDEX($I$204:$K$206,MATCH(R$227,$G$204:$G$206,0),MATCH($N230,$I$202:$K$202,0))*INDEX($H$211:$H$213,MATCH($P230,$G$211:$G$213,0))*INDEX($H$217:$H$218,MATCH($O230,$G$217:$G$218,0))</f>
        <v>4.141957248E-2</v>
      </c>
      <c r="S230" s="164">
        <f t="shared" si="61"/>
        <v>1.0636726464000001E-2</v>
      </c>
      <c r="T230" s="164">
        <f t="shared" si="61"/>
        <v>4.49100288E-3</v>
      </c>
    </row>
    <row r="231" spans="6:20" ht="12.75" customHeight="1" thickBot="1">
      <c r="F231" s="161" t="s">
        <v>535</v>
      </c>
      <c r="G231" s="151" t="s">
        <v>535</v>
      </c>
      <c r="H231" s="165" t="s">
        <v>543</v>
      </c>
      <c r="I231" s="151" t="str">
        <f>G231&amp;H231</f>
        <v>InteriorHeat Pump HSPF 8.5</v>
      </c>
      <c r="J231" s="163">
        <f t="shared" si="59"/>
        <v>3.4577047999999999E-2</v>
      </c>
      <c r="K231" s="163">
        <f t="shared" si="59"/>
        <v>8.8795364000000005E-3</v>
      </c>
      <c r="L231" s="163">
        <f t="shared" si="59"/>
        <v>3.7490880000000002E-3</v>
      </c>
      <c r="M231" s="50"/>
      <c r="N231" s="161" t="s">
        <v>535</v>
      </c>
      <c r="O231" s="151" t="s">
        <v>535</v>
      </c>
      <c r="P231" s="165" t="s">
        <v>543</v>
      </c>
      <c r="Q231" s="151" t="str">
        <f t="shared" si="60"/>
        <v>InteriorHeat Pump HSPF 8.5</v>
      </c>
      <c r="R231" s="164">
        <f t="shared" si="62"/>
        <v>3.3193966079999998E-2</v>
      </c>
      <c r="S231" s="164">
        <f t="shared" si="61"/>
        <v>8.5243549439999993E-3</v>
      </c>
      <c r="T231" s="164">
        <f t="shared" si="61"/>
        <v>3.5991244800000002E-3</v>
      </c>
    </row>
    <row r="232" spans="6:20" ht="12.75" customHeight="1" thickBot="1">
      <c r="G232" s="166" t="s">
        <v>536</v>
      </c>
      <c r="H232" s="167" t="s">
        <v>551</v>
      </c>
      <c r="I232" s="166" t="str">
        <f>G232&amp;H232</f>
        <v>GarageAny</v>
      </c>
      <c r="J232" s="163">
        <f>INDEX($H$204:$H$206,MATCH(J$227,$G$204:$G$206,0))*INDEX($I$204:$K$206,MATCH(J$227,$G$204:$G$206,0),MATCH($G232,$I$202:$K$202,0))</f>
        <v>0.30443599999999998</v>
      </c>
      <c r="K232" s="163">
        <f t="shared" ref="K232:L233" si="63">INDEX($H$204:$H$206,MATCH(K$227,$G$204:$G$206,0))*INDEX($I$204:$K$206,MATCH(K$227,$G$204:$G$206,0),MATCH($G232,$I$202:$K$202,0))</f>
        <v>3.4254E-2</v>
      </c>
      <c r="L232" s="163">
        <f t="shared" si="63"/>
        <v>7.1999999999999998E-3</v>
      </c>
      <c r="M232" s="50"/>
      <c r="N232" s="161" t="s">
        <v>535</v>
      </c>
      <c r="O232" s="151" t="s">
        <v>544</v>
      </c>
      <c r="P232" s="165" t="s">
        <v>541</v>
      </c>
      <c r="Q232" s="151" t="str">
        <f t="shared" si="60"/>
        <v>Interior - Exhaust DuctedGas</v>
      </c>
      <c r="R232" s="164">
        <f t="shared" si="62"/>
        <v>5.5670348799999984E-3</v>
      </c>
      <c r="S232" s="164">
        <f t="shared" si="61"/>
        <v>1.4296387839999997E-3</v>
      </c>
      <c r="T232" s="164">
        <f t="shared" si="61"/>
        <v>6.0361727999999983E-4</v>
      </c>
    </row>
    <row r="233" spans="6:20" ht="12.75" customHeight="1" thickBot="1">
      <c r="G233" s="168" t="s">
        <v>537</v>
      </c>
      <c r="H233" s="169" t="s">
        <v>551</v>
      </c>
      <c r="I233" s="168" t="str">
        <f>G233&amp;H233</f>
        <v>Unheated BasementAny</v>
      </c>
      <c r="J233" s="163">
        <f t="shared" ref="J233" si="64">INDEX($H$204:$H$206,MATCH(J$227,$G$204:$G$206,0))*INDEX($I$204:$K$206,MATCH(J$227,$G$204:$G$206,0),MATCH($G233,$I$202:$K$202,0))</f>
        <v>0.22664399999999998</v>
      </c>
      <c r="K233" s="163">
        <f t="shared" si="63"/>
        <v>8.3039999999999989E-2</v>
      </c>
      <c r="L233" s="163">
        <f t="shared" si="63"/>
        <v>4.9279999999999997E-2</v>
      </c>
      <c r="M233" s="50"/>
      <c r="N233" s="161" t="s">
        <v>535</v>
      </c>
      <c r="O233" s="151" t="s">
        <v>544</v>
      </c>
      <c r="P233" s="165" t="s">
        <v>542</v>
      </c>
      <c r="Q233" s="151" t="str">
        <f t="shared" si="60"/>
        <v>Interior - Exhaust DuctedElectric Resistance</v>
      </c>
      <c r="R233" s="164">
        <f t="shared" si="62"/>
        <v>1.72581552E-3</v>
      </c>
      <c r="S233" s="164">
        <f t="shared" si="61"/>
        <v>4.4319693600000003E-4</v>
      </c>
      <c r="T233" s="164">
        <f t="shared" si="61"/>
        <v>1.8712512000000002E-4</v>
      </c>
    </row>
    <row r="234" spans="6:20" ht="12.75" customHeight="1" thickBot="1">
      <c r="K234" s="50"/>
      <c r="L234" s="170">
        <f>SUM(J229:L233)</f>
        <v>1.0009703853999998</v>
      </c>
      <c r="M234" s="50"/>
      <c r="N234" s="161" t="s">
        <v>535</v>
      </c>
      <c r="O234" s="151" t="s">
        <v>544</v>
      </c>
      <c r="P234" s="165" t="s">
        <v>543</v>
      </c>
      <c r="Q234" s="151" t="str">
        <f t="shared" si="60"/>
        <v>Interior - Exhaust DuctedHeat Pump HSPF 8.5</v>
      </c>
      <c r="R234" s="164">
        <f t="shared" si="62"/>
        <v>1.38308192E-3</v>
      </c>
      <c r="S234" s="164">
        <f t="shared" si="61"/>
        <v>3.5518145600000001E-4</v>
      </c>
      <c r="T234" s="164">
        <f t="shared" si="61"/>
        <v>1.4996352000000001E-4</v>
      </c>
    </row>
    <row r="235" spans="6:20" ht="12.75" customHeight="1" thickBot="1">
      <c r="K235" s="50"/>
      <c r="L235" s="50"/>
      <c r="M235" s="50"/>
      <c r="N235" s="50"/>
      <c r="O235" s="166" t="s">
        <v>536</v>
      </c>
      <c r="P235" s="167" t="s">
        <v>551</v>
      </c>
      <c r="Q235" s="166" t="str">
        <f t="shared" si="60"/>
        <v>GarageAny</v>
      </c>
      <c r="R235" s="164">
        <f>INDEX($H$204:$H$206,MATCH(R$227,$G$204:$G$206,0))*INDEX($I$204:$K$206,MATCH(R$227,$G$204:$G$206,0),MATCH($O235,$I$202:$K$202,0))</f>
        <v>0.30443599999999998</v>
      </c>
      <c r="S235" s="164">
        <f t="shared" ref="S235:T236" si="65">INDEX($H$204:$H$206,MATCH(S$227,$G$204:$G$206,0))*INDEX($I$204:$K$206,MATCH(S$227,$G$204:$G$206,0),MATCH($O235,$I$202:$K$202,0))</f>
        <v>3.4254E-2</v>
      </c>
      <c r="T235" s="164">
        <f t="shared" si="65"/>
        <v>7.1999999999999998E-3</v>
      </c>
    </row>
    <row r="236" spans="6:20" ht="12.75" customHeight="1" thickBot="1">
      <c r="K236" s="50"/>
      <c r="L236" s="50"/>
      <c r="M236" s="50"/>
      <c r="N236" s="50"/>
      <c r="O236" s="168" t="s">
        <v>537</v>
      </c>
      <c r="P236" s="169" t="s">
        <v>551</v>
      </c>
      <c r="Q236" s="168" t="str">
        <f t="shared" si="60"/>
        <v>Unheated BasementAny</v>
      </c>
      <c r="R236" s="164">
        <f t="shared" ref="R236" si="66">INDEX($H$204:$H$206,MATCH(R$227,$G$204:$G$206,0))*INDEX($I$204:$K$206,MATCH(R$227,$G$204:$G$206,0),MATCH($O236,$I$202:$K$202,0))</f>
        <v>0.22664399999999998</v>
      </c>
      <c r="S236" s="164">
        <f t="shared" si="65"/>
        <v>8.3039999999999989E-2</v>
      </c>
      <c r="T236" s="164">
        <f t="shared" si="65"/>
        <v>4.9279999999999997E-2</v>
      </c>
    </row>
    <row r="237" spans="6:20" ht="12.75" customHeight="1">
      <c r="K237" s="50"/>
    </row>
    <row r="240" spans="6:20" ht="12.75" customHeight="1">
      <c r="F240" s="54" t="s">
        <v>2404</v>
      </c>
      <c r="L240" s="47"/>
      <c r="M240" s="47"/>
    </row>
    <row r="241" spans="6:22" ht="12.75" customHeight="1">
      <c r="G241" s="127" t="s">
        <v>2405</v>
      </c>
      <c r="L241" s="47"/>
      <c r="M241" s="47"/>
    </row>
    <row r="242" spans="6:22" ht="12.75" customHeight="1" thickBot="1">
      <c r="F242" s="125"/>
      <c r="G242" s="194" t="s">
        <v>6</v>
      </c>
      <c r="H242" s="195" t="s">
        <v>13</v>
      </c>
      <c r="I242" s="196" t="s">
        <v>529</v>
      </c>
      <c r="J242" s="197" t="s">
        <v>530</v>
      </c>
      <c r="K242" s="198" t="s">
        <v>531</v>
      </c>
      <c r="L242" s="47"/>
      <c r="M242" s="47"/>
      <c r="N242" s="199"/>
      <c r="O242" s="198" t="s">
        <v>859</v>
      </c>
      <c r="P242" s="200" t="s">
        <v>553</v>
      </c>
      <c r="Q242" s="201" t="s">
        <v>554</v>
      </c>
      <c r="R242" s="125"/>
      <c r="S242" s="125"/>
      <c r="T242" s="171"/>
      <c r="U242" s="125"/>
      <c r="V242" s="125"/>
    </row>
    <row r="243" spans="6:22" ht="12.75" customHeight="1" thickTop="1" thickBot="1">
      <c r="F243" s="125"/>
      <c r="G243" s="172" t="s">
        <v>490</v>
      </c>
      <c r="H243" s="173" t="s">
        <v>555</v>
      </c>
      <c r="I243" s="174">
        <f>SUMPRODUCT($G$110:$G$124,$V$110:$V$124)</f>
        <v>970.17995678612397</v>
      </c>
      <c r="J243" s="174">
        <f>SUMPRODUCT($H$110:$H$124,$V$110:$V$124)</f>
        <v>-30.943752606081418</v>
      </c>
      <c r="K243" s="174">
        <f>SUMPRODUCT($I$110:$I$124,$V$110:$V$124)</f>
        <v>6.1114799238329827</v>
      </c>
      <c r="L243" s="47"/>
      <c r="M243" s="47"/>
      <c r="N243" s="175" t="s">
        <v>828</v>
      </c>
      <c r="O243" s="176">
        <f>SUM(I243:K243)</f>
        <v>945.34768410387562</v>
      </c>
      <c r="P243" s="177">
        <f>SUMPRODUCT(M$927:M$1019,$S$927:$S$1019)</f>
        <v>0</v>
      </c>
      <c r="Q243" s="178">
        <f>SUMPRODUCT(N$927:N$1019,$S$927:$S$1019)</f>
        <v>0</v>
      </c>
      <c r="R243" s="125"/>
      <c r="S243" s="125"/>
      <c r="T243" s="171"/>
      <c r="U243" s="125"/>
      <c r="V243" s="125"/>
    </row>
    <row r="244" spans="6:22" ht="12.75" customHeight="1" thickBot="1">
      <c r="F244" s="125"/>
      <c r="G244" s="172" t="s">
        <v>491</v>
      </c>
      <c r="H244" s="173" t="s">
        <v>555</v>
      </c>
      <c r="I244" s="174">
        <f>SUMPRODUCT($G$125:$G$148,$V$125:$V$148)</f>
        <v>1303.19890398243</v>
      </c>
      <c r="J244" s="174">
        <f>SUMPRODUCT($H$125:$H$148,$V$125:$V$148)</f>
        <v>-49.802171473686947</v>
      </c>
      <c r="K244" s="174">
        <f>SUMPRODUCT($I$125:$I$148,$V$125:$V$148)</f>
        <v>7.507316617445138</v>
      </c>
      <c r="L244" s="47"/>
      <c r="M244" s="47"/>
      <c r="N244" s="175" t="s">
        <v>829</v>
      </c>
      <c r="O244" s="179">
        <f>SUM(I244:K244)</f>
        <v>1260.9040491261883</v>
      </c>
      <c r="P244" s="177">
        <f>SUMPRODUCT(M$927:M$1019,$S$927:$S$1019)</f>
        <v>0</v>
      </c>
      <c r="Q244" s="178">
        <f>SUMPRODUCT(N$927:N$1019,$S$927:$S$1019)</f>
        <v>0</v>
      </c>
      <c r="R244" s="125"/>
      <c r="S244" s="125"/>
      <c r="T244" s="171"/>
      <c r="U244" s="125"/>
      <c r="V244" s="125"/>
    </row>
    <row r="245" spans="6:22" ht="12.75" customHeight="1" thickBot="1">
      <c r="F245" s="125"/>
      <c r="G245" s="172" t="s">
        <v>491</v>
      </c>
      <c r="H245" s="180" t="s">
        <v>831</v>
      </c>
      <c r="I245" s="181"/>
      <c r="J245" s="181"/>
      <c r="K245" s="181"/>
      <c r="L245" s="47"/>
      <c r="M245" s="47"/>
      <c r="N245" s="182" t="s">
        <v>830</v>
      </c>
      <c r="O245" s="176">
        <f>O244-O243</f>
        <v>315.55636502231266</v>
      </c>
      <c r="P245" s="183">
        <f>SUMPRODUCT(M$927:M$1019,$T$927:$T$1019)</f>
        <v>0</v>
      </c>
      <c r="Q245" s="184">
        <f>SUMPRODUCT(N$927:N$1019,$T$927:$T$1019)</f>
        <v>0</v>
      </c>
      <c r="R245" s="125"/>
      <c r="S245" s="125"/>
      <c r="T245" s="171"/>
      <c r="U245" s="125"/>
      <c r="V245" s="125"/>
    </row>
    <row r="246" spans="6:22" ht="12.75" customHeight="1">
      <c r="G246" s="172" t="s">
        <v>492</v>
      </c>
      <c r="H246" s="173" t="s">
        <v>555</v>
      </c>
      <c r="I246" s="174">
        <f>SUMPRODUCT($G$149:$G$172,$V$149:$V$172)</f>
        <v>1524.5610488824325</v>
      </c>
      <c r="J246" s="174">
        <f>SUMPRODUCT($H$149:$H$172,$V$149:$V$172)</f>
        <v>-51.522787083085248</v>
      </c>
      <c r="K246" s="174">
        <f>SUMPRODUCT($I$149:$I$172,$V$149:$V$172)</f>
        <v>7.2417295299460118</v>
      </c>
      <c r="L246" s="47"/>
      <c r="M246" s="47"/>
      <c r="N246" s="175" t="s">
        <v>663</v>
      </c>
      <c r="O246" s="179">
        <f>SUM(I246:K246)</f>
        <v>1480.2799913292934</v>
      </c>
      <c r="P246" s="177">
        <f>SUMPRODUCT(M$927:M$1019,$S$927:$S$1019)</f>
        <v>0</v>
      </c>
      <c r="Q246" s="178">
        <f>SUMPRODUCT(N$927:N$1019,$S$927:$S$1019)</f>
        <v>0</v>
      </c>
    </row>
    <row r="247" spans="6:22" ht="12.75" customHeight="1" thickBot="1">
      <c r="G247" s="185" t="s">
        <v>492</v>
      </c>
      <c r="H247" s="180" t="s">
        <v>556</v>
      </c>
      <c r="I247" s="181"/>
      <c r="J247" s="181"/>
      <c r="K247" s="181"/>
      <c r="L247" s="47"/>
      <c r="M247" s="47"/>
      <c r="N247" s="182" t="s">
        <v>664</v>
      </c>
      <c r="O247" s="176">
        <f>O246-O244</f>
        <v>219.37594220310507</v>
      </c>
      <c r="P247" s="183">
        <f>SUMPRODUCT(M$927:M$1019,$T$927:$T$1019)</f>
        <v>0</v>
      </c>
      <c r="Q247" s="184">
        <f>SUMPRODUCT(N$927:N$1019,$T$927:$T$1019)</f>
        <v>0</v>
      </c>
    </row>
    <row r="248" spans="6:22" ht="12.75" customHeight="1">
      <c r="G248" s="172" t="s">
        <v>838</v>
      </c>
      <c r="H248" s="173" t="s">
        <v>555</v>
      </c>
      <c r="I248" s="174">
        <f>SUMPRODUCT($G$173:$G$196,$V$173:$V$196)</f>
        <v>1730.7564681766187</v>
      </c>
      <c r="J248" s="174">
        <f>SUMPRODUCT($H$173:$H$196,$V$173:$V$196)</f>
        <v>-57.991703575819365</v>
      </c>
      <c r="K248" s="174">
        <f>SUMPRODUCT($I$173:$I$196,$V$173:$V$196)</f>
        <v>6.8341996799226017</v>
      </c>
      <c r="L248" s="47"/>
      <c r="M248" s="47"/>
      <c r="N248" s="175" t="s">
        <v>2407</v>
      </c>
      <c r="O248" s="179">
        <f>SUM(I248:K248)</f>
        <v>1679.5989642807219</v>
      </c>
      <c r="P248" s="177">
        <f>SUMPRODUCT(M$927:M$1019,$S$927:$S$1019)</f>
        <v>0</v>
      </c>
      <c r="Q248" s="178">
        <f>SUMPRODUCT(N$927:N$1019,$S$927:$S$1019)</f>
        <v>0</v>
      </c>
      <c r="R248" s="47"/>
      <c r="S248" s="47"/>
      <c r="T248" s="47"/>
      <c r="U248" s="47"/>
      <c r="V248" s="47"/>
    </row>
    <row r="249" spans="6:22" ht="12.75" customHeight="1">
      <c r="G249" s="185" t="s">
        <v>838</v>
      </c>
      <c r="H249" s="180" t="s">
        <v>2406</v>
      </c>
      <c r="I249" s="181"/>
      <c r="J249" s="181"/>
      <c r="K249" s="181"/>
      <c r="L249" s="47"/>
      <c r="M249" s="47"/>
      <c r="N249" s="182" t="s">
        <v>2408</v>
      </c>
      <c r="O249" s="176">
        <f>O248-O246</f>
        <v>199.31897295142858</v>
      </c>
      <c r="P249" s="183">
        <f>SUMPRODUCT(M$927:M$1019,$T$927:$T$1019)</f>
        <v>0</v>
      </c>
      <c r="Q249" s="184">
        <f>SUMPRODUCT(N$927:N$1019,$T$927:$T$1019)</f>
        <v>0</v>
      </c>
      <c r="R249" s="47"/>
      <c r="S249" s="47"/>
      <c r="T249" s="47"/>
      <c r="U249" s="47"/>
      <c r="V249" s="47"/>
    </row>
    <row r="253" spans="6:22" ht="12.75" customHeight="1" thickBot="1">
      <c r="F253" s="128" t="s">
        <v>769</v>
      </c>
      <c r="G253" s="128"/>
      <c r="H253" s="128"/>
      <c r="I253" s="128"/>
      <c r="J253" s="128"/>
      <c r="K253" s="128"/>
      <c r="L253" s="128"/>
      <c r="M253" s="128"/>
      <c r="N253" s="128"/>
      <c r="O253" s="128"/>
      <c r="P253" s="128"/>
      <c r="Q253" s="128"/>
      <c r="R253" s="128"/>
      <c r="S253" s="128"/>
    </row>
    <row r="254" spans="6:22" ht="12.75" customHeight="1" thickTop="1" thickBot="1"/>
    <row r="255" spans="6:22" ht="12.75" customHeight="1" thickTop="1" thickBot="1">
      <c r="F255" s="47" t="s">
        <v>762</v>
      </c>
      <c r="G255" s="1693" t="s">
        <v>763</v>
      </c>
      <c r="H255" s="1695"/>
    </row>
    <row r="256" spans="6:22" ht="12.75" customHeight="1" thickTop="1"/>
    <row r="257" spans="8:19" ht="12.75" customHeight="1">
      <c r="H257" s="1775" t="s">
        <v>770</v>
      </c>
      <c r="I257" s="1775"/>
      <c r="J257" s="1775"/>
      <c r="K257" s="1775"/>
      <c r="L257" s="1775"/>
      <c r="M257" s="1775"/>
      <c r="N257" s="1775"/>
      <c r="O257" s="1775"/>
      <c r="P257" s="1775"/>
      <c r="Q257" s="1775"/>
      <c r="R257" s="1775"/>
      <c r="S257" s="1775"/>
    </row>
    <row r="258" spans="8:19" ht="12.75" customHeight="1">
      <c r="H258" s="53"/>
      <c r="I258" s="53"/>
      <c r="J258" s="53"/>
      <c r="K258" s="53"/>
      <c r="L258" s="53"/>
      <c r="M258" s="53"/>
      <c r="N258" s="53"/>
      <c r="O258" s="53"/>
      <c r="P258" s="53"/>
      <c r="Q258" s="53"/>
      <c r="R258" s="53"/>
      <c r="S258" s="53"/>
    </row>
    <row r="259" spans="8:19" ht="12.75" customHeight="1">
      <c r="H259" s="1776" t="s">
        <v>764</v>
      </c>
      <c r="I259" s="1776"/>
      <c r="J259" s="1776"/>
      <c r="K259" s="1776"/>
      <c r="L259" s="1776"/>
      <c r="M259" s="1776"/>
      <c r="N259" s="1776"/>
      <c r="O259" s="1776"/>
      <c r="P259" s="1776"/>
      <c r="Q259" s="1776"/>
      <c r="R259" s="1776"/>
      <c r="S259" s="1776"/>
    </row>
    <row r="260" spans="8:19" ht="12.75" customHeight="1">
      <c r="R260" s="127" t="s">
        <v>771</v>
      </c>
    </row>
    <row r="261" spans="8:19" ht="12.75" customHeight="1">
      <c r="H261" s="54"/>
      <c r="I261" s="110" t="s">
        <v>637</v>
      </c>
      <c r="J261" s="111" t="s">
        <v>638</v>
      </c>
      <c r="K261" s="112" t="s">
        <v>639</v>
      </c>
      <c r="L261" s="113" t="s">
        <v>640</v>
      </c>
      <c r="M261" s="57" t="s">
        <v>641</v>
      </c>
      <c r="N261" s="56" t="s">
        <v>642</v>
      </c>
      <c r="O261" s="55" t="s">
        <v>643</v>
      </c>
      <c r="P261" s="58" t="s">
        <v>644</v>
      </c>
      <c r="Q261" s="53"/>
      <c r="R261" s="55" t="s">
        <v>645</v>
      </c>
      <c r="S261" s="58" t="s">
        <v>646</v>
      </c>
    </row>
    <row r="262" spans="8:19" ht="12.75" customHeight="1">
      <c r="H262" s="54">
        <v>2024</v>
      </c>
      <c r="I262" s="59">
        <f t="shared" ref="I262:L265" si="67">SUMIFS($L$12:$L$75,$H$12:$H$75,I$268,$K$12:$K$75,$H262,$I$12:$I$75,"Tier 1")</f>
        <v>15585</v>
      </c>
      <c r="J262" s="60">
        <f t="shared" si="67"/>
        <v>8392</v>
      </c>
      <c r="K262" s="60">
        <f t="shared" si="67"/>
        <v>7614</v>
      </c>
      <c r="L262" s="61">
        <f t="shared" si="67"/>
        <v>4100</v>
      </c>
      <c r="M262" s="47">
        <v>1030</v>
      </c>
      <c r="N262" s="47">
        <v>830</v>
      </c>
      <c r="O262" s="62">
        <f>K262-M262</f>
        <v>6584</v>
      </c>
      <c r="P262" s="63">
        <f>L262-N262</f>
        <v>3270</v>
      </c>
      <c r="R262" s="87">
        <f>1-M262/K262-(O262*$K283/K262)</f>
        <v>0.55099116969806761</v>
      </c>
      <c r="S262" s="88">
        <f>1-N262/L262-(P262*$K283/L262)</f>
        <v>0.5081964009233455</v>
      </c>
    </row>
    <row r="263" spans="8:19" ht="12.75" customHeight="1">
      <c r="H263" s="54">
        <v>2025</v>
      </c>
      <c r="I263" s="64">
        <f t="shared" si="67"/>
        <v>19488.615691579998</v>
      </c>
      <c r="J263" s="65">
        <f t="shared" si="67"/>
        <v>8383.9612534499993</v>
      </c>
      <c r="K263" s="65">
        <f t="shared" si="67"/>
        <v>8557.3138605099994</v>
      </c>
      <c r="L263" s="66">
        <f t="shared" si="67"/>
        <v>4826.9748506699998</v>
      </c>
      <c r="M263" s="47">
        <v>1030</v>
      </c>
      <c r="N263" s="47">
        <v>830</v>
      </c>
      <c r="O263" s="67">
        <f>K263-M263</f>
        <v>7527.3138605099994</v>
      </c>
      <c r="P263" s="68">
        <f>L263-N263</f>
        <v>3996.9748506699998</v>
      </c>
      <c r="R263" s="89">
        <f>1-M263/K263-(O263*$K284/K263)</f>
        <v>0.55990961505340198</v>
      </c>
      <c r="S263" s="90">
        <f>1-N263/L263-(P263*$K284/L263)</f>
        <v>0.52707417943073864</v>
      </c>
    </row>
    <row r="264" spans="8:19" ht="12.75" customHeight="1">
      <c r="H264" s="54">
        <v>2026</v>
      </c>
      <c r="I264" s="64">
        <f t="shared" si="67"/>
        <v>24644.415839820002</v>
      </c>
      <c r="J264" s="65">
        <f t="shared" si="67"/>
        <v>9288.4648193499997</v>
      </c>
      <c r="K264" s="65">
        <f t="shared" si="67"/>
        <v>9459.2404764900002</v>
      </c>
      <c r="L264" s="66">
        <f t="shared" si="67"/>
        <v>5110.1434833599997</v>
      </c>
      <c r="M264" s="47">
        <v>1030</v>
      </c>
      <c r="N264" s="47">
        <v>830</v>
      </c>
      <c r="O264" s="67">
        <f t="shared" ref="O264:O265" si="68">K264-M264</f>
        <v>8429.2404764900002</v>
      </c>
      <c r="P264" s="68">
        <f t="shared" ref="P264:P265" si="69">L264-N264</f>
        <v>4280.1434833599997</v>
      </c>
      <c r="R264" s="89">
        <f t="shared" ref="R264:R265" si="70">1-M264/K264-(O264*$K285/K264)</f>
        <v>0.56731911207321217</v>
      </c>
      <c r="S264" s="90">
        <f t="shared" ref="S264:S265" si="71">1-N264/L264-(P264*$K285/L264)</f>
        <v>0.53323723844007731</v>
      </c>
    </row>
    <row r="265" spans="8:19" ht="12.75" customHeight="1">
      <c r="H265" s="54">
        <v>2027</v>
      </c>
      <c r="I265" s="64">
        <f t="shared" si="67"/>
        <v>29799.121590719998</v>
      </c>
      <c r="J265" s="65">
        <f t="shared" si="67"/>
        <v>9919.4533983099991</v>
      </c>
      <c r="K265" s="65">
        <f t="shared" si="67"/>
        <v>10285.729101069999</v>
      </c>
      <c r="L265" s="66">
        <f t="shared" si="67"/>
        <v>5389.4182836</v>
      </c>
      <c r="M265" s="47">
        <v>1030</v>
      </c>
      <c r="N265" s="47">
        <v>830</v>
      </c>
      <c r="O265" s="67">
        <f t="shared" si="68"/>
        <v>9255.7291010699992</v>
      </c>
      <c r="P265" s="68">
        <f t="shared" si="69"/>
        <v>4559.4182836</v>
      </c>
      <c r="R265" s="89">
        <f t="shared" si="70"/>
        <v>0.57257611837724953</v>
      </c>
      <c r="S265" s="90">
        <f t="shared" si="71"/>
        <v>0.53830104386119726</v>
      </c>
    </row>
    <row r="266" spans="8:19" ht="12.75" customHeight="1">
      <c r="I266" s="93"/>
      <c r="J266" s="94"/>
      <c r="K266" s="95"/>
      <c r="L266" s="114"/>
      <c r="N266" s="70"/>
      <c r="O266" s="69"/>
      <c r="P266" s="71"/>
      <c r="R266" s="72" t="s">
        <v>649</v>
      </c>
      <c r="S266" s="73" t="s">
        <v>650</v>
      </c>
    </row>
    <row r="267" spans="8:19" ht="12.75" customHeight="1">
      <c r="H267" s="74" t="s">
        <v>669</v>
      </c>
      <c r="I267" s="1777" t="s">
        <v>657</v>
      </c>
      <c r="J267" s="1777"/>
      <c r="K267" s="1777"/>
      <c r="L267" s="1777"/>
      <c r="M267" s="1778" t="s">
        <v>765</v>
      </c>
      <c r="N267" s="1778"/>
      <c r="O267" s="1777" t="s">
        <v>658</v>
      </c>
      <c r="P267" s="1777"/>
      <c r="Q267" s="75"/>
      <c r="R267" s="1779" t="s">
        <v>659</v>
      </c>
      <c r="S267" s="1779"/>
    </row>
    <row r="268" spans="8:19" ht="12.75" customHeight="1">
      <c r="I268" s="76" t="s">
        <v>647</v>
      </c>
      <c r="J268" s="76" t="s">
        <v>648</v>
      </c>
      <c r="K268" s="76" t="s">
        <v>649</v>
      </c>
      <c r="L268" s="76" t="s">
        <v>650</v>
      </c>
    </row>
    <row r="271" spans="8:19" ht="12.75" customHeight="1">
      <c r="K271" s="50"/>
      <c r="L271" s="50"/>
      <c r="M271" s="50"/>
    </row>
    <row r="272" spans="8:19" ht="12.75" customHeight="1">
      <c r="H272" s="1776" t="s">
        <v>766</v>
      </c>
      <c r="I272" s="1776"/>
      <c r="J272" s="1776"/>
      <c r="K272" s="1776"/>
      <c r="L272" s="1776"/>
      <c r="M272" s="1776"/>
      <c r="N272" s="1776"/>
      <c r="O272" s="1776"/>
      <c r="P272" s="1776"/>
      <c r="Q272" s="1776"/>
      <c r="R272" s="1776"/>
      <c r="S272" s="1776"/>
    </row>
    <row r="273" spans="9:18" ht="12.75" customHeight="1">
      <c r="I273" s="35"/>
      <c r="J273" s="35"/>
      <c r="K273" s="35"/>
      <c r="L273" s="35"/>
      <c r="M273" s="35"/>
    </row>
    <row r="274" spans="9:18" ht="12.75" customHeight="1" thickBot="1">
      <c r="I274" s="35"/>
      <c r="J274" s="35"/>
      <c r="K274" s="35"/>
      <c r="L274" s="35"/>
      <c r="M274" s="35"/>
    </row>
    <row r="275" spans="9:18" ht="12.75" customHeight="1">
      <c r="I275" s="35"/>
      <c r="J275" s="35"/>
      <c r="K275" s="35"/>
      <c r="L275" s="1780" t="s">
        <v>654</v>
      </c>
      <c r="M275" s="1781"/>
    </row>
    <row r="276" spans="9:18" ht="12.75" customHeight="1">
      <c r="I276" s="35"/>
      <c r="J276" s="35"/>
      <c r="K276" s="35"/>
      <c r="L276" s="1782"/>
      <c r="M276" s="1783"/>
    </row>
    <row r="277" spans="9:18" ht="12.75" customHeight="1">
      <c r="I277" s="35"/>
      <c r="J277" s="35"/>
      <c r="K277" s="35"/>
      <c r="L277" s="1782"/>
      <c r="M277" s="1783"/>
    </row>
    <row r="278" spans="9:18" ht="12.75" customHeight="1">
      <c r="I278" s="35"/>
      <c r="J278" s="35"/>
      <c r="K278" s="35"/>
      <c r="L278" s="1782"/>
      <c r="M278" s="1783"/>
    </row>
    <row r="279" spans="9:18" ht="12.75" customHeight="1">
      <c r="I279" s="35"/>
      <c r="J279" s="35"/>
      <c r="K279" s="35"/>
      <c r="L279" s="1782"/>
      <c r="M279" s="1783"/>
    </row>
    <row r="280" spans="9:18" ht="12.75" customHeight="1" thickBot="1">
      <c r="I280" s="35"/>
      <c r="J280" s="35"/>
      <c r="K280" s="35"/>
      <c r="L280" s="1782"/>
      <c r="M280" s="1783"/>
    </row>
    <row r="281" spans="9:18" ht="12.75" customHeight="1" thickBot="1">
      <c r="I281" s="33"/>
      <c r="J281" s="33" t="s">
        <v>651</v>
      </c>
      <c r="K281" s="33" t="s">
        <v>652</v>
      </c>
      <c r="L281" s="38" t="s">
        <v>264</v>
      </c>
      <c r="M281" s="39" t="s">
        <v>281</v>
      </c>
      <c r="O281" s="1770" t="s">
        <v>1949</v>
      </c>
      <c r="P281" s="1771"/>
      <c r="Q281" s="1771"/>
      <c r="R281" s="1772"/>
    </row>
    <row r="282" spans="9:18" ht="12.75" customHeight="1" thickTop="1" thickBot="1">
      <c r="I282" s="34"/>
      <c r="J282" s="34"/>
      <c r="K282" s="34"/>
      <c r="L282" s="77" t="s">
        <v>653</v>
      </c>
      <c r="M282" s="78" t="s">
        <v>327</v>
      </c>
      <c r="O282" s="42" t="s">
        <v>655</v>
      </c>
      <c r="Q282" s="51"/>
      <c r="R282" s="449">
        <v>914</v>
      </c>
    </row>
    <row r="283" spans="9:18" ht="12.75" customHeight="1" thickTop="1" thickBot="1">
      <c r="I283" s="36">
        <v>2024</v>
      </c>
      <c r="J283" s="35">
        <f>SUM(L283:M283)</f>
        <v>36817</v>
      </c>
      <c r="K283" s="37">
        <f>L283*$R$282/$R$284/J283+M283*$R$283/$R$284/J283</f>
        <v>0.3628118520532978</v>
      </c>
      <c r="L283" s="40">
        <v>10405</v>
      </c>
      <c r="M283" s="41">
        <v>26412</v>
      </c>
      <c r="O283" s="42" t="s">
        <v>656</v>
      </c>
      <c r="Q283" s="51"/>
      <c r="R283" s="449">
        <v>294.27999999999997</v>
      </c>
    </row>
    <row r="284" spans="9:18" ht="12.75" customHeight="1" thickTop="1" thickBot="1">
      <c r="I284" s="36">
        <v>2025</v>
      </c>
      <c r="J284" s="35">
        <f>SUM(L284:M284)</f>
        <v>37891</v>
      </c>
      <c r="K284" s="37">
        <f>L284*$R$282/$R$284/J284+M284*$R$283/$R$284/J284</f>
        <v>0.36347515218334914</v>
      </c>
      <c r="L284" s="40">
        <v>10761</v>
      </c>
      <c r="M284" s="41">
        <v>27130</v>
      </c>
      <c r="O284" s="43" t="s">
        <v>756</v>
      </c>
      <c r="P284" s="79"/>
      <c r="Q284" s="80"/>
      <c r="R284" s="449">
        <v>1293.8429423314012</v>
      </c>
    </row>
    <row r="285" spans="9:18" ht="12.75" customHeight="1">
      <c r="I285" s="36">
        <v>2026</v>
      </c>
      <c r="J285" s="35">
        <f t="shared" ref="J285:J286" si="72">SUM(L285:M285)</f>
        <v>38632</v>
      </c>
      <c r="K285" s="37">
        <f>L285*$R$282/$R$284/J285+M285*$R$283/$R$284/J285</f>
        <v>0.3633580720615639</v>
      </c>
      <c r="L285" s="115">
        <v>10962</v>
      </c>
      <c r="M285" s="116">
        <v>27670</v>
      </c>
    </row>
    <row r="286" spans="9:18" ht="12.75" customHeight="1" thickBot="1">
      <c r="I286" s="36">
        <v>2027</v>
      </c>
      <c r="J286" s="35">
        <f t="shared" si="72"/>
        <v>40319</v>
      </c>
      <c r="K286" s="37">
        <f>L286*$R$282/$R$284/J286+M286*$R$283/$R$284/J286</f>
        <v>0.36370622140510339</v>
      </c>
      <c r="L286" s="117">
        <v>11470</v>
      </c>
      <c r="M286" s="118">
        <v>28849</v>
      </c>
    </row>
  </sheetData>
  <autoFilter ref="A11:XFB11" xr:uid="{00000000-0001-0000-1200-000000000000}"/>
  <sortState xmlns:xlrd2="http://schemas.microsoft.com/office/spreadsheetml/2017/richdata2" ref="Y21:Z83">
    <sortCondition ref="Y21:Y83"/>
    <sortCondition ref="Z21:Z83"/>
  </sortState>
  <dataConsolidate/>
  <mergeCells count="37">
    <mergeCell ref="G2:J2"/>
    <mergeCell ref="H91:H94"/>
    <mergeCell ref="H87:H90"/>
    <mergeCell ref="I85:K85"/>
    <mergeCell ref="L85:N85"/>
    <mergeCell ref="F81:N81"/>
    <mergeCell ref="F79:N79"/>
    <mergeCell ref="F10:K10"/>
    <mergeCell ref="L10:P10"/>
    <mergeCell ref="F83:T84"/>
    <mergeCell ref="Q10:R10"/>
    <mergeCell ref="R85:T85"/>
    <mergeCell ref="S10:U10"/>
    <mergeCell ref="F9:H9"/>
    <mergeCell ref="A10:E10"/>
    <mergeCell ref="H85:H86"/>
    <mergeCell ref="F85:F86"/>
    <mergeCell ref="G85:G86"/>
    <mergeCell ref="F96:M97"/>
    <mergeCell ref="O281:R281"/>
    <mergeCell ref="H207:K207"/>
    <mergeCell ref="G255:H255"/>
    <mergeCell ref="H257:S257"/>
    <mergeCell ref="H259:S259"/>
    <mergeCell ref="I267:L267"/>
    <mergeCell ref="M267:N267"/>
    <mergeCell ref="O267:P267"/>
    <mergeCell ref="R267:S267"/>
    <mergeCell ref="H272:S272"/>
    <mergeCell ref="L275:M280"/>
    <mergeCell ref="F106:I106"/>
    <mergeCell ref="G108:I108"/>
    <mergeCell ref="L109:P109"/>
    <mergeCell ref="Q109:U109"/>
    <mergeCell ref="R12:R43"/>
    <mergeCell ref="O85:Q85"/>
    <mergeCell ref="O12:O43"/>
  </mergeCells>
  <hyperlinks>
    <hyperlink ref="H91:H94" location="HPWH!F253" display="Adjusted from existing construction rate" xr:uid="{00000000-0004-0000-1200-000001000000}"/>
    <hyperlink ref="H87:H88" location="hpwhrtf" display="RTF Measure Workbook" xr:uid="{00000000-0004-0000-1200-000002000000}"/>
    <hyperlink ref="F1" location="'2024-2025 Summary'!C1" display="Summary Page" xr:uid="{01C17DDB-150F-41FA-9F39-0741E321F93C}"/>
    <hyperlink ref="H87:H90" r:id="rId1" display="RTF Measure Workbook" xr:uid="{C376F226-BD68-468E-ABD1-DB39EBAD14A9}"/>
  </hyperlinks>
  <pageMargins left="0.7" right="0.7" top="0.75" bottom="0.75" header="0.3" footer="0.3"/>
  <pageSetup scale="10" orientation="portrait"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5"/>
  </sheetPr>
  <dimension ref="A2:A10"/>
  <sheetViews>
    <sheetView showGridLines="0" zoomScale="90" zoomScaleNormal="90" workbookViewId="0">
      <selection activeCell="A2" sqref="A2"/>
    </sheetView>
  </sheetViews>
  <sheetFormatPr defaultRowHeight="15"/>
  <cols>
    <col min="1" max="1" width="42.42578125" customWidth="1"/>
  </cols>
  <sheetData>
    <row r="2" spans="1:1" ht="15.75">
      <c r="A2" s="30" t="s">
        <v>601</v>
      </c>
    </row>
    <row r="3" spans="1:1" ht="15.75">
      <c r="A3" s="30" t="s">
        <v>585</v>
      </c>
    </row>
    <row r="4" spans="1:1">
      <c r="A4" s="231" t="s">
        <v>2559</v>
      </c>
    </row>
    <row r="5" spans="1:1">
      <c r="A5" s="31" t="s">
        <v>606</v>
      </c>
    </row>
    <row r="6" spans="1:1" ht="15.75">
      <c r="A6" s="30">
        <v>2022</v>
      </c>
    </row>
    <row r="7" spans="1:1">
      <c r="A7" s="31" t="s">
        <v>607</v>
      </c>
    </row>
    <row r="8" spans="1:1" ht="15.75">
      <c r="A8" s="30" t="s">
        <v>2560</v>
      </c>
    </row>
    <row r="9" spans="1:1">
      <c r="A9" s="31" t="s">
        <v>930</v>
      </c>
    </row>
    <row r="10" spans="1:1" ht="15.75">
      <c r="A10" s="30" t="s">
        <v>2561</v>
      </c>
    </row>
  </sheetData>
  <dataValidations count="3">
    <dataValidation type="list" allowBlank="1" showInputMessage="1" showErrorMessage="1" sqref="A3" xr:uid="{00000000-0002-0000-0200-000001000000}">
      <formula1>State_List</formula1>
    </dataValidation>
    <dataValidation type="list" allowBlank="1" showInputMessage="1" showErrorMessage="1" sqref="A6" xr:uid="{00000000-0002-0000-0200-000002000000}">
      <formula1>Year_list</formula1>
    </dataValidation>
    <dataValidation type="list" allowBlank="1" showInputMessage="1" showErrorMessage="1" sqref="A8 A10" xr:uid="{00000000-0002-0000-0200-000003000000}">
      <formula1>Report_Archive_list</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List!$A$2:$A$20</xm:f>
          </x14:formula1>
          <xm:sqref>A2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5387-4E70-4820-BC29-9B17FE69D6F9}">
  <sheetPr>
    <tabColor rgb="FF0083CA"/>
  </sheetPr>
  <dimension ref="A1:AE152"/>
  <sheetViews>
    <sheetView showGridLines="0" topLeftCell="F1" zoomScale="90" zoomScaleNormal="90" workbookViewId="0">
      <selection activeCell="F2" sqref="F2"/>
    </sheetView>
  </sheetViews>
  <sheetFormatPr defaultColWidth="9.42578125" defaultRowHeight="12.75" outlineLevelRow="1" outlineLevelCol="1"/>
  <cols>
    <col min="1" max="5" width="10.42578125" style="47" hidden="1" customWidth="1" outlineLevel="1"/>
    <col min="6" max="6" width="20.42578125" style="47" customWidth="1" collapsed="1"/>
    <col min="7" max="7" width="24.5703125" style="47" customWidth="1"/>
    <col min="8" max="8" width="21.42578125" style="47" customWidth="1"/>
    <col min="9" max="9" width="18.5703125" style="47" customWidth="1"/>
    <col min="10" max="10" width="13.5703125" style="47" customWidth="1"/>
    <col min="11" max="11" width="14.5703125" style="47" customWidth="1"/>
    <col min="12" max="13" width="10.5703125" style="47" customWidth="1"/>
    <col min="14" max="14" width="20.140625" style="47" bestFit="1" customWidth="1"/>
    <col min="15" max="15" width="28.42578125" style="47" customWidth="1"/>
    <col min="16" max="16" width="17.5703125" style="47" customWidth="1"/>
    <col min="17" max="17" width="14.42578125" style="47" customWidth="1"/>
    <col min="18" max="18" width="34.5703125" style="47" customWidth="1"/>
    <col min="19" max="19" width="15.5703125" style="47" customWidth="1"/>
    <col min="20" max="20" width="14.5703125" style="47" customWidth="1"/>
    <col min="21" max="21" width="15.42578125" style="47" customWidth="1"/>
    <col min="22" max="22" width="19.5703125" style="47" customWidth="1"/>
    <col min="23" max="23" width="24.42578125" style="47" customWidth="1"/>
    <col min="24" max="24" width="18.42578125" style="47" customWidth="1"/>
    <col min="25" max="25" width="15.42578125" style="47" customWidth="1"/>
    <col min="26" max="26" width="17.85546875" style="47" customWidth="1"/>
    <col min="27" max="27" width="20.42578125" style="47" customWidth="1"/>
    <col min="28" max="16384" width="9.42578125" style="47"/>
  </cols>
  <sheetData>
    <row r="1" spans="1:21" ht="15">
      <c r="F1" s="26" t="s">
        <v>557</v>
      </c>
    </row>
    <row r="2" spans="1:21" ht="58.5" customHeight="1">
      <c r="F2" s="717" t="str">
        <f>G12&amp;":"</f>
        <v>Manufactured Homes:</v>
      </c>
      <c r="G2" s="1812" t="str">
        <f>INDEX('AMMO Measures'!$I:$I,MATCH(LEFT(F2,LEN(F2)-1),'AMMO Measures'!$B:$B,0))</f>
        <v>The region is working together to demonstrate success for a new voluntary above code specification (NEEM 2.0), which NEEA influenced, in the market prior to a HUD code change. The NEEM 2.0 spec. will be the basis for NEEA to influence the next HUD code change. NEEA provides manufacturer with information and materials for their marketing and sales efforts of NEEM 2.0 homes.</v>
      </c>
      <c r="H2" s="1812"/>
      <c r="I2" s="1812"/>
      <c r="J2" s="1812"/>
      <c r="K2" s="1812"/>
      <c r="L2" s="1812"/>
      <c r="M2" s="1812"/>
      <c r="N2" s="1812"/>
      <c r="O2" s="1812"/>
      <c r="P2" s="239"/>
      <c r="Q2" s="239"/>
      <c r="R2" s="239"/>
    </row>
    <row r="3" spans="1:21" customFormat="1" ht="15">
      <c r="A3" s="47"/>
      <c r="B3" s="47"/>
      <c r="C3" s="47"/>
      <c r="D3" s="47"/>
      <c r="E3" s="47"/>
      <c r="F3" s="1299" t="s">
        <v>2726</v>
      </c>
    </row>
    <row r="4" spans="1:21" customFormat="1" ht="15" hidden="1" outlineLevel="1">
      <c r="A4" s="47"/>
      <c r="B4" s="47"/>
      <c r="C4" s="47"/>
      <c r="D4" s="47"/>
      <c r="E4" s="47"/>
    </row>
    <row r="5" spans="1:21" customFormat="1" ht="15" hidden="1" outlineLevel="1">
      <c r="A5" s="9" t="s">
        <v>2652</v>
      </c>
      <c r="B5" s="47"/>
      <c r="C5" s="47"/>
      <c r="D5" s="47"/>
      <c r="E5" s="47"/>
    </row>
    <row r="6" spans="1:21" customFormat="1" ht="15" hidden="1" outlineLevel="1">
      <c r="A6" s="667">
        <f>(B6/(SUM(B6:C6)))*D6+ (C6/SUM(B6:C6))*E6</f>
        <v>42</v>
      </c>
      <c r="B6" s="668">
        <f>SUMIFS($U$12:$U$19,$K$12:$K$19, 2024)</f>
        <v>1.3559803958585739E-2</v>
      </c>
      <c r="C6" s="668">
        <f>SUMIFS($U$12:$U$19,$K$12:$K$19, 2025)</f>
        <v>2.0209261867700161E-2</v>
      </c>
      <c r="D6" s="667" cm="1">
        <f t="array" ref="D6">SUMPRODUCT($J$12:$J$19,$U$12:$U$19,--($K$12:$K$19=2024))/SUMIFS($U$12:$U$19,$K$12:$K$19, 2024)</f>
        <v>42</v>
      </c>
      <c r="E6" s="667" cm="1">
        <f t="array" ref="E6">SUMPRODUCT($J$12:$J$19,$U$12:$U$19,--($K$12:$K$19=2025))/SUMIFS($U$12:$U$19,$K$12:$K$19, 2025)</f>
        <v>42</v>
      </c>
    </row>
    <row r="7" spans="1:21" customFormat="1" ht="15" hidden="1" outlineLevel="1">
      <c r="A7" s="667">
        <f>(B7/(SUM(B7:C7)))*D7+ (C7/SUM(B7:C7))*E7</f>
        <v>42</v>
      </c>
      <c r="B7" s="668">
        <f>SUMIFS($U$12:$U$19,$K$12:$K$19, 2026)</f>
        <v>2.1356493760036833E-2</v>
      </c>
      <c r="C7" s="668">
        <f>SUMIFS($U$12:$U$19,$K$12:$K$19, 2027)</f>
        <v>2.2567925686827455E-2</v>
      </c>
      <c r="D7" s="9" cm="1">
        <f t="array" ref="D7">SUMPRODUCT($J$12:$J$19,$U$12:$U$19,--($K$12:$K$19=2026))/SUMIFS($U$12:$U$19,$K$12:$K$19, 2026)</f>
        <v>42</v>
      </c>
      <c r="E7" s="9" cm="1">
        <f t="array" ref="E7">SUMPRODUCT($J$12:$J$19,$U$12:$U$19,--($K$12:$K$19=2027))/SUMIFS($U$12:$U$19,$K$12:$K$19, 2027)</f>
        <v>42</v>
      </c>
    </row>
    <row r="8" spans="1:21" customFormat="1" ht="15" hidden="1" outlineLevel="1">
      <c r="A8" s="47"/>
      <c r="B8" s="47"/>
      <c r="C8" s="47"/>
      <c r="D8" s="47"/>
      <c r="E8" s="47"/>
    </row>
    <row r="9" spans="1:21" customFormat="1" ht="125.1" hidden="1" customHeight="1" outlineLevel="1">
      <c r="A9" s="47"/>
      <c r="B9" s="47"/>
      <c r="C9" s="47"/>
      <c r="D9" s="47"/>
      <c r="E9" s="47"/>
      <c r="F9" s="1811"/>
      <c r="G9" s="1811"/>
      <c r="H9" s="1811"/>
      <c r="I9" s="1811"/>
      <c r="J9" s="1811"/>
    </row>
    <row r="10" spans="1:21" ht="15" collapsed="1">
      <c r="A10" s="1809" t="s">
        <v>125</v>
      </c>
      <c r="B10" s="1810"/>
      <c r="C10" s="1810"/>
      <c r="D10" s="1810"/>
      <c r="E10" s="1810"/>
      <c r="F10" s="1720" t="s">
        <v>7</v>
      </c>
      <c r="G10" s="1722"/>
      <c r="H10" s="1722"/>
      <c r="I10" s="1722"/>
      <c r="J10" s="1722"/>
      <c r="K10" s="1816"/>
      <c r="L10" s="1717" t="s">
        <v>122</v>
      </c>
      <c r="M10" s="1718"/>
      <c r="N10" s="1718"/>
      <c r="O10" s="1718"/>
      <c r="P10" s="1719"/>
      <c r="Q10" s="1802" t="s">
        <v>123</v>
      </c>
      <c r="R10" s="1803"/>
      <c r="S10" s="1807" t="s">
        <v>124</v>
      </c>
      <c r="T10" s="1808"/>
      <c r="U10" s="1808"/>
    </row>
    <row r="11" spans="1:21" ht="51.75" thickBot="1">
      <c r="A11" s="16" t="s">
        <v>0</v>
      </c>
      <c r="B11" s="17" t="s">
        <v>10</v>
      </c>
      <c r="C11" s="17" t="s">
        <v>1</v>
      </c>
      <c r="D11" s="17" t="s">
        <v>2</v>
      </c>
      <c r="E11" s="17" t="s">
        <v>187</v>
      </c>
      <c r="F11" s="202" t="s">
        <v>3</v>
      </c>
      <c r="G11" s="770" t="s">
        <v>4</v>
      </c>
      <c r="H11" s="770" t="s">
        <v>5</v>
      </c>
      <c r="I11" s="770" t="s">
        <v>6</v>
      </c>
      <c r="J11" s="770" t="s">
        <v>834</v>
      </c>
      <c r="K11" s="770" t="s">
        <v>8</v>
      </c>
      <c r="L11" s="769" t="s">
        <v>2478</v>
      </c>
      <c r="M11" s="770" t="s">
        <v>2479</v>
      </c>
      <c r="N11" s="770" t="s">
        <v>119</v>
      </c>
      <c r="O11" s="770" t="s">
        <v>120</v>
      </c>
      <c r="P11" s="720" t="str">
        <f>"Funder Share: "&amp;Selection!A2&amp;" "&amp;Selection!A3</f>
        <v>Funder Share: Puget Sound Energy Washington</v>
      </c>
      <c r="Q11" s="838" t="s">
        <v>451</v>
      </c>
      <c r="R11" s="839" t="s">
        <v>121</v>
      </c>
      <c r="S11" s="715" t="s">
        <v>2683</v>
      </c>
      <c r="T11" s="714" t="s">
        <v>2675</v>
      </c>
      <c r="U11" s="716" t="s">
        <v>2283</v>
      </c>
    </row>
    <row r="12" spans="1:21" ht="26.25" thickTop="1">
      <c r="A12" s="105" t="s">
        <v>912</v>
      </c>
      <c r="B12" s="10" t="str">
        <f t="shared" ref="B12:B13" si="0">LEFT(A12,10)</f>
        <v>RES_201601</v>
      </c>
      <c r="C12" s="670" t="str">
        <f>INDEX('AMMO vwFlags'!$C:$C,MATCH($A12&amp;K12,'AMMO vwFlags'!$K:$K,0))</f>
        <v>0</v>
      </c>
      <c r="D12" s="670" t="str">
        <f>INDEX('AMMO vwFlags'!$D:$D,MATCH($A12&amp;$K12,'AMMO vwFlags'!$K:$K,0))</f>
        <v>0</v>
      </c>
      <c r="E12" s="10">
        <f t="shared" ref="E12:E19" si="1">COUNTIFS($A:$A,$A12,$K:$K,$K12)</f>
        <v>1</v>
      </c>
      <c r="F12" s="836" t="s">
        <v>207</v>
      </c>
      <c r="G12" s="841" t="str">
        <f>INDEX('AMMO Units'!$B:$B,MATCH(Manufactured_Homes!$A12,'AMMO Units'!$E:$E,0))</f>
        <v>Manufactured Homes</v>
      </c>
      <c r="H12" s="842" t="str">
        <f>INDEX('AMMO Units'!$C:$C,MATCH(Manufactured_Homes!$A12,'AMMO Units'!$E:$E,0))</f>
        <v>Manufactured Home</v>
      </c>
      <c r="I12" s="843" t="str">
        <f>INDEX('AMMO Units'!$D:$D,MATCH(Manufactured_Homes!$A12,'AMMO Units'!$E:$E,0))</f>
        <v>NEEM 1.1</v>
      </c>
      <c r="J12" s="844">
        <f>VALUE(INDEX('AMMO Measures'!H:H,MATCH($A12,'AMMO Measures'!A:A,0)))</f>
        <v>42</v>
      </c>
      <c r="K12" s="845">
        <v>2024</v>
      </c>
      <c r="L12" s="846">
        <f>SUMIFS('AMMO Units'!F:F,'AMMO Units'!$A:$A,$K12,'AMMO Units'!$E:$E,$A12)</f>
        <v>3166.8466172200001</v>
      </c>
      <c r="M12" s="847">
        <f>L12*0.14*0.315</f>
        <v>139.65793581940201</v>
      </c>
      <c r="N12" s="847">
        <f>SUMIFS('AMMO Units'!H:H,'AMMO Units'!$A:$A,$K12,'AMMO Units'!$E:$E,$A12)</f>
        <v>0</v>
      </c>
      <c r="O12" s="848" t="s">
        <v>1082</v>
      </c>
      <c r="P12" s="2">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Q12" s="849">
        <f>AA$31</f>
        <v>250.66189982728847</v>
      </c>
      <c r="R12" s="850" t="s">
        <v>2017</v>
      </c>
      <c r="S12" s="851">
        <f t="shared" ref="S12:S13" si="2">(L12-N12)*P12*Q12/8760000</f>
        <v>1.2673376964961791E-2</v>
      </c>
      <c r="T12" s="852">
        <f t="shared" ref="T12:T13" si="3">IFERROR((M12-N12/L12*M12)*P12*Q12/8760/1000,0)</f>
        <v>5.5889592415481507E-4</v>
      </c>
      <c r="U12" s="853">
        <f t="shared" ref="U12:U13" si="4">S12-T12</f>
        <v>1.2114481040806976E-2</v>
      </c>
    </row>
    <row r="13" spans="1:21" ht="25.5">
      <c r="A13" s="105" t="s">
        <v>752</v>
      </c>
      <c r="B13" s="10" t="str">
        <f t="shared" si="0"/>
        <v>RES_201601</v>
      </c>
      <c r="C13" s="670" t="str">
        <f>INDEX('AMMO vwFlags'!$C:$C,MATCH($A13&amp;K13,'AMMO vwFlags'!$K:$K,0))</f>
        <v>0</v>
      </c>
      <c r="D13" s="670" t="str">
        <f>INDEX('AMMO vwFlags'!$D:$D,MATCH($A13&amp;$K13,'AMMO vwFlags'!$K:$K,0))</f>
        <v>0</v>
      </c>
      <c r="E13" s="10">
        <f t="shared" si="1"/>
        <v>1</v>
      </c>
      <c r="F13" s="469" t="s">
        <v>207</v>
      </c>
      <c r="G13" s="841" t="str">
        <f>INDEX('AMMO Units'!$B:$B,MATCH(Manufactured_Homes!$A13,'AMMO Units'!$E:$E,0))</f>
        <v>Manufactured Homes</v>
      </c>
      <c r="H13" s="844" t="str">
        <f>INDEX('AMMO Units'!$C:$C,MATCH(Manufactured_Homes!$A13,'AMMO Units'!$E:$E,0))</f>
        <v>Manufactured Home</v>
      </c>
      <c r="I13" s="844" t="str">
        <f>INDEX('AMMO Units'!$D:$D,MATCH(Manufactured_Homes!$A13,'AMMO Units'!$E:$E,0))</f>
        <v>NEEM Plus</v>
      </c>
      <c r="J13" s="844">
        <f>VALUE(INDEX('AMMO Measures'!H:H,MATCH($A13,'AMMO Measures'!A:A,0)))</f>
        <v>42</v>
      </c>
      <c r="K13" s="844">
        <v>2024</v>
      </c>
      <c r="L13" s="846">
        <f>SUMIFS('AMMO Units'!F:F,'AMMO Units'!$A:$A,$K13,'AMMO Units'!$E:$E,$A13)</f>
        <v>226.37830621000001</v>
      </c>
      <c r="M13" s="847">
        <f>SUMIFS('AMMO Units'!G:G,'AMMO Units'!$A:$A,$K13,'AMMO Units'!$E:$E,$A13)</f>
        <v>113.18915311000001</v>
      </c>
      <c r="N13" s="847">
        <f>SUMIFS('AMMO Units'!H:H,'AMMO Units'!$A:$A,$K13,'AMMO Units'!$E:$E,$A13)</f>
        <v>0</v>
      </c>
      <c r="O13" s="848" t="s">
        <v>1082</v>
      </c>
      <c r="P13" s="2">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Q13" s="849">
        <f>AA$32</f>
        <v>799.80309784294775</v>
      </c>
      <c r="R13" s="850" t="s">
        <v>2017</v>
      </c>
      <c r="S13" s="851">
        <f t="shared" si="2"/>
        <v>2.8906458356852179E-3</v>
      </c>
      <c r="T13" s="852">
        <f t="shared" si="3"/>
        <v>1.4453229179064544E-3</v>
      </c>
      <c r="U13" s="853">
        <f t="shared" si="4"/>
        <v>1.4453229177787635E-3</v>
      </c>
    </row>
    <row r="14" spans="1:21" ht="25.5">
      <c r="A14" s="105" t="s">
        <v>912</v>
      </c>
      <c r="B14" s="10" t="str">
        <f t="shared" ref="B14:B15" si="5">LEFT(A14,10)</f>
        <v>RES_201601</v>
      </c>
      <c r="C14" s="670" t="str">
        <f>INDEX('AMMO vwFlags'!$C:$C,MATCH($A14&amp;K14,'AMMO vwFlags'!$K:$K,0))</f>
        <v>0</v>
      </c>
      <c r="D14" s="670" t="str">
        <f>INDEX('AMMO vwFlags'!$D:$D,MATCH($A14&amp;$K14,'AMMO vwFlags'!$K:$K,0))</f>
        <v>0</v>
      </c>
      <c r="E14" s="10">
        <f t="shared" si="1"/>
        <v>1</v>
      </c>
      <c r="F14" s="469" t="s">
        <v>207</v>
      </c>
      <c r="G14" s="841" t="str">
        <f>INDEX('AMMO Units'!$B:$B,MATCH(Manufactured_Homes!$A14,'AMMO Units'!$E:$E,0))</f>
        <v>Manufactured Homes</v>
      </c>
      <c r="H14" s="844" t="str">
        <f>INDEX('AMMO Units'!$C:$C,MATCH(Manufactured_Homes!$A14,'AMMO Units'!$E:$E,0))</f>
        <v>Manufactured Home</v>
      </c>
      <c r="I14" s="844" t="str">
        <f>INDEX('AMMO Units'!$D:$D,MATCH(Manufactured_Homes!$A14,'AMMO Units'!$E:$E,0))</f>
        <v>NEEM 1.1</v>
      </c>
      <c r="J14" s="844">
        <f>VALUE(INDEX('AMMO Measures'!H:H,MATCH($A14,'AMMO Measures'!A:A,0)))</f>
        <v>42</v>
      </c>
      <c r="K14" s="844">
        <v>2025</v>
      </c>
      <c r="L14" s="846">
        <f>SUMIFS('AMMO Units'!F:F,'AMMO Units'!$A:$A,$K14,'AMMO Units'!$E:$E,$A14)</f>
        <v>4801.2417897699997</v>
      </c>
      <c r="M14" s="847">
        <f>L14*0.14*0.315</f>
        <v>211.73476292885701</v>
      </c>
      <c r="N14" s="847">
        <f>SUMIFS('AMMO Units'!H:H,'AMMO Units'!$A:$A,$K14,'AMMO Units'!$E:$E,$A14)</f>
        <v>0</v>
      </c>
      <c r="O14" s="848" t="s">
        <v>1082</v>
      </c>
      <c r="P14" s="2">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Q14" s="849">
        <f>AA$31</f>
        <v>250.66189982728847</v>
      </c>
      <c r="R14" s="850" t="s">
        <v>2017</v>
      </c>
      <c r="S14" s="851">
        <f t="shared" ref="S14:S15" si="6">(L14-N14)*P14*Q14/8760000</f>
        <v>1.9214049323013346E-2</v>
      </c>
      <c r="T14" s="852">
        <f t="shared" ref="T14:T15" si="7">IFERROR((M14-N14/L14*M14)*P14*Q14/8760/1000,0)</f>
        <v>8.4733957514488854E-4</v>
      </c>
      <c r="U14" s="854">
        <f t="shared" ref="U14:U15" si="8">S14-T14</f>
        <v>1.8366709747868457E-2</v>
      </c>
    </row>
    <row r="15" spans="1:21" ht="25.5">
      <c r="A15" s="105" t="s">
        <v>752</v>
      </c>
      <c r="B15" s="10" t="str">
        <f t="shared" si="5"/>
        <v>RES_201601</v>
      </c>
      <c r="C15" s="670" t="str">
        <f>INDEX('AMMO vwFlags'!$C:$C,MATCH($A15&amp;K15,'AMMO vwFlags'!$K:$K,0))</f>
        <v>0</v>
      </c>
      <c r="D15" s="670" t="str">
        <f>INDEX('AMMO vwFlags'!$D:$D,MATCH($A15&amp;$K15,'AMMO vwFlags'!$K:$K,0))</f>
        <v>0</v>
      </c>
      <c r="E15" s="10">
        <f t="shared" si="1"/>
        <v>1</v>
      </c>
      <c r="F15" s="1211" t="s">
        <v>207</v>
      </c>
      <c r="G15" s="1212" t="str">
        <f>INDEX('AMMO Units'!$B:$B,MATCH(Manufactured_Homes!$A15,'AMMO Units'!$E:$E,0))</f>
        <v>Manufactured Homes</v>
      </c>
      <c r="H15" s="1213" t="str">
        <f>INDEX('AMMO Units'!$C:$C,MATCH(Manufactured_Homes!$A15,'AMMO Units'!$E:$E,0))</f>
        <v>Manufactured Home</v>
      </c>
      <c r="I15" s="1213" t="str">
        <f>INDEX('AMMO Units'!$D:$D,MATCH(Manufactured_Homes!$A15,'AMMO Units'!$E:$E,0))</f>
        <v>NEEM Plus</v>
      </c>
      <c r="J15" s="1213">
        <f>VALUE(INDEX('AMMO Measures'!H:H,MATCH($A15,'AMMO Measures'!A:A,0)))</f>
        <v>42</v>
      </c>
      <c r="K15" s="1213">
        <v>2025</v>
      </c>
      <c r="L15" s="1214">
        <f>SUMIFS('AMMO Units'!F:F,'AMMO Units'!$A:$A,$K15,'AMMO Units'!$E:$E,$A15)</f>
        <v>288.59559538000002</v>
      </c>
      <c r="M15" s="1215">
        <f>SUMIFS('AMMO Units'!G:G,'AMMO Units'!$A:$A,$K15,'AMMO Units'!$E:$E,$A15)</f>
        <v>144.29779769000001</v>
      </c>
      <c r="N15" s="1215">
        <f>SUMIFS('AMMO Units'!H:H,'AMMO Units'!$A:$A,$K15,'AMMO Units'!$E:$E,$A15)</f>
        <v>0</v>
      </c>
      <c r="O15" s="1216" t="s">
        <v>1082</v>
      </c>
      <c r="P15" s="1217">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Q15" s="849">
        <f>AA$32</f>
        <v>799.80309784294775</v>
      </c>
      <c r="R15" s="1218" t="s">
        <v>2017</v>
      </c>
      <c r="S15" s="1141">
        <f t="shared" si="6"/>
        <v>3.6851042396634118E-3</v>
      </c>
      <c r="T15" s="1142">
        <f t="shared" si="7"/>
        <v>1.8425521198317059E-3</v>
      </c>
      <c r="U15" s="1143">
        <f t="shared" si="8"/>
        <v>1.8425521198317059E-3</v>
      </c>
    </row>
    <row r="16" spans="1:21" ht="25.5">
      <c r="A16" s="105" t="s">
        <v>912</v>
      </c>
      <c r="B16" s="10" t="str">
        <f t="shared" ref="B16:B19" si="9">LEFT(A16,10)</f>
        <v>RES_201601</v>
      </c>
      <c r="C16" s="670" t="str">
        <f>INDEX('AMMO vwFlags'!$C:$C,MATCH($A16&amp;K16,'AMMO vwFlags'!$K:$K,0))</f>
        <v>0</v>
      </c>
      <c r="D16" s="670" t="str">
        <f>INDEX('AMMO vwFlags'!$D:$D,MATCH($A16&amp;$K16,'AMMO vwFlags'!$K:$K,0))</f>
        <v>0</v>
      </c>
      <c r="E16" s="10">
        <f t="shared" si="1"/>
        <v>1</v>
      </c>
      <c r="F16" s="469" t="s">
        <v>207</v>
      </c>
      <c r="G16" s="841" t="str">
        <f>INDEX('AMMO Units'!$B:$B,MATCH(Manufactured_Homes!$A16,'AMMO Units'!$E:$E,0))</f>
        <v>Manufactured Homes</v>
      </c>
      <c r="H16" s="844" t="str">
        <f>INDEX('AMMO Units'!$C:$C,MATCH(Manufactured_Homes!$A16,'AMMO Units'!$E:$E,0))</f>
        <v>Manufactured Home</v>
      </c>
      <c r="I16" s="844" t="str">
        <f>INDEX('AMMO Units'!$D:$D,MATCH(Manufactured_Homes!$A16,'AMMO Units'!$E:$E,0))</f>
        <v>NEEM 1.1</v>
      </c>
      <c r="J16" s="844">
        <f>VALUE(INDEX('AMMO Measures'!H:H,MATCH($A16,'AMMO Measures'!A:A,0)))</f>
        <v>42</v>
      </c>
      <c r="K16" s="844">
        <v>2026</v>
      </c>
      <c r="L16" s="846">
        <f>SUMIFS('AMMO Units'!F:F,'AMMO Units'!$A:$A,$K16,'AMMO Units'!$E:$E,$A16)</f>
        <v>4987.8605867099996</v>
      </c>
      <c r="M16" s="847">
        <f>L16*0.14*0.315</f>
        <v>219.96465187391101</v>
      </c>
      <c r="N16" s="847">
        <f>SUMIFS('AMMO Units'!H:H,'AMMO Units'!$A:$A,$K16,'AMMO Units'!$E:$E,$A16)</f>
        <v>0</v>
      </c>
      <c r="O16" s="848" t="s">
        <v>1082</v>
      </c>
      <c r="P16" s="2">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Q16" s="849">
        <f>AA$31</f>
        <v>250.66189982728847</v>
      </c>
      <c r="R16" s="850" t="s">
        <v>2017</v>
      </c>
      <c r="S16" s="851">
        <f t="shared" ref="S16:S19" si="10">(L16-N16)*P16*Q16/8760000</f>
        <v>1.9960877524135522E-2</v>
      </c>
      <c r="T16" s="852">
        <f t="shared" ref="T16:T19" si="11">IFERROR((M16-N16/L16*M16)*P16*Q16/8760/1000,0)</f>
        <v>8.8027469881437671E-4</v>
      </c>
      <c r="U16" s="854">
        <f t="shared" ref="U16:U19" si="12">S16-T16</f>
        <v>1.9080602825321143E-2</v>
      </c>
    </row>
    <row r="17" spans="1:31" ht="25.5">
      <c r="A17" s="105" t="s">
        <v>752</v>
      </c>
      <c r="B17" s="10" t="str">
        <f t="shared" si="9"/>
        <v>RES_201601</v>
      </c>
      <c r="C17" s="670" t="str">
        <f>INDEX('AMMO vwFlags'!$C:$C,MATCH($A17&amp;K17,'AMMO vwFlags'!$K:$K,0))</f>
        <v>0</v>
      </c>
      <c r="D17" s="670" t="str">
        <f>INDEX('AMMO vwFlags'!$D:$D,MATCH($A17&amp;$K17,'AMMO vwFlags'!$K:$K,0))</f>
        <v>0</v>
      </c>
      <c r="E17" s="10">
        <f t="shared" si="1"/>
        <v>1</v>
      </c>
      <c r="F17" s="469" t="s">
        <v>207</v>
      </c>
      <c r="G17" s="841" t="str">
        <f>INDEX('AMMO Units'!$B:$B,MATCH(Manufactured_Homes!$A17,'AMMO Units'!$E:$E,0))</f>
        <v>Manufactured Homes</v>
      </c>
      <c r="H17" s="844" t="str">
        <f>INDEX('AMMO Units'!$C:$C,MATCH(Manufactured_Homes!$A17,'AMMO Units'!$E:$E,0))</f>
        <v>Manufactured Home</v>
      </c>
      <c r="I17" s="844" t="str">
        <f>INDEX('AMMO Units'!$D:$D,MATCH(Manufactured_Homes!$A17,'AMMO Units'!$E:$E,0))</f>
        <v>NEEM Plus</v>
      </c>
      <c r="J17" s="844">
        <f>VALUE(INDEX('AMMO Measures'!H:H,MATCH($A17,'AMMO Measures'!A:A,0)))</f>
        <v>42</v>
      </c>
      <c r="K17" s="844">
        <v>2026</v>
      </c>
      <c r="L17" s="846">
        <f>SUMIFS('AMMO Units'!F:F,'AMMO Units'!$A:$A,$K17,'AMMO Units'!$E:$E,$A17)</f>
        <v>356.46866769000002</v>
      </c>
      <c r="M17" s="847">
        <f>SUMIFS('AMMO Units'!G:G,'AMMO Units'!$A:$A,$K17,'AMMO Units'!$E:$E,$A17)</f>
        <v>178.23433384000001</v>
      </c>
      <c r="N17" s="847">
        <f>SUMIFS('AMMO Units'!H:H,'AMMO Units'!$A:$A,$K17,'AMMO Units'!$E:$E,$A17)</f>
        <v>0</v>
      </c>
      <c r="O17" s="848" t="s">
        <v>1082</v>
      </c>
      <c r="P17" s="2">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Q17" s="849">
        <f>AA$32</f>
        <v>799.80309784294775</v>
      </c>
      <c r="R17" s="850" t="s">
        <v>2017</v>
      </c>
      <c r="S17" s="851">
        <f t="shared" si="10"/>
        <v>4.5517818693036876E-3</v>
      </c>
      <c r="T17" s="852">
        <f t="shared" si="11"/>
        <v>2.2758909345879982E-3</v>
      </c>
      <c r="U17" s="853">
        <f t="shared" si="12"/>
        <v>2.2758909347156894E-3</v>
      </c>
    </row>
    <row r="18" spans="1:31" ht="25.5">
      <c r="A18" s="105" t="s">
        <v>912</v>
      </c>
      <c r="B18" s="10" t="str">
        <f t="shared" si="9"/>
        <v>RES_201601</v>
      </c>
      <c r="C18" s="670" t="str">
        <f>INDEX('AMMO vwFlags'!$C:$C,MATCH($A18&amp;K18,'AMMO vwFlags'!$K:$K,0))</f>
        <v>0</v>
      </c>
      <c r="D18" s="670" t="str">
        <f>INDEX('AMMO vwFlags'!$D:$D,MATCH($A18&amp;$K18,'AMMO vwFlags'!$K:$K,0))</f>
        <v>0</v>
      </c>
      <c r="E18" s="10">
        <f t="shared" si="1"/>
        <v>1</v>
      </c>
      <c r="F18" s="469" t="s">
        <v>207</v>
      </c>
      <c r="G18" s="841" t="str">
        <f>INDEX('AMMO Units'!$B:$B,MATCH(Manufactured_Homes!$A18,'AMMO Units'!$E:$E,0))</f>
        <v>Manufactured Homes</v>
      </c>
      <c r="H18" s="844" t="str">
        <f>INDEX('AMMO Units'!$C:$C,MATCH(Manufactured_Homes!$A18,'AMMO Units'!$E:$E,0))</f>
        <v>Manufactured Home</v>
      </c>
      <c r="I18" s="844" t="str">
        <f>INDEX('AMMO Units'!$D:$D,MATCH(Manufactured_Homes!$A18,'AMMO Units'!$E:$E,0))</f>
        <v>NEEM 1.1</v>
      </c>
      <c r="J18" s="844">
        <f>VALUE(INDEX('AMMO Measures'!H:H,MATCH($A18,'AMMO Measures'!A:A,0)))</f>
        <v>42</v>
      </c>
      <c r="K18" s="844">
        <v>2027</v>
      </c>
      <c r="L18" s="846">
        <f>SUMIFS('AMMO Units'!F:F,'AMMO Units'!$A:$A,$K18,'AMMO Units'!$E:$E,$A18)</f>
        <v>5181.1381588800004</v>
      </c>
      <c r="M18" s="847">
        <f>L18*0.14*0.315</f>
        <v>228.48819280660803</v>
      </c>
      <c r="N18" s="847">
        <f>SUMIFS('AMMO Units'!H:H,'AMMO Units'!$A:$A,$K18,'AMMO Units'!$E:$E,$A18)</f>
        <v>0</v>
      </c>
      <c r="O18" s="848" t="s">
        <v>1082</v>
      </c>
      <c r="P18" s="2">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Q18" s="849">
        <f>AA$31</f>
        <v>250.66189982728847</v>
      </c>
      <c r="R18" s="850" t="s">
        <v>2017</v>
      </c>
      <c r="S18" s="851">
        <f t="shared" si="10"/>
        <v>2.0734353422104113E-2</v>
      </c>
      <c r="T18" s="852">
        <f t="shared" si="11"/>
        <v>9.143849859147914E-4</v>
      </c>
      <c r="U18" s="854">
        <f t="shared" si="12"/>
        <v>1.9819968436189321E-2</v>
      </c>
    </row>
    <row r="19" spans="1:31" ht="25.5">
      <c r="A19" s="105" t="s">
        <v>752</v>
      </c>
      <c r="B19" s="10" t="str">
        <f t="shared" si="9"/>
        <v>RES_201601</v>
      </c>
      <c r="C19" s="670" t="str">
        <f>INDEX('AMMO vwFlags'!$C:$C,MATCH($A19&amp;K19,'AMMO vwFlags'!$K:$K,0))</f>
        <v>0</v>
      </c>
      <c r="D19" s="670" t="str">
        <f>INDEX('AMMO vwFlags'!$D:$D,MATCH($A19&amp;$K19,'AMMO vwFlags'!$K:$K,0))</f>
        <v>0</v>
      </c>
      <c r="E19" s="10">
        <f t="shared" si="1"/>
        <v>1</v>
      </c>
      <c r="F19" s="837" t="s">
        <v>207</v>
      </c>
      <c r="G19" s="855" t="str">
        <f>INDEX('AMMO Units'!$B:$B,MATCH(Manufactured_Homes!$A19,'AMMO Units'!$E:$E,0))</f>
        <v>Manufactured Homes</v>
      </c>
      <c r="H19" s="856" t="str">
        <f>INDEX('AMMO Units'!$C:$C,MATCH(Manufactured_Homes!$A19,'AMMO Units'!$E:$E,0))</f>
        <v>Manufactured Home</v>
      </c>
      <c r="I19" s="856" t="str">
        <f>INDEX('AMMO Units'!$D:$D,MATCH(Manufactured_Homes!$A19,'AMMO Units'!$E:$E,0))</f>
        <v>NEEM Plus</v>
      </c>
      <c r="J19" s="856">
        <f>VALUE(INDEX('AMMO Measures'!H:H,MATCH($A19,'AMMO Measures'!A:A,0)))</f>
        <v>42</v>
      </c>
      <c r="K19" s="856">
        <v>2027</v>
      </c>
      <c r="L19" s="857">
        <f>SUMIFS('AMMO Units'!F:F,'AMMO Units'!$A:$A,$K19,'AMMO Units'!$E:$E,$A19)</f>
        <v>430.40755824000001</v>
      </c>
      <c r="M19" s="858">
        <f>SUMIFS('AMMO Units'!G:G,'AMMO Units'!$A:$A,$K19,'AMMO Units'!$E:$E,$A19)</f>
        <v>215.20377912000001</v>
      </c>
      <c r="N19" s="858">
        <f>SUMIFS('AMMO Units'!H:H,'AMMO Units'!$A:$A,$K19,'AMMO Units'!$E:$E,$A19)</f>
        <v>0</v>
      </c>
      <c r="O19" s="859" t="s">
        <v>1082</v>
      </c>
      <c r="P19" s="77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Q19" s="1226">
        <f>AA$32</f>
        <v>799.80309784294775</v>
      </c>
      <c r="R19" s="860" t="s">
        <v>2017</v>
      </c>
      <c r="S19" s="861">
        <f t="shared" si="10"/>
        <v>5.4959145012762698E-3</v>
      </c>
      <c r="T19" s="862">
        <f t="shared" si="11"/>
        <v>2.7479572506381345E-3</v>
      </c>
      <c r="U19" s="863">
        <f t="shared" si="12"/>
        <v>2.7479572506381353E-3</v>
      </c>
    </row>
    <row r="21" spans="1:31" ht="15">
      <c r="F21" s="203" t="s">
        <v>773</v>
      </c>
      <c r="G21" s="50"/>
      <c r="H21" s="50"/>
      <c r="I21" s="50"/>
      <c r="J21" s="50"/>
      <c r="K21" s="51"/>
      <c r="L21" s="51"/>
      <c r="N21"/>
      <c r="O21"/>
      <c r="P21"/>
    </row>
    <row r="22" spans="1:31" ht="32.25" customHeight="1">
      <c r="F22" s="1813" t="s">
        <v>1072</v>
      </c>
      <c r="G22" s="1814"/>
      <c r="H22" s="1814"/>
      <c r="I22" s="1814"/>
      <c r="J22" s="1814"/>
      <c r="K22" s="1814"/>
      <c r="L22" s="1814"/>
      <c r="M22" s="1815"/>
      <c r="N22"/>
      <c r="O22"/>
    </row>
    <row r="23" spans="1:31" ht="15">
      <c r="N23"/>
      <c r="O23"/>
    </row>
    <row r="24" spans="1:31" ht="15">
      <c r="F24" s="203" t="s">
        <v>777</v>
      </c>
      <c r="G24"/>
      <c r="H24"/>
      <c r="I24"/>
      <c r="J24"/>
      <c r="K24"/>
      <c r="L24"/>
      <c r="M24"/>
      <c r="N24"/>
      <c r="O24"/>
    </row>
    <row r="25" spans="1:31" ht="63.6" customHeight="1">
      <c r="F25" s="1813" t="s">
        <v>2577</v>
      </c>
      <c r="G25" s="1814"/>
      <c r="H25" s="1814"/>
      <c r="I25" s="1814"/>
      <c r="J25" s="1814"/>
      <c r="K25" s="1814"/>
      <c r="L25" s="1814"/>
      <c r="M25" s="1815"/>
      <c r="N25"/>
      <c r="O25"/>
    </row>
    <row r="28" spans="1:31" ht="19.5" customHeight="1">
      <c r="F28" t="s">
        <v>2534</v>
      </c>
      <c r="G28"/>
      <c r="H28"/>
      <c r="I28"/>
      <c r="J28" s="504"/>
      <c r="K28" s="504"/>
      <c r="L28" s="504"/>
      <c r="M28" s="504"/>
      <c r="N28" s="504"/>
      <c r="O28" s="504"/>
      <c r="P28"/>
      <c r="Q28"/>
      <c r="R28"/>
      <c r="S28"/>
      <c r="T28"/>
      <c r="U28" s="477" t="s">
        <v>2689</v>
      </c>
      <c r="V28" s="477"/>
      <c r="W28"/>
      <c r="X28"/>
      <c r="Y28"/>
      <c r="Z28"/>
    </row>
    <row r="29" spans="1:31" ht="108.75" customHeight="1">
      <c r="F29"/>
      <c r="G29"/>
      <c r="H29" s="308" t="s">
        <v>2535</v>
      </c>
      <c r="I29"/>
      <c r="J29" s="505" t="s">
        <v>2536</v>
      </c>
      <c r="K29" s="505" t="s">
        <v>2537</v>
      </c>
      <c r="L29" s="504"/>
      <c r="M29" s="504"/>
      <c r="N29" s="504"/>
      <c r="O29" s="504"/>
      <c r="P29"/>
      <c r="Q29" t="s">
        <v>2557</v>
      </c>
      <c r="R29"/>
      <c r="S29"/>
      <c r="U29" s="1225" t="s">
        <v>2802</v>
      </c>
      <c r="V29" s="1225" t="s">
        <v>2803</v>
      </c>
      <c r="W29" s="1225" t="s">
        <v>2688</v>
      </c>
      <c r="Y29" t="s">
        <v>2558</v>
      </c>
      <c r="AA29" s="531"/>
      <c r="AB29"/>
      <c r="AC29"/>
      <c r="AD29"/>
      <c r="AE29"/>
    </row>
    <row r="30" spans="1:31" ht="82.5" customHeight="1">
      <c r="F30" s="518" t="s">
        <v>832</v>
      </c>
      <c r="G30" s="518" t="s">
        <v>833</v>
      </c>
      <c r="H30" s="519" t="s">
        <v>1076</v>
      </c>
      <c r="I30" s="520"/>
      <c r="J30" s="507" t="s">
        <v>609</v>
      </c>
      <c r="K30" s="507" t="s">
        <v>530</v>
      </c>
      <c r="L30" s="507" t="s">
        <v>465</v>
      </c>
      <c r="M30" s="507" t="s">
        <v>466</v>
      </c>
      <c r="N30" s="507" t="s">
        <v>2538</v>
      </c>
      <c r="O30" s="507" t="s">
        <v>2539</v>
      </c>
      <c r="P30" s="100"/>
      <c r="Q30" s="506" t="s">
        <v>609</v>
      </c>
      <c r="R30" s="507" t="s">
        <v>2540</v>
      </c>
      <c r="S30" s="507" t="s">
        <v>2555</v>
      </c>
      <c r="T30" s="507" t="s">
        <v>2556</v>
      </c>
      <c r="U30" s="507" t="s">
        <v>2685</v>
      </c>
      <c r="V30" s="507" t="s">
        <v>2686</v>
      </c>
      <c r="W30" s="507" t="s">
        <v>2687</v>
      </c>
      <c r="Y30" s="506" t="s">
        <v>609</v>
      </c>
      <c r="Z30" s="506" t="s">
        <v>2690</v>
      </c>
      <c r="AA30" s="506" t="s">
        <v>2691</v>
      </c>
      <c r="AB30" s="532"/>
      <c r="AC30" s="532"/>
      <c r="AD30" s="532"/>
      <c r="AE30" s="100"/>
    </row>
    <row r="31" spans="1:31" ht="15">
      <c r="F31" s="579" t="s">
        <v>2492</v>
      </c>
      <c r="G31" s="580" t="s">
        <v>530</v>
      </c>
      <c r="H31" s="478">
        <v>0</v>
      </c>
      <c r="I31" s="478"/>
      <c r="J31" s="581" t="str" cm="1">
        <f t="array" ref="J31:L31">_xlfn.TEXTSPLIT(F31,"_")</f>
        <v>Estar</v>
      </c>
      <c r="K31" s="581" t="str">
        <v>gfnc</v>
      </c>
      <c r="L31" s="581" t="str">
        <v>HZ1</v>
      </c>
      <c r="M31" s="581"/>
      <c r="N31" s="582" cm="1">
        <f t="array" ref="N31">_xlfn.XLOOKUP(L31&amp;M31,Q$42:Q$53&amp;R$42:R$53,S$42:S$53,"")</f>
        <v>0.6782691905342686</v>
      </c>
      <c r="O31" s="583">
        <f>H31*N31</f>
        <v>0</v>
      </c>
      <c r="P31"/>
      <c r="Q31" s="508" t="s">
        <v>913</v>
      </c>
      <c r="R31" s="509" t="s">
        <v>2541</v>
      </c>
      <c r="S31" s="526">
        <f>SUMIFS(O$31:O$150,J$31:J$150,IF(Q31="NEEM 1.1","Estar",IF(Q31="NEEM Plus","NEEM+PLUS","")),K$31:K$150,R31)</f>
        <v>24.333333333333329</v>
      </c>
      <c r="T31" s="530">
        <f>1-T33</f>
        <v>0.11456534254461714</v>
      </c>
      <c r="U31" s="526">
        <v>24</v>
      </c>
      <c r="V31" s="526">
        <v>0</v>
      </c>
      <c r="W31" s="530">
        <v>0.14000000000000001</v>
      </c>
      <c r="Y31" s="539" t="s">
        <v>913</v>
      </c>
      <c r="Z31" s="540">
        <f>S33*T33+S31*T31</f>
        <v>2165.018959999913</v>
      </c>
      <c r="AA31" s="540">
        <f>(V33*T33+V31*T31)*(1-W31)+(U33*T33+U31*T31)*W31</f>
        <v>250.66189982728847</v>
      </c>
      <c r="AB31" s="534"/>
      <c r="AC31" s="533"/>
      <c r="AD31" s="382"/>
      <c r="AE31" s="533"/>
    </row>
    <row r="32" spans="1:31" ht="15">
      <c r="F32" s="579" t="s">
        <v>2493</v>
      </c>
      <c r="G32" s="580" t="s">
        <v>530</v>
      </c>
      <c r="H32" s="478">
        <v>0</v>
      </c>
      <c r="I32" s="478"/>
      <c r="J32" s="581" t="str" cm="1">
        <f t="array" ref="J32:L32">_xlfn.TEXTSPLIT(F32,"_")</f>
        <v>Estar</v>
      </c>
      <c r="K32" s="581" t="str">
        <v>gfnc</v>
      </c>
      <c r="L32" s="581" t="str">
        <v>HZ2</v>
      </c>
      <c r="M32" s="581"/>
      <c r="N32" s="582" cm="1">
        <f t="array" ref="N32">_xlfn.XLOOKUP(L32&amp;M32,Q$42:Q$53&amp;R$42:R$53,S$42:S$53,"")</f>
        <v>0.23702896288393821</v>
      </c>
      <c r="O32" s="583">
        <f t="shared" ref="O32:O95" si="13">H32*N32</f>
        <v>0</v>
      </c>
      <c r="P32" s="381"/>
      <c r="Q32" s="508" t="s">
        <v>869</v>
      </c>
      <c r="R32" s="509" t="s">
        <v>2541</v>
      </c>
      <c r="S32" s="526">
        <f>SUMIFS(O$31:O$150,J$31:J$150,IF(Q32="NEEM 1.1","Estar",IF(Q32="NEEM Plus","NEEM+PLUS","")),K$31:K$150,R32)</f>
        <v>220.39736072909491</v>
      </c>
      <c r="T32" s="530">
        <f>1-T34</f>
        <v>0.10909090909090913</v>
      </c>
      <c r="U32" s="526">
        <v>220</v>
      </c>
      <c r="V32" s="526">
        <v>196.06402739576157</v>
      </c>
      <c r="W32" s="530">
        <v>0.14000000000000001</v>
      </c>
      <c r="Y32" s="539" t="s">
        <v>869</v>
      </c>
      <c r="Z32" s="540">
        <f>S34*T34+S32*T32</f>
        <v>2741.9087571254126</v>
      </c>
      <c r="AA32" s="540">
        <f>(V34*T34+V32*T32)*(1-W32)+(U34*T34+U32*T32)*W32</f>
        <v>799.80309784294775</v>
      </c>
      <c r="AB32" s="534"/>
      <c r="AC32" s="534"/>
      <c r="AD32" s="382"/>
      <c r="AE32" s="534"/>
    </row>
    <row r="33" spans="6:31" ht="15">
      <c r="F33" s="579" t="s">
        <v>2494</v>
      </c>
      <c r="G33" s="580" t="s">
        <v>530</v>
      </c>
      <c r="H33" s="478">
        <v>0</v>
      </c>
      <c r="I33" s="478"/>
      <c r="J33" s="581" t="str" cm="1">
        <f t="array" ref="J33:L33">_xlfn.TEXTSPLIT(F33,"_")</f>
        <v>Estar</v>
      </c>
      <c r="K33" s="581" t="str">
        <v>gfnc</v>
      </c>
      <c r="L33" s="581" t="str">
        <v>HZ3</v>
      </c>
      <c r="M33" s="581"/>
      <c r="N33" s="582" cm="1">
        <f t="array" ref="N33">_xlfn.XLOOKUP(L33&amp;M33,Q$42:Q$53&amp;R$42:R$53,S$42:S$53,"")</f>
        <v>8.4701846581793083E-2</v>
      </c>
      <c r="O33" s="583">
        <f t="shared" si="13"/>
        <v>0</v>
      </c>
      <c r="P33"/>
      <c r="Q33" s="510" t="s">
        <v>913</v>
      </c>
      <c r="R33" s="511" t="s">
        <v>2542</v>
      </c>
      <c r="S33" s="527">
        <f>SUMIFS(O$31:O$150,J$31:J$150,IF(Q33="NEEM 1.1","Estar",IF(Q33="NEEM Plus","NEEM+PLUS","")),K$31:K$150,R33)</f>
        <v>2441.999740043248</v>
      </c>
      <c r="T33" s="529">
        <v>0.88543465745538286</v>
      </c>
      <c r="U33" s="527">
        <v>2019</v>
      </c>
      <c r="V33" s="527">
        <v>0</v>
      </c>
      <c r="W33" s="529">
        <v>0.14000000000000001</v>
      </c>
      <c r="AA33" s="534"/>
      <c r="AB33" s="534"/>
      <c r="AC33" s="534"/>
      <c r="AD33" s="382"/>
      <c r="AE33" s="534"/>
    </row>
    <row r="34" spans="6:31" ht="15">
      <c r="F34" s="579" t="s">
        <v>2492</v>
      </c>
      <c r="G34" s="580" t="s">
        <v>531</v>
      </c>
      <c r="H34" s="478">
        <v>0</v>
      </c>
      <c r="I34" s="478"/>
      <c r="J34" s="581" t="str" cm="1">
        <f t="array" ref="J34:L34">_xlfn.TEXTSPLIT(F34,"_")</f>
        <v>Estar</v>
      </c>
      <c r="K34" s="581" t="str">
        <v>gfnc</v>
      </c>
      <c r="L34" s="581" t="str">
        <v>HZ1</v>
      </c>
      <c r="M34" s="581"/>
      <c r="N34" s="582" cm="1">
        <f t="array" ref="N34">_xlfn.XLOOKUP(L34&amp;M34,Q$42:Q$53&amp;R$42:R$53,S$42:S$53,"")</f>
        <v>0.6782691905342686</v>
      </c>
      <c r="O34" s="583">
        <f t="shared" si="13"/>
        <v>0</v>
      </c>
      <c r="P34"/>
      <c r="Q34" s="510" t="s">
        <v>869</v>
      </c>
      <c r="R34" s="511" t="s">
        <v>2542</v>
      </c>
      <c r="S34" s="527">
        <f>SUMIFS(O$31:O$150,J$31:J$150,IF(Q34="NEEM 1.1","Estar",IF(Q34="NEEM Plus","NEEM+PLUS","")),K$31:K$150,R34)</f>
        <v>3050.6652546433288</v>
      </c>
      <c r="T34" s="529">
        <v>0.89090909090909087</v>
      </c>
      <c r="U34" s="527">
        <v>2454</v>
      </c>
      <c r="V34" s="527">
        <v>616</v>
      </c>
      <c r="W34" s="529">
        <v>0.14000000000000001</v>
      </c>
      <c r="AA34" s="534"/>
      <c r="AB34" s="534"/>
      <c r="AC34" s="533"/>
      <c r="AD34" s="382"/>
      <c r="AE34" s="533"/>
    </row>
    <row r="35" spans="6:31" ht="15">
      <c r="F35" s="579" t="s">
        <v>2493</v>
      </c>
      <c r="G35" s="580" t="s">
        <v>531</v>
      </c>
      <c r="H35" s="478">
        <v>0</v>
      </c>
      <c r="I35" s="478"/>
      <c r="J35" s="581" t="str" cm="1">
        <f t="array" ref="J35:L35">_xlfn.TEXTSPLIT(F35,"_")</f>
        <v>Estar</v>
      </c>
      <c r="K35" s="581" t="str">
        <v>gfnc</v>
      </c>
      <c r="L35" s="581" t="str">
        <v>HZ2</v>
      </c>
      <c r="M35" s="581"/>
      <c r="N35" s="582" cm="1">
        <f t="array" ref="N35">_xlfn.XLOOKUP(L35&amp;M35,Q$42:Q$53&amp;R$42:R$53,S$42:S$53,"")</f>
        <v>0.23702896288393821</v>
      </c>
      <c r="O35" s="583">
        <f t="shared" si="13"/>
        <v>0</v>
      </c>
      <c r="P35"/>
      <c r="Y35" s="533"/>
      <c r="Z35" s="533"/>
      <c r="AA35" s="534"/>
      <c r="AB35" s="534"/>
      <c r="AC35" s="534"/>
      <c r="AD35" s="382"/>
      <c r="AE35" s="534"/>
    </row>
    <row r="36" spans="6:31" ht="15">
      <c r="F36" s="579" t="s">
        <v>2494</v>
      </c>
      <c r="G36" s="580" t="s">
        <v>531</v>
      </c>
      <c r="H36" s="478">
        <v>0</v>
      </c>
      <c r="I36" s="478"/>
      <c r="J36" s="581" t="str" cm="1">
        <f t="array" ref="J36:L36">_xlfn.TEXTSPLIT(F36,"_")</f>
        <v>Estar</v>
      </c>
      <c r="K36" s="581" t="str">
        <v>gfnc</v>
      </c>
      <c r="L36" s="581" t="str">
        <v>HZ3</v>
      </c>
      <c r="M36" s="581"/>
      <c r="N36" s="582" cm="1">
        <f t="array" ref="N36">_xlfn.XLOOKUP(L36&amp;M36,Q$42:Q$53&amp;R$42:R$53,S$42:S$53,"")</f>
        <v>8.4701846581793083E-2</v>
      </c>
      <c r="O36" s="583">
        <f t="shared" si="13"/>
        <v>0</v>
      </c>
      <c r="P36"/>
      <c r="Y36" s="533"/>
      <c r="Z36" s="533"/>
      <c r="AA36" s="534"/>
      <c r="AB36" s="534"/>
      <c r="AC36" s="534"/>
      <c r="AD36" s="382"/>
      <c r="AE36" s="534"/>
    </row>
    <row r="37" spans="6:31" ht="15">
      <c r="F37" s="579" t="s">
        <v>2492</v>
      </c>
      <c r="G37" s="580" t="s">
        <v>2495</v>
      </c>
      <c r="H37" s="478">
        <v>0</v>
      </c>
      <c r="I37" s="478"/>
      <c r="J37" s="581" t="str" cm="1">
        <f t="array" ref="J37:L37">_xlfn.TEXTSPLIT(F37,"_")</f>
        <v>Estar</v>
      </c>
      <c r="K37" s="581" t="str">
        <v>gfnc</v>
      </c>
      <c r="L37" s="581" t="str">
        <v>HZ1</v>
      </c>
      <c r="M37" s="581"/>
      <c r="N37" s="582" cm="1">
        <f t="array" ref="N37">_xlfn.XLOOKUP(L37&amp;M37,Q$42:Q$53&amp;R$42:R$53,S$42:S$53,"")</f>
        <v>0.6782691905342686</v>
      </c>
      <c r="O37" s="583">
        <f t="shared" si="13"/>
        <v>0</v>
      </c>
      <c r="P37"/>
      <c r="Q37"/>
      <c r="R37"/>
      <c r="S37" s="528"/>
      <c r="Y37" s="533"/>
      <c r="Z37" s="533"/>
      <c r="AA37"/>
      <c r="AB37" s="504"/>
      <c r="AC37" s="504"/>
      <c r="AD37" s="381"/>
      <c r="AE37" s="381"/>
    </row>
    <row r="38" spans="6:31" ht="15">
      <c r="F38" s="579" t="s">
        <v>2493</v>
      </c>
      <c r="G38" s="580" t="s">
        <v>2495</v>
      </c>
      <c r="H38" s="478">
        <v>0</v>
      </c>
      <c r="I38" s="478"/>
      <c r="J38" s="581" t="str" cm="1">
        <f t="array" ref="J38:L38">_xlfn.TEXTSPLIT(F38,"_")</f>
        <v>Estar</v>
      </c>
      <c r="K38" s="581" t="str">
        <v>gfnc</v>
      </c>
      <c r="L38" s="581" t="str">
        <v>HZ2</v>
      </c>
      <c r="M38" s="581"/>
      <c r="N38" s="582" cm="1">
        <f t="array" ref="N38">_xlfn.XLOOKUP(L38&amp;M38,Q$42:Q$53&amp;R$42:R$53,S$42:S$53,"")</f>
        <v>0.23702896288393821</v>
      </c>
      <c r="O38" s="583">
        <f t="shared" si="13"/>
        <v>0</v>
      </c>
      <c r="P38"/>
      <c r="Q38"/>
      <c r="R38"/>
      <c r="S38"/>
      <c r="Y38"/>
      <c r="Z38"/>
      <c r="AA38" s="498"/>
      <c r="AB38"/>
      <c r="AC38"/>
      <c r="AD38"/>
      <c r="AE38"/>
    </row>
    <row r="39" spans="6:31" ht="15">
      <c r="F39" s="579" t="s">
        <v>2494</v>
      </c>
      <c r="G39" s="580" t="s">
        <v>2495</v>
      </c>
      <c r="H39" s="478">
        <v>0</v>
      </c>
      <c r="I39" s="478"/>
      <c r="J39" s="581" t="str" cm="1">
        <f t="array" ref="J39:L39">_xlfn.TEXTSPLIT(F39,"_")</f>
        <v>Estar</v>
      </c>
      <c r="K39" s="581" t="str">
        <v>gfnc</v>
      </c>
      <c r="L39" s="581" t="str">
        <v>HZ3</v>
      </c>
      <c r="M39" s="581"/>
      <c r="N39" s="582" cm="1">
        <f t="array" ref="N39">_xlfn.XLOOKUP(L39&amp;M39,Q$42:Q$53&amp;R$42:R$53,S$42:S$53,"")</f>
        <v>8.4701846581793083E-2</v>
      </c>
      <c r="O39" s="583">
        <f t="shared" si="13"/>
        <v>0</v>
      </c>
      <c r="P39"/>
      <c r="Q39"/>
      <c r="R39"/>
      <c r="S39"/>
      <c r="T39"/>
      <c r="U39"/>
      <c r="V39" s="498"/>
      <c r="W39"/>
      <c r="X39"/>
      <c r="Y39"/>
      <c r="Z39"/>
    </row>
    <row r="40" spans="6:31" ht="15">
      <c r="F40" s="579" t="s">
        <v>2492</v>
      </c>
      <c r="G40" s="580" t="s">
        <v>2162</v>
      </c>
      <c r="H40" s="478">
        <v>0</v>
      </c>
      <c r="I40" s="478"/>
      <c r="J40" s="581" t="str" cm="1">
        <f t="array" ref="J40:L40">_xlfn.TEXTSPLIT(F40,"_")</f>
        <v>Estar</v>
      </c>
      <c r="K40" s="581" t="str">
        <v>gfnc</v>
      </c>
      <c r="L40" s="581" t="str">
        <v>HZ1</v>
      </c>
      <c r="M40" s="581"/>
      <c r="N40" s="582" cm="1">
        <f t="array" ref="N40">_xlfn.XLOOKUP(L40&amp;M40,Q$42:Q$53&amp;R$42:R$53,S$42:S$53,"")</f>
        <v>0.6782691905342686</v>
      </c>
      <c r="O40" s="583">
        <f t="shared" si="13"/>
        <v>0</v>
      </c>
      <c r="P40"/>
      <c r="Q40" t="s">
        <v>2543</v>
      </c>
      <c r="R40"/>
      <c r="S40"/>
      <c r="T40"/>
      <c r="U40" s="532"/>
      <c r="V40" s="532"/>
      <c r="W40" s="532"/>
      <c r="X40" s="532"/>
      <c r="Y40" s="381"/>
      <c r="Z40" s="381"/>
    </row>
    <row r="41" spans="6:31" ht="15">
      <c r="F41" s="579" t="s">
        <v>2493</v>
      </c>
      <c r="G41" s="580" t="s">
        <v>2162</v>
      </c>
      <c r="H41" s="478">
        <v>0</v>
      </c>
      <c r="I41" s="478"/>
      <c r="J41" s="581" t="str" cm="1">
        <f t="array" ref="J41:L41">_xlfn.TEXTSPLIT(F41,"_")</f>
        <v>Estar</v>
      </c>
      <c r="K41" s="581" t="str">
        <v>gfnc</v>
      </c>
      <c r="L41" s="581" t="str">
        <v>HZ2</v>
      </c>
      <c r="M41" s="581"/>
      <c r="N41" s="582" cm="1">
        <f t="array" ref="N41">_xlfn.XLOOKUP(L41&amp;M41,Q$42:Q$53&amp;R$42:R$53,S$42:S$53,"")</f>
        <v>0.23702896288393821</v>
      </c>
      <c r="O41" s="583">
        <f t="shared" si="13"/>
        <v>0</v>
      </c>
      <c r="P41"/>
      <c r="Q41" s="507" t="s">
        <v>2544</v>
      </c>
      <c r="R41" s="507" t="s">
        <v>2545</v>
      </c>
      <c r="S41" s="507" t="s">
        <v>2546</v>
      </c>
      <c r="T41"/>
      <c r="U41" s="535"/>
      <c r="V41" s="536"/>
      <c r="W41" s="537"/>
      <c r="X41" s="538"/>
      <c r="Y41" s="381"/>
      <c r="Z41" s="381"/>
    </row>
    <row r="42" spans="6:31" ht="15">
      <c r="F42" s="579" t="s">
        <v>2494</v>
      </c>
      <c r="G42" s="580" t="s">
        <v>2162</v>
      </c>
      <c r="H42" s="478">
        <v>0</v>
      </c>
      <c r="I42" s="478"/>
      <c r="J42" s="581" t="str" cm="1">
        <f t="array" ref="J42:L42">_xlfn.TEXTSPLIT(F42,"_")</f>
        <v>Estar</v>
      </c>
      <c r="K42" s="581" t="str">
        <v>gfnc</v>
      </c>
      <c r="L42" s="581" t="str">
        <v>HZ3</v>
      </c>
      <c r="M42" s="581"/>
      <c r="N42" s="582" cm="1">
        <f t="array" ref="N42">_xlfn.XLOOKUP(L42&amp;M42,Q$42:Q$53&amp;R$42:R$53,S$42:S$53,"")</f>
        <v>8.4701846581793083E-2</v>
      </c>
      <c r="O42" s="583">
        <f t="shared" si="13"/>
        <v>0</v>
      </c>
      <c r="P42"/>
      <c r="Q42" s="523" t="s">
        <v>495</v>
      </c>
      <c r="R42" s="513"/>
      <c r="S42" s="514">
        <f>S45+S48+S51</f>
        <v>0.6782691905342686</v>
      </c>
      <c r="T42"/>
      <c r="U42" s="535"/>
      <c r="V42" s="536"/>
      <c r="W42" s="537"/>
      <c r="X42" s="538"/>
      <c r="Y42" s="381"/>
      <c r="Z42" s="381"/>
    </row>
    <row r="43" spans="6:31" ht="15">
      <c r="F43" s="579" t="s">
        <v>2492</v>
      </c>
      <c r="G43" s="580" t="s">
        <v>2496</v>
      </c>
      <c r="H43" s="478">
        <v>24.333333333333332</v>
      </c>
      <c r="I43" s="584"/>
      <c r="J43" s="581" t="str" cm="1">
        <f t="array" ref="J43:L43">_xlfn.TEXTSPLIT(F43,"_")</f>
        <v>Estar</v>
      </c>
      <c r="K43" s="581" t="str">
        <v>gfnc</v>
      </c>
      <c r="L43" s="581" t="str">
        <v>HZ1</v>
      </c>
      <c r="M43" s="581"/>
      <c r="N43" s="582" cm="1">
        <f t="array" ref="N43">_xlfn.XLOOKUP(L43&amp;M43,Q$42:Q$53&amp;R$42:R$53,S$42:S$53,"")</f>
        <v>0.6782691905342686</v>
      </c>
      <c r="O43" s="583">
        <f t="shared" si="13"/>
        <v>16.504550303000535</v>
      </c>
      <c r="P43"/>
      <c r="Q43" s="513" t="s">
        <v>496</v>
      </c>
      <c r="R43" s="513"/>
      <c r="S43" s="514">
        <f t="shared" ref="S43:S44" si="14">S46+S49+S52</f>
        <v>0.23702896288393821</v>
      </c>
      <c r="T43"/>
      <c r="U43" s="535"/>
      <c r="V43" s="536"/>
      <c r="W43" s="537"/>
      <c r="X43" s="538"/>
      <c r="Y43" s="381"/>
      <c r="Z43" s="381"/>
    </row>
    <row r="44" spans="6:31" ht="15">
      <c r="F44" s="579" t="s">
        <v>2493</v>
      </c>
      <c r="G44" s="580" t="s">
        <v>2496</v>
      </c>
      <c r="H44" s="478">
        <v>24.333333333333332</v>
      </c>
      <c r="I44" s="584"/>
      <c r="J44" s="581" t="str" cm="1">
        <f t="array" ref="J44:L44">_xlfn.TEXTSPLIT(F44,"_")</f>
        <v>Estar</v>
      </c>
      <c r="K44" s="581" t="str">
        <v>gfnc</v>
      </c>
      <c r="L44" s="581" t="str">
        <v>HZ2</v>
      </c>
      <c r="M44" s="581"/>
      <c r="N44" s="582" cm="1">
        <f t="array" ref="N44">_xlfn.XLOOKUP(L44&amp;M44,Q$42:Q$53&amp;R$42:R$53,S$42:S$53,"")</f>
        <v>0.23702896288393821</v>
      </c>
      <c r="O44" s="583">
        <f t="shared" si="13"/>
        <v>5.7677047635091627</v>
      </c>
      <c r="P44"/>
      <c r="Q44" s="513" t="s">
        <v>497</v>
      </c>
      <c r="R44" s="513"/>
      <c r="S44" s="514">
        <f t="shared" si="14"/>
        <v>8.4701846581793083E-2</v>
      </c>
      <c r="T44"/>
      <c r="U44"/>
      <c r="V44" s="498"/>
      <c r="W44"/>
      <c r="X44"/>
      <c r="Y44" s="381"/>
      <c r="Z44" s="381"/>
    </row>
    <row r="45" spans="6:31" ht="15">
      <c r="F45" s="579" t="s">
        <v>2494</v>
      </c>
      <c r="G45" s="580" t="s">
        <v>2496</v>
      </c>
      <c r="H45" s="478">
        <v>24.333333333333332</v>
      </c>
      <c r="I45" s="584"/>
      <c r="J45" s="581" t="str" cm="1">
        <f t="array" ref="J45:L45">_xlfn.TEXTSPLIT(F45,"_")</f>
        <v>Estar</v>
      </c>
      <c r="K45" s="581" t="str">
        <v>gfnc</v>
      </c>
      <c r="L45" s="581" t="str">
        <v>HZ3</v>
      </c>
      <c r="M45" s="581"/>
      <c r="N45" s="582" cm="1">
        <f t="array" ref="N45">_xlfn.XLOOKUP(L45&amp;M45,Q$42:Q$53&amp;R$42:R$53,S$42:S$53,"")</f>
        <v>8.4701846581793083E-2</v>
      </c>
      <c r="O45" s="583">
        <f t="shared" si="13"/>
        <v>2.0610782668236314</v>
      </c>
      <c r="P45"/>
      <c r="Q45" s="523" t="s">
        <v>495</v>
      </c>
      <c r="R45" s="523" t="s">
        <v>2547</v>
      </c>
      <c r="S45" s="524">
        <v>0.45294484697819271</v>
      </c>
      <c r="T45"/>
      <c r="U45"/>
      <c r="V45" s="498"/>
      <c r="W45"/>
      <c r="X45"/>
      <c r="Y45" s="381"/>
      <c r="Z45" s="381"/>
    </row>
    <row r="46" spans="6:31" ht="15">
      <c r="F46" s="305" t="s">
        <v>2497</v>
      </c>
      <c r="G46" s="516" t="s">
        <v>530</v>
      </c>
      <c r="H46" s="512">
        <v>0</v>
      </c>
      <c r="I46" s="521"/>
      <c r="J46" s="513" t="str" cm="1">
        <f t="array" ref="J46:L46">_xlfn.TEXTSPLIT(F46,"_")</f>
        <v>NEEM+PLUS</v>
      </c>
      <c r="K46" s="513" t="str">
        <v>gfnc</v>
      </c>
      <c r="L46" s="513" t="str">
        <v>HZ1</v>
      </c>
      <c r="M46" s="513"/>
      <c r="N46" s="515" cm="1">
        <f t="array" ref="N46">_xlfn.XLOOKUP(L46&amp;M46,Q$42:Q$53&amp;R$42:R$53,S$42:S$53,"")</f>
        <v>0.6782691905342686</v>
      </c>
      <c r="O46" s="522">
        <f t="shared" si="13"/>
        <v>0</v>
      </c>
      <c r="P46" s="381"/>
      <c r="Q46" s="513" t="s">
        <v>496</v>
      </c>
      <c r="R46" s="513" t="s">
        <v>2547</v>
      </c>
      <c r="S46" s="525">
        <v>6.1531304581922616E-2</v>
      </c>
      <c r="T46"/>
      <c r="U46"/>
      <c r="V46" s="498"/>
      <c r="W46"/>
      <c r="X46"/>
      <c r="Y46"/>
      <c r="Z46"/>
    </row>
    <row r="47" spans="6:31" ht="15">
      <c r="F47" s="305" t="s">
        <v>2498</v>
      </c>
      <c r="G47" s="516" t="s">
        <v>530</v>
      </c>
      <c r="H47" s="512">
        <v>0</v>
      </c>
      <c r="I47" s="521"/>
      <c r="J47" s="513" t="str" cm="1">
        <f t="array" ref="J47:L47">_xlfn.TEXTSPLIT(F47,"_")</f>
        <v>NEEM+PLUS</v>
      </c>
      <c r="K47" s="513" t="str">
        <v>gfnc</v>
      </c>
      <c r="L47" s="513" t="str">
        <v>HZ2</v>
      </c>
      <c r="M47" s="513"/>
      <c r="N47" s="515" cm="1">
        <f t="array" ref="N47">_xlfn.XLOOKUP(L47&amp;M47,Q$42:Q$53&amp;R$42:R$53,S$42:S$53,"")</f>
        <v>0.23702896288393821</v>
      </c>
      <c r="O47" s="522">
        <f t="shared" si="13"/>
        <v>0</v>
      </c>
      <c r="P47"/>
      <c r="Q47" s="513" t="s">
        <v>497</v>
      </c>
      <c r="R47" s="513" t="s">
        <v>2547</v>
      </c>
      <c r="S47" s="525">
        <v>7.6686505962010668E-2</v>
      </c>
      <c r="T47"/>
      <c r="U47"/>
      <c r="V47" s="498"/>
      <c r="W47"/>
      <c r="X47"/>
      <c r="Y47"/>
      <c r="Z47"/>
    </row>
    <row r="48" spans="6:31" ht="15">
      <c r="F48" s="305" t="s">
        <v>2499</v>
      </c>
      <c r="G48" s="516" t="s">
        <v>530</v>
      </c>
      <c r="H48" s="512">
        <v>0</v>
      </c>
      <c r="I48" s="521"/>
      <c r="J48" s="513" t="str" cm="1">
        <f t="array" ref="J48:L48">_xlfn.TEXTSPLIT(F48,"_")</f>
        <v>NEEM+PLUS</v>
      </c>
      <c r="K48" s="513" t="str">
        <v>gfnc</v>
      </c>
      <c r="L48" s="513" t="str">
        <v>HZ3</v>
      </c>
      <c r="M48" s="513"/>
      <c r="N48" s="515" cm="1">
        <f t="array" ref="N48">_xlfn.XLOOKUP(L48&amp;M48,Q$42:Q$53&amp;R$42:R$53,S$42:S$53,"")</f>
        <v>8.4701846581793083E-2</v>
      </c>
      <c r="O48" s="522">
        <f t="shared" si="13"/>
        <v>0</v>
      </c>
      <c r="P48"/>
      <c r="Q48" s="513" t="s">
        <v>495</v>
      </c>
      <c r="R48" s="513" t="s">
        <v>2548</v>
      </c>
      <c r="S48" s="525">
        <v>7.8956835861426294E-2</v>
      </c>
      <c r="T48"/>
      <c r="U48"/>
      <c r="V48" s="498"/>
      <c r="W48"/>
      <c r="X48"/>
      <c r="Y48"/>
      <c r="Z48"/>
    </row>
    <row r="49" spans="6:26" ht="15">
      <c r="F49" s="305" t="s">
        <v>2497</v>
      </c>
      <c r="G49" s="516" t="s">
        <v>531</v>
      </c>
      <c r="H49" s="512">
        <v>0</v>
      </c>
      <c r="I49" s="521"/>
      <c r="J49" s="513" t="str" cm="1">
        <f t="array" ref="J49:L49">_xlfn.TEXTSPLIT(F49,"_")</f>
        <v>NEEM+PLUS</v>
      </c>
      <c r="K49" s="513" t="str">
        <v>gfnc</v>
      </c>
      <c r="L49" s="513" t="str">
        <v>HZ1</v>
      </c>
      <c r="M49" s="513"/>
      <c r="N49" s="515" cm="1">
        <f t="array" ref="N49">_xlfn.XLOOKUP(L49&amp;M49,Q$42:Q$53&amp;R$42:R$53,S$42:S$53,"")</f>
        <v>0.6782691905342686</v>
      </c>
      <c r="O49" s="522">
        <f t="shared" si="13"/>
        <v>0</v>
      </c>
      <c r="P49"/>
      <c r="Q49" s="513" t="s">
        <v>496</v>
      </c>
      <c r="R49" s="513" t="s">
        <v>2548</v>
      </c>
      <c r="S49" s="525">
        <v>0.16921189725375199</v>
      </c>
      <c r="T49"/>
      <c r="U49"/>
      <c r="V49" s="498"/>
      <c r="W49"/>
      <c r="X49"/>
      <c r="Y49"/>
      <c r="Z49"/>
    </row>
    <row r="50" spans="6:26" ht="15">
      <c r="F50" s="305" t="s">
        <v>2498</v>
      </c>
      <c r="G50" s="516" t="s">
        <v>531</v>
      </c>
      <c r="H50" s="512">
        <v>0</v>
      </c>
      <c r="I50" s="521"/>
      <c r="J50" s="513" t="str" cm="1">
        <f t="array" ref="J50:L50">_xlfn.TEXTSPLIT(F50,"_")</f>
        <v>NEEM+PLUS</v>
      </c>
      <c r="K50" s="513" t="str">
        <v>gfnc</v>
      </c>
      <c r="L50" s="513" t="str">
        <v>HZ2</v>
      </c>
      <c r="M50" s="513"/>
      <c r="N50" s="515" cm="1">
        <f t="array" ref="N50">_xlfn.XLOOKUP(L50&amp;M50,Q$42:Q$53&amp;R$42:R$53,S$42:S$53,"")</f>
        <v>0.23702896288393821</v>
      </c>
      <c r="O50" s="522">
        <f t="shared" si="13"/>
        <v>0</v>
      </c>
      <c r="P50"/>
      <c r="Q50" s="513" t="s">
        <v>497</v>
      </c>
      <c r="R50" s="513" t="s">
        <v>2548</v>
      </c>
      <c r="S50" s="525">
        <v>8.0153406197824174E-3</v>
      </c>
      <c r="T50"/>
      <c r="U50" s="381"/>
      <c r="V50" s="517"/>
      <c r="W50"/>
      <c r="X50"/>
      <c r="Y50"/>
      <c r="Z50"/>
    </row>
    <row r="51" spans="6:26" ht="15">
      <c r="F51" s="305" t="s">
        <v>2499</v>
      </c>
      <c r="G51" s="516" t="s">
        <v>531</v>
      </c>
      <c r="H51" s="512">
        <v>0</v>
      </c>
      <c r="I51" s="521"/>
      <c r="J51" s="513" t="str" cm="1">
        <f t="array" ref="J51:L51">_xlfn.TEXTSPLIT(F51,"_")</f>
        <v>NEEM+PLUS</v>
      </c>
      <c r="K51" s="513" t="str">
        <v>gfnc</v>
      </c>
      <c r="L51" s="513" t="str">
        <v>HZ3</v>
      </c>
      <c r="M51" s="513"/>
      <c r="N51" s="515" cm="1">
        <f t="array" ref="N51">_xlfn.XLOOKUP(L51&amp;M51,Q$42:Q$53&amp;R$42:R$53,S$42:S$53,"")</f>
        <v>8.4701846581793083E-2</v>
      </c>
      <c r="O51" s="522">
        <f t="shared" si="13"/>
        <v>0</v>
      </c>
      <c r="P51"/>
      <c r="Q51" s="513" t="s">
        <v>495</v>
      </c>
      <c r="R51" s="513" t="s">
        <v>2549</v>
      </c>
      <c r="S51" s="525">
        <v>0.1463675076946496</v>
      </c>
      <c r="T51"/>
      <c r="U51" s="381"/>
      <c r="V51" s="517"/>
      <c r="W51"/>
      <c r="X51"/>
      <c r="Y51"/>
      <c r="Z51"/>
    </row>
    <row r="52" spans="6:26" ht="15">
      <c r="F52" s="305" t="s">
        <v>2497</v>
      </c>
      <c r="G52" s="516" t="s">
        <v>2495</v>
      </c>
      <c r="H52" s="512">
        <v>65.7</v>
      </c>
      <c r="I52" s="521"/>
      <c r="J52" s="513" t="str" cm="1">
        <f t="array" ref="J52:L52">_xlfn.TEXTSPLIT(F52,"_")</f>
        <v>NEEM+PLUS</v>
      </c>
      <c r="K52" s="513" t="str">
        <v>gfnc</v>
      </c>
      <c r="L52" s="513" t="str">
        <v>HZ1</v>
      </c>
      <c r="M52" s="513"/>
      <c r="N52" s="515" cm="1">
        <f t="array" ref="N52">_xlfn.XLOOKUP(L52&amp;M52,Q$42:Q$53&amp;R$42:R$53,S$42:S$53,"")</f>
        <v>0.6782691905342686</v>
      </c>
      <c r="O52" s="522">
        <f t="shared" si="13"/>
        <v>44.562285818101451</v>
      </c>
      <c r="P52"/>
      <c r="Q52" s="513" t="s">
        <v>496</v>
      </c>
      <c r="R52" s="513" t="s">
        <v>2549</v>
      </c>
      <c r="S52" s="525">
        <v>6.2857610482636109E-3</v>
      </c>
      <c r="T52"/>
      <c r="U52" s="381"/>
      <c r="V52" s="517"/>
      <c r="W52"/>
      <c r="X52"/>
      <c r="Y52"/>
      <c r="Z52"/>
    </row>
    <row r="53" spans="6:26" ht="15">
      <c r="F53" s="305" t="s">
        <v>2498</v>
      </c>
      <c r="G53" s="516" t="s">
        <v>2495</v>
      </c>
      <c r="H53" s="512">
        <v>65.7</v>
      </c>
      <c r="I53" s="521"/>
      <c r="J53" s="513" t="str" cm="1">
        <f t="array" ref="J53:L53">_xlfn.TEXTSPLIT(F53,"_")</f>
        <v>NEEM+PLUS</v>
      </c>
      <c r="K53" s="513" t="str">
        <v>gfnc</v>
      </c>
      <c r="L53" s="513" t="str">
        <v>HZ2</v>
      </c>
      <c r="M53" s="513"/>
      <c r="N53" s="515" cm="1">
        <f t="array" ref="N53">_xlfn.XLOOKUP(L53&amp;M53,Q$42:Q$53&amp;R$42:R$53,S$42:S$53,"")</f>
        <v>0.23702896288393821</v>
      </c>
      <c r="O53" s="522">
        <f t="shared" si="13"/>
        <v>15.572802861474742</v>
      </c>
      <c r="P53"/>
      <c r="Q53" s="513" t="s">
        <v>497</v>
      </c>
      <c r="R53" s="513" t="s">
        <v>2549</v>
      </c>
      <c r="S53" s="525">
        <v>0</v>
      </c>
      <c r="T53"/>
      <c r="U53" s="381"/>
      <c r="V53" s="517"/>
      <c r="W53"/>
      <c r="X53"/>
      <c r="Y53"/>
      <c r="Z53"/>
    </row>
    <row r="54" spans="6:26" ht="15">
      <c r="F54" s="305" t="s">
        <v>2499</v>
      </c>
      <c r="G54" s="516" t="s">
        <v>2495</v>
      </c>
      <c r="H54" s="512">
        <v>65.7</v>
      </c>
      <c r="I54" s="521"/>
      <c r="J54" s="513" t="str" cm="1">
        <f t="array" ref="J54:L54">_xlfn.TEXTSPLIT(F54,"_")</f>
        <v>NEEM+PLUS</v>
      </c>
      <c r="K54" s="513" t="str">
        <v>gfnc</v>
      </c>
      <c r="L54" s="513" t="str">
        <v>HZ3</v>
      </c>
      <c r="M54" s="513"/>
      <c r="N54" s="515" cm="1">
        <f t="array" ref="N54">_xlfn.XLOOKUP(L54&amp;M54,Q$42:Q$53&amp;R$42:R$53,S$42:S$53,"")</f>
        <v>8.4701846581793083E-2</v>
      </c>
      <c r="O54" s="522">
        <f t="shared" si="13"/>
        <v>5.5649113204238061</v>
      </c>
      <c r="P54"/>
      <c r="Q54"/>
      <c r="R54"/>
      <c r="S54"/>
      <c r="T54"/>
      <c r="U54" s="381"/>
      <c r="V54" s="517"/>
      <c r="W54"/>
      <c r="X54"/>
      <c r="Y54"/>
      <c r="Z54"/>
    </row>
    <row r="55" spans="6:26" ht="15">
      <c r="F55" s="305" t="s">
        <v>2497</v>
      </c>
      <c r="G55" s="516" t="s">
        <v>2162</v>
      </c>
      <c r="H55" s="512">
        <v>130.36402739576158</v>
      </c>
      <c r="I55" s="521"/>
      <c r="J55" s="513" t="str" cm="1">
        <f t="array" ref="J55:L55">_xlfn.TEXTSPLIT(F55,"_")</f>
        <v>NEEM+PLUS</v>
      </c>
      <c r="K55" s="513" t="str">
        <v>gfnc</v>
      </c>
      <c r="L55" s="513" t="str">
        <v>HZ1</v>
      </c>
      <c r="M55" s="513"/>
      <c r="N55" s="515" cm="1">
        <f t="array" ref="N55">_xlfn.XLOOKUP(L55&amp;M55,Q$42:Q$53&amp;R$42:R$53,S$42:S$53,"")</f>
        <v>0.6782691905342686</v>
      </c>
      <c r="O55" s="522">
        <f t="shared" si="13"/>
        <v>88.421903336510425</v>
      </c>
      <c r="P55"/>
      <c r="U55" s="381"/>
      <c r="V55" s="517"/>
      <c r="W55"/>
      <c r="X55"/>
      <c r="Y55"/>
      <c r="Z55"/>
    </row>
    <row r="56" spans="6:26" ht="15">
      <c r="F56" s="305" t="s">
        <v>2498</v>
      </c>
      <c r="G56" s="516" t="s">
        <v>2162</v>
      </c>
      <c r="H56" s="512">
        <v>130.36402739576158</v>
      </c>
      <c r="I56" s="521"/>
      <c r="J56" s="513" t="str" cm="1">
        <f t="array" ref="J56:L56">_xlfn.TEXTSPLIT(F56,"_")</f>
        <v>NEEM+PLUS</v>
      </c>
      <c r="K56" s="513" t="str">
        <v>gfnc</v>
      </c>
      <c r="L56" s="513" t="str">
        <v>HZ2</v>
      </c>
      <c r="M56" s="513"/>
      <c r="N56" s="515" cm="1">
        <f t="array" ref="N56">_xlfn.XLOOKUP(L56&amp;M56,Q$42:Q$53&amp;R$42:R$53,S$42:S$53,"")</f>
        <v>0.23702896288393821</v>
      </c>
      <c r="O56" s="522">
        <f t="shared" si="13"/>
        <v>30.900050210990678</v>
      </c>
      <c r="P56"/>
      <c r="U56" s="381"/>
      <c r="V56" s="517"/>
      <c r="W56"/>
      <c r="X56"/>
      <c r="Y56"/>
      <c r="Z56"/>
    </row>
    <row r="57" spans="6:26" ht="15">
      <c r="F57" s="305" t="s">
        <v>2499</v>
      </c>
      <c r="G57" s="516" t="s">
        <v>2162</v>
      </c>
      <c r="H57" s="512">
        <v>130.36402739576158</v>
      </c>
      <c r="I57" s="521"/>
      <c r="J57" s="513" t="str" cm="1">
        <f t="array" ref="J57:L57">_xlfn.TEXTSPLIT(F57,"_")</f>
        <v>NEEM+PLUS</v>
      </c>
      <c r="K57" s="513" t="str">
        <v>gfnc</v>
      </c>
      <c r="L57" s="513" t="str">
        <v>HZ3</v>
      </c>
      <c r="M57" s="513"/>
      <c r="N57" s="515" cm="1">
        <f t="array" ref="N57">_xlfn.XLOOKUP(L57&amp;M57,Q$42:Q$53&amp;R$42:R$53,S$42:S$53,"")</f>
        <v>8.4701846581793083E-2</v>
      </c>
      <c r="O57" s="522">
        <f t="shared" si="13"/>
        <v>11.042073848260468</v>
      </c>
      <c r="P57"/>
      <c r="U57" s="381"/>
      <c r="V57" s="517"/>
      <c r="W57"/>
      <c r="X57"/>
      <c r="Y57"/>
      <c r="Z57"/>
    </row>
    <row r="58" spans="6:26" ht="15">
      <c r="F58" s="305" t="s">
        <v>2497</v>
      </c>
      <c r="G58" s="516" t="s">
        <v>2496</v>
      </c>
      <c r="H58" s="512">
        <v>24.333333333333332</v>
      </c>
      <c r="I58" s="521"/>
      <c r="J58" s="513" t="str" cm="1">
        <f t="array" ref="J58:L58">_xlfn.TEXTSPLIT(F58,"_")</f>
        <v>NEEM+PLUS</v>
      </c>
      <c r="K58" s="513" t="str">
        <v>gfnc</v>
      </c>
      <c r="L58" s="513" t="str">
        <v>HZ1</v>
      </c>
      <c r="M58" s="513"/>
      <c r="N58" s="515" cm="1">
        <f t="array" ref="N58">_xlfn.XLOOKUP(L58&amp;M58,Q$42:Q$53&amp;R$42:R$53,S$42:S$53,"")</f>
        <v>0.6782691905342686</v>
      </c>
      <c r="O58" s="522">
        <f t="shared" si="13"/>
        <v>16.504550303000535</v>
      </c>
      <c r="P58"/>
      <c r="U58" s="381"/>
      <c r="V58" s="517"/>
      <c r="W58"/>
      <c r="X58"/>
      <c r="Y58"/>
      <c r="Z58"/>
    </row>
    <row r="59" spans="6:26" ht="15">
      <c r="F59" s="305" t="s">
        <v>2498</v>
      </c>
      <c r="G59" s="516" t="s">
        <v>2496</v>
      </c>
      <c r="H59" s="512">
        <v>24.333333333333332</v>
      </c>
      <c r="I59" s="521"/>
      <c r="J59" s="513" t="str" cm="1">
        <f t="array" ref="J59:L59">_xlfn.TEXTSPLIT(F59,"_")</f>
        <v>NEEM+PLUS</v>
      </c>
      <c r="K59" s="513" t="str">
        <v>gfnc</v>
      </c>
      <c r="L59" s="513" t="str">
        <v>HZ2</v>
      </c>
      <c r="M59" s="513"/>
      <c r="N59" s="515" cm="1">
        <f t="array" ref="N59">_xlfn.XLOOKUP(L59&amp;M59,Q$42:Q$53&amp;R$42:R$53,S$42:S$53,"")</f>
        <v>0.23702896288393821</v>
      </c>
      <c r="O59" s="522">
        <f t="shared" si="13"/>
        <v>5.7677047635091627</v>
      </c>
      <c r="P59"/>
      <c r="U59" s="381"/>
      <c r="V59" s="517"/>
      <c r="W59"/>
      <c r="X59"/>
      <c r="Y59"/>
      <c r="Z59"/>
    </row>
    <row r="60" spans="6:26" ht="15">
      <c r="F60" s="305" t="s">
        <v>2499</v>
      </c>
      <c r="G60" s="516" t="s">
        <v>2496</v>
      </c>
      <c r="H60" s="512">
        <v>24.333333333333332</v>
      </c>
      <c r="I60" s="521"/>
      <c r="J60" s="513" t="str" cm="1">
        <f t="array" ref="J60:L60">_xlfn.TEXTSPLIT(F60,"_")</f>
        <v>NEEM+PLUS</v>
      </c>
      <c r="K60" s="513" t="str">
        <v>gfnc</v>
      </c>
      <c r="L60" s="513" t="str">
        <v>HZ3</v>
      </c>
      <c r="M60" s="513"/>
      <c r="N60" s="515" cm="1">
        <f t="array" ref="N60">_xlfn.XLOOKUP(L60&amp;M60,Q$42:Q$53&amp;R$42:R$53,S$42:S$53,"")</f>
        <v>8.4701846581793083E-2</v>
      </c>
      <c r="O60" s="522">
        <f t="shared" si="13"/>
        <v>2.0610782668236314</v>
      </c>
      <c r="P60"/>
      <c r="U60" s="381"/>
      <c r="V60" s="517"/>
      <c r="W60"/>
      <c r="X60"/>
      <c r="Y60"/>
      <c r="Z60"/>
    </row>
    <row r="61" spans="6:26" ht="15">
      <c r="F61" s="305" t="s">
        <v>2500</v>
      </c>
      <c r="G61" s="516" t="s">
        <v>530</v>
      </c>
      <c r="H61" s="512">
        <v>2040.6830823443997</v>
      </c>
      <c r="I61" s="521"/>
      <c r="J61" s="513" t="str" cm="1">
        <f t="array" ref="J61:M61">_xlfn.TEXTSPLIT(F61,"_")</f>
        <v>Estar</v>
      </c>
      <c r="K61" s="513" t="str">
        <v>electric</v>
      </c>
      <c r="L61" s="513" t="str">
        <v>HZ1</v>
      </c>
      <c r="M61" s="513" t="str">
        <v>CZ1</v>
      </c>
      <c r="N61" s="515" cm="1">
        <f t="array" ref="N61">_xlfn.XLOOKUP(L61&amp;M61,Q$42:Q$53&amp;R$42:R$53,S$42:S$53,"")</f>
        <v>0.45294484697819271</v>
      </c>
      <c r="O61" s="522">
        <f t="shared" si="13"/>
        <v>924.31688646347072</v>
      </c>
      <c r="P61" s="381"/>
      <c r="Q61"/>
      <c r="R61"/>
      <c r="S61"/>
      <c r="T61"/>
      <c r="U61" s="381"/>
      <c r="V61" s="517"/>
      <c r="W61"/>
      <c r="X61"/>
      <c r="Y61"/>
      <c r="Z61"/>
    </row>
    <row r="62" spans="6:26" ht="15">
      <c r="F62" s="305" t="s">
        <v>2501</v>
      </c>
      <c r="G62" s="516" t="s">
        <v>530</v>
      </c>
      <c r="H62" s="512">
        <v>2040.6830823443997</v>
      </c>
      <c r="I62" s="521"/>
      <c r="J62" s="513" t="str" cm="1">
        <f t="array" ref="J62:M62">_xlfn.TEXTSPLIT(F62,"_")</f>
        <v>Estar</v>
      </c>
      <c r="K62" s="513" t="str">
        <v>electric</v>
      </c>
      <c r="L62" s="513" t="str">
        <v>HZ1</v>
      </c>
      <c r="M62" s="513" t="str">
        <v>CZ2</v>
      </c>
      <c r="N62" s="515" cm="1">
        <f t="array" ref="N62">_xlfn.XLOOKUP(L62&amp;M62,Q$42:Q$53&amp;R$42:R$53,S$42:S$53,"")</f>
        <v>7.8956835861426294E-2</v>
      </c>
      <c r="O62" s="522">
        <f t="shared" si="13"/>
        <v>161.12587917785626</v>
      </c>
      <c r="P62"/>
      <c r="Q62"/>
      <c r="R62"/>
      <c r="S62"/>
      <c r="T62"/>
      <c r="U62"/>
      <c r="V62" s="498"/>
      <c r="W62"/>
      <c r="X62"/>
      <c r="Y62"/>
      <c r="Z62"/>
    </row>
    <row r="63" spans="6:26" ht="15">
      <c r="F63" s="305" t="s">
        <v>2502</v>
      </c>
      <c r="G63" s="516" t="s">
        <v>530</v>
      </c>
      <c r="H63" s="512">
        <v>2040.6830823443997</v>
      </c>
      <c r="I63" s="521"/>
      <c r="J63" s="513" t="str" cm="1">
        <f t="array" ref="J63:M63">_xlfn.TEXTSPLIT(F63,"_")</f>
        <v>Estar</v>
      </c>
      <c r="K63" s="513" t="str">
        <v>electric</v>
      </c>
      <c r="L63" s="513" t="str">
        <v>HZ1</v>
      </c>
      <c r="M63" s="513" t="str">
        <v>CZ3</v>
      </c>
      <c r="N63" s="515" cm="1">
        <f t="array" ref="N63">_xlfn.XLOOKUP(L63&amp;M63,Q$42:Q$53&amp;R$42:R$53,S$42:S$53,"")</f>
        <v>0.1463675076946496</v>
      </c>
      <c r="O63" s="522">
        <f t="shared" si="13"/>
        <v>298.68969675738521</v>
      </c>
      <c r="P63"/>
      <c r="Q63"/>
      <c r="R63"/>
      <c r="S63"/>
      <c r="T63"/>
      <c r="U63"/>
      <c r="V63" s="498"/>
      <c r="W63"/>
      <c r="X63"/>
      <c r="Y63"/>
      <c r="Z63"/>
    </row>
    <row r="64" spans="6:26" ht="15">
      <c r="F64" s="305" t="s">
        <v>2503</v>
      </c>
      <c r="G64" s="516" t="s">
        <v>530</v>
      </c>
      <c r="H64" s="512">
        <v>2994.7254842231996</v>
      </c>
      <c r="I64" s="521"/>
      <c r="J64" s="513" t="str" cm="1">
        <f t="array" ref="J64:M64">_xlfn.TEXTSPLIT(F64,"_")</f>
        <v>Estar</v>
      </c>
      <c r="K64" s="513" t="str">
        <v>electric</v>
      </c>
      <c r="L64" s="513" t="str">
        <v>HZ2</v>
      </c>
      <c r="M64" s="513" t="str">
        <v>CZ1</v>
      </c>
      <c r="N64" s="515" cm="1">
        <f t="array" ref="N64">_xlfn.XLOOKUP(L64&amp;M64,Q$42:Q$53&amp;R$42:R$53,S$42:S$53,"")</f>
        <v>6.1531304581922616E-2</v>
      </c>
      <c r="O64" s="522">
        <f t="shared" si="13"/>
        <v>184.26936590898339</v>
      </c>
      <c r="P64"/>
      <c r="Q64"/>
      <c r="R64"/>
      <c r="S64"/>
      <c r="T64"/>
      <c r="U64"/>
      <c r="V64" s="498"/>
      <c r="W64"/>
      <c r="X64"/>
      <c r="Y64"/>
      <c r="Z64"/>
    </row>
    <row r="65" spans="6:26" ht="15">
      <c r="F65" s="305" t="s">
        <v>2504</v>
      </c>
      <c r="G65" s="516" t="s">
        <v>530</v>
      </c>
      <c r="H65" s="512">
        <v>2994.7254842231996</v>
      </c>
      <c r="I65" s="521"/>
      <c r="J65" s="513" t="str" cm="1">
        <f t="array" ref="J65:M65">_xlfn.TEXTSPLIT(F65,"_")</f>
        <v>Estar</v>
      </c>
      <c r="K65" s="513" t="str">
        <v>electric</v>
      </c>
      <c r="L65" s="513" t="str">
        <v>HZ2</v>
      </c>
      <c r="M65" s="513" t="str">
        <v>CZ2</v>
      </c>
      <c r="N65" s="515" cm="1">
        <f t="array" ref="N65">_xlfn.XLOOKUP(L65&amp;M65,Q$42:Q$53&amp;R$42:R$53,S$42:S$53,"")</f>
        <v>0.16921189725375199</v>
      </c>
      <c r="O65" s="522">
        <f t="shared" si="13"/>
        <v>506.74318093956873</v>
      </c>
      <c r="P65"/>
      <c r="Q65"/>
      <c r="R65"/>
      <c r="S65"/>
      <c r="T65"/>
      <c r="U65"/>
      <c r="V65" s="498"/>
      <c r="W65"/>
      <c r="X65"/>
      <c r="Y65"/>
      <c r="Z65"/>
    </row>
    <row r="66" spans="6:26" ht="15">
      <c r="F66" s="305" t="s">
        <v>2505</v>
      </c>
      <c r="G66" s="516" t="s">
        <v>530</v>
      </c>
      <c r="H66" s="512">
        <v>2994.7254842231996</v>
      </c>
      <c r="I66" s="521"/>
      <c r="J66" s="513" t="str" cm="1">
        <f t="array" ref="J66:M66">_xlfn.TEXTSPLIT(F66,"_")</f>
        <v>Estar</v>
      </c>
      <c r="K66" s="513" t="str">
        <v>electric</v>
      </c>
      <c r="L66" s="513" t="str">
        <v>HZ2</v>
      </c>
      <c r="M66" s="513" t="str">
        <v>CZ3</v>
      </c>
      <c r="N66" s="515" cm="1">
        <f t="array" ref="N66">_xlfn.XLOOKUP(L66&amp;M66,Q$42:Q$53&amp;R$42:R$53,S$42:S$53,"")</f>
        <v>6.2857610482636109E-3</v>
      </c>
      <c r="O66" s="522">
        <f t="shared" si="13"/>
        <v>18.82412879897257</v>
      </c>
      <c r="P66"/>
      <c r="Q66"/>
      <c r="R66"/>
      <c r="S66"/>
      <c r="T66"/>
      <c r="U66"/>
      <c r="V66" s="498"/>
      <c r="W66"/>
      <c r="X66"/>
      <c r="Y66"/>
      <c r="Z66"/>
    </row>
    <row r="67" spans="6:26" ht="15">
      <c r="F67" s="305" t="s">
        <v>2506</v>
      </c>
      <c r="G67" s="516" t="s">
        <v>530</v>
      </c>
      <c r="H67" s="512">
        <v>3793.5997048248</v>
      </c>
      <c r="I67" s="521"/>
      <c r="J67" s="513" t="str" cm="1">
        <f t="array" ref="J67:M67">_xlfn.TEXTSPLIT(F67,"_")</f>
        <v>Estar</v>
      </c>
      <c r="K67" s="513" t="str">
        <v>electric</v>
      </c>
      <c r="L67" s="513" t="str">
        <v>HZ3</v>
      </c>
      <c r="M67" s="513" t="str">
        <v>CZ1</v>
      </c>
      <c r="N67" s="515" cm="1">
        <f t="array" ref="N67">_xlfn.XLOOKUP(L67&amp;M67,Q$42:Q$53&amp;R$42:R$53,S$42:S$53,"")</f>
        <v>7.6686505962010668E-2</v>
      </c>
      <c r="O67" s="522">
        <f t="shared" si="13"/>
        <v>290.91790638152895</v>
      </c>
      <c r="P67"/>
      <c r="Q67"/>
      <c r="R67"/>
      <c r="S67"/>
      <c r="T67"/>
      <c r="U67"/>
      <c r="V67" s="498"/>
      <c r="W67"/>
      <c r="X67"/>
      <c r="Y67"/>
      <c r="Z67"/>
    </row>
    <row r="68" spans="6:26" ht="15">
      <c r="F68" s="305" t="s">
        <v>2507</v>
      </c>
      <c r="G68" s="516" t="s">
        <v>530</v>
      </c>
      <c r="H68" s="512">
        <v>3793.5997048248</v>
      </c>
      <c r="I68" s="521"/>
      <c r="J68" s="513" t="str" cm="1">
        <f t="array" ref="J68:M68">_xlfn.TEXTSPLIT(F68,"_")</f>
        <v>Estar</v>
      </c>
      <c r="K68" s="513" t="str">
        <v>electric</v>
      </c>
      <c r="L68" s="513" t="str">
        <v>HZ3</v>
      </c>
      <c r="M68" s="513" t="str">
        <v>CZ2</v>
      </c>
      <c r="N68" s="515" cm="1">
        <f t="array" ref="N68">_xlfn.XLOOKUP(L68&amp;M68,Q$42:Q$53&amp;R$42:R$53,S$42:S$53,"")</f>
        <v>8.0153406197824174E-3</v>
      </c>
      <c r="O68" s="522">
        <f t="shared" si="13"/>
        <v>30.406993809276809</v>
      </c>
      <c r="P68"/>
      <c r="Q68"/>
      <c r="R68"/>
      <c r="S68"/>
      <c r="T68"/>
      <c r="U68"/>
      <c r="V68" s="498"/>
      <c r="W68"/>
      <c r="X68"/>
      <c r="Y68"/>
      <c r="Z68"/>
    </row>
    <row r="69" spans="6:26" ht="15">
      <c r="F69" s="305" t="s">
        <v>2508</v>
      </c>
      <c r="G69" s="516" t="s">
        <v>530</v>
      </c>
      <c r="H69" s="512">
        <v>3793.5997048248</v>
      </c>
      <c r="I69" s="521"/>
      <c r="J69" s="513" t="str" cm="1">
        <f t="array" ref="J69:M69">_xlfn.TEXTSPLIT(F69,"_")</f>
        <v>Estar</v>
      </c>
      <c r="K69" s="513" t="str">
        <v>electric</v>
      </c>
      <c r="L69" s="513" t="str">
        <v>HZ3</v>
      </c>
      <c r="M69" s="513" t="str">
        <v>CZ3</v>
      </c>
      <c r="N69" s="515" cm="1">
        <f t="array" ref="N69">_xlfn.XLOOKUP(L69&amp;M69,Q$42:Q$53&amp;R$42:R$53,S$42:S$53,"")</f>
        <v>0</v>
      </c>
      <c r="O69" s="522">
        <f t="shared" si="13"/>
        <v>0</v>
      </c>
      <c r="P69"/>
      <c r="Q69"/>
      <c r="R69"/>
      <c r="S69"/>
      <c r="T69"/>
      <c r="U69"/>
      <c r="V69" s="498"/>
      <c r="W69"/>
      <c r="X69"/>
      <c r="Y69"/>
      <c r="Z69"/>
    </row>
    <row r="70" spans="6:26" ht="15">
      <c r="F70" s="305" t="s">
        <v>2500</v>
      </c>
      <c r="G70" s="516" t="s">
        <v>531</v>
      </c>
      <c r="H70" s="512">
        <v>1.196480639999999</v>
      </c>
      <c r="I70" s="521"/>
      <c r="J70" s="513" t="str" cm="1">
        <f t="array" ref="J70:M70">_xlfn.TEXTSPLIT(F70,"_")</f>
        <v>Estar</v>
      </c>
      <c r="K70" s="513" t="str">
        <v>electric</v>
      </c>
      <c r="L70" s="513" t="str">
        <v>HZ1</v>
      </c>
      <c r="M70" s="513" t="str">
        <v>CZ1</v>
      </c>
      <c r="N70" s="515" cm="1">
        <f t="array" ref="N70">_xlfn.XLOOKUP(L70&amp;M70,Q$42:Q$53&amp;R$42:R$53,S$42:S$53,"")</f>
        <v>0.45294484697819271</v>
      </c>
      <c r="O70" s="522">
        <f t="shared" si="13"/>
        <v>0.54193974039716963</v>
      </c>
      <c r="P70"/>
      <c r="Q70"/>
      <c r="R70"/>
      <c r="S70"/>
      <c r="T70"/>
      <c r="U70"/>
      <c r="V70" s="498"/>
      <c r="W70"/>
      <c r="X70"/>
      <c r="Y70"/>
      <c r="Z70"/>
    </row>
    <row r="71" spans="6:26" ht="15">
      <c r="F71" s="305" t="s">
        <v>2501</v>
      </c>
      <c r="G71" s="516" t="s">
        <v>531</v>
      </c>
      <c r="H71" s="512">
        <v>3.0457880880000001</v>
      </c>
      <c r="I71" s="521"/>
      <c r="J71" s="513" t="str" cm="1">
        <f t="array" ref="J71:M71">_xlfn.TEXTSPLIT(F71,"_")</f>
        <v>Estar</v>
      </c>
      <c r="K71" s="513" t="str">
        <v>electric</v>
      </c>
      <c r="L71" s="513" t="str">
        <v>HZ1</v>
      </c>
      <c r="M71" s="513" t="str">
        <v>CZ2</v>
      </c>
      <c r="N71" s="515" cm="1">
        <f t="array" ref="N71">_xlfn.XLOOKUP(L71&amp;M71,Q$42:Q$53&amp;R$42:R$53,S$42:S$53,"")</f>
        <v>7.8956835861426294E-2</v>
      </c>
      <c r="O71" s="522">
        <f t="shared" si="13"/>
        <v>0.24048579013290344</v>
      </c>
      <c r="P71"/>
      <c r="Q71"/>
      <c r="R71"/>
      <c r="S71"/>
      <c r="T71"/>
      <c r="U71"/>
      <c r="V71" s="498"/>
      <c r="W71"/>
      <c r="X71"/>
      <c r="Y71"/>
      <c r="Z71"/>
    </row>
    <row r="72" spans="6:26" ht="15">
      <c r="F72" s="305" t="s">
        <v>2502</v>
      </c>
      <c r="G72" s="516" t="s">
        <v>531</v>
      </c>
      <c r="H72" s="512">
        <v>5.7860552079999978</v>
      </c>
      <c r="I72" s="521"/>
      <c r="J72" s="513" t="str" cm="1">
        <f t="array" ref="J72:M72">_xlfn.TEXTSPLIT(F72,"_")</f>
        <v>Estar</v>
      </c>
      <c r="K72" s="513" t="str">
        <v>electric</v>
      </c>
      <c r="L72" s="513" t="str">
        <v>HZ1</v>
      </c>
      <c r="M72" s="513" t="str">
        <v>CZ3</v>
      </c>
      <c r="N72" s="515" cm="1">
        <f t="array" ref="N72">_xlfn.XLOOKUP(L72&amp;M72,Q$42:Q$53&amp;R$42:R$53,S$42:S$53,"")</f>
        <v>0.1463675076946496</v>
      </c>
      <c r="O72" s="522">
        <f t="shared" si="13"/>
        <v>0.84689048017860702</v>
      </c>
      <c r="P72"/>
      <c r="Q72"/>
      <c r="R72"/>
      <c r="S72"/>
      <c r="T72"/>
      <c r="U72"/>
      <c r="V72" s="498"/>
      <c r="W72"/>
      <c r="X72"/>
      <c r="Y72"/>
      <c r="Z72"/>
    </row>
    <row r="73" spans="6:26" ht="15">
      <c r="F73" s="305" t="s">
        <v>2503</v>
      </c>
      <c r="G73" s="516" t="s">
        <v>531</v>
      </c>
      <c r="H73" s="512">
        <v>1.2003638559999994</v>
      </c>
      <c r="I73" s="521"/>
      <c r="J73" s="513" t="str" cm="1">
        <f t="array" ref="J73:M73">_xlfn.TEXTSPLIT(F73,"_")</f>
        <v>Estar</v>
      </c>
      <c r="K73" s="513" t="str">
        <v>electric</v>
      </c>
      <c r="L73" s="513" t="str">
        <v>HZ2</v>
      </c>
      <c r="M73" s="513" t="str">
        <v>CZ1</v>
      </c>
      <c r="N73" s="515" cm="1">
        <f t="array" ref="N73">_xlfn.XLOOKUP(L73&amp;M73,Q$42:Q$53&amp;R$42:R$53,S$42:S$53,"")</f>
        <v>6.1531304581922616E-2</v>
      </c>
      <c r="O73" s="522">
        <f t="shared" si="13"/>
        <v>7.3859954032667069E-2</v>
      </c>
      <c r="P73"/>
      <c r="Q73"/>
      <c r="R73"/>
      <c r="S73"/>
      <c r="T73"/>
      <c r="U73"/>
      <c r="V73" s="498"/>
      <c r="W73"/>
      <c r="X73"/>
      <c r="Y73"/>
      <c r="Z73"/>
    </row>
    <row r="74" spans="6:26" ht="15">
      <c r="F74" s="305" t="s">
        <v>2504</v>
      </c>
      <c r="G74" s="516" t="s">
        <v>531</v>
      </c>
      <c r="H74" s="512">
        <v>3.0504765440000017</v>
      </c>
      <c r="I74" s="521"/>
      <c r="J74" s="513" t="str" cm="1">
        <f t="array" ref="J74:M74">_xlfn.TEXTSPLIT(F74,"_")</f>
        <v>Estar</v>
      </c>
      <c r="K74" s="513" t="str">
        <v>electric</v>
      </c>
      <c r="L74" s="513" t="str">
        <v>HZ2</v>
      </c>
      <c r="M74" s="513" t="str">
        <v>CZ2</v>
      </c>
      <c r="N74" s="515" cm="1">
        <f t="array" ref="N74">_xlfn.XLOOKUP(L74&amp;M74,Q$42:Q$53&amp;R$42:R$53,S$42:S$53,"")</f>
        <v>0.16921189725375199</v>
      </c>
      <c r="O74" s="522">
        <f t="shared" si="13"/>
        <v>0.5161769235383088</v>
      </c>
      <c r="P74"/>
      <c r="Q74"/>
      <c r="R74"/>
      <c r="S74"/>
      <c r="T74"/>
      <c r="U74"/>
      <c r="V74" s="498"/>
      <c r="W74"/>
      <c r="X74"/>
      <c r="Y74"/>
      <c r="Z74"/>
    </row>
    <row r="75" spans="6:26" ht="15">
      <c r="F75" s="305" t="s">
        <v>2505</v>
      </c>
      <c r="G75" s="516" t="s">
        <v>531</v>
      </c>
      <c r="H75" s="512">
        <v>5.7890508079999989</v>
      </c>
      <c r="I75" s="521"/>
      <c r="J75" s="513" t="str" cm="1">
        <f t="array" ref="J75:M75">_xlfn.TEXTSPLIT(F75,"_")</f>
        <v>Estar</v>
      </c>
      <c r="K75" s="513" t="str">
        <v>electric</v>
      </c>
      <c r="L75" s="513" t="str">
        <v>HZ2</v>
      </c>
      <c r="M75" s="513" t="str">
        <v>CZ3</v>
      </c>
      <c r="N75" s="515" cm="1">
        <f t="array" ref="N75">_xlfn.XLOOKUP(L75&amp;M75,Q$42:Q$53&amp;R$42:R$53,S$42:S$53,"")</f>
        <v>6.2857610482636109E-3</v>
      </c>
      <c r="O75" s="522">
        <f t="shared" si="13"/>
        <v>3.6388590075345374E-2</v>
      </c>
      <c r="P75"/>
      <c r="Q75"/>
      <c r="R75"/>
      <c r="S75"/>
      <c r="T75"/>
      <c r="U75"/>
      <c r="V75" s="498"/>
      <c r="W75"/>
      <c r="X75"/>
      <c r="Y75"/>
      <c r="Z75"/>
    </row>
    <row r="76" spans="6:26" ht="15">
      <c r="F76" s="305" t="s">
        <v>2506</v>
      </c>
      <c r="G76" s="516" t="s">
        <v>531</v>
      </c>
      <c r="H76" s="512">
        <v>1.2018458320000005</v>
      </c>
      <c r="I76" s="521"/>
      <c r="J76" s="513" t="str" cm="1">
        <f t="array" ref="J76:M76">_xlfn.TEXTSPLIT(F76,"_")</f>
        <v>Estar</v>
      </c>
      <c r="K76" s="513" t="str">
        <v>electric</v>
      </c>
      <c r="L76" s="513" t="str">
        <v>HZ3</v>
      </c>
      <c r="M76" s="513" t="str">
        <v>CZ1</v>
      </c>
      <c r="N76" s="515" cm="1">
        <f t="array" ref="N76">_xlfn.XLOOKUP(L76&amp;M76,Q$42:Q$53&amp;R$42:R$53,S$42:S$53,"")</f>
        <v>7.6686505962010668E-2</v>
      </c>
      <c r="O76" s="522">
        <f t="shared" si="13"/>
        <v>9.2165357561085709E-2</v>
      </c>
      <c r="P76"/>
      <c r="Q76"/>
      <c r="R76"/>
      <c r="S76"/>
      <c r="T76"/>
      <c r="U76"/>
      <c r="V76" s="498"/>
      <c r="W76"/>
      <c r="X76"/>
      <c r="Y76"/>
      <c r="Z76"/>
    </row>
    <row r="77" spans="6:26" ht="15">
      <c r="F77" s="305" t="s">
        <v>2507</v>
      </c>
      <c r="G77" s="516" t="s">
        <v>531</v>
      </c>
      <c r="H77" s="512">
        <v>3.0518524559999998</v>
      </c>
      <c r="I77" s="521"/>
      <c r="J77" s="513" t="str" cm="1">
        <f t="array" ref="J77:M77">_xlfn.TEXTSPLIT(F77,"_")</f>
        <v>Estar</v>
      </c>
      <c r="K77" s="513" t="str">
        <v>electric</v>
      </c>
      <c r="L77" s="513" t="str">
        <v>HZ3</v>
      </c>
      <c r="M77" s="513" t="str">
        <v>CZ2</v>
      </c>
      <c r="N77" s="515" cm="1">
        <f t="array" ref="N77">_xlfn.XLOOKUP(L77&amp;M77,Q$42:Q$53&amp;R$42:R$53,S$42:S$53,"")</f>
        <v>8.0153406197824174E-3</v>
      </c>
      <c r="O77" s="522">
        <f t="shared" si="13"/>
        <v>2.4461636956159532E-2</v>
      </c>
      <c r="P77"/>
      <c r="Q77"/>
      <c r="R77"/>
      <c r="S77"/>
      <c r="T77"/>
      <c r="U77"/>
      <c r="V77" s="498"/>
      <c r="W77"/>
      <c r="X77"/>
      <c r="Y77"/>
      <c r="Z77"/>
    </row>
    <row r="78" spans="6:26" ht="15">
      <c r="F78" s="305" t="s">
        <v>2508</v>
      </c>
      <c r="G78" s="516" t="s">
        <v>531</v>
      </c>
      <c r="H78" s="512">
        <v>5.7886472960000006</v>
      </c>
      <c r="I78" s="521"/>
      <c r="J78" s="513" t="str" cm="1">
        <f t="array" ref="J78:M78">_xlfn.TEXTSPLIT(F78,"_")</f>
        <v>Estar</v>
      </c>
      <c r="K78" s="513" t="str">
        <v>electric</v>
      </c>
      <c r="L78" s="513" t="str">
        <v>HZ3</v>
      </c>
      <c r="M78" s="513" t="str">
        <v>CZ3</v>
      </c>
      <c r="N78" s="515" cm="1">
        <f t="array" ref="N78">_xlfn.XLOOKUP(L78&amp;M78,Q$42:Q$53&amp;R$42:R$53,S$42:S$53,"")</f>
        <v>0</v>
      </c>
      <c r="O78" s="522">
        <f t="shared" si="13"/>
        <v>0</v>
      </c>
      <c r="P78"/>
      <c r="Q78"/>
      <c r="R78"/>
      <c r="S78"/>
      <c r="T78"/>
      <c r="U78"/>
      <c r="V78" s="498"/>
      <c r="W78"/>
      <c r="X78"/>
      <c r="Y78"/>
      <c r="Z78"/>
    </row>
    <row r="79" spans="6:26" ht="15">
      <c r="F79" s="305" t="s">
        <v>2500</v>
      </c>
      <c r="G79" s="516" t="s">
        <v>2495</v>
      </c>
      <c r="H79" s="512">
        <v>0</v>
      </c>
      <c r="I79" s="521"/>
      <c r="J79" s="513" t="str" cm="1">
        <f t="array" ref="J79:M79">_xlfn.TEXTSPLIT(F79,"_")</f>
        <v>Estar</v>
      </c>
      <c r="K79" s="513" t="str">
        <v>electric</v>
      </c>
      <c r="L79" s="513" t="str">
        <v>HZ1</v>
      </c>
      <c r="M79" s="513" t="str">
        <v>CZ1</v>
      </c>
      <c r="N79" s="515" cm="1">
        <f t="array" ref="N79">_xlfn.XLOOKUP(L79&amp;M79,Q$42:Q$53&amp;R$42:R$53,S$42:S$53,"")</f>
        <v>0.45294484697819271</v>
      </c>
      <c r="O79" s="522">
        <f t="shared" si="13"/>
        <v>0</v>
      </c>
      <c r="P79"/>
      <c r="Q79"/>
      <c r="R79"/>
      <c r="S79"/>
      <c r="T79"/>
      <c r="U79"/>
      <c r="V79" s="498"/>
      <c r="W79"/>
      <c r="X79"/>
      <c r="Y79"/>
      <c r="Z79"/>
    </row>
    <row r="80" spans="6:26" ht="15">
      <c r="F80" s="305" t="s">
        <v>2501</v>
      </c>
      <c r="G80" s="516" t="s">
        <v>2495</v>
      </c>
      <c r="H80" s="512">
        <v>0</v>
      </c>
      <c r="I80" s="521"/>
      <c r="J80" s="513" t="str" cm="1">
        <f t="array" ref="J80:M80">_xlfn.TEXTSPLIT(F80,"_")</f>
        <v>Estar</v>
      </c>
      <c r="K80" s="513" t="str">
        <v>electric</v>
      </c>
      <c r="L80" s="513" t="str">
        <v>HZ1</v>
      </c>
      <c r="M80" s="513" t="str">
        <v>CZ2</v>
      </c>
      <c r="N80" s="515" cm="1">
        <f t="array" ref="N80">_xlfn.XLOOKUP(L80&amp;M80,Q$42:Q$53&amp;R$42:R$53,S$42:S$53,"")</f>
        <v>7.8956835861426294E-2</v>
      </c>
      <c r="O80" s="522">
        <f t="shared" si="13"/>
        <v>0</v>
      </c>
      <c r="P80"/>
      <c r="Q80"/>
      <c r="R80"/>
      <c r="S80"/>
      <c r="T80"/>
      <c r="U80"/>
      <c r="V80" s="498"/>
      <c r="W80"/>
      <c r="X80"/>
      <c r="Y80"/>
      <c r="Z80"/>
    </row>
    <row r="81" spans="6:26" ht="15">
      <c r="F81" s="305" t="s">
        <v>2502</v>
      </c>
      <c r="G81" s="516" t="s">
        <v>2495</v>
      </c>
      <c r="H81" s="512">
        <v>0</v>
      </c>
      <c r="I81" s="521"/>
      <c r="J81" s="513" t="str" cm="1">
        <f t="array" ref="J81:M81">_xlfn.TEXTSPLIT(F81,"_")</f>
        <v>Estar</v>
      </c>
      <c r="K81" s="513" t="str">
        <v>electric</v>
      </c>
      <c r="L81" s="513" t="str">
        <v>HZ1</v>
      </c>
      <c r="M81" s="513" t="str">
        <v>CZ3</v>
      </c>
      <c r="N81" s="515" cm="1">
        <f t="array" ref="N81">_xlfn.XLOOKUP(L81&amp;M81,Q$42:Q$53&amp;R$42:R$53,S$42:S$53,"")</f>
        <v>0.1463675076946496</v>
      </c>
      <c r="O81" s="522">
        <f t="shared" si="13"/>
        <v>0</v>
      </c>
      <c r="P81"/>
      <c r="Q81"/>
      <c r="R81"/>
      <c r="S81"/>
      <c r="T81"/>
      <c r="U81"/>
      <c r="V81" s="498"/>
      <c r="W81"/>
      <c r="X81"/>
      <c r="Y81"/>
      <c r="Z81"/>
    </row>
    <row r="82" spans="6:26" ht="15">
      <c r="F82" s="305" t="s">
        <v>2503</v>
      </c>
      <c r="G82" s="516" t="s">
        <v>2495</v>
      </c>
      <c r="H82" s="512">
        <v>0</v>
      </c>
      <c r="I82" s="521"/>
      <c r="J82" s="513" t="str" cm="1">
        <f t="array" ref="J82:M82">_xlfn.TEXTSPLIT(F82,"_")</f>
        <v>Estar</v>
      </c>
      <c r="K82" s="513" t="str">
        <v>electric</v>
      </c>
      <c r="L82" s="513" t="str">
        <v>HZ2</v>
      </c>
      <c r="M82" s="513" t="str">
        <v>CZ1</v>
      </c>
      <c r="N82" s="515" cm="1">
        <f t="array" ref="N82">_xlfn.XLOOKUP(L82&amp;M82,Q$42:Q$53&amp;R$42:R$53,S$42:S$53,"")</f>
        <v>6.1531304581922616E-2</v>
      </c>
      <c r="O82" s="522">
        <f t="shared" si="13"/>
        <v>0</v>
      </c>
      <c r="P82"/>
      <c r="Q82"/>
      <c r="R82"/>
      <c r="S82"/>
      <c r="T82"/>
      <c r="U82"/>
      <c r="V82" s="498"/>
      <c r="W82"/>
      <c r="X82"/>
      <c r="Y82"/>
      <c r="Z82"/>
    </row>
    <row r="83" spans="6:26" ht="15">
      <c r="F83" s="305" t="s">
        <v>2504</v>
      </c>
      <c r="G83" s="516" t="s">
        <v>2495</v>
      </c>
      <c r="H83" s="512">
        <v>0</v>
      </c>
      <c r="I83" s="521"/>
      <c r="J83" s="513" t="str" cm="1">
        <f t="array" ref="J83:M83">_xlfn.TEXTSPLIT(F83,"_")</f>
        <v>Estar</v>
      </c>
      <c r="K83" s="513" t="str">
        <v>electric</v>
      </c>
      <c r="L83" s="513" t="str">
        <v>HZ2</v>
      </c>
      <c r="M83" s="513" t="str">
        <v>CZ2</v>
      </c>
      <c r="N83" s="515" cm="1">
        <f t="array" ref="N83">_xlfn.XLOOKUP(L83&amp;M83,Q$42:Q$53&amp;R$42:R$53,S$42:S$53,"")</f>
        <v>0.16921189725375199</v>
      </c>
      <c r="O83" s="522">
        <f t="shared" si="13"/>
        <v>0</v>
      </c>
      <c r="P83"/>
      <c r="Q83"/>
      <c r="R83"/>
      <c r="S83"/>
      <c r="T83"/>
      <c r="U83"/>
      <c r="V83" s="498"/>
      <c r="W83"/>
      <c r="X83"/>
      <c r="Y83"/>
      <c r="Z83"/>
    </row>
    <row r="84" spans="6:26" ht="15">
      <c r="F84" s="305" t="s">
        <v>2505</v>
      </c>
      <c r="G84" s="516" t="s">
        <v>2495</v>
      </c>
      <c r="H84" s="512">
        <v>0</v>
      </c>
      <c r="I84" s="521"/>
      <c r="J84" s="513" t="str" cm="1">
        <f t="array" ref="J84:M84">_xlfn.TEXTSPLIT(F84,"_")</f>
        <v>Estar</v>
      </c>
      <c r="K84" s="513" t="str">
        <v>electric</v>
      </c>
      <c r="L84" s="513" t="str">
        <v>HZ2</v>
      </c>
      <c r="M84" s="513" t="str">
        <v>CZ3</v>
      </c>
      <c r="N84" s="515" cm="1">
        <f t="array" ref="N84">_xlfn.XLOOKUP(L84&amp;M84,Q$42:Q$53&amp;R$42:R$53,S$42:S$53,"")</f>
        <v>6.2857610482636109E-3</v>
      </c>
      <c r="O84" s="522">
        <f t="shared" si="13"/>
        <v>0</v>
      </c>
      <c r="P84"/>
      <c r="Q84"/>
      <c r="R84"/>
      <c r="S84"/>
      <c r="T84"/>
      <c r="U84"/>
      <c r="V84" s="498"/>
      <c r="W84"/>
      <c r="X84"/>
      <c r="Y84"/>
      <c r="Z84"/>
    </row>
    <row r="85" spans="6:26" ht="15">
      <c r="F85" s="305" t="s">
        <v>2506</v>
      </c>
      <c r="G85" s="516" t="s">
        <v>2495</v>
      </c>
      <c r="H85" s="512">
        <v>0</v>
      </c>
      <c r="I85" s="521"/>
      <c r="J85" s="513" t="str" cm="1">
        <f t="array" ref="J85:M85">_xlfn.TEXTSPLIT(F85,"_")</f>
        <v>Estar</v>
      </c>
      <c r="K85" s="513" t="str">
        <v>electric</v>
      </c>
      <c r="L85" s="513" t="str">
        <v>HZ3</v>
      </c>
      <c r="M85" s="513" t="str">
        <v>CZ1</v>
      </c>
      <c r="N85" s="515" cm="1">
        <f t="array" ref="N85">_xlfn.XLOOKUP(L85&amp;M85,Q$42:Q$53&amp;R$42:R$53,S$42:S$53,"")</f>
        <v>7.6686505962010668E-2</v>
      </c>
      <c r="O85" s="522">
        <f t="shared" si="13"/>
        <v>0</v>
      </c>
      <c r="P85"/>
      <c r="Q85"/>
      <c r="R85"/>
      <c r="S85"/>
      <c r="T85"/>
      <c r="U85"/>
      <c r="V85" s="498"/>
      <c r="W85"/>
      <c r="X85"/>
      <c r="Y85"/>
      <c r="Z85"/>
    </row>
    <row r="86" spans="6:26" ht="15">
      <c r="F86" s="305" t="s">
        <v>2507</v>
      </c>
      <c r="G86" s="516" t="s">
        <v>2495</v>
      </c>
      <c r="H86" s="512">
        <v>0</v>
      </c>
      <c r="I86" s="521"/>
      <c r="J86" s="513" t="str" cm="1">
        <f t="array" ref="J86:M86">_xlfn.TEXTSPLIT(F86,"_")</f>
        <v>Estar</v>
      </c>
      <c r="K86" s="513" t="str">
        <v>electric</v>
      </c>
      <c r="L86" s="513" t="str">
        <v>HZ3</v>
      </c>
      <c r="M86" s="513" t="str">
        <v>CZ2</v>
      </c>
      <c r="N86" s="515" cm="1">
        <f t="array" ref="N86">_xlfn.XLOOKUP(L86&amp;M86,Q$42:Q$53&amp;R$42:R$53,S$42:S$53,"")</f>
        <v>8.0153406197824174E-3</v>
      </c>
      <c r="O86" s="522">
        <f t="shared" si="13"/>
        <v>0</v>
      </c>
      <c r="P86"/>
      <c r="Q86"/>
      <c r="R86"/>
      <c r="S86"/>
      <c r="T86"/>
      <c r="U86"/>
      <c r="V86" s="498"/>
      <c r="W86"/>
      <c r="X86"/>
      <c r="Y86"/>
      <c r="Z86"/>
    </row>
    <row r="87" spans="6:26" ht="15">
      <c r="F87" s="305" t="s">
        <v>2508</v>
      </c>
      <c r="G87" s="516" t="s">
        <v>2495</v>
      </c>
      <c r="H87" s="512">
        <v>0</v>
      </c>
      <c r="I87" s="521"/>
      <c r="J87" s="513" t="str" cm="1">
        <f t="array" ref="J87:M87">_xlfn.TEXTSPLIT(F87,"_")</f>
        <v>Estar</v>
      </c>
      <c r="K87" s="513" t="str">
        <v>electric</v>
      </c>
      <c r="L87" s="513" t="str">
        <v>HZ3</v>
      </c>
      <c r="M87" s="513" t="str">
        <v>CZ3</v>
      </c>
      <c r="N87" s="515" cm="1">
        <f t="array" ref="N87">_xlfn.XLOOKUP(L87&amp;M87,Q$42:Q$53&amp;R$42:R$53,S$42:S$53,"")</f>
        <v>0</v>
      </c>
      <c r="O87" s="522">
        <f t="shared" si="13"/>
        <v>0</v>
      </c>
      <c r="P87"/>
      <c r="Q87"/>
      <c r="R87"/>
      <c r="S87"/>
      <c r="T87"/>
      <c r="U87"/>
      <c r="V87" s="498"/>
      <c r="W87"/>
      <c r="X87"/>
      <c r="Y87"/>
      <c r="Z87"/>
    </row>
    <row r="88" spans="6:26" ht="15">
      <c r="F88" s="305" t="s">
        <v>2500</v>
      </c>
      <c r="G88" s="516" t="s">
        <v>2162</v>
      </c>
      <c r="H88" s="512">
        <v>0</v>
      </c>
      <c r="I88" s="521"/>
      <c r="J88" s="513" t="str" cm="1">
        <f t="array" ref="J88:M88">_xlfn.TEXTSPLIT(F88,"_")</f>
        <v>Estar</v>
      </c>
      <c r="K88" s="513" t="str">
        <v>electric</v>
      </c>
      <c r="L88" s="513" t="str">
        <v>HZ1</v>
      </c>
      <c r="M88" s="513" t="str">
        <v>CZ1</v>
      </c>
      <c r="N88" s="515" cm="1">
        <f t="array" ref="N88">_xlfn.XLOOKUP(L88&amp;M88,Q$42:Q$53&amp;R$42:R$53,S$42:S$53,"")</f>
        <v>0.45294484697819271</v>
      </c>
      <c r="O88" s="522">
        <f t="shared" si="13"/>
        <v>0</v>
      </c>
      <c r="P88"/>
      <c r="Q88"/>
      <c r="R88"/>
      <c r="S88"/>
      <c r="T88"/>
      <c r="U88"/>
      <c r="V88" s="498"/>
      <c r="W88"/>
      <c r="X88"/>
      <c r="Y88"/>
      <c r="Z88"/>
    </row>
    <row r="89" spans="6:26" ht="15">
      <c r="F89" s="305" t="s">
        <v>2501</v>
      </c>
      <c r="G89" s="516" t="s">
        <v>2162</v>
      </c>
      <c r="H89" s="512">
        <v>0</v>
      </c>
      <c r="I89" s="521"/>
      <c r="J89" s="513" t="str" cm="1">
        <f t="array" ref="J89:M89">_xlfn.TEXTSPLIT(F89,"_")</f>
        <v>Estar</v>
      </c>
      <c r="K89" s="513" t="str">
        <v>electric</v>
      </c>
      <c r="L89" s="513" t="str">
        <v>HZ1</v>
      </c>
      <c r="M89" s="513" t="str">
        <v>CZ2</v>
      </c>
      <c r="N89" s="515" cm="1">
        <f t="array" ref="N89">_xlfn.XLOOKUP(L89&amp;M89,Q$42:Q$53&amp;R$42:R$53,S$42:S$53,"")</f>
        <v>7.8956835861426294E-2</v>
      </c>
      <c r="O89" s="522">
        <f t="shared" si="13"/>
        <v>0</v>
      </c>
      <c r="P89"/>
      <c r="Q89"/>
      <c r="R89"/>
      <c r="S89"/>
      <c r="T89"/>
      <c r="U89"/>
      <c r="V89" s="498"/>
      <c r="W89"/>
      <c r="X89"/>
      <c r="Y89"/>
      <c r="Z89"/>
    </row>
    <row r="90" spans="6:26" ht="15">
      <c r="F90" s="305" t="s">
        <v>2502</v>
      </c>
      <c r="G90" s="516" t="s">
        <v>2162</v>
      </c>
      <c r="H90" s="512">
        <v>0</v>
      </c>
      <c r="I90" s="521"/>
      <c r="J90" s="513" t="str" cm="1">
        <f t="array" ref="J90:M90">_xlfn.TEXTSPLIT(F90,"_")</f>
        <v>Estar</v>
      </c>
      <c r="K90" s="513" t="str">
        <v>electric</v>
      </c>
      <c r="L90" s="513" t="str">
        <v>HZ1</v>
      </c>
      <c r="M90" s="513" t="str">
        <v>CZ3</v>
      </c>
      <c r="N90" s="515" cm="1">
        <f t="array" ref="N90">_xlfn.XLOOKUP(L90&amp;M90,Q$42:Q$53&amp;R$42:R$53,S$42:S$53,"")</f>
        <v>0.1463675076946496</v>
      </c>
      <c r="O90" s="522">
        <f t="shared" si="13"/>
        <v>0</v>
      </c>
      <c r="P90"/>
      <c r="Q90"/>
      <c r="R90"/>
      <c r="S90"/>
      <c r="T90"/>
      <c r="U90"/>
      <c r="V90" s="498"/>
      <c r="W90"/>
      <c r="X90"/>
      <c r="Y90"/>
      <c r="Z90"/>
    </row>
    <row r="91" spans="6:26" ht="15">
      <c r="F91" s="305" t="s">
        <v>2503</v>
      </c>
      <c r="G91" s="516" t="s">
        <v>2162</v>
      </c>
      <c r="H91" s="512">
        <v>0</v>
      </c>
      <c r="I91" s="521"/>
      <c r="J91" s="513" t="str" cm="1">
        <f t="array" ref="J91:M91">_xlfn.TEXTSPLIT(F91,"_")</f>
        <v>Estar</v>
      </c>
      <c r="K91" s="513" t="str">
        <v>electric</v>
      </c>
      <c r="L91" s="513" t="str">
        <v>HZ2</v>
      </c>
      <c r="M91" s="513" t="str">
        <v>CZ1</v>
      </c>
      <c r="N91" s="515" cm="1">
        <f t="array" ref="N91">_xlfn.XLOOKUP(L91&amp;M91,Q$42:Q$53&amp;R$42:R$53,S$42:S$53,"")</f>
        <v>6.1531304581922616E-2</v>
      </c>
      <c r="O91" s="522">
        <f t="shared" si="13"/>
        <v>0</v>
      </c>
      <c r="P91"/>
      <c r="Q91"/>
      <c r="R91"/>
      <c r="S91"/>
      <c r="T91"/>
      <c r="U91"/>
      <c r="V91" s="498"/>
      <c r="W91"/>
      <c r="X91"/>
      <c r="Y91"/>
      <c r="Z91"/>
    </row>
    <row r="92" spans="6:26" ht="15">
      <c r="F92" s="305" t="s">
        <v>2504</v>
      </c>
      <c r="G92" s="516" t="s">
        <v>2162</v>
      </c>
      <c r="H92" s="512">
        <v>0</v>
      </c>
      <c r="I92" s="521"/>
      <c r="J92" s="513" t="str" cm="1">
        <f t="array" ref="J92:M92">_xlfn.TEXTSPLIT(F92,"_")</f>
        <v>Estar</v>
      </c>
      <c r="K92" s="513" t="str">
        <v>electric</v>
      </c>
      <c r="L92" s="513" t="str">
        <v>HZ2</v>
      </c>
      <c r="M92" s="513" t="str">
        <v>CZ2</v>
      </c>
      <c r="N92" s="515" cm="1">
        <f t="array" ref="N92">_xlfn.XLOOKUP(L92&amp;M92,Q$42:Q$53&amp;R$42:R$53,S$42:S$53,"")</f>
        <v>0.16921189725375199</v>
      </c>
      <c r="O92" s="522">
        <f t="shared" si="13"/>
        <v>0</v>
      </c>
      <c r="P92"/>
      <c r="Q92"/>
      <c r="R92"/>
      <c r="S92"/>
      <c r="T92"/>
      <c r="U92"/>
      <c r="V92" s="498"/>
      <c r="W92"/>
      <c r="X92"/>
      <c r="Y92"/>
      <c r="Z92"/>
    </row>
    <row r="93" spans="6:26" ht="15">
      <c r="F93" s="305" t="s">
        <v>2505</v>
      </c>
      <c r="G93" s="516" t="s">
        <v>2162</v>
      </c>
      <c r="H93" s="512">
        <v>0</v>
      </c>
      <c r="I93" s="521"/>
      <c r="J93" s="513" t="str" cm="1">
        <f t="array" ref="J93:M93">_xlfn.TEXTSPLIT(F93,"_")</f>
        <v>Estar</v>
      </c>
      <c r="K93" s="513" t="str">
        <v>electric</v>
      </c>
      <c r="L93" s="513" t="str">
        <v>HZ2</v>
      </c>
      <c r="M93" s="513" t="str">
        <v>CZ3</v>
      </c>
      <c r="N93" s="515" cm="1">
        <f t="array" ref="N93">_xlfn.XLOOKUP(L93&amp;M93,Q$42:Q$53&amp;R$42:R$53,S$42:S$53,"")</f>
        <v>6.2857610482636109E-3</v>
      </c>
      <c r="O93" s="522">
        <f t="shared" si="13"/>
        <v>0</v>
      </c>
      <c r="P93"/>
      <c r="Q93"/>
      <c r="R93"/>
      <c r="S93"/>
      <c r="T93"/>
      <c r="U93"/>
      <c r="V93" s="498"/>
      <c r="W93"/>
      <c r="X93"/>
      <c r="Y93"/>
      <c r="Z93"/>
    </row>
    <row r="94" spans="6:26" ht="15">
      <c r="F94" s="305" t="s">
        <v>2506</v>
      </c>
      <c r="G94" s="516" t="s">
        <v>2162</v>
      </c>
      <c r="H94" s="512">
        <v>0</v>
      </c>
      <c r="I94" s="521"/>
      <c r="J94" s="513" t="str" cm="1">
        <f t="array" ref="J94:M94">_xlfn.TEXTSPLIT(F94,"_")</f>
        <v>Estar</v>
      </c>
      <c r="K94" s="513" t="str">
        <v>electric</v>
      </c>
      <c r="L94" s="513" t="str">
        <v>HZ3</v>
      </c>
      <c r="M94" s="513" t="str">
        <v>CZ1</v>
      </c>
      <c r="N94" s="515" cm="1">
        <f t="array" ref="N94">_xlfn.XLOOKUP(L94&amp;M94,Q$42:Q$53&amp;R$42:R$53,S$42:S$53,"")</f>
        <v>7.6686505962010668E-2</v>
      </c>
      <c r="O94" s="522">
        <f t="shared" si="13"/>
        <v>0</v>
      </c>
      <c r="P94"/>
      <c r="Q94"/>
      <c r="R94"/>
      <c r="S94"/>
      <c r="T94"/>
      <c r="U94"/>
      <c r="V94" s="498"/>
      <c r="W94"/>
      <c r="X94"/>
      <c r="Y94"/>
      <c r="Z94"/>
    </row>
    <row r="95" spans="6:26" ht="15">
      <c r="F95" s="305" t="s">
        <v>2507</v>
      </c>
      <c r="G95" s="516" t="s">
        <v>2162</v>
      </c>
      <c r="H95" s="512">
        <v>0</v>
      </c>
      <c r="I95" s="521"/>
      <c r="J95" s="513" t="str" cm="1">
        <f t="array" ref="J95:M95">_xlfn.TEXTSPLIT(F95,"_")</f>
        <v>Estar</v>
      </c>
      <c r="K95" s="513" t="str">
        <v>electric</v>
      </c>
      <c r="L95" s="513" t="str">
        <v>HZ3</v>
      </c>
      <c r="M95" s="513" t="str">
        <v>CZ2</v>
      </c>
      <c r="N95" s="515" cm="1">
        <f t="array" ref="N95">_xlfn.XLOOKUP(L95&amp;M95,Q$42:Q$53&amp;R$42:R$53,S$42:S$53,"")</f>
        <v>8.0153406197824174E-3</v>
      </c>
      <c r="O95" s="522">
        <f t="shared" si="13"/>
        <v>0</v>
      </c>
      <c r="P95"/>
      <c r="Q95"/>
      <c r="R95"/>
      <c r="S95"/>
      <c r="T95"/>
      <c r="U95"/>
      <c r="V95" s="498"/>
      <c r="W95"/>
      <c r="X95"/>
      <c r="Y95"/>
      <c r="Z95"/>
    </row>
    <row r="96" spans="6:26" ht="15">
      <c r="F96" s="305" t="s">
        <v>2508</v>
      </c>
      <c r="G96" s="516" t="s">
        <v>2162</v>
      </c>
      <c r="H96" s="512">
        <v>0</v>
      </c>
      <c r="I96" s="521"/>
      <c r="J96" s="513" t="str" cm="1">
        <f t="array" ref="J96:M96">_xlfn.TEXTSPLIT(F96,"_")</f>
        <v>Estar</v>
      </c>
      <c r="K96" s="513" t="str">
        <v>electric</v>
      </c>
      <c r="L96" s="513" t="str">
        <v>HZ3</v>
      </c>
      <c r="M96" s="513" t="str">
        <v>CZ3</v>
      </c>
      <c r="N96" s="515" cm="1">
        <f t="array" ref="N96">_xlfn.XLOOKUP(L96&amp;M96,Q$42:Q$53&amp;R$42:R$53,S$42:S$53,"")</f>
        <v>0</v>
      </c>
      <c r="O96" s="522">
        <f t="shared" ref="O96:O150" si="15">H96*N96</f>
        <v>0</v>
      </c>
      <c r="P96"/>
      <c r="Q96"/>
      <c r="R96"/>
      <c r="S96"/>
      <c r="T96"/>
      <c r="U96"/>
      <c r="V96" s="498"/>
      <c r="W96"/>
      <c r="X96"/>
      <c r="Y96"/>
      <c r="Z96"/>
    </row>
    <row r="97" spans="6:26" ht="15">
      <c r="F97" s="305" t="s">
        <v>2500</v>
      </c>
      <c r="G97" s="516" t="s">
        <v>2496</v>
      </c>
      <c r="H97" s="512">
        <v>24.333333333333332</v>
      </c>
      <c r="I97" s="521"/>
      <c r="J97" s="513" t="str" cm="1">
        <f t="array" ref="J97:M97">_xlfn.TEXTSPLIT(F97,"_")</f>
        <v>Estar</v>
      </c>
      <c r="K97" s="513" t="str">
        <v>electric</v>
      </c>
      <c r="L97" s="513" t="str">
        <v>HZ1</v>
      </c>
      <c r="M97" s="513" t="str">
        <v>CZ1</v>
      </c>
      <c r="N97" s="515" cm="1">
        <f t="array" ref="N97">_xlfn.XLOOKUP(L97&amp;M97,Q$42:Q$53&amp;R$42:R$53,S$42:S$53,"")</f>
        <v>0.45294484697819271</v>
      </c>
      <c r="O97" s="522">
        <f t="shared" si="15"/>
        <v>11.021657943136022</v>
      </c>
      <c r="P97"/>
      <c r="Q97"/>
      <c r="R97"/>
      <c r="S97"/>
      <c r="T97"/>
      <c r="U97"/>
      <c r="V97" s="498"/>
      <c r="W97"/>
      <c r="X97"/>
      <c r="Y97"/>
      <c r="Z97"/>
    </row>
    <row r="98" spans="6:26" ht="15">
      <c r="F98" s="305" t="s">
        <v>2501</v>
      </c>
      <c r="G98" s="516" t="s">
        <v>2496</v>
      </c>
      <c r="H98" s="512">
        <v>24.333333333333332</v>
      </c>
      <c r="I98" s="521"/>
      <c r="J98" s="513" t="str" cm="1">
        <f t="array" ref="J98:M98">_xlfn.TEXTSPLIT(F98,"_")</f>
        <v>Estar</v>
      </c>
      <c r="K98" s="513" t="str">
        <v>electric</v>
      </c>
      <c r="L98" s="513" t="str">
        <v>HZ1</v>
      </c>
      <c r="M98" s="513" t="str">
        <v>CZ2</v>
      </c>
      <c r="N98" s="515" cm="1">
        <f t="array" ref="N98">_xlfn.XLOOKUP(L98&amp;M98,Q$42:Q$53&amp;R$42:R$53,S$42:S$53,"")</f>
        <v>7.8956835861426294E-2</v>
      </c>
      <c r="O98" s="522">
        <f t="shared" si="15"/>
        <v>1.921283005961373</v>
      </c>
      <c r="P98"/>
      <c r="Q98"/>
      <c r="R98"/>
      <c r="S98"/>
      <c r="T98"/>
      <c r="U98"/>
      <c r="V98" s="498"/>
      <c r="W98"/>
      <c r="X98"/>
      <c r="Y98"/>
      <c r="Z98"/>
    </row>
    <row r="99" spans="6:26" ht="15">
      <c r="F99" s="305" t="s">
        <v>2502</v>
      </c>
      <c r="G99" s="516" t="s">
        <v>2496</v>
      </c>
      <c r="H99" s="512">
        <v>24.333333333333332</v>
      </c>
      <c r="I99" s="521"/>
      <c r="J99" s="513" t="str" cm="1">
        <f t="array" ref="J99:M99">_xlfn.TEXTSPLIT(F99,"_")</f>
        <v>Estar</v>
      </c>
      <c r="K99" s="513" t="str">
        <v>electric</v>
      </c>
      <c r="L99" s="513" t="str">
        <v>HZ1</v>
      </c>
      <c r="M99" s="513" t="str">
        <v>CZ3</v>
      </c>
      <c r="N99" s="515" cm="1">
        <f t="array" ref="N99">_xlfn.XLOOKUP(L99&amp;M99,Q$42:Q$53&amp;R$42:R$53,S$42:S$53,"")</f>
        <v>0.1463675076946496</v>
      </c>
      <c r="O99" s="522">
        <f t="shared" si="15"/>
        <v>3.5616093539031399</v>
      </c>
      <c r="P99"/>
      <c r="Q99"/>
      <c r="R99"/>
      <c r="S99"/>
      <c r="T99"/>
      <c r="U99"/>
      <c r="V99" s="498"/>
      <c r="W99"/>
      <c r="X99"/>
      <c r="Y99"/>
      <c r="Z99"/>
    </row>
    <row r="100" spans="6:26" ht="15">
      <c r="F100" s="305" t="s">
        <v>2503</v>
      </c>
      <c r="G100" s="516" t="s">
        <v>2496</v>
      </c>
      <c r="H100" s="512">
        <v>24.333333333333332</v>
      </c>
      <c r="I100" s="521"/>
      <c r="J100" s="513" t="str" cm="1">
        <f t="array" ref="J100:M100">_xlfn.TEXTSPLIT(F100,"_")</f>
        <v>Estar</v>
      </c>
      <c r="K100" s="513" t="str">
        <v>electric</v>
      </c>
      <c r="L100" s="513" t="str">
        <v>HZ2</v>
      </c>
      <c r="M100" s="513" t="str">
        <v>CZ1</v>
      </c>
      <c r="N100" s="515" cm="1">
        <f t="array" ref="N100">_xlfn.XLOOKUP(L100&amp;M100,Q$42:Q$53&amp;R$42:R$53,S$42:S$53,"")</f>
        <v>6.1531304581922616E-2</v>
      </c>
      <c r="O100" s="522">
        <f t="shared" si="15"/>
        <v>1.4972617448267835</v>
      </c>
      <c r="P100"/>
      <c r="Q100"/>
      <c r="R100"/>
      <c r="S100"/>
      <c r="T100"/>
      <c r="U100"/>
      <c r="V100" s="498"/>
      <c r="W100"/>
      <c r="X100"/>
      <c r="Y100"/>
      <c r="Z100"/>
    </row>
    <row r="101" spans="6:26" ht="15">
      <c r="F101" s="305" t="s">
        <v>2504</v>
      </c>
      <c r="G101" s="516" t="s">
        <v>2496</v>
      </c>
      <c r="H101" s="512">
        <v>24.333333333333332</v>
      </c>
      <c r="I101" s="521"/>
      <c r="J101" s="513" t="str" cm="1">
        <f t="array" ref="J101:M101">_xlfn.TEXTSPLIT(F101,"_")</f>
        <v>Estar</v>
      </c>
      <c r="K101" s="513" t="str">
        <v>electric</v>
      </c>
      <c r="L101" s="513" t="str">
        <v>HZ2</v>
      </c>
      <c r="M101" s="513" t="str">
        <v>CZ2</v>
      </c>
      <c r="N101" s="515" cm="1">
        <f t="array" ref="N101">_xlfn.XLOOKUP(L101&amp;M101,Q$42:Q$53&amp;R$42:R$53,S$42:S$53,"")</f>
        <v>0.16921189725375199</v>
      </c>
      <c r="O101" s="522">
        <f t="shared" si="15"/>
        <v>4.1174894998412981</v>
      </c>
      <c r="P101"/>
      <c r="Q101"/>
      <c r="R101"/>
      <c r="S101"/>
      <c r="T101"/>
      <c r="U101"/>
      <c r="V101" s="498"/>
      <c r="W101"/>
      <c r="X101"/>
      <c r="Y101"/>
      <c r="Z101"/>
    </row>
    <row r="102" spans="6:26" ht="15">
      <c r="F102" s="305" t="s">
        <v>2505</v>
      </c>
      <c r="G102" s="516" t="s">
        <v>2496</v>
      </c>
      <c r="H102" s="512">
        <v>24.333333333333332</v>
      </c>
      <c r="I102" s="521"/>
      <c r="J102" s="513" t="str" cm="1">
        <f t="array" ref="J102:M102">_xlfn.TEXTSPLIT(F102,"_")</f>
        <v>Estar</v>
      </c>
      <c r="K102" s="513" t="str">
        <v>electric</v>
      </c>
      <c r="L102" s="513" t="str">
        <v>HZ2</v>
      </c>
      <c r="M102" s="513" t="str">
        <v>CZ3</v>
      </c>
      <c r="N102" s="515" cm="1">
        <f t="array" ref="N102">_xlfn.XLOOKUP(L102&amp;M102,Q$42:Q$53&amp;R$42:R$53,S$42:S$53,"")</f>
        <v>6.2857610482636109E-3</v>
      </c>
      <c r="O102" s="522">
        <f t="shared" si="15"/>
        <v>0.15295351884108119</v>
      </c>
      <c r="P102"/>
      <c r="Q102"/>
      <c r="R102"/>
      <c r="S102"/>
      <c r="T102"/>
      <c r="U102"/>
      <c r="V102" s="498"/>
      <c r="W102"/>
      <c r="X102"/>
      <c r="Y102"/>
      <c r="Z102"/>
    </row>
    <row r="103" spans="6:26" ht="15">
      <c r="F103" s="305" t="s">
        <v>2506</v>
      </c>
      <c r="G103" s="516" t="s">
        <v>2496</v>
      </c>
      <c r="H103" s="512">
        <v>24.333333333333332</v>
      </c>
      <c r="I103" s="521"/>
      <c r="J103" s="513" t="str" cm="1">
        <f t="array" ref="J103:M103">_xlfn.TEXTSPLIT(F103,"_")</f>
        <v>Estar</v>
      </c>
      <c r="K103" s="513" t="str">
        <v>electric</v>
      </c>
      <c r="L103" s="513" t="str">
        <v>HZ3</v>
      </c>
      <c r="M103" s="513" t="str">
        <v>CZ1</v>
      </c>
      <c r="N103" s="515" cm="1">
        <f t="array" ref="N103">_xlfn.XLOOKUP(L103&amp;M103,Q$42:Q$53&amp;R$42:R$53,S$42:S$53,"")</f>
        <v>7.6686505962010668E-2</v>
      </c>
      <c r="O103" s="522">
        <f t="shared" si="15"/>
        <v>1.8660383117422594</v>
      </c>
      <c r="P103"/>
      <c r="Q103"/>
      <c r="R103"/>
      <c r="S103"/>
      <c r="T103"/>
      <c r="U103"/>
      <c r="V103" s="498"/>
      <c r="W103"/>
      <c r="X103"/>
      <c r="Y103"/>
      <c r="Z103"/>
    </row>
    <row r="104" spans="6:26" ht="15">
      <c r="F104" s="305" t="s">
        <v>2507</v>
      </c>
      <c r="G104" s="516" t="s">
        <v>2496</v>
      </c>
      <c r="H104" s="512">
        <v>24.333333333333332</v>
      </c>
      <c r="I104" s="521"/>
      <c r="J104" s="513" t="str" cm="1">
        <f t="array" ref="J104:M104">_xlfn.TEXTSPLIT(F104,"_")</f>
        <v>Estar</v>
      </c>
      <c r="K104" s="513" t="str">
        <v>electric</v>
      </c>
      <c r="L104" s="513" t="str">
        <v>HZ3</v>
      </c>
      <c r="M104" s="513" t="str">
        <v>CZ2</v>
      </c>
      <c r="N104" s="515" cm="1">
        <f t="array" ref="N104">_xlfn.XLOOKUP(L104&amp;M104,Q$42:Q$53&amp;R$42:R$53,S$42:S$53,"")</f>
        <v>8.0153406197824174E-3</v>
      </c>
      <c r="O104" s="522">
        <f t="shared" si="15"/>
        <v>0.19503995508137215</v>
      </c>
      <c r="P104"/>
      <c r="Q104"/>
      <c r="R104"/>
      <c r="S104"/>
      <c r="T104"/>
      <c r="U104"/>
      <c r="V104" s="498"/>
      <c r="W104"/>
      <c r="X104"/>
      <c r="Y104"/>
      <c r="Z104"/>
    </row>
    <row r="105" spans="6:26" ht="15">
      <c r="F105" s="305" t="s">
        <v>2508</v>
      </c>
      <c r="G105" s="516" t="s">
        <v>2496</v>
      </c>
      <c r="H105" s="512">
        <v>24.333333333333332</v>
      </c>
      <c r="I105" s="521"/>
      <c r="J105" s="513" t="str" cm="1">
        <f t="array" ref="J105:M105">_xlfn.TEXTSPLIT(F105,"_")</f>
        <v>Estar</v>
      </c>
      <c r="K105" s="513" t="str">
        <v>electric</v>
      </c>
      <c r="L105" s="513" t="str">
        <v>HZ3</v>
      </c>
      <c r="M105" s="513" t="str">
        <v>CZ3</v>
      </c>
      <c r="N105" s="515" cm="1">
        <f t="array" ref="N105">_xlfn.XLOOKUP(L105&amp;M105,Q$42:Q$53&amp;R$42:R$53,S$42:S$53,"")</f>
        <v>0</v>
      </c>
      <c r="O105" s="522">
        <f t="shared" si="15"/>
        <v>0</v>
      </c>
      <c r="P105"/>
      <c r="Q105"/>
      <c r="R105"/>
      <c r="S105"/>
      <c r="T105"/>
      <c r="U105"/>
      <c r="V105" s="498"/>
      <c r="W105"/>
      <c r="X105"/>
      <c r="Y105"/>
      <c r="Z105"/>
    </row>
    <row r="106" spans="6:26" ht="15">
      <c r="F106" s="305" t="s">
        <v>2509</v>
      </c>
      <c r="G106" s="516" t="s">
        <v>530</v>
      </c>
      <c r="H106" s="512">
        <v>2384.1166444055998</v>
      </c>
      <c r="I106" s="521"/>
      <c r="J106" s="513" t="str" cm="1">
        <f t="array" ref="J106:M106">_xlfn.TEXTSPLIT(F106,"_")</f>
        <v>NEEM+PLUS</v>
      </c>
      <c r="K106" s="513" t="str">
        <v>electric</v>
      </c>
      <c r="L106" s="513" t="str">
        <v>HZ1</v>
      </c>
      <c r="M106" s="513" t="str">
        <v>CZ1</v>
      </c>
      <c r="N106" s="515" cm="1">
        <f t="array" ref="N106">_xlfn.XLOOKUP(L106&amp;M106,Q$42:Q$53&amp;R$42:R$53,S$42:S$53,"")</f>
        <v>0.45294484697819271</v>
      </c>
      <c r="O106" s="522">
        <f t="shared" si="15"/>
        <v>1079.8733486784568</v>
      </c>
      <c r="P106"/>
      <c r="Q106"/>
      <c r="R106"/>
      <c r="S106"/>
      <c r="T106"/>
      <c r="U106"/>
      <c r="V106" s="498"/>
      <c r="W106"/>
      <c r="X106"/>
      <c r="Y106"/>
      <c r="Z106"/>
    </row>
    <row r="107" spans="6:26" ht="15">
      <c r="F107" s="305" t="s">
        <v>2510</v>
      </c>
      <c r="G107" s="516" t="s">
        <v>530</v>
      </c>
      <c r="H107" s="512">
        <v>2384.1166444055998</v>
      </c>
      <c r="I107" s="521"/>
      <c r="J107" s="513" t="str" cm="1">
        <f t="array" ref="J107:M107">_xlfn.TEXTSPLIT(F107,"_")</f>
        <v>NEEM+PLUS</v>
      </c>
      <c r="K107" s="513" t="str">
        <v>electric</v>
      </c>
      <c r="L107" s="513" t="str">
        <v>HZ1</v>
      </c>
      <c r="M107" s="513" t="str">
        <v>CZ2</v>
      </c>
      <c r="N107" s="515" cm="1">
        <f t="array" ref="N107">_xlfn.XLOOKUP(L107&amp;M107,Q$42:Q$53&amp;R$42:R$53,S$42:S$53,"")</f>
        <v>7.8956835861426294E-2</v>
      </c>
      <c r="O107" s="522">
        <f t="shared" si="15"/>
        <v>188.24230656682738</v>
      </c>
      <c r="P107"/>
      <c r="Q107"/>
      <c r="R107"/>
      <c r="S107"/>
      <c r="T107"/>
      <c r="U107"/>
      <c r="V107" s="498"/>
      <c r="W107"/>
      <c r="X107"/>
      <c r="Y107"/>
      <c r="Z107"/>
    </row>
    <row r="108" spans="6:26" ht="15">
      <c r="F108" s="305" t="s">
        <v>2511</v>
      </c>
      <c r="G108" s="516" t="s">
        <v>530</v>
      </c>
      <c r="H108" s="512">
        <v>2384.1166444055998</v>
      </c>
      <c r="I108" s="521"/>
      <c r="J108" s="513" t="str" cm="1">
        <f t="array" ref="J108:M108">_xlfn.TEXTSPLIT(F108,"_")</f>
        <v>NEEM+PLUS</v>
      </c>
      <c r="K108" s="513" t="str">
        <v>electric</v>
      </c>
      <c r="L108" s="513" t="str">
        <v>HZ1</v>
      </c>
      <c r="M108" s="513" t="str">
        <v>CZ3</v>
      </c>
      <c r="N108" s="515" cm="1">
        <f t="array" ref="N108">_xlfn.XLOOKUP(L108&amp;M108,Q$42:Q$53&amp;R$42:R$53,S$42:S$53,"")</f>
        <v>0.1463675076946496</v>
      </c>
      <c r="O108" s="522">
        <f t="shared" si="15"/>
        <v>348.95721129497878</v>
      </c>
      <c r="P108"/>
      <c r="Q108"/>
      <c r="R108"/>
      <c r="S108"/>
      <c r="T108"/>
      <c r="U108"/>
      <c r="V108" s="498"/>
      <c r="W108"/>
      <c r="X108"/>
      <c r="Y108"/>
      <c r="Z108"/>
    </row>
    <row r="109" spans="6:26" ht="15">
      <c r="F109" s="305" t="s">
        <v>2512</v>
      </c>
      <c r="G109" s="516" t="s">
        <v>530</v>
      </c>
      <c r="H109" s="512">
        <v>3510.87060987</v>
      </c>
      <c r="I109" s="521"/>
      <c r="J109" s="513" t="str" cm="1">
        <f t="array" ref="J109:M109">_xlfn.TEXTSPLIT(F109,"_")</f>
        <v>NEEM+PLUS</v>
      </c>
      <c r="K109" s="513" t="str">
        <v>electric</v>
      </c>
      <c r="L109" s="513" t="str">
        <v>HZ2</v>
      </c>
      <c r="M109" s="513" t="str">
        <v>CZ1</v>
      </c>
      <c r="N109" s="515" cm="1">
        <f t="array" ref="N109">_xlfn.XLOOKUP(L109&amp;M109,Q$42:Q$53&amp;R$42:R$53,S$42:S$53,"")</f>
        <v>6.1531304581922616E-2</v>
      </c>
      <c r="O109" s="522">
        <f t="shared" si="15"/>
        <v>216.02844884363137</v>
      </c>
      <c r="P109"/>
      <c r="Q109"/>
      <c r="R109"/>
      <c r="S109"/>
      <c r="T109"/>
      <c r="U109"/>
      <c r="V109" s="498"/>
      <c r="W109"/>
      <c r="X109"/>
      <c r="Y109"/>
      <c r="Z109"/>
    </row>
    <row r="110" spans="6:26" ht="15">
      <c r="F110" s="305" t="s">
        <v>2513</v>
      </c>
      <c r="G110" s="516" t="s">
        <v>530</v>
      </c>
      <c r="H110" s="512">
        <v>3510.87060987</v>
      </c>
      <c r="I110" s="521"/>
      <c r="J110" s="513" t="str" cm="1">
        <f t="array" ref="J110:M110">_xlfn.TEXTSPLIT(F110,"_")</f>
        <v>NEEM+PLUS</v>
      </c>
      <c r="K110" s="513" t="str">
        <v>electric</v>
      </c>
      <c r="L110" s="513" t="str">
        <v>HZ2</v>
      </c>
      <c r="M110" s="513" t="str">
        <v>CZ2</v>
      </c>
      <c r="N110" s="515" cm="1">
        <f t="array" ref="N110">_xlfn.XLOOKUP(L110&amp;M110,Q$42:Q$53&amp;R$42:R$53,S$42:S$53,"")</f>
        <v>0.16921189725375199</v>
      </c>
      <c r="O110" s="522">
        <f t="shared" si="15"/>
        <v>594.08107690854001</v>
      </c>
      <c r="P110"/>
      <c r="Q110"/>
      <c r="R110"/>
      <c r="S110"/>
      <c r="T110"/>
      <c r="U110"/>
      <c r="V110" s="498"/>
      <c r="W110"/>
      <c r="X110"/>
      <c r="Y110"/>
      <c r="Z110"/>
    </row>
    <row r="111" spans="6:26" ht="15">
      <c r="F111" s="305" t="s">
        <v>2514</v>
      </c>
      <c r="G111" s="516" t="s">
        <v>530</v>
      </c>
      <c r="H111" s="512">
        <v>3510.87060987</v>
      </c>
      <c r="I111" s="521"/>
      <c r="J111" s="513" t="str" cm="1">
        <f t="array" ref="J111:M111">_xlfn.TEXTSPLIT(F111,"_")</f>
        <v>NEEM+PLUS</v>
      </c>
      <c r="K111" s="513" t="str">
        <v>electric</v>
      </c>
      <c r="L111" s="513" t="str">
        <v>HZ2</v>
      </c>
      <c r="M111" s="513" t="str">
        <v>CZ3</v>
      </c>
      <c r="N111" s="515" cm="1">
        <f t="array" ref="N111">_xlfn.XLOOKUP(L111&amp;M111,Q$42:Q$53&amp;R$42:R$53,S$42:S$53,"")</f>
        <v>6.2857610482636109E-3</v>
      </c>
      <c r="O111" s="522">
        <f t="shared" si="15"/>
        <v>22.068493725014353</v>
      </c>
      <c r="P111"/>
      <c r="Q111"/>
      <c r="R111"/>
      <c r="S111"/>
      <c r="T111"/>
      <c r="U111"/>
      <c r="V111" s="498"/>
      <c r="W111"/>
      <c r="X111"/>
      <c r="Y111"/>
      <c r="Z111"/>
    </row>
    <row r="112" spans="6:26" ht="15">
      <c r="F112" s="305" t="s">
        <v>2515</v>
      </c>
      <c r="G112" s="516" t="s">
        <v>530</v>
      </c>
      <c r="H112" s="512">
        <v>4457.0057990952</v>
      </c>
      <c r="I112" s="521"/>
      <c r="J112" s="513" t="str" cm="1">
        <f t="array" ref="J112:M112">_xlfn.TEXTSPLIT(F112,"_")</f>
        <v>NEEM+PLUS</v>
      </c>
      <c r="K112" s="513" t="str">
        <v>electric</v>
      </c>
      <c r="L112" s="513" t="str">
        <v>HZ3</v>
      </c>
      <c r="M112" s="513" t="str">
        <v>CZ1</v>
      </c>
      <c r="N112" s="515" cm="1">
        <f t="array" ref="N112">_xlfn.XLOOKUP(L112&amp;M112,Q$42:Q$53&amp;R$42:R$53,S$42:S$53,"")</f>
        <v>7.6686505962010668E-2</v>
      </c>
      <c r="O112" s="522">
        <f t="shared" si="15"/>
        <v>341.79220178503016</v>
      </c>
      <c r="P112"/>
      <c r="Q112"/>
      <c r="R112"/>
      <c r="S112"/>
      <c r="T112"/>
      <c r="U112"/>
      <c r="V112" s="498"/>
      <c r="W112"/>
      <c r="X112"/>
      <c r="Y112"/>
      <c r="Z112"/>
    </row>
    <row r="113" spans="6:26" ht="15">
      <c r="F113" s="305" t="s">
        <v>2516</v>
      </c>
      <c r="G113" s="516" t="s">
        <v>530</v>
      </c>
      <c r="H113" s="512">
        <v>4457.0057990952</v>
      </c>
      <c r="I113" s="521"/>
      <c r="J113" s="513" t="str" cm="1">
        <f t="array" ref="J113:M113">_xlfn.TEXTSPLIT(F113,"_")</f>
        <v>NEEM+PLUS</v>
      </c>
      <c r="K113" s="513" t="str">
        <v>electric</v>
      </c>
      <c r="L113" s="513" t="str">
        <v>HZ3</v>
      </c>
      <c r="M113" s="513" t="str">
        <v>CZ2</v>
      </c>
      <c r="N113" s="515" cm="1">
        <f t="array" ref="N113">_xlfn.XLOOKUP(L113&amp;M113,Q$42:Q$53&amp;R$42:R$53,S$42:S$53,"")</f>
        <v>8.0153406197824174E-3</v>
      </c>
      <c r="O113" s="522">
        <f t="shared" si="15"/>
        <v>35.724419624093549</v>
      </c>
      <c r="P113"/>
      <c r="Q113"/>
      <c r="R113"/>
      <c r="S113"/>
      <c r="T113"/>
      <c r="U113"/>
      <c r="V113" s="498"/>
      <c r="W113"/>
      <c r="X113"/>
      <c r="Y113"/>
      <c r="Z113"/>
    </row>
    <row r="114" spans="6:26" ht="15">
      <c r="F114" s="305" t="s">
        <v>2517</v>
      </c>
      <c r="G114" s="516" t="s">
        <v>530</v>
      </c>
      <c r="H114" s="512">
        <v>4457.0057990952</v>
      </c>
      <c r="I114" s="521"/>
      <c r="J114" s="513" t="str" cm="1">
        <f t="array" ref="J114:M114">_xlfn.TEXTSPLIT(F114,"_")</f>
        <v>NEEM+PLUS</v>
      </c>
      <c r="K114" s="513" t="str">
        <v>electric</v>
      </c>
      <c r="L114" s="513" t="str">
        <v>HZ3</v>
      </c>
      <c r="M114" s="513" t="str">
        <v>CZ3</v>
      </c>
      <c r="N114" s="515" cm="1">
        <f t="array" ref="N114">_xlfn.XLOOKUP(L114&amp;M114,Q$42:Q$53&amp;R$42:R$53,S$42:S$53,"")</f>
        <v>0</v>
      </c>
      <c r="O114" s="522">
        <f t="shared" si="15"/>
        <v>0</v>
      </c>
      <c r="P114"/>
      <c r="Q114"/>
      <c r="R114"/>
      <c r="S114"/>
      <c r="T114"/>
      <c r="U114"/>
      <c r="V114" s="498"/>
      <c r="W114"/>
      <c r="X114"/>
      <c r="Y114"/>
      <c r="Z114"/>
    </row>
    <row r="115" spans="6:26" ht="15">
      <c r="F115" s="305" t="s">
        <v>2509</v>
      </c>
      <c r="G115" s="516" t="s">
        <v>531</v>
      </c>
      <c r="H115" s="512">
        <v>1.9762493919999995</v>
      </c>
      <c r="I115" s="521"/>
      <c r="J115" s="513" t="str" cm="1">
        <f t="array" ref="J115:M115">_xlfn.TEXTSPLIT(F115,"_")</f>
        <v>NEEM+PLUS</v>
      </c>
      <c r="K115" s="513" t="str">
        <v>electric</v>
      </c>
      <c r="L115" s="513" t="str">
        <v>HZ1</v>
      </c>
      <c r="M115" s="513" t="str">
        <v>CZ1</v>
      </c>
      <c r="N115" s="515" cm="1">
        <f t="array" ref="N115">_xlfn.XLOOKUP(L115&amp;M115,Q$42:Q$53&amp;R$42:R$53,S$42:S$53,"")</f>
        <v>0.45294484697819271</v>
      </c>
      <c r="O115" s="522">
        <f t="shared" si="15"/>
        <v>0.89513197845018611</v>
      </c>
      <c r="P115"/>
      <c r="Q115"/>
      <c r="R115"/>
      <c r="S115"/>
      <c r="T115"/>
      <c r="U115"/>
      <c r="V115" s="498"/>
      <c r="W115"/>
      <c r="X115"/>
      <c r="Y115"/>
      <c r="Z115"/>
    </row>
    <row r="116" spans="6:26" ht="15">
      <c r="F116" s="305" t="s">
        <v>2510</v>
      </c>
      <c r="G116" s="516" t="s">
        <v>531</v>
      </c>
      <c r="H116" s="512">
        <v>4.4013498320000002</v>
      </c>
      <c r="I116" s="521"/>
      <c r="J116" s="513" t="str" cm="1">
        <f t="array" ref="J116:M116">_xlfn.TEXTSPLIT(F116,"_")</f>
        <v>NEEM+PLUS</v>
      </c>
      <c r="K116" s="513" t="str">
        <v>electric</v>
      </c>
      <c r="L116" s="513" t="str">
        <v>HZ1</v>
      </c>
      <c r="M116" s="513" t="str">
        <v>CZ2</v>
      </c>
      <c r="N116" s="515" cm="1">
        <f t="array" ref="N116">_xlfn.XLOOKUP(L116&amp;M116,Q$42:Q$53&amp;R$42:R$53,S$42:S$53,"")</f>
        <v>7.8956835861426294E-2</v>
      </c>
      <c r="O116" s="522">
        <f t="shared" si="15"/>
        <v>0.34751665625394024</v>
      </c>
      <c r="P116"/>
      <c r="Q116"/>
      <c r="R116"/>
      <c r="S116"/>
      <c r="T116"/>
      <c r="U116"/>
      <c r="V116" s="498"/>
      <c r="W116"/>
      <c r="X116"/>
      <c r="Y116"/>
      <c r="Z116"/>
    </row>
    <row r="117" spans="6:26" ht="15">
      <c r="F117" s="305" t="s">
        <v>2511</v>
      </c>
      <c r="G117" s="516" t="s">
        <v>531</v>
      </c>
      <c r="H117" s="512">
        <v>7.8803063599999978</v>
      </c>
      <c r="I117" s="521"/>
      <c r="J117" s="513" t="str" cm="1">
        <f t="array" ref="J117:M117">_xlfn.TEXTSPLIT(F117,"_")</f>
        <v>NEEM+PLUS</v>
      </c>
      <c r="K117" s="513" t="str">
        <v>electric</v>
      </c>
      <c r="L117" s="513" t="str">
        <v>HZ1</v>
      </c>
      <c r="M117" s="513" t="str">
        <v>CZ3</v>
      </c>
      <c r="N117" s="515" cm="1">
        <f t="array" ref="N117">_xlfn.XLOOKUP(L117&amp;M117,Q$42:Q$53&amp;R$42:R$53,S$42:S$53,"")</f>
        <v>0.1463675076946496</v>
      </c>
      <c r="O117" s="522">
        <f t="shared" si="15"/>
        <v>1.1534208017834959</v>
      </c>
      <c r="P117"/>
      <c r="Q117"/>
      <c r="R117"/>
      <c r="S117"/>
      <c r="T117"/>
      <c r="U117"/>
      <c r="V117" s="498"/>
      <c r="W117"/>
      <c r="X117"/>
      <c r="Y117"/>
      <c r="Z117"/>
    </row>
    <row r="118" spans="6:26" ht="15">
      <c r="F118" s="305" t="s">
        <v>2512</v>
      </c>
      <c r="G118" s="516" t="s">
        <v>531</v>
      </c>
      <c r="H118" s="512">
        <v>1.9803069520000003</v>
      </c>
      <c r="I118" s="521"/>
      <c r="J118" s="513" t="str" cm="1">
        <f t="array" ref="J118:M118">_xlfn.TEXTSPLIT(F118,"_")</f>
        <v>NEEM+PLUS</v>
      </c>
      <c r="K118" s="513" t="str">
        <v>electric</v>
      </c>
      <c r="L118" s="513" t="str">
        <v>HZ2</v>
      </c>
      <c r="M118" s="513" t="str">
        <v>CZ1</v>
      </c>
      <c r="N118" s="515" cm="1">
        <f t="array" ref="N118">_xlfn.XLOOKUP(L118&amp;M118,Q$42:Q$53&amp;R$42:R$53,S$42:S$53,"")</f>
        <v>6.1531304581922616E-2</v>
      </c>
      <c r="O118" s="522">
        <f t="shared" si="15"/>
        <v>0.12185087022921083</v>
      </c>
      <c r="P118"/>
      <c r="Q118"/>
      <c r="R118"/>
      <c r="S118"/>
      <c r="T118"/>
      <c r="U118"/>
      <c r="V118" s="498"/>
      <c r="W118"/>
      <c r="X118"/>
      <c r="Y118"/>
      <c r="Z118"/>
    </row>
    <row r="119" spans="6:26" ht="15">
      <c r="F119" s="305" t="s">
        <v>2513</v>
      </c>
      <c r="G119" s="516" t="s">
        <v>531</v>
      </c>
      <c r="H119" s="512">
        <v>4.4062788240000001</v>
      </c>
      <c r="I119" s="521"/>
      <c r="J119" s="513" t="str" cm="1">
        <f t="array" ref="J119:M119">_xlfn.TEXTSPLIT(F119,"_")</f>
        <v>NEEM+PLUS</v>
      </c>
      <c r="K119" s="513" t="str">
        <v>electric</v>
      </c>
      <c r="L119" s="513" t="str">
        <v>HZ2</v>
      </c>
      <c r="M119" s="513" t="str">
        <v>CZ2</v>
      </c>
      <c r="N119" s="515" cm="1">
        <f t="array" ref="N119">_xlfn.XLOOKUP(L119&amp;M119,Q$42:Q$53&amp;R$42:R$53,S$42:S$53,"")</f>
        <v>0.16921189725375199</v>
      </c>
      <c r="O119" s="522">
        <f t="shared" si="15"/>
        <v>0.74559479963807118</v>
      </c>
      <c r="P119"/>
      <c r="Q119"/>
      <c r="R119"/>
      <c r="S119"/>
      <c r="T119"/>
      <c r="U119"/>
      <c r="V119" s="498"/>
      <c r="W119"/>
      <c r="X119"/>
      <c r="Y119"/>
      <c r="Z119"/>
    </row>
    <row r="120" spans="6:26" ht="15">
      <c r="F120" s="305" t="s">
        <v>2514</v>
      </c>
      <c r="G120" s="516" t="s">
        <v>531</v>
      </c>
      <c r="H120" s="512">
        <v>7.8840541519999991</v>
      </c>
      <c r="I120" s="521"/>
      <c r="J120" s="513" t="str" cm="1">
        <f t="array" ref="J120:M120">_xlfn.TEXTSPLIT(F120,"_")</f>
        <v>NEEM+PLUS</v>
      </c>
      <c r="K120" s="513" t="str">
        <v>electric</v>
      </c>
      <c r="L120" s="513" t="str">
        <v>HZ2</v>
      </c>
      <c r="M120" s="513" t="str">
        <v>CZ3</v>
      </c>
      <c r="N120" s="515" cm="1">
        <f t="array" ref="N120">_xlfn.XLOOKUP(L120&amp;M120,Q$42:Q$53&amp;R$42:R$53,S$42:S$53,"")</f>
        <v>6.2857610482636109E-3</v>
      </c>
      <c r="O120" s="522">
        <f t="shared" si="15"/>
        <v>4.9557280491042591E-2</v>
      </c>
      <c r="P120"/>
      <c r="Q120"/>
      <c r="R120"/>
      <c r="S120"/>
      <c r="T120"/>
      <c r="U120"/>
      <c r="V120" s="498"/>
      <c r="W120"/>
      <c r="X120"/>
      <c r="Y120"/>
      <c r="Z120"/>
    </row>
    <row r="121" spans="6:26" ht="15">
      <c r="F121" s="305" t="s">
        <v>2515</v>
      </c>
      <c r="G121" s="516" t="s">
        <v>531</v>
      </c>
      <c r="H121" s="512">
        <v>1.9819013839999997</v>
      </c>
      <c r="I121" s="521"/>
      <c r="J121" s="513" t="str" cm="1">
        <f t="array" ref="J121:M121">_xlfn.TEXTSPLIT(F121,"_")</f>
        <v>NEEM+PLUS</v>
      </c>
      <c r="K121" s="513" t="str">
        <v>electric</v>
      </c>
      <c r="L121" s="513" t="str">
        <v>HZ3</v>
      </c>
      <c r="M121" s="513" t="str">
        <v>CZ1</v>
      </c>
      <c r="N121" s="515" cm="1">
        <f t="array" ref="N121">_xlfn.XLOOKUP(L121&amp;M121,Q$42:Q$53&amp;R$42:R$53,S$42:S$53,"")</f>
        <v>7.6686505962010668E-2</v>
      </c>
      <c r="O121" s="522">
        <f t="shared" si="15"/>
        <v>0.15198509230023316</v>
      </c>
      <c r="P121"/>
      <c r="Q121"/>
      <c r="R121"/>
      <c r="S121"/>
      <c r="T121"/>
      <c r="U121"/>
      <c r="V121" s="498"/>
      <c r="W121"/>
      <c r="X121"/>
      <c r="Y121"/>
      <c r="Z121"/>
    </row>
    <row r="122" spans="6:26" ht="15">
      <c r="F122" s="305" t="s">
        <v>2516</v>
      </c>
      <c r="G122" s="516" t="s">
        <v>531</v>
      </c>
      <c r="H122" s="512">
        <v>4.4076740079999999</v>
      </c>
      <c r="I122" s="521"/>
      <c r="J122" s="513" t="str" cm="1">
        <f t="array" ref="J122:M122">_xlfn.TEXTSPLIT(F122,"_")</f>
        <v>NEEM+PLUS</v>
      </c>
      <c r="K122" s="513" t="str">
        <v>electric</v>
      </c>
      <c r="L122" s="513" t="str">
        <v>HZ3</v>
      </c>
      <c r="M122" s="513" t="str">
        <v>CZ2</v>
      </c>
      <c r="N122" s="515" cm="1">
        <f t="array" ref="N122">_xlfn.XLOOKUP(L122&amp;M122,Q$42:Q$53&amp;R$42:R$53,S$42:S$53,"")</f>
        <v>8.0153406197824174E-3</v>
      </c>
      <c r="O122" s="522">
        <f t="shared" si="15"/>
        <v>3.532900851508157E-2</v>
      </c>
      <c r="P122"/>
      <c r="Q122"/>
      <c r="R122"/>
      <c r="S122"/>
      <c r="T122"/>
      <c r="U122"/>
      <c r="V122" s="498"/>
      <c r="W122"/>
      <c r="X122"/>
      <c r="Y122"/>
      <c r="Z122"/>
    </row>
    <row r="123" spans="6:26" ht="15">
      <c r="F123" s="305" t="s">
        <v>2517</v>
      </c>
      <c r="G123" s="516" t="s">
        <v>531</v>
      </c>
      <c r="H123" s="512">
        <v>7.8833002480000012</v>
      </c>
      <c r="I123" s="521"/>
      <c r="J123" s="513" t="str" cm="1">
        <f t="array" ref="J123:M123">_xlfn.TEXTSPLIT(F123,"_")</f>
        <v>NEEM+PLUS</v>
      </c>
      <c r="K123" s="513" t="str">
        <v>electric</v>
      </c>
      <c r="L123" s="513" t="str">
        <v>HZ3</v>
      </c>
      <c r="M123" s="513" t="str">
        <v>CZ3</v>
      </c>
      <c r="N123" s="515" cm="1">
        <f t="array" ref="N123">_xlfn.XLOOKUP(L123&amp;M123,Q$42:Q$53&amp;R$42:R$53,S$42:S$53,"")</f>
        <v>0</v>
      </c>
      <c r="O123" s="522">
        <f t="shared" si="15"/>
        <v>0</v>
      </c>
      <c r="P123"/>
      <c r="Q123"/>
      <c r="R123"/>
      <c r="S123"/>
      <c r="T123"/>
      <c r="U123"/>
      <c r="V123" s="498"/>
      <c r="W123"/>
      <c r="X123"/>
      <c r="Y123"/>
      <c r="Z123"/>
    </row>
    <row r="124" spans="6:26" ht="15">
      <c r="F124" s="305" t="s">
        <v>2509</v>
      </c>
      <c r="G124" s="516" t="s">
        <v>2495</v>
      </c>
      <c r="H124" s="512">
        <v>65.7</v>
      </c>
      <c r="I124" s="521"/>
      <c r="J124" s="513" t="str" cm="1">
        <f t="array" ref="J124:M124">_xlfn.TEXTSPLIT(F124,"_")</f>
        <v>NEEM+PLUS</v>
      </c>
      <c r="K124" s="513" t="str">
        <v>electric</v>
      </c>
      <c r="L124" s="513" t="str">
        <v>HZ1</v>
      </c>
      <c r="M124" s="513" t="str">
        <v>CZ1</v>
      </c>
      <c r="N124" s="515" cm="1">
        <f t="array" ref="N124">_xlfn.XLOOKUP(L124&amp;M124,Q$42:Q$53&amp;R$42:R$53,S$42:S$53,"")</f>
        <v>0.45294484697819271</v>
      </c>
      <c r="O124" s="522">
        <f t="shared" si="15"/>
        <v>29.758476446467263</v>
      </c>
      <c r="P124"/>
      <c r="Q124"/>
      <c r="R124"/>
      <c r="S124"/>
      <c r="T124"/>
      <c r="U124"/>
      <c r="V124" s="498"/>
      <c r="W124"/>
      <c r="X124"/>
      <c r="Y124"/>
      <c r="Z124"/>
    </row>
    <row r="125" spans="6:26" ht="15">
      <c r="F125" s="305" t="s">
        <v>2510</v>
      </c>
      <c r="G125" s="516" t="s">
        <v>2495</v>
      </c>
      <c r="H125" s="512">
        <v>65.7</v>
      </c>
      <c r="I125" s="521"/>
      <c r="J125" s="513" t="str" cm="1">
        <f t="array" ref="J125:M125">_xlfn.TEXTSPLIT(F125,"_")</f>
        <v>NEEM+PLUS</v>
      </c>
      <c r="K125" s="513" t="str">
        <v>electric</v>
      </c>
      <c r="L125" s="513" t="str">
        <v>HZ1</v>
      </c>
      <c r="M125" s="513" t="str">
        <v>CZ2</v>
      </c>
      <c r="N125" s="515" cm="1">
        <f t="array" ref="N125">_xlfn.XLOOKUP(L125&amp;M125,Q$42:Q$53&amp;R$42:R$53,S$42:S$53,"")</f>
        <v>7.8956835861426294E-2</v>
      </c>
      <c r="O125" s="522">
        <f t="shared" si="15"/>
        <v>5.1874641160957076</v>
      </c>
      <c r="P125"/>
      <c r="Q125"/>
      <c r="R125"/>
      <c r="S125"/>
      <c r="T125"/>
      <c r="U125"/>
      <c r="V125" s="498"/>
      <c r="W125"/>
      <c r="X125"/>
      <c r="Y125"/>
      <c r="Z125"/>
    </row>
    <row r="126" spans="6:26" ht="15">
      <c r="F126" s="305" t="s">
        <v>2511</v>
      </c>
      <c r="G126" s="516" t="s">
        <v>2495</v>
      </c>
      <c r="H126" s="512">
        <v>65.7</v>
      </c>
      <c r="I126" s="521"/>
      <c r="J126" s="513" t="str" cm="1">
        <f t="array" ref="J126:M126">_xlfn.TEXTSPLIT(F126,"_")</f>
        <v>NEEM+PLUS</v>
      </c>
      <c r="K126" s="513" t="str">
        <v>electric</v>
      </c>
      <c r="L126" s="513" t="str">
        <v>HZ1</v>
      </c>
      <c r="M126" s="513" t="str">
        <v>CZ3</v>
      </c>
      <c r="N126" s="515" cm="1">
        <f t="array" ref="N126">_xlfn.XLOOKUP(L126&amp;M126,Q$42:Q$53&amp;R$42:R$53,S$42:S$53,"")</f>
        <v>0.1463675076946496</v>
      </c>
      <c r="O126" s="522">
        <f t="shared" si="15"/>
        <v>9.6163452555384783</v>
      </c>
      <c r="P126"/>
      <c r="Q126"/>
      <c r="R126"/>
      <c r="S126"/>
      <c r="T126"/>
      <c r="U126"/>
      <c r="V126" s="498"/>
      <c r="W126"/>
      <c r="X126"/>
      <c r="Y126"/>
      <c r="Z126"/>
    </row>
    <row r="127" spans="6:26" ht="15">
      <c r="F127" s="305" t="s">
        <v>2512</v>
      </c>
      <c r="G127" s="516" t="s">
        <v>2495</v>
      </c>
      <c r="H127" s="512">
        <v>65.7</v>
      </c>
      <c r="I127" s="521"/>
      <c r="J127" s="513" t="str" cm="1">
        <f t="array" ref="J127:M127">_xlfn.TEXTSPLIT(F127,"_")</f>
        <v>NEEM+PLUS</v>
      </c>
      <c r="K127" s="513" t="str">
        <v>electric</v>
      </c>
      <c r="L127" s="513" t="str">
        <v>HZ2</v>
      </c>
      <c r="M127" s="513" t="str">
        <v>CZ1</v>
      </c>
      <c r="N127" s="515" cm="1">
        <f t="array" ref="N127">_xlfn.XLOOKUP(L127&amp;M127,Q$42:Q$53&amp;R$42:R$53,S$42:S$53,"")</f>
        <v>6.1531304581922616E-2</v>
      </c>
      <c r="O127" s="522">
        <f t="shared" si="15"/>
        <v>4.0426067110323158</v>
      </c>
      <c r="P127"/>
      <c r="Q127"/>
      <c r="R127"/>
      <c r="S127"/>
      <c r="T127"/>
      <c r="U127"/>
      <c r="V127" s="498"/>
      <c r="W127"/>
      <c r="X127"/>
      <c r="Y127"/>
      <c r="Z127"/>
    </row>
    <row r="128" spans="6:26" ht="15">
      <c r="F128" s="305" t="s">
        <v>2513</v>
      </c>
      <c r="G128" s="516" t="s">
        <v>2495</v>
      </c>
      <c r="H128" s="512">
        <v>65.7</v>
      </c>
      <c r="I128" s="521"/>
      <c r="J128" s="513" t="str" cm="1">
        <f t="array" ref="J128:M128">_xlfn.TEXTSPLIT(F128,"_")</f>
        <v>NEEM+PLUS</v>
      </c>
      <c r="K128" s="513" t="str">
        <v>electric</v>
      </c>
      <c r="L128" s="513" t="str">
        <v>HZ2</v>
      </c>
      <c r="M128" s="513" t="str">
        <v>CZ2</v>
      </c>
      <c r="N128" s="515" cm="1">
        <f t="array" ref="N128">_xlfn.XLOOKUP(L128&amp;M128,Q$42:Q$53&amp;R$42:R$53,S$42:S$53,"")</f>
        <v>0.16921189725375199</v>
      </c>
      <c r="O128" s="522">
        <f t="shared" si="15"/>
        <v>11.117221649571507</v>
      </c>
      <c r="P128"/>
      <c r="Q128"/>
      <c r="R128"/>
      <c r="S128"/>
      <c r="T128"/>
      <c r="U128"/>
      <c r="V128" s="498"/>
      <c r="W128"/>
      <c r="X128"/>
      <c r="Y128"/>
      <c r="Z128"/>
    </row>
    <row r="129" spans="6:26" ht="15">
      <c r="F129" s="305" t="s">
        <v>2514</v>
      </c>
      <c r="G129" s="516" t="s">
        <v>2495</v>
      </c>
      <c r="H129" s="512">
        <v>65.7</v>
      </c>
      <c r="I129" s="521"/>
      <c r="J129" s="513" t="str" cm="1">
        <f t="array" ref="J129:M129">_xlfn.TEXTSPLIT(F129,"_")</f>
        <v>NEEM+PLUS</v>
      </c>
      <c r="K129" s="513" t="str">
        <v>electric</v>
      </c>
      <c r="L129" s="513" t="str">
        <v>HZ2</v>
      </c>
      <c r="M129" s="513" t="str">
        <v>CZ3</v>
      </c>
      <c r="N129" s="515" cm="1">
        <f t="array" ref="N129">_xlfn.XLOOKUP(L129&amp;M129,Q$42:Q$53&amp;R$42:R$53,S$42:S$53,"")</f>
        <v>6.2857610482636109E-3</v>
      </c>
      <c r="O129" s="522">
        <f t="shared" si="15"/>
        <v>0.41297450087091925</v>
      </c>
      <c r="P129"/>
      <c r="Q129"/>
      <c r="R129"/>
      <c r="S129"/>
      <c r="T129"/>
      <c r="U129"/>
      <c r="V129" s="498"/>
      <c r="W129"/>
      <c r="X129"/>
      <c r="Y129"/>
      <c r="Z129"/>
    </row>
    <row r="130" spans="6:26" ht="15">
      <c r="F130" s="305" t="s">
        <v>2515</v>
      </c>
      <c r="G130" s="516" t="s">
        <v>2495</v>
      </c>
      <c r="H130" s="512">
        <v>65.7</v>
      </c>
      <c r="I130" s="521"/>
      <c r="J130" s="513" t="str" cm="1">
        <f t="array" ref="J130:M130">_xlfn.TEXTSPLIT(F130,"_")</f>
        <v>NEEM+PLUS</v>
      </c>
      <c r="K130" s="513" t="str">
        <v>electric</v>
      </c>
      <c r="L130" s="513" t="str">
        <v>HZ3</v>
      </c>
      <c r="M130" s="513" t="str">
        <v>CZ1</v>
      </c>
      <c r="N130" s="515" cm="1">
        <f t="array" ref="N130">_xlfn.XLOOKUP(L130&amp;M130,Q$42:Q$53&amp;R$42:R$53,S$42:S$53,"")</f>
        <v>7.6686505962010668E-2</v>
      </c>
      <c r="O130" s="522">
        <f t="shared" si="15"/>
        <v>5.0383034417041008</v>
      </c>
      <c r="P130"/>
      <c r="Q130"/>
      <c r="R130"/>
      <c r="S130"/>
      <c r="T130"/>
      <c r="U130"/>
      <c r="V130" s="498"/>
      <c r="W130"/>
      <c r="X130"/>
      <c r="Y130"/>
      <c r="Z130"/>
    </row>
    <row r="131" spans="6:26" ht="15">
      <c r="F131" s="305" t="s">
        <v>2516</v>
      </c>
      <c r="G131" s="516" t="s">
        <v>2495</v>
      </c>
      <c r="H131" s="512">
        <v>65.7</v>
      </c>
      <c r="I131" s="521"/>
      <c r="J131" s="513" t="str" cm="1">
        <f t="array" ref="J131:M131">_xlfn.TEXTSPLIT(F131,"_")</f>
        <v>NEEM+PLUS</v>
      </c>
      <c r="K131" s="513" t="str">
        <v>electric</v>
      </c>
      <c r="L131" s="513" t="str">
        <v>HZ3</v>
      </c>
      <c r="M131" s="513" t="str">
        <v>CZ2</v>
      </c>
      <c r="N131" s="515" cm="1">
        <f t="array" ref="N131">_xlfn.XLOOKUP(L131&amp;M131,Q$42:Q$53&amp;R$42:R$53,S$42:S$53,"")</f>
        <v>8.0153406197824174E-3</v>
      </c>
      <c r="O131" s="522">
        <f t="shared" si="15"/>
        <v>0.52660787871970482</v>
      </c>
      <c r="P131"/>
      <c r="Q131"/>
      <c r="R131"/>
      <c r="S131"/>
      <c r="T131"/>
      <c r="U131"/>
      <c r="V131" s="498"/>
      <c r="W131"/>
      <c r="X131"/>
      <c r="Y131"/>
      <c r="Z131"/>
    </row>
    <row r="132" spans="6:26" ht="15">
      <c r="F132" s="305" t="s">
        <v>2517</v>
      </c>
      <c r="G132" s="516" t="s">
        <v>2495</v>
      </c>
      <c r="H132" s="512">
        <v>65.7</v>
      </c>
      <c r="I132" s="521"/>
      <c r="J132" s="513" t="str" cm="1">
        <f t="array" ref="J132:M132">_xlfn.TEXTSPLIT(F132,"_")</f>
        <v>NEEM+PLUS</v>
      </c>
      <c r="K132" s="513" t="str">
        <v>electric</v>
      </c>
      <c r="L132" s="513" t="str">
        <v>HZ3</v>
      </c>
      <c r="M132" s="513" t="str">
        <v>CZ3</v>
      </c>
      <c r="N132" s="515" cm="1">
        <f t="array" ref="N132">_xlfn.XLOOKUP(L132&amp;M132,Q$42:Q$53&amp;R$42:R$53,S$42:S$53,"")</f>
        <v>0</v>
      </c>
      <c r="O132" s="522">
        <f t="shared" si="15"/>
        <v>0</v>
      </c>
      <c r="P132"/>
      <c r="Q132"/>
      <c r="R132"/>
      <c r="S132"/>
      <c r="T132"/>
      <c r="U132"/>
      <c r="V132" s="498"/>
      <c r="W132"/>
      <c r="X132"/>
      <c r="Y132"/>
      <c r="Z132"/>
    </row>
    <row r="133" spans="6:26" ht="15">
      <c r="F133" s="305" t="s">
        <v>2509</v>
      </c>
      <c r="G133" s="516" t="s">
        <v>2162</v>
      </c>
      <c r="H133" s="512">
        <v>130.36402739576158</v>
      </c>
      <c r="I133" s="521"/>
      <c r="J133" s="513" t="str" cm="1">
        <f t="array" ref="J133:M133">_xlfn.TEXTSPLIT(F133,"_")</f>
        <v>NEEM+PLUS</v>
      </c>
      <c r="K133" s="513" t="str">
        <v>electric</v>
      </c>
      <c r="L133" s="513" t="str">
        <v>HZ1</v>
      </c>
      <c r="M133" s="513" t="str">
        <v>CZ1</v>
      </c>
      <c r="N133" s="515" cm="1">
        <f t="array" ref="N133">_xlfn.XLOOKUP(L133&amp;M133,Q$42:Q$53&amp;R$42:R$53,S$42:S$53,"")</f>
        <v>0.45294484697819271</v>
      </c>
      <c r="O133" s="522">
        <f t="shared" si="15"/>
        <v>59.047714440234152</v>
      </c>
      <c r="P133"/>
      <c r="Q133"/>
      <c r="R133"/>
      <c r="S133"/>
      <c r="T133"/>
      <c r="U133"/>
      <c r="V133" s="498"/>
      <c r="W133"/>
      <c r="X133"/>
      <c r="Y133"/>
      <c r="Z133"/>
    </row>
    <row r="134" spans="6:26" ht="15">
      <c r="F134" s="305" t="s">
        <v>2510</v>
      </c>
      <c r="G134" s="516" t="s">
        <v>2162</v>
      </c>
      <c r="H134" s="512">
        <v>130.36402739576158</v>
      </c>
      <c r="I134" s="521"/>
      <c r="J134" s="513" t="str" cm="1">
        <f t="array" ref="J134:M134">_xlfn.TEXTSPLIT(F134,"_")</f>
        <v>NEEM+PLUS</v>
      </c>
      <c r="K134" s="513" t="str">
        <v>electric</v>
      </c>
      <c r="L134" s="513" t="str">
        <v>HZ1</v>
      </c>
      <c r="M134" s="513" t="str">
        <v>CZ2</v>
      </c>
      <c r="N134" s="515" cm="1">
        <f t="array" ref="N134">_xlfn.XLOOKUP(L134&amp;M134,Q$42:Q$53&amp;R$42:R$53,S$42:S$53,"")</f>
        <v>7.8956835861426294E-2</v>
      </c>
      <c r="O134" s="522">
        <f t="shared" si="15"/>
        <v>10.293131113321628</v>
      </c>
      <c r="P134"/>
      <c r="Q134"/>
      <c r="R134"/>
      <c r="S134"/>
      <c r="T134"/>
      <c r="U134"/>
      <c r="V134" s="498"/>
      <c r="W134"/>
      <c r="X134"/>
      <c r="Y134"/>
      <c r="Z134"/>
    </row>
    <row r="135" spans="6:26" ht="15">
      <c r="F135" s="305" t="s">
        <v>2511</v>
      </c>
      <c r="G135" s="516" t="s">
        <v>2162</v>
      </c>
      <c r="H135" s="512">
        <v>130.36402739576158</v>
      </c>
      <c r="I135" s="521"/>
      <c r="J135" s="513" t="str" cm="1">
        <f t="array" ref="J135:M135">_xlfn.TEXTSPLIT(F135,"_")</f>
        <v>NEEM+PLUS</v>
      </c>
      <c r="K135" s="513" t="str">
        <v>electric</v>
      </c>
      <c r="L135" s="513" t="str">
        <v>HZ1</v>
      </c>
      <c r="M135" s="513" t="str">
        <v>CZ3</v>
      </c>
      <c r="N135" s="515" cm="1">
        <f t="array" ref="N135">_xlfn.XLOOKUP(L135&amp;M135,Q$42:Q$53&amp;R$42:R$53,S$42:S$53,"")</f>
        <v>0.1463675076946496</v>
      </c>
      <c r="O135" s="522">
        <f t="shared" si="15"/>
        <v>19.081057782954645</v>
      </c>
      <c r="P135"/>
      <c r="Q135"/>
      <c r="R135"/>
      <c r="S135"/>
      <c r="T135"/>
      <c r="U135"/>
      <c r="V135" s="498"/>
      <c r="W135"/>
      <c r="X135"/>
      <c r="Y135"/>
      <c r="Z135"/>
    </row>
    <row r="136" spans="6:26" ht="15">
      <c r="F136" s="305" t="s">
        <v>2512</v>
      </c>
      <c r="G136" s="516" t="s">
        <v>2162</v>
      </c>
      <c r="H136" s="512">
        <v>130.36402739576158</v>
      </c>
      <c r="I136" s="521"/>
      <c r="J136" s="513" t="str" cm="1">
        <f t="array" ref="J136:M136">_xlfn.TEXTSPLIT(F136,"_")</f>
        <v>NEEM+PLUS</v>
      </c>
      <c r="K136" s="513" t="str">
        <v>electric</v>
      </c>
      <c r="L136" s="513" t="str">
        <v>HZ2</v>
      </c>
      <c r="M136" s="513" t="str">
        <v>CZ1</v>
      </c>
      <c r="N136" s="515" cm="1">
        <f t="array" ref="N136">_xlfn.XLOOKUP(L136&amp;M136,Q$42:Q$53&amp;R$42:R$53,S$42:S$53,"")</f>
        <v>6.1531304581922616E-2</v>
      </c>
      <c r="O136" s="522">
        <f t="shared" si="15"/>
        <v>8.0214686762147096</v>
      </c>
      <c r="P136"/>
      <c r="Q136"/>
      <c r="R136"/>
      <c r="S136"/>
      <c r="T136"/>
      <c r="U136"/>
      <c r="V136" s="498"/>
      <c r="W136"/>
      <c r="X136"/>
      <c r="Y136"/>
      <c r="Z136"/>
    </row>
    <row r="137" spans="6:26" ht="15">
      <c r="F137" s="305" t="s">
        <v>2513</v>
      </c>
      <c r="G137" s="516" t="s">
        <v>2162</v>
      </c>
      <c r="H137" s="512">
        <v>130.36402739576158</v>
      </c>
      <c r="I137" s="521"/>
      <c r="J137" s="513" t="str" cm="1">
        <f t="array" ref="J137:M137">_xlfn.TEXTSPLIT(F137,"_")</f>
        <v>NEEM+PLUS</v>
      </c>
      <c r="K137" s="513" t="str">
        <v>electric</v>
      </c>
      <c r="L137" s="513" t="str">
        <v>HZ2</v>
      </c>
      <c r="M137" s="513" t="str">
        <v>CZ2</v>
      </c>
      <c r="N137" s="515" cm="1">
        <f t="array" ref="N137">_xlfn.XLOOKUP(L137&amp;M137,Q$42:Q$53&amp;R$42:R$53,S$42:S$53,"")</f>
        <v>0.16921189725375199</v>
      </c>
      <c r="O137" s="522">
        <f t="shared" si="15"/>
        <v>22.059144409276918</v>
      </c>
      <c r="P137"/>
      <c r="Q137"/>
      <c r="R137"/>
      <c r="S137"/>
      <c r="T137"/>
      <c r="U137"/>
      <c r="V137" s="498"/>
      <c r="W137"/>
      <c r="X137"/>
      <c r="Y137"/>
      <c r="Z137"/>
    </row>
    <row r="138" spans="6:26" ht="15">
      <c r="F138" s="305" t="s">
        <v>2514</v>
      </c>
      <c r="G138" s="516" t="s">
        <v>2162</v>
      </c>
      <c r="H138" s="512">
        <v>130.36402739576158</v>
      </c>
      <c r="I138" s="521"/>
      <c r="J138" s="513" t="str" cm="1">
        <f t="array" ref="J138:M138">_xlfn.TEXTSPLIT(F138,"_")</f>
        <v>NEEM+PLUS</v>
      </c>
      <c r="K138" s="513" t="str">
        <v>electric</v>
      </c>
      <c r="L138" s="513" t="str">
        <v>HZ2</v>
      </c>
      <c r="M138" s="513" t="str">
        <v>CZ3</v>
      </c>
      <c r="N138" s="515" cm="1">
        <f t="array" ref="N138">_xlfn.XLOOKUP(L138&amp;M138,Q$42:Q$53&amp;R$42:R$53,S$42:S$53,"")</f>
        <v>6.2857610482636109E-3</v>
      </c>
      <c r="O138" s="522">
        <f t="shared" si="15"/>
        <v>0.81943712549904846</v>
      </c>
      <c r="P138"/>
      <c r="Q138"/>
      <c r="R138"/>
      <c r="S138"/>
      <c r="T138"/>
      <c r="U138"/>
      <c r="V138" s="498"/>
      <c r="W138"/>
      <c r="X138"/>
      <c r="Y138"/>
      <c r="Z138"/>
    </row>
    <row r="139" spans="6:26" ht="15">
      <c r="F139" s="305" t="s">
        <v>2515</v>
      </c>
      <c r="G139" s="516" t="s">
        <v>2162</v>
      </c>
      <c r="H139" s="512">
        <v>130.36402739576158</v>
      </c>
      <c r="I139" s="521"/>
      <c r="J139" s="513" t="str" cm="1">
        <f t="array" ref="J139:M139">_xlfn.TEXTSPLIT(F139,"_")</f>
        <v>NEEM+PLUS</v>
      </c>
      <c r="K139" s="513" t="str">
        <v>electric</v>
      </c>
      <c r="L139" s="513" t="str">
        <v>HZ3</v>
      </c>
      <c r="M139" s="513" t="str">
        <v>CZ1</v>
      </c>
      <c r="N139" s="515" cm="1">
        <f t="array" ref="N139">_xlfn.XLOOKUP(L139&amp;M139,Q$42:Q$53&amp;R$42:R$53,S$42:S$53,"")</f>
        <v>7.6686505962010668E-2</v>
      </c>
      <c r="O139" s="522">
        <f t="shared" si="15"/>
        <v>9.9971617641167931</v>
      </c>
      <c r="P139"/>
      <c r="Q139"/>
      <c r="R139"/>
      <c r="S139"/>
      <c r="T139"/>
      <c r="U139"/>
      <c r="V139" s="498"/>
      <c r="W139"/>
      <c r="X139"/>
      <c r="Y139"/>
      <c r="Z139"/>
    </row>
    <row r="140" spans="6:26" ht="15">
      <c r="F140" s="305" t="s">
        <v>2516</v>
      </c>
      <c r="G140" s="516" t="s">
        <v>2162</v>
      </c>
      <c r="H140" s="512">
        <v>130.36402739576158</v>
      </c>
      <c r="I140" s="521"/>
      <c r="J140" s="513" t="str" cm="1">
        <f t="array" ref="J140:M140">_xlfn.TEXTSPLIT(F140,"_")</f>
        <v>NEEM+PLUS</v>
      </c>
      <c r="K140" s="513" t="str">
        <v>electric</v>
      </c>
      <c r="L140" s="513" t="str">
        <v>HZ3</v>
      </c>
      <c r="M140" s="513" t="str">
        <v>CZ2</v>
      </c>
      <c r="N140" s="515" cm="1">
        <f t="array" ref="N140">_xlfn.XLOOKUP(L140&amp;M140,Q$42:Q$53&amp;R$42:R$53,S$42:S$53,"")</f>
        <v>8.0153406197824174E-3</v>
      </c>
      <c r="O140" s="522">
        <f t="shared" si="15"/>
        <v>1.0449120841436756</v>
      </c>
      <c r="P140"/>
      <c r="Q140"/>
      <c r="R140"/>
      <c r="S140"/>
      <c r="T140"/>
      <c r="U140"/>
      <c r="V140" s="498"/>
      <c r="W140"/>
      <c r="X140"/>
      <c r="Y140"/>
      <c r="Z140"/>
    </row>
    <row r="141" spans="6:26" ht="15">
      <c r="F141" s="305" t="s">
        <v>2517</v>
      </c>
      <c r="G141" s="516" t="s">
        <v>2162</v>
      </c>
      <c r="H141" s="512">
        <v>130.36402739576158</v>
      </c>
      <c r="I141" s="521"/>
      <c r="J141" s="513" t="str" cm="1">
        <f t="array" ref="J141:M141">_xlfn.TEXTSPLIT(F141,"_")</f>
        <v>NEEM+PLUS</v>
      </c>
      <c r="K141" s="513" t="str">
        <v>electric</v>
      </c>
      <c r="L141" s="513" t="str">
        <v>HZ3</v>
      </c>
      <c r="M141" s="513" t="str">
        <v>CZ3</v>
      </c>
      <c r="N141" s="515" cm="1">
        <f t="array" ref="N141">_xlfn.XLOOKUP(L141&amp;M141,Q$42:Q$53&amp;R$42:R$53,S$42:S$53,"")</f>
        <v>0</v>
      </c>
      <c r="O141" s="522">
        <f t="shared" si="15"/>
        <v>0</v>
      </c>
      <c r="P141"/>
      <c r="Q141"/>
      <c r="R141"/>
      <c r="S141"/>
      <c r="T141"/>
      <c r="U141"/>
      <c r="V141" s="498"/>
      <c r="W141"/>
      <c r="X141"/>
      <c r="Y141"/>
      <c r="Z141"/>
    </row>
    <row r="142" spans="6:26" ht="15">
      <c r="F142" s="305" t="s">
        <v>2509</v>
      </c>
      <c r="G142" s="516" t="s">
        <v>2496</v>
      </c>
      <c r="H142" s="512">
        <v>24.333333333333332</v>
      </c>
      <c r="I142" s="521"/>
      <c r="J142" s="513" t="str" cm="1">
        <f t="array" ref="J142:M142">_xlfn.TEXTSPLIT(F142,"_")</f>
        <v>NEEM+PLUS</v>
      </c>
      <c r="K142" s="513" t="str">
        <v>electric</v>
      </c>
      <c r="L142" s="513" t="str">
        <v>HZ1</v>
      </c>
      <c r="M142" s="513" t="str">
        <v>CZ1</v>
      </c>
      <c r="N142" s="515" cm="1">
        <f t="array" ref="N142">_xlfn.XLOOKUP(L142&amp;M142,Q$42:Q$53&amp;R$42:R$53,S$42:S$53,"")</f>
        <v>0.45294484697819271</v>
      </c>
      <c r="O142" s="522">
        <f t="shared" si="15"/>
        <v>11.021657943136022</v>
      </c>
      <c r="P142"/>
      <c r="Q142"/>
      <c r="R142"/>
      <c r="S142"/>
      <c r="T142"/>
      <c r="U142"/>
      <c r="V142" s="498"/>
      <c r="W142"/>
      <c r="X142"/>
      <c r="Y142"/>
      <c r="Z142"/>
    </row>
    <row r="143" spans="6:26" ht="15">
      <c r="F143" s="305" t="s">
        <v>2510</v>
      </c>
      <c r="G143" s="516" t="s">
        <v>2496</v>
      </c>
      <c r="H143" s="512">
        <v>24.333333333333332</v>
      </c>
      <c r="I143" s="521"/>
      <c r="J143" s="513" t="str" cm="1">
        <f t="array" ref="J143:M143">_xlfn.TEXTSPLIT(F143,"_")</f>
        <v>NEEM+PLUS</v>
      </c>
      <c r="K143" s="513" t="str">
        <v>electric</v>
      </c>
      <c r="L143" s="513" t="str">
        <v>HZ1</v>
      </c>
      <c r="M143" s="513" t="str">
        <v>CZ2</v>
      </c>
      <c r="N143" s="515" cm="1">
        <f t="array" ref="N143">_xlfn.XLOOKUP(L143&amp;M143,Q$42:Q$53&amp;R$42:R$53,S$42:S$53,"")</f>
        <v>7.8956835861426294E-2</v>
      </c>
      <c r="O143" s="522">
        <f t="shared" si="15"/>
        <v>1.921283005961373</v>
      </c>
      <c r="P143"/>
      <c r="Q143"/>
      <c r="R143"/>
      <c r="S143"/>
      <c r="T143"/>
      <c r="U143"/>
      <c r="V143" s="498"/>
      <c r="W143"/>
      <c r="X143"/>
      <c r="Y143"/>
      <c r="Z143"/>
    </row>
    <row r="144" spans="6:26" ht="15">
      <c r="F144" s="305" t="s">
        <v>2511</v>
      </c>
      <c r="G144" s="516" t="s">
        <v>2496</v>
      </c>
      <c r="H144" s="512">
        <v>24.333333333333332</v>
      </c>
      <c r="I144" s="521"/>
      <c r="J144" s="513" t="str" cm="1">
        <f t="array" ref="J144:M144">_xlfn.TEXTSPLIT(F144,"_")</f>
        <v>NEEM+PLUS</v>
      </c>
      <c r="K144" s="513" t="str">
        <v>electric</v>
      </c>
      <c r="L144" s="513" t="str">
        <v>HZ1</v>
      </c>
      <c r="M144" s="513" t="str">
        <v>CZ3</v>
      </c>
      <c r="N144" s="515" cm="1">
        <f t="array" ref="N144">_xlfn.XLOOKUP(L144&amp;M144,Q$42:Q$53&amp;R$42:R$53,S$42:S$53,"")</f>
        <v>0.1463675076946496</v>
      </c>
      <c r="O144" s="522">
        <f t="shared" si="15"/>
        <v>3.5616093539031399</v>
      </c>
      <c r="P144"/>
      <c r="Q144"/>
      <c r="R144"/>
      <c r="S144"/>
      <c r="T144"/>
      <c r="U144"/>
      <c r="V144" s="498"/>
      <c r="W144"/>
      <c r="X144"/>
      <c r="Y144"/>
      <c r="Z144"/>
    </row>
    <row r="145" spans="6:26" ht="15">
      <c r="F145" s="305" t="s">
        <v>2512</v>
      </c>
      <c r="G145" s="516" t="s">
        <v>2496</v>
      </c>
      <c r="H145" s="512">
        <v>24.333333333333332</v>
      </c>
      <c r="I145" s="521"/>
      <c r="J145" s="513" t="str" cm="1">
        <f t="array" ref="J145:M145">_xlfn.TEXTSPLIT(F145,"_")</f>
        <v>NEEM+PLUS</v>
      </c>
      <c r="K145" s="513" t="str">
        <v>electric</v>
      </c>
      <c r="L145" s="513" t="str">
        <v>HZ2</v>
      </c>
      <c r="M145" s="513" t="str">
        <v>CZ1</v>
      </c>
      <c r="N145" s="515" cm="1">
        <f t="array" ref="N145">_xlfn.XLOOKUP(L145&amp;M145,Q$42:Q$53&amp;R$42:R$53,S$42:S$53,"")</f>
        <v>6.1531304581922616E-2</v>
      </c>
      <c r="O145" s="522">
        <f t="shared" si="15"/>
        <v>1.4972617448267835</v>
      </c>
      <c r="P145"/>
      <c r="Q145"/>
      <c r="R145"/>
      <c r="S145"/>
      <c r="T145"/>
      <c r="U145"/>
      <c r="V145" s="498"/>
      <c r="W145"/>
      <c r="X145"/>
      <c r="Y145"/>
      <c r="Z145"/>
    </row>
    <row r="146" spans="6:26" ht="15">
      <c r="F146" s="305" t="s">
        <v>2513</v>
      </c>
      <c r="G146" s="516" t="s">
        <v>2496</v>
      </c>
      <c r="H146" s="512">
        <v>24.333333333333332</v>
      </c>
      <c r="I146" s="521"/>
      <c r="J146" s="513" t="str" cm="1">
        <f t="array" ref="J146:M146">_xlfn.TEXTSPLIT(F146,"_")</f>
        <v>NEEM+PLUS</v>
      </c>
      <c r="K146" s="513" t="str">
        <v>electric</v>
      </c>
      <c r="L146" s="513" t="str">
        <v>HZ2</v>
      </c>
      <c r="M146" s="513" t="str">
        <v>CZ2</v>
      </c>
      <c r="N146" s="515" cm="1">
        <f t="array" ref="N146">_xlfn.XLOOKUP(L146&amp;M146,Q$42:Q$53&amp;R$42:R$53,S$42:S$53,"")</f>
        <v>0.16921189725375199</v>
      </c>
      <c r="O146" s="522">
        <f t="shared" si="15"/>
        <v>4.1174894998412981</v>
      </c>
      <c r="P146"/>
      <c r="Q146"/>
      <c r="R146"/>
      <c r="S146"/>
      <c r="T146"/>
      <c r="U146"/>
      <c r="V146" s="498"/>
      <c r="W146"/>
      <c r="X146"/>
      <c r="Y146"/>
      <c r="Z146"/>
    </row>
    <row r="147" spans="6:26" ht="15">
      <c r="F147" s="305" t="s">
        <v>2514</v>
      </c>
      <c r="G147" s="516" t="s">
        <v>2496</v>
      </c>
      <c r="H147" s="512">
        <v>24.333333333333332</v>
      </c>
      <c r="I147" s="521"/>
      <c r="J147" s="513" t="str" cm="1">
        <f t="array" ref="J147:M147">_xlfn.TEXTSPLIT(F147,"_")</f>
        <v>NEEM+PLUS</v>
      </c>
      <c r="K147" s="513" t="str">
        <v>electric</v>
      </c>
      <c r="L147" s="513" t="str">
        <v>HZ2</v>
      </c>
      <c r="M147" s="513" t="str">
        <v>CZ3</v>
      </c>
      <c r="N147" s="515" cm="1">
        <f t="array" ref="N147">_xlfn.XLOOKUP(L147&amp;M147,Q$42:Q$53&amp;R$42:R$53,S$42:S$53,"")</f>
        <v>6.2857610482636109E-3</v>
      </c>
      <c r="O147" s="522">
        <f t="shared" si="15"/>
        <v>0.15295351884108119</v>
      </c>
      <c r="P147"/>
      <c r="Q147"/>
      <c r="R147"/>
      <c r="S147"/>
      <c r="T147"/>
      <c r="U147"/>
      <c r="V147" s="498"/>
      <c r="W147"/>
      <c r="X147"/>
      <c r="Y147"/>
      <c r="Z147"/>
    </row>
    <row r="148" spans="6:26" ht="15">
      <c r="F148" s="305" t="s">
        <v>2515</v>
      </c>
      <c r="G148" s="516" t="s">
        <v>2496</v>
      </c>
      <c r="H148" s="512">
        <v>24.333333333333332</v>
      </c>
      <c r="I148" s="521"/>
      <c r="J148" s="513" t="str" cm="1">
        <f t="array" ref="J148:M148">_xlfn.TEXTSPLIT(F148,"_")</f>
        <v>NEEM+PLUS</v>
      </c>
      <c r="K148" s="513" t="str">
        <v>electric</v>
      </c>
      <c r="L148" s="513" t="str">
        <v>HZ3</v>
      </c>
      <c r="M148" s="513" t="str">
        <v>CZ1</v>
      </c>
      <c r="N148" s="515" cm="1">
        <f t="array" ref="N148">_xlfn.XLOOKUP(L148&amp;M148,Q$42:Q$53&amp;R$42:R$53,S$42:S$53,"")</f>
        <v>7.6686505962010668E-2</v>
      </c>
      <c r="O148" s="522">
        <f t="shared" si="15"/>
        <v>1.8660383117422594</v>
      </c>
      <c r="P148"/>
      <c r="Q148"/>
      <c r="R148"/>
      <c r="S148"/>
      <c r="T148"/>
      <c r="U148"/>
      <c r="V148" s="498"/>
      <c r="W148"/>
      <c r="X148"/>
      <c r="Y148"/>
      <c r="Z148"/>
    </row>
    <row r="149" spans="6:26" ht="15">
      <c r="F149" s="305" t="s">
        <v>2516</v>
      </c>
      <c r="G149" s="516" t="s">
        <v>2496</v>
      </c>
      <c r="H149" s="512">
        <v>24.333333333333332</v>
      </c>
      <c r="I149" s="521"/>
      <c r="J149" s="513" t="str" cm="1">
        <f t="array" ref="J149:M149">_xlfn.TEXTSPLIT(F149,"_")</f>
        <v>NEEM+PLUS</v>
      </c>
      <c r="K149" s="513" t="str">
        <v>electric</v>
      </c>
      <c r="L149" s="513" t="str">
        <v>HZ3</v>
      </c>
      <c r="M149" s="513" t="str">
        <v>CZ2</v>
      </c>
      <c r="N149" s="515" cm="1">
        <f t="array" ref="N149">_xlfn.XLOOKUP(L149&amp;M149,Q$42:Q$53&amp;R$42:R$53,S$42:S$53,"")</f>
        <v>8.0153406197824174E-3</v>
      </c>
      <c r="O149" s="522">
        <f t="shared" si="15"/>
        <v>0.19503995508137215</v>
      </c>
      <c r="P149"/>
      <c r="Q149"/>
      <c r="R149"/>
      <c r="S149"/>
      <c r="T149"/>
      <c r="U149"/>
      <c r="V149" s="498"/>
      <c r="W149"/>
      <c r="X149"/>
      <c r="Y149"/>
      <c r="Z149"/>
    </row>
    <row r="150" spans="6:26" ht="15">
      <c r="F150" s="305" t="s">
        <v>2517</v>
      </c>
      <c r="G150" s="516" t="s">
        <v>2496</v>
      </c>
      <c r="H150" s="512">
        <v>24.333333333333332</v>
      </c>
      <c r="I150" s="521"/>
      <c r="J150" s="513" t="str" cm="1">
        <f t="array" ref="J150:M150">_xlfn.TEXTSPLIT(F150,"_")</f>
        <v>NEEM+PLUS</v>
      </c>
      <c r="K150" s="513" t="str">
        <v>electric</v>
      </c>
      <c r="L150" s="513" t="str">
        <v>HZ3</v>
      </c>
      <c r="M150" s="513" t="str">
        <v>CZ3</v>
      </c>
      <c r="N150" s="515" cm="1">
        <f t="array" ref="N150">_xlfn.XLOOKUP(L150&amp;M150,Q$42:Q$53&amp;R$42:R$53,S$42:S$53,"")</f>
        <v>0</v>
      </c>
      <c r="O150" s="522">
        <f t="shared" si="15"/>
        <v>0</v>
      </c>
      <c r="P150"/>
      <c r="Q150"/>
      <c r="R150"/>
      <c r="S150"/>
      <c r="T150"/>
      <c r="U150"/>
      <c r="V150" s="498"/>
      <c r="W150"/>
      <c r="X150"/>
      <c r="Y150"/>
      <c r="Z150"/>
    </row>
    <row r="151" spans="6:26" ht="15">
      <c r="F151"/>
      <c r="G151"/>
      <c r="H151"/>
      <c r="I151"/>
      <c r="J151" s="504"/>
      <c r="K151" s="504"/>
      <c r="L151" s="504"/>
      <c r="M151" s="504"/>
      <c r="N151" s="504"/>
      <c r="O151" s="504"/>
      <c r="P151"/>
      <c r="Q151"/>
      <c r="R151"/>
      <c r="S151"/>
      <c r="T151"/>
      <c r="U151"/>
      <c r="V151" s="498"/>
      <c r="W151"/>
      <c r="X151"/>
      <c r="Y151"/>
      <c r="Z151"/>
    </row>
    <row r="152" spans="6:26" ht="15">
      <c r="F152"/>
      <c r="G152"/>
      <c r="H152"/>
      <c r="I152"/>
      <c r="J152" s="504"/>
      <c r="K152" s="504"/>
      <c r="L152" s="504"/>
      <c r="M152" s="504"/>
      <c r="N152" s="504"/>
      <c r="O152" s="504"/>
      <c r="P152"/>
      <c r="Q152"/>
      <c r="R152"/>
      <c r="S152"/>
      <c r="T152"/>
      <c r="U152"/>
      <c r="V152" s="498"/>
      <c r="W152"/>
      <c r="X152"/>
      <c r="Y152"/>
      <c r="Z152"/>
    </row>
  </sheetData>
  <mergeCells count="9">
    <mergeCell ref="S10:U10"/>
    <mergeCell ref="A10:E10"/>
    <mergeCell ref="F9:J9"/>
    <mergeCell ref="G2:O2"/>
    <mergeCell ref="F25:M25"/>
    <mergeCell ref="F22:M22"/>
    <mergeCell ref="F10:K10"/>
    <mergeCell ref="L10:P10"/>
    <mergeCell ref="Q10:R10"/>
  </mergeCells>
  <hyperlinks>
    <hyperlink ref="F1" location="'2024-2025 Summary'!C1" display="Summary Page" xr:uid="{8E87A724-F105-420A-BC35-DCF17F98AA83}"/>
    <hyperlink ref="U28" r:id="rId1" display="https://nwcouncil.app.box.com/v/20200519NewMHSEEM" xr:uid="{A21B4E18-0CA1-4BD4-A303-849B7D9F45F1}"/>
  </hyperlinks>
  <pageMargins left="0.7" right="0.7" top="0.75" bottom="0.75" header="0.3" footer="0.3"/>
  <pageSetup orientation="portrait"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FF9D8-666D-45AC-96D7-5D8D805FF1A0}">
  <sheetPr>
    <tabColor theme="1"/>
  </sheetPr>
  <dimension ref="A1:K1024"/>
  <sheetViews>
    <sheetView zoomScale="60" zoomScaleNormal="60" workbookViewId="0">
      <selection activeCell="A14" sqref="A14"/>
      <pivotSelection pane="bottomRight" showHeader="1" extendable="1" axis="axisRow" start="12" max="422" activeRow="13" previousRow="13" r:id="rId1">
        <pivotArea dataOnly="0" outline="0" fieldPosition="0">
          <references count="1">
            <reference field="5" count="1">
              <x v="12"/>
            </reference>
          </references>
        </pivotArea>
      </pivotSelection>
    </sheetView>
  </sheetViews>
  <sheetFormatPr defaultRowHeight="15"/>
  <cols>
    <col min="1" max="1" width="37.5703125" customWidth="1"/>
    <col min="2" max="2" width="33.5703125" customWidth="1"/>
    <col min="3" max="3" width="42.5703125" customWidth="1"/>
    <col min="4" max="4" width="26.5703125" customWidth="1"/>
    <col min="5" max="5" width="49.42578125" customWidth="1"/>
    <col min="6" max="6" width="38.42578125" customWidth="1"/>
    <col min="7" max="7" width="34.42578125" customWidth="1"/>
    <col min="8" max="8" width="29.42578125" customWidth="1"/>
    <col min="9" max="9" width="255.5703125" bestFit="1" customWidth="1"/>
    <col min="10" max="10" width="23.42578125" bestFit="1" customWidth="1"/>
    <col min="11" max="11" width="27.42578125" customWidth="1"/>
  </cols>
  <sheetData>
    <row r="1" spans="1:11">
      <c r="A1" s="13" t="s">
        <v>0</v>
      </c>
      <c r="B1" s="13" t="s">
        <v>4</v>
      </c>
      <c r="C1" s="13" t="s">
        <v>5</v>
      </c>
      <c r="D1" s="13" t="s">
        <v>6</v>
      </c>
      <c r="E1" s="13" t="s">
        <v>7</v>
      </c>
      <c r="F1" s="13" t="s">
        <v>1889</v>
      </c>
      <c r="G1" s="13" t="s">
        <v>1890</v>
      </c>
      <c r="H1" s="13" t="s">
        <v>834</v>
      </c>
      <c r="I1" s="13" t="s">
        <v>152</v>
      </c>
      <c r="J1" s="13" t="s">
        <v>10</v>
      </c>
    </row>
    <row r="2" spans="1:11">
      <c r="A2" t="s">
        <v>2119</v>
      </c>
      <c r="B2" t="s">
        <v>2120</v>
      </c>
      <c r="C2" t="s">
        <v>2121</v>
      </c>
      <c r="D2" t="s">
        <v>2122</v>
      </c>
      <c r="E2" t="s">
        <v>2123</v>
      </c>
      <c r="F2" t="s">
        <v>2123</v>
      </c>
      <c r="G2" t="s">
        <v>2124</v>
      </c>
      <c r="H2">
        <v>10</v>
      </c>
      <c r="I2" t="s">
        <v>2125</v>
      </c>
      <c r="J2" t="s">
        <v>2589</v>
      </c>
      <c r="K2" t="str">
        <f>LEFT(A2,10)</f>
        <v>AGR_200201</v>
      </c>
    </row>
    <row r="3" spans="1:11">
      <c r="A3" t="s">
        <v>2126</v>
      </c>
      <c r="B3" t="s">
        <v>2127</v>
      </c>
      <c r="C3" t="s">
        <v>2128</v>
      </c>
      <c r="D3" t="s">
        <v>2129</v>
      </c>
      <c r="E3" t="s">
        <v>2127</v>
      </c>
      <c r="F3" t="s">
        <v>286</v>
      </c>
      <c r="G3" t="s">
        <v>2124</v>
      </c>
      <c r="H3" t="s">
        <v>1977</v>
      </c>
      <c r="I3" t="s">
        <v>2130</v>
      </c>
      <c r="J3" t="s">
        <v>2590</v>
      </c>
      <c r="K3" t="str">
        <f t="shared" ref="K3:K66" si="0">LEFT(A3,10)</f>
        <v>AGR_201401</v>
      </c>
    </row>
    <row r="4" spans="1:11">
      <c r="A4" t="s">
        <v>336</v>
      </c>
      <c r="B4" t="s">
        <v>409</v>
      </c>
      <c r="C4" t="s">
        <v>143</v>
      </c>
      <c r="D4" t="s">
        <v>288</v>
      </c>
      <c r="E4" t="s">
        <v>2131</v>
      </c>
      <c r="F4" t="s">
        <v>2131</v>
      </c>
      <c r="G4" t="s">
        <v>409</v>
      </c>
      <c r="H4">
        <v>5</v>
      </c>
      <c r="I4" t="s">
        <v>2132</v>
      </c>
      <c r="J4" t="s">
        <v>2591</v>
      </c>
      <c r="K4" t="str">
        <f t="shared" si="0"/>
        <v>COM_199701</v>
      </c>
    </row>
    <row r="5" spans="1:11">
      <c r="A5" t="s">
        <v>16</v>
      </c>
      <c r="B5" t="s">
        <v>128</v>
      </c>
      <c r="C5" t="s">
        <v>242</v>
      </c>
      <c r="D5" t="s">
        <v>288</v>
      </c>
      <c r="E5" t="s">
        <v>1118</v>
      </c>
      <c r="F5" t="s">
        <v>1119</v>
      </c>
      <c r="G5" t="s">
        <v>1290</v>
      </c>
      <c r="H5">
        <v>5</v>
      </c>
      <c r="I5" t="s">
        <v>159</v>
      </c>
      <c r="J5" t="s">
        <v>210</v>
      </c>
      <c r="K5" t="str">
        <f t="shared" si="0"/>
        <v>COM_200002</v>
      </c>
    </row>
    <row r="6" spans="1:11">
      <c r="A6" t="s">
        <v>17</v>
      </c>
      <c r="B6" t="s">
        <v>128</v>
      </c>
      <c r="C6" t="s">
        <v>268</v>
      </c>
      <c r="D6" t="s">
        <v>288</v>
      </c>
      <c r="E6" t="s">
        <v>1120</v>
      </c>
      <c r="F6" t="s">
        <v>1121</v>
      </c>
      <c r="G6" t="s">
        <v>1292</v>
      </c>
      <c r="H6">
        <v>5</v>
      </c>
      <c r="I6" t="s">
        <v>159</v>
      </c>
      <c r="J6" t="s">
        <v>210</v>
      </c>
      <c r="K6" t="str">
        <f t="shared" si="0"/>
        <v>COM_200002</v>
      </c>
    </row>
    <row r="7" spans="1:11">
      <c r="A7" t="s">
        <v>688</v>
      </c>
      <c r="B7" t="s">
        <v>128</v>
      </c>
      <c r="C7" t="s">
        <v>689</v>
      </c>
      <c r="D7" t="s">
        <v>288</v>
      </c>
      <c r="E7" t="s">
        <v>1661</v>
      </c>
      <c r="F7" t="s">
        <v>1366</v>
      </c>
      <c r="G7" t="s">
        <v>1291</v>
      </c>
      <c r="H7">
        <v>5</v>
      </c>
      <c r="I7" t="s">
        <v>159</v>
      </c>
      <c r="J7" t="s">
        <v>210</v>
      </c>
      <c r="K7" t="str">
        <f t="shared" si="0"/>
        <v>COM_200002</v>
      </c>
    </row>
    <row r="8" spans="1:11">
      <c r="A8" t="s">
        <v>690</v>
      </c>
      <c r="B8" t="s">
        <v>128</v>
      </c>
      <c r="C8" t="s">
        <v>691</v>
      </c>
      <c r="D8" t="s">
        <v>288</v>
      </c>
      <c r="E8" t="s">
        <v>1662</v>
      </c>
      <c r="F8" t="s">
        <v>1367</v>
      </c>
      <c r="G8" t="s">
        <v>1293</v>
      </c>
      <c r="H8">
        <v>5</v>
      </c>
      <c r="I8" t="s">
        <v>159</v>
      </c>
      <c r="J8" t="s">
        <v>210</v>
      </c>
      <c r="K8" t="str">
        <f t="shared" si="0"/>
        <v>COM_200002</v>
      </c>
    </row>
    <row r="9" spans="1:11">
      <c r="A9" t="s">
        <v>354</v>
      </c>
      <c r="B9" t="s">
        <v>2679</v>
      </c>
      <c r="C9" t="s">
        <v>251</v>
      </c>
      <c r="D9" t="s">
        <v>303</v>
      </c>
      <c r="E9" t="s">
        <v>1663</v>
      </c>
      <c r="F9" t="s">
        <v>1437</v>
      </c>
      <c r="G9" t="s">
        <v>1324</v>
      </c>
      <c r="H9">
        <v>20</v>
      </c>
      <c r="I9" t="s">
        <v>2800</v>
      </c>
      <c r="J9" t="s">
        <v>214</v>
      </c>
      <c r="K9" t="str">
        <f t="shared" si="0"/>
        <v>COM_200202</v>
      </c>
    </row>
    <row r="10" spans="1:11">
      <c r="A10" t="s">
        <v>692</v>
      </c>
      <c r="B10" t="s">
        <v>2679</v>
      </c>
      <c r="C10" t="s">
        <v>251</v>
      </c>
      <c r="D10" t="s">
        <v>877</v>
      </c>
      <c r="E10" t="s">
        <v>1664</v>
      </c>
      <c r="F10" t="s">
        <v>1444</v>
      </c>
      <c r="G10" t="s">
        <v>1324</v>
      </c>
      <c r="H10">
        <v>20</v>
      </c>
      <c r="I10" t="s">
        <v>2800</v>
      </c>
      <c r="J10" t="s">
        <v>214</v>
      </c>
      <c r="K10" t="str">
        <f t="shared" si="0"/>
        <v>COM_200202</v>
      </c>
    </row>
    <row r="11" spans="1:11">
      <c r="A11" t="s">
        <v>355</v>
      </c>
      <c r="B11" t="s">
        <v>2679</v>
      </c>
      <c r="C11" t="s">
        <v>251</v>
      </c>
      <c r="D11" t="s">
        <v>304</v>
      </c>
      <c r="E11" t="s">
        <v>1665</v>
      </c>
      <c r="F11" t="s">
        <v>1438</v>
      </c>
      <c r="G11" t="s">
        <v>1324</v>
      </c>
      <c r="H11">
        <v>20</v>
      </c>
      <c r="I11" t="s">
        <v>2800</v>
      </c>
      <c r="J11" t="s">
        <v>214</v>
      </c>
      <c r="K11" t="str">
        <f t="shared" si="0"/>
        <v>COM_200202</v>
      </c>
    </row>
    <row r="12" spans="1:11">
      <c r="A12" t="s">
        <v>356</v>
      </c>
      <c r="B12" t="s">
        <v>2679</v>
      </c>
      <c r="C12" t="s">
        <v>251</v>
      </c>
      <c r="D12" t="s">
        <v>305</v>
      </c>
      <c r="E12" t="s">
        <v>1666</v>
      </c>
      <c r="F12" t="s">
        <v>1439</v>
      </c>
      <c r="G12" t="s">
        <v>1324</v>
      </c>
      <c r="H12">
        <v>20</v>
      </c>
      <c r="I12" t="s">
        <v>2800</v>
      </c>
      <c r="J12" t="s">
        <v>214</v>
      </c>
      <c r="K12" t="str">
        <f t="shared" si="0"/>
        <v>COM_200202</v>
      </c>
    </row>
    <row r="13" spans="1:11">
      <c r="A13" t="s">
        <v>357</v>
      </c>
      <c r="B13" t="s">
        <v>2679</v>
      </c>
      <c r="C13" t="s">
        <v>251</v>
      </c>
      <c r="D13" t="s">
        <v>306</v>
      </c>
      <c r="E13" t="s">
        <v>1667</v>
      </c>
      <c r="F13" t="s">
        <v>1440</v>
      </c>
      <c r="G13" t="s">
        <v>1324</v>
      </c>
      <c r="H13">
        <v>20</v>
      </c>
      <c r="I13" t="s">
        <v>2800</v>
      </c>
      <c r="J13" t="s">
        <v>214</v>
      </c>
      <c r="K13" t="str">
        <f t="shared" si="0"/>
        <v>COM_200202</v>
      </c>
    </row>
    <row r="14" spans="1:11">
      <c r="A14" t="s">
        <v>18</v>
      </c>
      <c r="B14" t="s">
        <v>2679</v>
      </c>
      <c r="C14" t="s">
        <v>251</v>
      </c>
      <c r="D14" t="s">
        <v>878</v>
      </c>
      <c r="E14" t="s">
        <v>1152</v>
      </c>
      <c r="F14" t="s">
        <v>1153</v>
      </c>
      <c r="G14" t="s">
        <v>1324</v>
      </c>
      <c r="H14">
        <v>20</v>
      </c>
      <c r="I14" t="s">
        <v>2800</v>
      </c>
      <c r="J14" t="s">
        <v>214</v>
      </c>
      <c r="K14" t="str">
        <f t="shared" si="0"/>
        <v>COM_200202</v>
      </c>
    </row>
    <row r="15" spans="1:11">
      <c r="A15" t="s">
        <v>879</v>
      </c>
      <c r="B15" t="s">
        <v>2679</v>
      </c>
      <c r="C15" t="s">
        <v>251</v>
      </c>
      <c r="D15" t="s">
        <v>880</v>
      </c>
      <c r="E15" t="s">
        <v>1154</v>
      </c>
      <c r="F15" t="s">
        <v>1155</v>
      </c>
      <c r="G15" t="s">
        <v>1324</v>
      </c>
      <c r="H15">
        <v>20</v>
      </c>
      <c r="I15" t="s">
        <v>2800</v>
      </c>
      <c r="J15" t="s">
        <v>214</v>
      </c>
      <c r="K15" t="str">
        <f t="shared" si="0"/>
        <v>COM_200202</v>
      </c>
    </row>
    <row r="16" spans="1:11">
      <c r="A16" t="s">
        <v>693</v>
      </c>
      <c r="B16" t="s">
        <v>2679</v>
      </c>
      <c r="C16" t="s">
        <v>251</v>
      </c>
      <c r="D16" t="s">
        <v>881</v>
      </c>
      <c r="E16" t="s">
        <v>1668</v>
      </c>
      <c r="F16" t="s">
        <v>1441</v>
      </c>
      <c r="G16" t="s">
        <v>1324</v>
      </c>
      <c r="H16">
        <v>20</v>
      </c>
      <c r="I16" t="s">
        <v>2800</v>
      </c>
      <c r="J16" t="s">
        <v>214</v>
      </c>
      <c r="K16" t="str">
        <f t="shared" si="0"/>
        <v>COM_200202</v>
      </c>
    </row>
    <row r="17" spans="1:11">
      <c r="A17" t="s">
        <v>694</v>
      </c>
      <c r="B17" t="s">
        <v>2679</v>
      </c>
      <c r="C17" t="s">
        <v>251</v>
      </c>
      <c r="D17" t="s">
        <v>882</v>
      </c>
      <c r="E17" t="s">
        <v>1669</v>
      </c>
      <c r="F17" t="s">
        <v>1442</v>
      </c>
      <c r="G17" t="s">
        <v>1324</v>
      </c>
      <c r="H17">
        <v>20</v>
      </c>
      <c r="I17" t="s">
        <v>2800</v>
      </c>
      <c r="J17" t="s">
        <v>214</v>
      </c>
      <c r="K17" t="str">
        <f t="shared" si="0"/>
        <v>COM_200202</v>
      </c>
    </row>
    <row r="18" spans="1:11">
      <c r="A18" t="s">
        <v>696</v>
      </c>
      <c r="B18" t="s">
        <v>2679</v>
      </c>
      <c r="C18" t="s">
        <v>251</v>
      </c>
      <c r="D18" t="s">
        <v>883</v>
      </c>
      <c r="E18" t="s">
        <v>1670</v>
      </c>
      <c r="F18" t="s">
        <v>1443</v>
      </c>
      <c r="G18" t="s">
        <v>1324</v>
      </c>
      <c r="H18">
        <v>20</v>
      </c>
      <c r="I18" t="s">
        <v>2800</v>
      </c>
      <c r="J18" t="s">
        <v>214</v>
      </c>
      <c r="K18" t="str">
        <f t="shared" si="0"/>
        <v>COM_200202</v>
      </c>
    </row>
    <row r="19" spans="1:11">
      <c r="A19" t="s">
        <v>367</v>
      </c>
      <c r="B19" t="s">
        <v>2679</v>
      </c>
      <c r="C19" t="s">
        <v>259</v>
      </c>
      <c r="D19" t="s">
        <v>312</v>
      </c>
      <c r="E19" t="s">
        <v>1671</v>
      </c>
      <c r="F19" t="s">
        <v>1445</v>
      </c>
      <c r="G19" t="s">
        <v>1324</v>
      </c>
      <c r="H19">
        <v>20</v>
      </c>
      <c r="I19" t="s">
        <v>2800</v>
      </c>
      <c r="J19" t="s">
        <v>214</v>
      </c>
      <c r="K19" t="str">
        <f t="shared" si="0"/>
        <v>COM_200202</v>
      </c>
    </row>
    <row r="20" spans="1:11">
      <c r="A20" t="s">
        <v>368</v>
      </c>
      <c r="B20" t="s">
        <v>2679</v>
      </c>
      <c r="C20" t="s">
        <v>259</v>
      </c>
      <c r="D20" t="s">
        <v>313</v>
      </c>
      <c r="E20" t="s">
        <v>1672</v>
      </c>
      <c r="F20" t="s">
        <v>1446</v>
      </c>
      <c r="G20" t="s">
        <v>1324</v>
      </c>
      <c r="H20">
        <v>20</v>
      </c>
      <c r="I20" t="s">
        <v>2800</v>
      </c>
      <c r="J20" t="s">
        <v>214</v>
      </c>
      <c r="K20" t="str">
        <f t="shared" si="0"/>
        <v>COM_200202</v>
      </c>
    </row>
    <row r="21" spans="1:11">
      <c r="A21" t="s">
        <v>369</v>
      </c>
      <c r="B21" t="s">
        <v>2679</v>
      </c>
      <c r="C21" t="s">
        <v>259</v>
      </c>
      <c r="D21" t="s">
        <v>314</v>
      </c>
      <c r="E21" t="s">
        <v>1673</v>
      </c>
      <c r="F21" t="s">
        <v>1447</v>
      </c>
      <c r="G21" t="s">
        <v>1324</v>
      </c>
      <c r="H21">
        <v>20</v>
      </c>
      <c r="I21" t="s">
        <v>2800</v>
      </c>
      <c r="J21" t="s">
        <v>214</v>
      </c>
      <c r="K21" t="str">
        <f t="shared" si="0"/>
        <v>COM_200202</v>
      </c>
    </row>
    <row r="22" spans="1:11">
      <c r="A22" t="s">
        <v>19</v>
      </c>
      <c r="B22" t="s">
        <v>2679</v>
      </c>
      <c r="C22" t="s">
        <v>259</v>
      </c>
      <c r="D22" t="s">
        <v>884</v>
      </c>
      <c r="E22" t="s">
        <v>1156</v>
      </c>
      <c r="F22" t="s">
        <v>1157</v>
      </c>
      <c r="G22" t="s">
        <v>1324</v>
      </c>
      <c r="H22">
        <v>20</v>
      </c>
      <c r="I22" t="s">
        <v>2800</v>
      </c>
      <c r="J22" t="s">
        <v>214</v>
      </c>
      <c r="K22" t="str">
        <f t="shared" si="0"/>
        <v>COM_200202</v>
      </c>
    </row>
    <row r="23" spans="1:11">
      <c r="A23" t="s">
        <v>885</v>
      </c>
      <c r="B23" t="s">
        <v>2679</v>
      </c>
      <c r="C23" t="s">
        <v>259</v>
      </c>
      <c r="D23" t="s">
        <v>886</v>
      </c>
      <c r="E23" t="s">
        <v>1674</v>
      </c>
      <c r="F23" t="s">
        <v>1448</v>
      </c>
      <c r="G23" t="s">
        <v>1324</v>
      </c>
      <c r="H23">
        <v>20</v>
      </c>
      <c r="I23" t="s">
        <v>2800</v>
      </c>
      <c r="J23" t="s">
        <v>214</v>
      </c>
      <c r="K23" t="str">
        <f t="shared" si="0"/>
        <v>COM_200202</v>
      </c>
    </row>
    <row r="24" spans="1:11">
      <c r="A24" t="s">
        <v>698</v>
      </c>
      <c r="B24" t="s">
        <v>2679</v>
      </c>
      <c r="C24" t="s">
        <v>259</v>
      </c>
      <c r="D24" t="s">
        <v>887</v>
      </c>
      <c r="E24" t="s">
        <v>1675</v>
      </c>
      <c r="F24" t="s">
        <v>1449</v>
      </c>
      <c r="G24" t="s">
        <v>1324</v>
      </c>
      <c r="H24">
        <v>20</v>
      </c>
      <c r="I24" t="s">
        <v>2800</v>
      </c>
      <c r="J24" t="s">
        <v>214</v>
      </c>
      <c r="K24" t="str">
        <f t="shared" si="0"/>
        <v>COM_200202</v>
      </c>
    </row>
    <row r="25" spans="1:11">
      <c r="A25" t="s">
        <v>699</v>
      </c>
      <c r="B25" t="s">
        <v>2679</v>
      </c>
      <c r="C25" t="s">
        <v>259</v>
      </c>
      <c r="D25" t="s">
        <v>888</v>
      </c>
      <c r="E25" t="s">
        <v>1676</v>
      </c>
      <c r="F25" t="s">
        <v>1450</v>
      </c>
      <c r="G25" t="s">
        <v>1324</v>
      </c>
      <c r="H25">
        <v>20</v>
      </c>
      <c r="I25" t="s">
        <v>2800</v>
      </c>
      <c r="J25" t="s">
        <v>214</v>
      </c>
      <c r="K25" t="str">
        <f t="shared" si="0"/>
        <v>COM_200202</v>
      </c>
    </row>
    <row r="26" spans="1:11">
      <c r="A26" t="s">
        <v>700</v>
      </c>
      <c r="B26" t="s">
        <v>2679</v>
      </c>
      <c r="C26" t="s">
        <v>259</v>
      </c>
      <c r="D26" t="s">
        <v>889</v>
      </c>
      <c r="E26" t="s">
        <v>1677</v>
      </c>
      <c r="F26" t="s">
        <v>1451</v>
      </c>
      <c r="G26" t="s">
        <v>1324</v>
      </c>
      <c r="H26">
        <v>20</v>
      </c>
      <c r="I26" t="s">
        <v>2800</v>
      </c>
      <c r="J26" t="s">
        <v>214</v>
      </c>
      <c r="K26" t="str">
        <f t="shared" si="0"/>
        <v>COM_200202</v>
      </c>
    </row>
    <row r="27" spans="1:11">
      <c r="A27" t="s">
        <v>377</v>
      </c>
      <c r="B27" t="s">
        <v>2679</v>
      </c>
      <c r="C27" t="s">
        <v>265</v>
      </c>
      <c r="D27" t="s">
        <v>316</v>
      </c>
      <c r="E27" t="s">
        <v>1678</v>
      </c>
      <c r="F27" t="s">
        <v>1452</v>
      </c>
      <c r="G27" t="s">
        <v>1324</v>
      </c>
      <c r="H27">
        <v>20</v>
      </c>
      <c r="I27" t="s">
        <v>2800</v>
      </c>
      <c r="J27" t="s">
        <v>214</v>
      </c>
      <c r="K27" t="str">
        <f t="shared" si="0"/>
        <v>COM_200202</v>
      </c>
    </row>
    <row r="28" spans="1:11">
      <c r="A28" t="s">
        <v>378</v>
      </c>
      <c r="B28" t="s">
        <v>2679</v>
      </c>
      <c r="C28" t="s">
        <v>265</v>
      </c>
      <c r="D28" t="s">
        <v>317</v>
      </c>
      <c r="E28" t="s">
        <v>1679</v>
      </c>
      <c r="F28" t="s">
        <v>1453</v>
      </c>
      <c r="G28" t="s">
        <v>1324</v>
      </c>
      <c r="H28">
        <v>20</v>
      </c>
      <c r="I28" t="s">
        <v>2800</v>
      </c>
      <c r="J28" t="s">
        <v>214</v>
      </c>
      <c r="K28" t="str">
        <f t="shared" si="0"/>
        <v>COM_200202</v>
      </c>
    </row>
    <row r="29" spans="1:11">
      <c r="A29" t="s">
        <v>379</v>
      </c>
      <c r="B29" t="s">
        <v>2679</v>
      </c>
      <c r="C29" t="s">
        <v>265</v>
      </c>
      <c r="D29" t="s">
        <v>961</v>
      </c>
      <c r="E29" t="s">
        <v>1680</v>
      </c>
      <c r="F29" t="s">
        <v>1454</v>
      </c>
      <c r="G29" t="s">
        <v>1324</v>
      </c>
      <c r="H29">
        <v>20</v>
      </c>
      <c r="I29" t="s">
        <v>2800</v>
      </c>
      <c r="J29" t="s">
        <v>214</v>
      </c>
      <c r="K29" t="str">
        <f t="shared" si="0"/>
        <v>COM_200202</v>
      </c>
    </row>
    <row r="30" spans="1:11">
      <c r="A30" t="s">
        <v>380</v>
      </c>
      <c r="B30" t="s">
        <v>2679</v>
      </c>
      <c r="C30" t="s">
        <v>265</v>
      </c>
      <c r="D30" t="s">
        <v>318</v>
      </c>
      <c r="E30" t="s">
        <v>1681</v>
      </c>
      <c r="F30" t="s">
        <v>1455</v>
      </c>
      <c r="G30" t="s">
        <v>1324</v>
      </c>
      <c r="H30">
        <v>20</v>
      </c>
      <c r="I30" t="s">
        <v>2800</v>
      </c>
      <c r="J30" t="s">
        <v>214</v>
      </c>
      <c r="K30" t="str">
        <f t="shared" si="0"/>
        <v>COM_200202</v>
      </c>
    </row>
    <row r="31" spans="1:11">
      <c r="A31" t="s">
        <v>20</v>
      </c>
      <c r="B31" t="s">
        <v>2679</v>
      </c>
      <c r="C31" t="s">
        <v>265</v>
      </c>
      <c r="D31" t="s">
        <v>962</v>
      </c>
      <c r="E31" t="s">
        <v>1158</v>
      </c>
      <c r="F31" t="s">
        <v>1159</v>
      </c>
      <c r="G31" t="s">
        <v>1324</v>
      </c>
      <c r="H31">
        <v>20</v>
      </c>
      <c r="I31" t="s">
        <v>2800</v>
      </c>
      <c r="J31" t="s">
        <v>214</v>
      </c>
      <c r="K31" t="str">
        <f t="shared" si="0"/>
        <v>COM_200202</v>
      </c>
    </row>
    <row r="32" spans="1:11">
      <c r="A32" t="s">
        <v>890</v>
      </c>
      <c r="B32" t="s">
        <v>2679</v>
      </c>
      <c r="C32" t="s">
        <v>265</v>
      </c>
      <c r="D32" t="s">
        <v>2284</v>
      </c>
      <c r="E32" t="s">
        <v>2285</v>
      </c>
      <c r="F32" t="s">
        <v>2286</v>
      </c>
      <c r="G32" t="s">
        <v>1324</v>
      </c>
      <c r="H32">
        <v>20</v>
      </c>
      <c r="I32" t="s">
        <v>2800</v>
      </c>
      <c r="J32" t="s">
        <v>214</v>
      </c>
      <c r="K32" t="str">
        <f t="shared" si="0"/>
        <v>COM_200202</v>
      </c>
    </row>
    <row r="33" spans="1:11">
      <c r="A33" t="s">
        <v>891</v>
      </c>
      <c r="B33" t="s">
        <v>2679</v>
      </c>
      <c r="C33" t="s">
        <v>265</v>
      </c>
      <c r="D33" t="s">
        <v>2287</v>
      </c>
      <c r="E33" t="s">
        <v>2288</v>
      </c>
      <c r="F33" t="s">
        <v>2289</v>
      </c>
      <c r="G33" t="s">
        <v>1324</v>
      </c>
      <c r="H33">
        <v>20</v>
      </c>
      <c r="I33" t="s">
        <v>2800</v>
      </c>
      <c r="J33" t="s">
        <v>214</v>
      </c>
      <c r="K33" t="str">
        <f t="shared" si="0"/>
        <v>COM_200202</v>
      </c>
    </row>
    <row r="34" spans="1:11">
      <c r="A34" t="s">
        <v>701</v>
      </c>
      <c r="B34" t="s">
        <v>2679</v>
      </c>
      <c r="C34" t="s">
        <v>265</v>
      </c>
      <c r="D34" t="s">
        <v>2290</v>
      </c>
      <c r="E34" t="s">
        <v>2291</v>
      </c>
      <c r="F34" t="s">
        <v>2292</v>
      </c>
      <c r="G34" t="s">
        <v>1324</v>
      </c>
      <c r="H34">
        <v>20</v>
      </c>
      <c r="I34" t="s">
        <v>2800</v>
      </c>
      <c r="J34" t="s">
        <v>214</v>
      </c>
      <c r="K34" t="str">
        <f t="shared" si="0"/>
        <v>COM_200202</v>
      </c>
    </row>
    <row r="35" spans="1:11">
      <c r="A35" t="s">
        <v>892</v>
      </c>
      <c r="B35" t="s">
        <v>2679</v>
      </c>
      <c r="C35" t="s">
        <v>265</v>
      </c>
      <c r="D35" t="s">
        <v>2293</v>
      </c>
      <c r="E35" t="s">
        <v>2294</v>
      </c>
      <c r="F35" t="s">
        <v>2295</v>
      </c>
      <c r="G35" t="s">
        <v>1324</v>
      </c>
      <c r="H35">
        <v>20</v>
      </c>
      <c r="I35" t="s">
        <v>2800</v>
      </c>
      <c r="J35" t="s">
        <v>214</v>
      </c>
      <c r="K35" t="str">
        <f t="shared" si="0"/>
        <v>COM_200202</v>
      </c>
    </row>
    <row r="36" spans="1:11">
      <c r="A36" t="s">
        <v>400</v>
      </c>
      <c r="B36" t="s">
        <v>2679</v>
      </c>
      <c r="C36" t="s">
        <v>282</v>
      </c>
      <c r="D36" t="s">
        <v>329</v>
      </c>
      <c r="E36" t="s">
        <v>1682</v>
      </c>
      <c r="F36" t="s">
        <v>1456</v>
      </c>
      <c r="G36" t="s">
        <v>1324</v>
      </c>
      <c r="H36">
        <v>20</v>
      </c>
      <c r="I36" t="s">
        <v>2800</v>
      </c>
      <c r="J36" t="s">
        <v>214</v>
      </c>
      <c r="K36" t="str">
        <f t="shared" si="0"/>
        <v>COM_200202</v>
      </c>
    </row>
    <row r="37" spans="1:11">
      <c r="A37" t="s">
        <v>1578</v>
      </c>
      <c r="B37" t="s">
        <v>2679</v>
      </c>
      <c r="C37" t="s">
        <v>282</v>
      </c>
      <c r="D37" t="s">
        <v>899</v>
      </c>
      <c r="E37" t="s">
        <v>1683</v>
      </c>
      <c r="F37" t="s">
        <v>1463</v>
      </c>
      <c r="G37" t="s">
        <v>1324</v>
      </c>
      <c r="H37">
        <v>20</v>
      </c>
      <c r="I37" t="s">
        <v>2800</v>
      </c>
      <c r="J37" t="s">
        <v>214</v>
      </c>
      <c r="K37" t="str">
        <f t="shared" si="0"/>
        <v>COM_200202</v>
      </c>
    </row>
    <row r="38" spans="1:11">
      <c r="A38" t="s">
        <v>1579</v>
      </c>
      <c r="B38" t="s">
        <v>2679</v>
      </c>
      <c r="C38" t="s">
        <v>282</v>
      </c>
      <c r="D38" t="s">
        <v>900</v>
      </c>
      <c r="E38" t="s">
        <v>1684</v>
      </c>
      <c r="F38" t="s">
        <v>1464</v>
      </c>
      <c r="G38" t="s">
        <v>1324</v>
      </c>
      <c r="H38">
        <v>20</v>
      </c>
      <c r="I38" t="s">
        <v>2800</v>
      </c>
      <c r="J38" t="s">
        <v>214</v>
      </c>
      <c r="K38" t="str">
        <f t="shared" si="0"/>
        <v>COM_200202</v>
      </c>
    </row>
    <row r="39" spans="1:11">
      <c r="A39" t="s">
        <v>401</v>
      </c>
      <c r="B39" t="s">
        <v>2679</v>
      </c>
      <c r="C39" t="s">
        <v>282</v>
      </c>
      <c r="D39" t="s">
        <v>330</v>
      </c>
      <c r="E39" t="s">
        <v>1685</v>
      </c>
      <c r="F39" t="s">
        <v>1457</v>
      </c>
      <c r="G39" t="s">
        <v>1324</v>
      </c>
      <c r="H39">
        <v>20</v>
      </c>
      <c r="I39" t="s">
        <v>2800</v>
      </c>
      <c r="J39" t="s">
        <v>214</v>
      </c>
      <c r="K39" t="str">
        <f t="shared" si="0"/>
        <v>COM_200202</v>
      </c>
    </row>
    <row r="40" spans="1:11">
      <c r="A40" t="s">
        <v>412</v>
      </c>
      <c r="B40" t="s">
        <v>2679</v>
      </c>
      <c r="C40" t="s">
        <v>282</v>
      </c>
      <c r="D40" t="s">
        <v>413</v>
      </c>
      <c r="E40" t="s">
        <v>1686</v>
      </c>
      <c r="F40" t="s">
        <v>1458</v>
      </c>
      <c r="G40" t="s">
        <v>1324</v>
      </c>
      <c r="H40">
        <v>20</v>
      </c>
      <c r="I40" t="s">
        <v>2800</v>
      </c>
      <c r="J40" t="s">
        <v>214</v>
      </c>
      <c r="K40" t="str">
        <f t="shared" si="0"/>
        <v>COM_200202</v>
      </c>
    </row>
    <row r="41" spans="1:11">
      <c r="A41" t="s">
        <v>402</v>
      </c>
      <c r="B41" t="s">
        <v>2679</v>
      </c>
      <c r="C41" t="s">
        <v>282</v>
      </c>
      <c r="D41" t="s">
        <v>331</v>
      </c>
      <c r="E41" t="s">
        <v>1687</v>
      </c>
      <c r="F41" t="s">
        <v>1459</v>
      </c>
      <c r="G41" t="s">
        <v>1324</v>
      </c>
      <c r="H41">
        <v>20</v>
      </c>
      <c r="I41" t="s">
        <v>2800</v>
      </c>
      <c r="J41" t="s">
        <v>214</v>
      </c>
      <c r="K41" t="str">
        <f t="shared" si="0"/>
        <v>COM_200202</v>
      </c>
    </row>
    <row r="42" spans="1:11">
      <c r="A42" t="s">
        <v>403</v>
      </c>
      <c r="B42" t="s">
        <v>2679</v>
      </c>
      <c r="C42" t="s">
        <v>282</v>
      </c>
      <c r="D42" t="s">
        <v>332</v>
      </c>
      <c r="E42" t="s">
        <v>1688</v>
      </c>
      <c r="F42" t="s">
        <v>1460</v>
      </c>
      <c r="G42" t="s">
        <v>1324</v>
      </c>
      <c r="H42">
        <v>20</v>
      </c>
      <c r="I42" t="s">
        <v>2800</v>
      </c>
      <c r="J42" t="s">
        <v>214</v>
      </c>
      <c r="K42" t="str">
        <f t="shared" si="0"/>
        <v>COM_200202</v>
      </c>
    </row>
    <row r="43" spans="1:11">
      <c r="A43" t="s">
        <v>21</v>
      </c>
      <c r="B43" t="s">
        <v>2679</v>
      </c>
      <c r="C43" t="s">
        <v>282</v>
      </c>
      <c r="D43" t="s">
        <v>702</v>
      </c>
      <c r="E43" t="s">
        <v>1160</v>
      </c>
      <c r="F43" t="s">
        <v>1161</v>
      </c>
      <c r="G43" t="s">
        <v>1324</v>
      </c>
      <c r="H43">
        <v>20</v>
      </c>
      <c r="I43" t="s">
        <v>2800</v>
      </c>
      <c r="J43" t="s">
        <v>214</v>
      </c>
      <c r="K43" t="str">
        <f t="shared" si="0"/>
        <v>COM_200202</v>
      </c>
    </row>
    <row r="44" spans="1:11">
      <c r="A44" t="s">
        <v>893</v>
      </c>
      <c r="B44" t="s">
        <v>2679</v>
      </c>
      <c r="C44" t="s">
        <v>282</v>
      </c>
      <c r="D44" t="s">
        <v>894</v>
      </c>
      <c r="E44" t="s">
        <v>1162</v>
      </c>
      <c r="F44" t="s">
        <v>1163</v>
      </c>
      <c r="G44" t="s">
        <v>1324</v>
      </c>
      <c r="H44">
        <v>20</v>
      </c>
      <c r="I44" t="s">
        <v>2800</v>
      </c>
      <c r="J44" t="s">
        <v>214</v>
      </c>
      <c r="K44" t="str">
        <f t="shared" si="0"/>
        <v>COM_200202</v>
      </c>
    </row>
    <row r="45" spans="1:11">
      <c r="A45" t="s">
        <v>703</v>
      </c>
      <c r="B45" t="s">
        <v>2679</v>
      </c>
      <c r="C45" t="s">
        <v>282</v>
      </c>
      <c r="D45" t="s">
        <v>895</v>
      </c>
      <c r="E45" t="s">
        <v>1689</v>
      </c>
      <c r="F45" t="s">
        <v>1461</v>
      </c>
      <c r="G45" t="s">
        <v>1324</v>
      </c>
      <c r="H45">
        <v>20</v>
      </c>
      <c r="I45" t="s">
        <v>2800</v>
      </c>
      <c r="J45" t="s">
        <v>214</v>
      </c>
      <c r="K45" t="str">
        <f t="shared" si="0"/>
        <v>COM_200202</v>
      </c>
    </row>
    <row r="46" spans="1:11">
      <c r="A46" t="s">
        <v>704</v>
      </c>
      <c r="B46" t="s">
        <v>2679</v>
      </c>
      <c r="C46" t="s">
        <v>282</v>
      </c>
      <c r="D46" t="s">
        <v>896</v>
      </c>
      <c r="E46" t="s">
        <v>1690</v>
      </c>
      <c r="F46" t="s">
        <v>1462</v>
      </c>
      <c r="G46" t="s">
        <v>1324</v>
      </c>
      <c r="H46">
        <v>20</v>
      </c>
      <c r="I46" t="s">
        <v>2800</v>
      </c>
      <c r="J46" t="s">
        <v>214</v>
      </c>
      <c r="K46" t="str">
        <f t="shared" si="0"/>
        <v>COM_200202</v>
      </c>
    </row>
    <row r="47" spans="1:11">
      <c r="A47" t="s">
        <v>1580</v>
      </c>
      <c r="B47" t="s">
        <v>1242</v>
      </c>
      <c r="C47" t="s">
        <v>1267</v>
      </c>
      <c r="D47" t="s">
        <v>288</v>
      </c>
      <c r="E47" t="s">
        <v>1575</v>
      </c>
      <c r="F47" t="s">
        <v>1575</v>
      </c>
      <c r="G47" t="s">
        <v>1365</v>
      </c>
      <c r="H47">
        <v>5</v>
      </c>
      <c r="I47" t="s">
        <v>2054</v>
      </c>
      <c r="J47" t="s">
        <v>2592</v>
      </c>
      <c r="K47" t="str">
        <f t="shared" si="0"/>
        <v>COM_200203</v>
      </c>
    </row>
    <row r="48" spans="1:11">
      <c r="A48" t="s">
        <v>928</v>
      </c>
      <c r="B48" t="s">
        <v>129</v>
      </c>
      <c r="C48" t="s">
        <v>415</v>
      </c>
      <c r="D48" t="s">
        <v>780</v>
      </c>
      <c r="E48" t="s">
        <v>1691</v>
      </c>
      <c r="F48" t="s">
        <v>1370</v>
      </c>
      <c r="G48" t="s">
        <v>1294</v>
      </c>
      <c r="H48">
        <v>5</v>
      </c>
      <c r="I48" t="s">
        <v>158</v>
      </c>
      <c r="J48" t="s">
        <v>211</v>
      </c>
      <c r="K48" t="str">
        <f t="shared" si="0"/>
        <v>COM_200701</v>
      </c>
    </row>
    <row r="49" spans="1:11">
      <c r="A49" t="s">
        <v>414</v>
      </c>
      <c r="B49" t="s">
        <v>129</v>
      </c>
      <c r="C49" t="s">
        <v>415</v>
      </c>
      <c r="D49" t="s">
        <v>416</v>
      </c>
      <c r="E49" t="s">
        <v>1692</v>
      </c>
      <c r="F49" t="s">
        <v>416</v>
      </c>
      <c r="G49" t="s">
        <v>1294</v>
      </c>
      <c r="H49">
        <v>5</v>
      </c>
      <c r="I49" t="s">
        <v>158</v>
      </c>
      <c r="J49" t="s">
        <v>211</v>
      </c>
      <c r="K49" t="str">
        <f t="shared" si="0"/>
        <v>COM_200701</v>
      </c>
    </row>
    <row r="50" spans="1:11">
      <c r="A50" t="s">
        <v>925</v>
      </c>
      <c r="B50" t="s">
        <v>129</v>
      </c>
      <c r="C50" t="s">
        <v>415</v>
      </c>
      <c r="D50" t="s">
        <v>926</v>
      </c>
      <c r="E50" t="s">
        <v>1693</v>
      </c>
      <c r="F50" t="s">
        <v>1368</v>
      </c>
      <c r="G50" t="s">
        <v>1294</v>
      </c>
      <c r="H50">
        <v>5</v>
      </c>
      <c r="I50" t="s">
        <v>158</v>
      </c>
      <c r="J50" t="s">
        <v>211</v>
      </c>
      <c r="K50" t="str">
        <f t="shared" si="0"/>
        <v>COM_200701</v>
      </c>
    </row>
    <row r="51" spans="1:11">
      <c r="A51" t="s">
        <v>67</v>
      </c>
      <c r="B51" t="s">
        <v>129</v>
      </c>
      <c r="C51" t="s">
        <v>415</v>
      </c>
      <c r="D51" t="s">
        <v>611</v>
      </c>
      <c r="E51" t="s">
        <v>1122</v>
      </c>
      <c r="F51" t="s">
        <v>1123</v>
      </c>
      <c r="G51" t="s">
        <v>1294</v>
      </c>
      <c r="H51">
        <v>5</v>
      </c>
      <c r="I51" t="s">
        <v>158</v>
      </c>
      <c r="J51" t="s">
        <v>211</v>
      </c>
      <c r="K51" t="str">
        <f t="shared" si="0"/>
        <v>COM_200701</v>
      </c>
    </row>
    <row r="52" spans="1:11">
      <c r="A52" t="s">
        <v>842</v>
      </c>
      <c r="B52" t="s">
        <v>129</v>
      </c>
      <c r="C52" t="s">
        <v>415</v>
      </c>
      <c r="D52" t="s">
        <v>845</v>
      </c>
      <c r="E52" t="s">
        <v>1124</v>
      </c>
      <c r="F52" t="s">
        <v>1125</v>
      </c>
      <c r="G52" t="s">
        <v>1294</v>
      </c>
      <c r="H52">
        <v>5</v>
      </c>
      <c r="I52" t="s">
        <v>158</v>
      </c>
      <c r="J52" t="s">
        <v>211</v>
      </c>
      <c r="K52" t="str">
        <f t="shared" si="0"/>
        <v>COM_200701</v>
      </c>
    </row>
    <row r="53" spans="1:11">
      <c r="A53" t="s">
        <v>963</v>
      </c>
      <c r="B53" t="s">
        <v>129</v>
      </c>
      <c r="C53" t="s">
        <v>415</v>
      </c>
      <c r="D53" t="s">
        <v>964</v>
      </c>
      <c r="E53" t="s">
        <v>1694</v>
      </c>
      <c r="F53" t="s">
        <v>1369</v>
      </c>
      <c r="G53" t="s">
        <v>1294</v>
      </c>
      <c r="H53">
        <v>5</v>
      </c>
      <c r="I53" t="s">
        <v>158</v>
      </c>
      <c r="J53" t="s">
        <v>211</v>
      </c>
      <c r="K53" t="str">
        <f t="shared" si="0"/>
        <v>COM_200701</v>
      </c>
    </row>
    <row r="54" spans="1:11">
      <c r="A54" t="s">
        <v>2133</v>
      </c>
      <c r="B54" t="s">
        <v>417</v>
      </c>
      <c r="C54" t="s">
        <v>2134</v>
      </c>
      <c r="D54" t="s">
        <v>145</v>
      </c>
      <c r="E54" t="s">
        <v>2296</v>
      </c>
      <c r="F54" t="s">
        <v>1399</v>
      </c>
      <c r="G54" t="s">
        <v>2134</v>
      </c>
      <c r="H54" t="s">
        <v>1977</v>
      </c>
      <c r="I54" t="s">
        <v>2135</v>
      </c>
      <c r="J54" t="s">
        <v>2593</v>
      </c>
      <c r="K54" t="str">
        <f t="shared" si="0"/>
        <v>COM_200702</v>
      </c>
    </row>
    <row r="55" spans="1:11">
      <c r="A55" t="s">
        <v>2136</v>
      </c>
      <c r="B55" t="s">
        <v>2137</v>
      </c>
      <c r="C55" t="s">
        <v>2138</v>
      </c>
      <c r="D55" t="s">
        <v>145</v>
      </c>
      <c r="E55" t="s">
        <v>2297</v>
      </c>
      <c r="F55" t="s">
        <v>2139</v>
      </c>
      <c r="G55" t="s">
        <v>2140</v>
      </c>
      <c r="H55">
        <v>5</v>
      </c>
      <c r="I55" t="s">
        <v>2141</v>
      </c>
      <c r="J55" t="s">
        <v>2594</v>
      </c>
      <c r="K55" t="str">
        <f t="shared" si="0"/>
        <v>COM_200801</v>
      </c>
    </row>
    <row r="56" spans="1:11">
      <c r="A56" t="s">
        <v>22</v>
      </c>
      <c r="B56" t="s">
        <v>418</v>
      </c>
      <c r="C56" t="s">
        <v>419</v>
      </c>
      <c r="D56" t="s">
        <v>288</v>
      </c>
      <c r="E56" t="s">
        <v>2298</v>
      </c>
      <c r="F56" t="s">
        <v>1509</v>
      </c>
      <c r="G56" t="s">
        <v>2142</v>
      </c>
      <c r="H56">
        <v>15</v>
      </c>
      <c r="I56" t="s">
        <v>2143</v>
      </c>
      <c r="J56" t="s">
        <v>2595</v>
      </c>
      <c r="K56" t="str">
        <f t="shared" si="0"/>
        <v>COM_200802</v>
      </c>
    </row>
    <row r="57" spans="1:11">
      <c r="A57" t="s">
        <v>23</v>
      </c>
      <c r="B57" t="s">
        <v>130</v>
      </c>
      <c r="C57" t="s">
        <v>420</v>
      </c>
      <c r="D57" t="s">
        <v>288</v>
      </c>
      <c r="E57" t="s">
        <v>2144</v>
      </c>
      <c r="F57" t="s">
        <v>2145</v>
      </c>
      <c r="G57" t="s">
        <v>2146</v>
      </c>
      <c r="H57">
        <v>5</v>
      </c>
      <c r="I57" t="s">
        <v>679</v>
      </c>
      <c r="J57" t="s">
        <v>209</v>
      </c>
      <c r="K57" t="str">
        <f t="shared" si="0"/>
        <v>COM_200803</v>
      </c>
    </row>
    <row r="58" spans="1:11">
      <c r="A58" t="s">
        <v>105</v>
      </c>
      <c r="B58" t="s">
        <v>130</v>
      </c>
      <c r="C58" t="s">
        <v>421</v>
      </c>
      <c r="D58" t="s">
        <v>288</v>
      </c>
      <c r="E58" t="s">
        <v>2147</v>
      </c>
      <c r="F58" t="s">
        <v>2148</v>
      </c>
      <c r="G58" t="s">
        <v>421</v>
      </c>
      <c r="H58">
        <v>5</v>
      </c>
      <c r="I58" t="s">
        <v>679</v>
      </c>
      <c r="J58" t="s">
        <v>209</v>
      </c>
      <c r="K58" t="str">
        <f t="shared" si="0"/>
        <v>COM_200803</v>
      </c>
    </row>
    <row r="59" spans="1:11">
      <c r="A59" t="s">
        <v>106</v>
      </c>
      <c r="B59" t="s">
        <v>130</v>
      </c>
      <c r="C59" t="s">
        <v>422</v>
      </c>
      <c r="D59" t="s">
        <v>288</v>
      </c>
      <c r="E59" t="s">
        <v>2149</v>
      </c>
      <c r="F59" t="s">
        <v>2150</v>
      </c>
      <c r="G59" t="s">
        <v>422</v>
      </c>
      <c r="H59">
        <v>5</v>
      </c>
      <c r="I59" t="s">
        <v>679</v>
      </c>
      <c r="J59" t="s">
        <v>209</v>
      </c>
      <c r="K59" t="str">
        <f t="shared" si="0"/>
        <v>COM_200803</v>
      </c>
    </row>
    <row r="60" spans="1:11">
      <c r="A60" t="s">
        <v>107</v>
      </c>
      <c r="B60" t="s">
        <v>130</v>
      </c>
      <c r="C60" t="s">
        <v>423</v>
      </c>
      <c r="D60" t="s">
        <v>288</v>
      </c>
      <c r="E60" t="s">
        <v>2151</v>
      </c>
      <c r="F60" t="s">
        <v>2152</v>
      </c>
      <c r="G60" t="s">
        <v>423</v>
      </c>
      <c r="H60">
        <v>5</v>
      </c>
      <c r="I60" t="s">
        <v>679</v>
      </c>
      <c r="J60" t="s">
        <v>209</v>
      </c>
      <c r="K60" t="str">
        <f t="shared" si="0"/>
        <v>COM_200803</v>
      </c>
    </row>
    <row r="61" spans="1:11">
      <c r="A61" t="s">
        <v>2153</v>
      </c>
      <c r="B61" t="s">
        <v>2154</v>
      </c>
      <c r="C61" t="s">
        <v>2155</v>
      </c>
      <c r="D61" t="s">
        <v>145</v>
      </c>
      <c r="E61" t="s">
        <v>2299</v>
      </c>
      <c r="F61" t="s">
        <v>2139</v>
      </c>
      <c r="G61" t="s">
        <v>2156</v>
      </c>
      <c r="H61" t="s">
        <v>1977</v>
      </c>
      <c r="I61" t="s">
        <v>2157</v>
      </c>
      <c r="J61" t="s">
        <v>2596</v>
      </c>
      <c r="K61" t="str">
        <f t="shared" si="0"/>
        <v>COM_200901</v>
      </c>
    </row>
    <row r="62" spans="1:11">
      <c r="A62" t="s">
        <v>2158</v>
      </c>
      <c r="B62" t="s">
        <v>2159</v>
      </c>
      <c r="C62" t="s">
        <v>2160</v>
      </c>
      <c r="D62" t="s">
        <v>2161</v>
      </c>
      <c r="E62" t="s">
        <v>2161</v>
      </c>
      <c r="F62" t="s">
        <v>2161</v>
      </c>
      <c r="G62" t="s">
        <v>2162</v>
      </c>
      <c r="H62">
        <v>10</v>
      </c>
      <c r="I62" t="s">
        <v>2163</v>
      </c>
      <c r="J62" t="s">
        <v>2597</v>
      </c>
      <c r="K62" t="str">
        <f t="shared" si="0"/>
        <v>COM_201101</v>
      </c>
    </row>
    <row r="63" spans="1:11">
      <c r="A63" t="s">
        <v>24</v>
      </c>
      <c r="B63" t="s">
        <v>131</v>
      </c>
      <c r="C63" t="s">
        <v>238</v>
      </c>
      <c r="D63" t="s">
        <v>288</v>
      </c>
      <c r="E63" t="s">
        <v>2164</v>
      </c>
      <c r="F63" t="s">
        <v>409</v>
      </c>
      <c r="G63" t="s">
        <v>131</v>
      </c>
      <c r="H63">
        <v>5</v>
      </c>
      <c r="I63" t="s">
        <v>154</v>
      </c>
      <c r="J63" t="s">
        <v>208</v>
      </c>
      <c r="K63" t="str">
        <f t="shared" si="0"/>
        <v>COM_201201</v>
      </c>
    </row>
    <row r="64" spans="1:11">
      <c r="A64" t="s">
        <v>1581</v>
      </c>
      <c r="B64" t="s">
        <v>2729</v>
      </c>
      <c r="C64" t="s">
        <v>1252</v>
      </c>
      <c r="D64" t="s">
        <v>287</v>
      </c>
      <c r="E64" t="s">
        <v>1695</v>
      </c>
      <c r="F64" t="s">
        <v>1485</v>
      </c>
      <c r="G64" t="s">
        <v>1330</v>
      </c>
      <c r="H64" t="s">
        <v>1977</v>
      </c>
      <c r="I64" t="s">
        <v>2730</v>
      </c>
      <c r="J64" t="s">
        <v>226</v>
      </c>
      <c r="K64" t="str">
        <f t="shared" si="0"/>
        <v>COM_201304</v>
      </c>
    </row>
    <row r="65" spans="1:11">
      <c r="A65" t="s">
        <v>1582</v>
      </c>
      <c r="B65" t="s">
        <v>2729</v>
      </c>
      <c r="C65" t="s">
        <v>864</v>
      </c>
      <c r="D65" t="s">
        <v>287</v>
      </c>
      <c r="E65" t="s">
        <v>2300</v>
      </c>
      <c r="F65" t="s">
        <v>1490</v>
      </c>
      <c r="G65" t="s">
        <v>1334</v>
      </c>
      <c r="H65" t="s">
        <v>1977</v>
      </c>
      <c r="I65" t="s">
        <v>2730</v>
      </c>
      <c r="J65" t="s">
        <v>226</v>
      </c>
      <c r="K65" t="str">
        <f t="shared" si="0"/>
        <v>COM_201304</v>
      </c>
    </row>
    <row r="66" spans="1:11">
      <c r="A66" t="s">
        <v>706</v>
      </c>
      <c r="B66" t="s">
        <v>2729</v>
      </c>
      <c r="C66" t="s">
        <v>707</v>
      </c>
      <c r="D66" t="s">
        <v>287</v>
      </c>
      <c r="E66" t="s">
        <v>1191</v>
      </c>
      <c r="F66" t="s">
        <v>862</v>
      </c>
      <c r="G66" t="s">
        <v>1335</v>
      </c>
      <c r="H66">
        <v>4</v>
      </c>
      <c r="I66" t="s">
        <v>2730</v>
      </c>
      <c r="J66" t="s">
        <v>226</v>
      </c>
      <c r="K66" t="str">
        <f t="shared" si="0"/>
        <v>COM_201304</v>
      </c>
    </row>
    <row r="67" spans="1:11">
      <c r="A67" t="s">
        <v>874</v>
      </c>
      <c r="B67" t="s">
        <v>2729</v>
      </c>
      <c r="C67" t="s">
        <v>875</v>
      </c>
      <c r="D67" t="s">
        <v>2350</v>
      </c>
      <c r="E67" t="s">
        <v>1696</v>
      </c>
      <c r="F67" t="s">
        <v>1110</v>
      </c>
      <c r="G67" t="s">
        <v>875</v>
      </c>
      <c r="H67">
        <v>14</v>
      </c>
      <c r="I67" t="s">
        <v>2730</v>
      </c>
      <c r="J67" t="s">
        <v>226</v>
      </c>
      <c r="K67" t="str">
        <f t="shared" ref="K67:K130" si="1">LEFT(A67,10)</f>
        <v>COM_201304</v>
      </c>
    </row>
    <row r="68" spans="1:11">
      <c r="A68" t="s">
        <v>1583</v>
      </c>
      <c r="B68" t="s">
        <v>2729</v>
      </c>
      <c r="C68" t="s">
        <v>1251</v>
      </c>
      <c r="D68" t="s">
        <v>2350</v>
      </c>
      <c r="E68" t="s">
        <v>1697</v>
      </c>
      <c r="F68" t="s">
        <v>1484</v>
      </c>
      <c r="G68" t="s">
        <v>1251</v>
      </c>
      <c r="H68">
        <v>14</v>
      </c>
      <c r="I68" t="s">
        <v>2730</v>
      </c>
      <c r="J68" t="s">
        <v>226</v>
      </c>
      <c r="K68" t="str">
        <f t="shared" si="1"/>
        <v>COM_201304</v>
      </c>
    </row>
    <row r="69" spans="1:11">
      <c r="A69" t="s">
        <v>1584</v>
      </c>
      <c r="B69" t="s">
        <v>2729</v>
      </c>
      <c r="C69" t="s">
        <v>1250</v>
      </c>
      <c r="D69" t="s">
        <v>1273</v>
      </c>
      <c r="E69" t="s">
        <v>1698</v>
      </c>
      <c r="F69" t="s">
        <v>1482</v>
      </c>
      <c r="G69" t="s">
        <v>1328</v>
      </c>
      <c r="H69">
        <v>13</v>
      </c>
      <c r="I69" t="s">
        <v>2730</v>
      </c>
      <c r="J69" t="s">
        <v>226</v>
      </c>
      <c r="K69" t="str">
        <f t="shared" si="1"/>
        <v>COM_201304</v>
      </c>
    </row>
    <row r="70" spans="1:11">
      <c r="A70" t="s">
        <v>1585</v>
      </c>
      <c r="B70" t="s">
        <v>2729</v>
      </c>
      <c r="C70" t="s">
        <v>1250</v>
      </c>
      <c r="D70" t="s">
        <v>1274</v>
      </c>
      <c r="E70" t="s">
        <v>1699</v>
      </c>
      <c r="F70" t="s">
        <v>1483</v>
      </c>
      <c r="G70" t="s">
        <v>1328</v>
      </c>
      <c r="H70">
        <v>13</v>
      </c>
      <c r="I70" t="s">
        <v>2730</v>
      </c>
      <c r="J70" t="s">
        <v>226</v>
      </c>
      <c r="K70" t="str">
        <f t="shared" si="1"/>
        <v>COM_201304</v>
      </c>
    </row>
    <row r="71" spans="1:11">
      <c r="A71" t="s">
        <v>1586</v>
      </c>
      <c r="B71" t="s">
        <v>2729</v>
      </c>
      <c r="C71" t="s">
        <v>1254</v>
      </c>
      <c r="D71" t="s">
        <v>1275</v>
      </c>
      <c r="E71" t="s">
        <v>1700</v>
      </c>
      <c r="F71" t="s">
        <v>1491</v>
      </c>
      <c r="G71" t="s">
        <v>1254</v>
      </c>
      <c r="H71">
        <v>11</v>
      </c>
      <c r="I71" t="s">
        <v>2730</v>
      </c>
      <c r="J71" t="s">
        <v>226</v>
      </c>
      <c r="K71" t="str">
        <f t="shared" si="1"/>
        <v>COM_201304</v>
      </c>
    </row>
    <row r="72" spans="1:11">
      <c r="A72" t="s">
        <v>1587</v>
      </c>
      <c r="B72" t="s">
        <v>2729</v>
      </c>
      <c r="C72" t="s">
        <v>1255</v>
      </c>
      <c r="D72" t="s">
        <v>1275</v>
      </c>
      <c r="E72" t="s">
        <v>1701</v>
      </c>
      <c r="F72" t="s">
        <v>1493</v>
      </c>
      <c r="G72" t="s">
        <v>783</v>
      </c>
      <c r="H72">
        <v>6</v>
      </c>
      <c r="I72" t="s">
        <v>2730</v>
      </c>
      <c r="J72" t="s">
        <v>226</v>
      </c>
      <c r="K72" t="str">
        <f t="shared" si="1"/>
        <v>COM_201304</v>
      </c>
    </row>
    <row r="73" spans="1:11">
      <c r="A73" t="s">
        <v>1588</v>
      </c>
      <c r="B73" t="s">
        <v>2729</v>
      </c>
      <c r="C73" t="s">
        <v>1253</v>
      </c>
      <c r="D73" t="s">
        <v>1273</v>
      </c>
      <c r="E73" t="s">
        <v>1702</v>
      </c>
      <c r="F73" t="s">
        <v>1486</v>
      </c>
      <c r="G73" t="s">
        <v>1253</v>
      </c>
      <c r="H73">
        <v>25</v>
      </c>
      <c r="I73" t="s">
        <v>2730</v>
      </c>
      <c r="J73" t="s">
        <v>226</v>
      </c>
      <c r="K73" t="str">
        <f t="shared" si="1"/>
        <v>COM_201304</v>
      </c>
    </row>
    <row r="74" spans="1:11">
      <c r="A74" t="s">
        <v>2103</v>
      </c>
      <c r="B74" t="s">
        <v>2729</v>
      </c>
      <c r="C74" t="s">
        <v>2301</v>
      </c>
      <c r="D74" t="s">
        <v>2105</v>
      </c>
      <c r="E74" t="s">
        <v>2302</v>
      </c>
      <c r="F74" t="s">
        <v>2303</v>
      </c>
      <c r="G74" t="s">
        <v>2104</v>
      </c>
      <c r="H74">
        <v>8</v>
      </c>
      <c r="I74" t="s">
        <v>2730</v>
      </c>
      <c r="J74" t="s">
        <v>226</v>
      </c>
      <c r="K74" t="str">
        <f t="shared" si="1"/>
        <v>COM_201304</v>
      </c>
    </row>
    <row r="75" spans="1:11">
      <c r="A75" t="s">
        <v>2106</v>
      </c>
      <c r="B75" t="s">
        <v>2729</v>
      </c>
      <c r="C75" t="s">
        <v>2301</v>
      </c>
      <c r="D75" t="s">
        <v>2107</v>
      </c>
      <c r="E75" t="s">
        <v>2304</v>
      </c>
      <c r="F75" t="s">
        <v>2305</v>
      </c>
      <c r="G75" t="s">
        <v>2104</v>
      </c>
      <c r="H75">
        <v>8</v>
      </c>
      <c r="I75" t="s">
        <v>2730</v>
      </c>
      <c r="J75" t="s">
        <v>226</v>
      </c>
      <c r="K75" t="str">
        <f t="shared" si="1"/>
        <v>COM_201304</v>
      </c>
    </row>
    <row r="76" spans="1:11">
      <c r="A76" t="s">
        <v>2108</v>
      </c>
      <c r="B76" t="s">
        <v>2729</v>
      </c>
      <c r="C76" t="s">
        <v>2306</v>
      </c>
      <c r="D76" t="s">
        <v>2105</v>
      </c>
      <c r="E76" t="s">
        <v>2307</v>
      </c>
      <c r="F76" t="s">
        <v>2308</v>
      </c>
      <c r="G76" t="s">
        <v>2109</v>
      </c>
      <c r="H76">
        <v>8</v>
      </c>
      <c r="I76" t="s">
        <v>2730</v>
      </c>
      <c r="J76" t="s">
        <v>226</v>
      </c>
      <c r="K76" t="str">
        <f t="shared" si="1"/>
        <v>COM_201304</v>
      </c>
    </row>
    <row r="77" spans="1:11">
      <c r="A77" t="s">
        <v>2110</v>
      </c>
      <c r="B77" t="s">
        <v>2729</v>
      </c>
      <c r="C77" t="s">
        <v>2306</v>
      </c>
      <c r="D77" t="s">
        <v>2107</v>
      </c>
      <c r="E77" t="s">
        <v>2309</v>
      </c>
      <c r="F77" t="s">
        <v>2310</v>
      </c>
      <c r="G77" t="s">
        <v>2109</v>
      </c>
      <c r="H77">
        <v>8</v>
      </c>
      <c r="I77" t="s">
        <v>2730</v>
      </c>
      <c r="J77" t="s">
        <v>226</v>
      </c>
      <c r="K77" t="str">
        <f t="shared" si="1"/>
        <v>COM_201304</v>
      </c>
    </row>
    <row r="78" spans="1:11">
      <c r="A78" t="s">
        <v>2311</v>
      </c>
      <c r="B78" t="s">
        <v>2729</v>
      </c>
      <c r="C78" t="s">
        <v>2312</v>
      </c>
      <c r="D78" t="s">
        <v>2105</v>
      </c>
      <c r="E78" t="s">
        <v>2313</v>
      </c>
      <c r="F78" t="s">
        <v>2314</v>
      </c>
      <c r="G78" t="s">
        <v>783</v>
      </c>
      <c r="H78">
        <v>9</v>
      </c>
      <c r="I78" t="s">
        <v>2730</v>
      </c>
      <c r="J78" t="s">
        <v>226</v>
      </c>
      <c r="K78" t="str">
        <f t="shared" si="1"/>
        <v>COM_201304</v>
      </c>
    </row>
    <row r="79" spans="1:11">
      <c r="A79" t="s">
        <v>2315</v>
      </c>
      <c r="B79" t="s">
        <v>2729</v>
      </c>
      <c r="C79" t="s">
        <v>2312</v>
      </c>
      <c r="D79" t="s">
        <v>2107</v>
      </c>
      <c r="E79" t="s">
        <v>2316</v>
      </c>
      <c r="F79" t="s">
        <v>2317</v>
      </c>
      <c r="G79" t="s">
        <v>783</v>
      </c>
      <c r="H79">
        <v>9</v>
      </c>
      <c r="I79" t="s">
        <v>2730</v>
      </c>
      <c r="J79" t="s">
        <v>226</v>
      </c>
      <c r="K79" t="str">
        <f t="shared" si="1"/>
        <v>COM_201304</v>
      </c>
    </row>
    <row r="80" spans="1:11">
      <c r="A80" t="s">
        <v>2318</v>
      </c>
      <c r="B80" t="s">
        <v>2729</v>
      </c>
      <c r="C80" t="s">
        <v>2319</v>
      </c>
      <c r="D80" t="s">
        <v>2105</v>
      </c>
      <c r="E80" t="s">
        <v>2320</v>
      </c>
      <c r="F80" t="s">
        <v>2321</v>
      </c>
      <c r="G80" t="s">
        <v>783</v>
      </c>
      <c r="H80">
        <v>9</v>
      </c>
      <c r="I80" t="s">
        <v>2730</v>
      </c>
      <c r="J80" t="s">
        <v>226</v>
      </c>
      <c r="K80" t="str">
        <f t="shared" si="1"/>
        <v>COM_201304</v>
      </c>
    </row>
    <row r="81" spans="1:11">
      <c r="A81" t="s">
        <v>2322</v>
      </c>
      <c r="B81" t="s">
        <v>2729</v>
      </c>
      <c r="C81" t="s">
        <v>2319</v>
      </c>
      <c r="D81" t="s">
        <v>2107</v>
      </c>
      <c r="E81" t="s">
        <v>2323</v>
      </c>
      <c r="F81" t="s">
        <v>2324</v>
      </c>
      <c r="G81" t="s">
        <v>783</v>
      </c>
      <c r="H81">
        <v>9</v>
      </c>
      <c r="I81" t="s">
        <v>2730</v>
      </c>
      <c r="J81" t="s">
        <v>226</v>
      </c>
      <c r="K81" t="str">
        <f t="shared" si="1"/>
        <v>COM_201304</v>
      </c>
    </row>
    <row r="82" spans="1:11">
      <c r="A82" t="s">
        <v>2325</v>
      </c>
      <c r="B82" t="s">
        <v>2729</v>
      </c>
      <c r="C82" t="s">
        <v>2326</v>
      </c>
      <c r="D82" t="s">
        <v>2105</v>
      </c>
      <c r="E82" t="s">
        <v>2327</v>
      </c>
      <c r="F82" t="s">
        <v>2328</v>
      </c>
      <c r="G82" t="s">
        <v>783</v>
      </c>
      <c r="H82">
        <v>8</v>
      </c>
      <c r="I82" t="s">
        <v>2730</v>
      </c>
      <c r="J82" t="s">
        <v>226</v>
      </c>
      <c r="K82" t="str">
        <f t="shared" si="1"/>
        <v>COM_201304</v>
      </c>
    </row>
    <row r="83" spans="1:11">
      <c r="A83" t="s">
        <v>2329</v>
      </c>
      <c r="B83" t="s">
        <v>2729</v>
      </c>
      <c r="C83" t="s">
        <v>2326</v>
      </c>
      <c r="D83" t="s">
        <v>2107</v>
      </c>
      <c r="E83" t="s">
        <v>2330</v>
      </c>
      <c r="F83" t="s">
        <v>2331</v>
      </c>
      <c r="G83" t="s">
        <v>783</v>
      </c>
      <c r="H83">
        <v>8</v>
      </c>
      <c r="I83" t="s">
        <v>2730</v>
      </c>
      <c r="J83" t="s">
        <v>226</v>
      </c>
      <c r="K83" t="str">
        <f t="shared" si="1"/>
        <v>COM_201304</v>
      </c>
    </row>
    <row r="84" spans="1:11">
      <c r="A84" t="s">
        <v>2332</v>
      </c>
      <c r="B84" t="s">
        <v>2729</v>
      </c>
      <c r="C84" t="s">
        <v>2333</v>
      </c>
      <c r="D84" t="s">
        <v>2105</v>
      </c>
      <c r="E84" t="s">
        <v>2334</v>
      </c>
      <c r="F84" t="s">
        <v>2335</v>
      </c>
      <c r="G84" t="s">
        <v>783</v>
      </c>
      <c r="H84">
        <v>8</v>
      </c>
      <c r="I84" t="s">
        <v>2730</v>
      </c>
      <c r="J84" t="s">
        <v>226</v>
      </c>
      <c r="K84" t="str">
        <f t="shared" si="1"/>
        <v>COM_201304</v>
      </c>
    </row>
    <row r="85" spans="1:11">
      <c r="A85" t="s">
        <v>348</v>
      </c>
      <c r="B85" t="s">
        <v>2729</v>
      </c>
      <c r="C85" t="s">
        <v>897</v>
      </c>
      <c r="D85" t="s">
        <v>287</v>
      </c>
      <c r="E85" t="s">
        <v>1703</v>
      </c>
      <c r="F85" t="s">
        <v>1489</v>
      </c>
      <c r="G85" t="s">
        <v>1333</v>
      </c>
      <c r="H85">
        <v>16</v>
      </c>
      <c r="I85" t="s">
        <v>2730</v>
      </c>
      <c r="J85" t="s">
        <v>226</v>
      </c>
      <c r="K85" t="str">
        <f t="shared" si="1"/>
        <v>COM_201304</v>
      </c>
    </row>
    <row r="86" spans="1:11">
      <c r="A86" t="s">
        <v>2336</v>
      </c>
      <c r="B86" t="s">
        <v>2729</v>
      </c>
      <c r="C86" t="s">
        <v>2333</v>
      </c>
      <c r="D86" t="s">
        <v>2107</v>
      </c>
      <c r="E86" t="s">
        <v>2337</v>
      </c>
      <c r="F86" t="s">
        <v>2338</v>
      </c>
      <c r="G86" t="s">
        <v>783</v>
      </c>
      <c r="H86">
        <v>8</v>
      </c>
      <c r="I86" t="s">
        <v>2730</v>
      </c>
      <c r="J86" t="s">
        <v>226</v>
      </c>
      <c r="K86" t="str">
        <f t="shared" si="1"/>
        <v>COM_201304</v>
      </c>
    </row>
    <row r="87" spans="1:11">
      <c r="A87" t="s">
        <v>632</v>
      </c>
      <c r="B87" t="s">
        <v>2729</v>
      </c>
      <c r="C87" t="s">
        <v>923</v>
      </c>
      <c r="D87" t="s">
        <v>287</v>
      </c>
      <c r="E87" t="s">
        <v>1186</v>
      </c>
      <c r="F87" t="s">
        <v>1112</v>
      </c>
      <c r="G87" t="s">
        <v>1329</v>
      </c>
      <c r="H87">
        <v>14</v>
      </c>
      <c r="I87" t="s">
        <v>2730</v>
      </c>
      <c r="J87" t="s">
        <v>226</v>
      </c>
      <c r="K87" t="str">
        <f t="shared" si="1"/>
        <v>COM_201304</v>
      </c>
    </row>
    <row r="88" spans="1:11">
      <c r="A88" t="s">
        <v>394</v>
      </c>
      <c r="B88" t="s">
        <v>2729</v>
      </c>
      <c r="C88" t="s">
        <v>275</v>
      </c>
      <c r="D88" t="s">
        <v>287</v>
      </c>
      <c r="E88" t="s">
        <v>1704</v>
      </c>
      <c r="F88" t="s">
        <v>1492</v>
      </c>
      <c r="G88" t="s">
        <v>1337</v>
      </c>
      <c r="H88">
        <v>8</v>
      </c>
      <c r="I88" t="s">
        <v>2730</v>
      </c>
      <c r="J88" t="s">
        <v>226</v>
      </c>
      <c r="K88" t="str">
        <f t="shared" si="1"/>
        <v>COM_201304</v>
      </c>
    </row>
    <row r="89" spans="1:11">
      <c r="A89" t="s">
        <v>932</v>
      </c>
      <c r="B89" t="s">
        <v>2729</v>
      </c>
      <c r="C89" t="s">
        <v>933</v>
      </c>
      <c r="D89" t="s">
        <v>287</v>
      </c>
      <c r="E89" t="s">
        <v>1705</v>
      </c>
      <c r="F89" t="s">
        <v>1487</v>
      </c>
      <c r="G89" t="s">
        <v>1331</v>
      </c>
      <c r="H89">
        <v>12</v>
      </c>
      <c r="I89" t="s">
        <v>2730</v>
      </c>
      <c r="J89" t="s">
        <v>226</v>
      </c>
      <c r="K89" t="str">
        <f t="shared" si="1"/>
        <v>COM_201304</v>
      </c>
    </row>
    <row r="90" spans="1:11">
      <c r="A90" t="s">
        <v>934</v>
      </c>
      <c r="B90" t="s">
        <v>2729</v>
      </c>
      <c r="C90" t="s">
        <v>870</v>
      </c>
      <c r="D90" t="s">
        <v>935</v>
      </c>
      <c r="E90" t="s">
        <v>1706</v>
      </c>
      <c r="F90" t="s">
        <v>1494</v>
      </c>
      <c r="G90" t="s">
        <v>1338</v>
      </c>
      <c r="H90">
        <v>11</v>
      </c>
      <c r="I90" t="s">
        <v>2730</v>
      </c>
      <c r="J90" t="s">
        <v>226</v>
      </c>
      <c r="K90" t="str">
        <f t="shared" si="1"/>
        <v>COM_201304</v>
      </c>
    </row>
    <row r="91" spans="1:11">
      <c r="A91" t="s">
        <v>851</v>
      </c>
      <c r="B91" t="s">
        <v>2729</v>
      </c>
      <c r="C91" t="s">
        <v>870</v>
      </c>
      <c r="D91" t="s">
        <v>936</v>
      </c>
      <c r="E91" t="s">
        <v>1187</v>
      </c>
      <c r="F91" t="s">
        <v>1116</v>
      </c>
      <c r="G91" t="s">
        <v>1338</v>
      </c>
      <c r="H91">
        <v>11</v>
      </c>
      <c r="I91" t="s">
        <v>2730</v>
      </c>
      <c r="J91" t="s">
        <v>226</v>
      </c>
      <c r="K91" t="str">
        <f t="shared" si="1"/>
        <v>COM_201304</v>
      </c>
    </row>
    <row r="92" spans="1:11">
      <c r="A92" t="s">
        <v>118</v>
      </c>
      <c r="B92" t="s">
        <v>2729</v>
      </c>
      <c r="C92" t="s">
        <v>633</v>
      </c>
      <c r="D92" t="s">
        <v>287</v>
      </c>
      <c r="E92" t="s">
        <v>1185</v>
      </c>
      <c r="F92" t="s">
        <v>1115</v>
      </c>
      <c r="G92" t="s">
        <v>633</v>
      </c>
      <c r="H92">
        <v>23</v>
      </c>
      <c r="I92" t="s">
        <v>2730</v>
      </c>
      <c r="J92" t="s">
        <v>226</v>
      </c>
      <c r="K92" t="str">
        <f t="shared" si="1"/>
        <v>COM_201304</v>
      </c>
    </row>
    <row r="93" spans="1:11">
      <c r="A93" t="s">
        <v>937</v>
      </c>
      <c r="B93" t="s">
        <v>2729</v>
      </c>
      <c r="C93" t="s">
        <v>938</v>
      </c>
      <c r="D93" t="s">
        <v>287</v>
      </c>
      <c r="E93" t="s">
        <v>1707</v>
      </c>
      <c r="F93" t="s">
        <v>1488</v>
      </c>
      <c r="G93" t="s">
        <v>1332</v>
      </c>
      <c r="H93">
        <v>20</v>
      </c>
      <c r="I93" t="s">
        <v>2730</v>
      </c>
      <c r="J93" t="s">
        <v>226</v>
      </c>
      <c r="K93" t="str">
        <f t="shared" si="1"/>
        <v>COM_201304</v>
      </c>
    </row>
    <row r="94" spans="1:11">
      <c r="A94" t="s">
        <v>849</v>
      </c>
      <c r="B94" t="s">
        <v>2729</v>
      </c>
      <c r="C94" t="s">
        <v>871</v>
      </c>
      <c r="D94" t="s">
        <v>1273</v>
      </c>
      <c r="E94" t="s">
        <v>1188</v>
      </c>
      <c r="F94" t="s">
        <v>1111</v>
      </c>
      <c r="G94" t="s">
        <v>1336</v>
      </c>
      <c r="H94">
        <v>14</v>
      </c>
      <c r="I94" t="s">
        <v>2730</v>
      </c>
      <c r="J94" t="s">
        <v>226</v>
      </c>
      <c r="K94" t="str">
        <f t="shared" si="1"/>
        <v>COM_201304</v>
      </c>
    </row>
    <row r="95" spans="1:11">
      <c r="A95" t="s">
        <v>850</v>
      </c>
      <c r="B95" t="s">
        <v>2729</v>
      </c>
      <c r="C95" t="s">
        <v>871</v>
      </c>
      <c r="D95" t="s">
        <v>1274</v>
      </c>
      <c r="E95" t="s">
        <v>1189</v>
      </c>
      <c r="F95" t="s">
        <v>1114</v>
      </c>
      <c r="G95" t="s">
        <v>1336</v>
      </c>
      <c r="H95">
        <v>14</v>
      </c>
      <c r="I95" t="s">
        <v>2730</v>
      </c>
      <c r="J95" t="s">
        <v>226</v>
      </c>
      <c r="K95" t="str">
        <f t="shared" si="1"/>
        <v>COM_201304</v>
      </c>
    </row>
    <row r="96" spans="1:11">
      <c r="A96" t="s">
        <v>848</v>
      </c>
      <c r="B96" t="s">
        <v>2729</v>
      </c>
      <c r="C96" t="s">
        <v>871</v>
      </c>
      <c r="D96" t="s">
        <v>1268</v>
      </c>
      <c r="E96" t="s">
        <v>1190</v>
      </c>
      <c r="F96" t="s">
        <v>1113</v>
      </c>
      <c r="G96" t="s">
        <v>1336</v>
      </c>
      <c r="H96">
        <v>14</v>
      </c>
      <c r="I96" t="s">
        <v>2730</v>
      </c>
      <c r="J96" t="s">
        <v>226</v>
      </c>
      <c r="K96" t="str">
        <f t="shared" si="1"/>
        <v>COM_201304</v>
      </c>
    </row>
    <row r="97" spans="1:11">
      <c r="A97" t="s">
        <v>25</v>
      </c>
      <c r="B97" t="s">
        <v>147</v>
      </c>
      <c r="C97" t="s">
        <v>424</v>
      </c>
      <c r="D97" t="s">
        <v>288</v>
      </c>
      <c r="E97" t="s">
        <v>2165</v>
      </c>
      <c r="F97" t="s">
        <v>424</v>
      </c>
      <c r="G97" t="s">
        <v>2166</v>
      </c>
      <c r="H97">
        <v>5</v>
      </c>
      <c r="I97" t="s">
        <v>164</v>
      </c>
      <c r="J97" t="s">
        <v>212</v>
      </c>
      <c r="K97" t="str">
        <f t="shared" si="1"/>
        <v>COM_201305</v>
      </c>
    </row>
    <row r="98" spans="1:11">
      <c r="A98" t="s">
        <v>26</v>
      </c>
      <c r="B98" t="s">
        <v>132</v>
      </c>
      <c r="C98" t="s">
        <v>132</v>
      </c>
      <c r="D98" t="s">
        <v>288</v>
      </c>
      <c r="E98" t="s">
        <v>132</v>
      </c>
      <c r="F98" t="s">
        <v>2413</v>
      </c>
      <c r="G98" t="s">
        <v>2414</v>
      </c>
      <c r="H98">
        <v>15</v>
      </c>
      <c r="I98" t="s">
        <v>2415</v>
      </c>
      <c r="J98" t="s">
        <v>213</v>
      </c>
      <c r="K98" t="str">
        <f t="shared" si="1"/>
        <v>COM_201401</v>
      </c>
    </row>
    <row r="99" spans="1:11">
      <c r="A99" t="s">
        <v>1589</v>
      </c>
      <c r="B99" t="s">
        <v>1240</v>
      </c>
      <c r="C99" t="s">
        <v>1265</v>
      </c>
      <c r="D99" t="s">
        <v>288</v>
      </c>
      <c r="E99" t="s">
        <v>1240</v>
      </c>
      <c r="F99" t="s">
        <v>1240</v>
      </c>
      <c r="G99" t="s">
        <v>1362</v>
      </c>
      <c r="H99" t="s">
        <v>1977</v>
      </c>
      <c r="I99" t="s">
        <v>2055</v>
      </c>
      <c r="J99" t="s">
        <v>2598</v>
      </c>
      <c r="K99" t="str">
        <f t="shared" si="1"/>
        <v>COM_201402</v>
      </c>
    </row>
    <row r="100" spans="1:11">
      <c r="A100" t="s">
        <v>108</v>
      </c>
      <c r="B100" t="s">
        <v>133</v>
      </c>
      <c r="C100" t="s">
        <v>278</v>
      </c>
      <c r="D100" t="s">
        <v>784</v>
      </c>
      <c r="E100" t="s">
        <v>1708</v>
      </c>
      <c r="F100" t="s">
        <v>1196</v>
      </c>
      <c r="G100" t="s">
        <v>1347</v>
      </c>
      <c r="H100">
        <v>8</v>
      </c>
      <c r="I100" t="s">
        <v>2416</v>
      </c>
      <c r="J100" t="s">
        <v>215</v>
      </c>
      <c r="K100" t="str">
        <f t="shared" si="1"/>
        <v>COM_201403</v>
      </c>
    </row>
    <row r="101" spans="1:11">
      <c r="A101" t="s">
        <v>27</v>
      </c>
      <c r="B101" t="s">
        <v>133</v>
      </c>
      <c r="C101" t="s">
        <v>278</v>
      </c>
      <c r="D101" t="s">
        <v>145</v>
      </c>
      <c r="E101" t="s">
        <v>1195</v>
      </c>
      <c r="F101" t="s">
        <v>1196</v>
      </c>
      <c r="G101" t="s">
        <v>1347</v>
      </c>
      <c r="H101">
        <v>8</v>
      </c>
      <c r="I101" t="s">
        <v>2416</v>
      </c>
      <c r="J101" t="s">
        <v>215</v>
      </c>
      <c r="K101" t="str">
        <f t="shared" si="1"/>
        <v>COM_201403</v>
      </c>
    </row>
    <row r="102" spans="1:11">
      <c r="A102" t="s">
        <v>109</v>
      </c>
      <c r="B102" t="s">
        <v>133</v>
      </c>
      <c r="C102" t="s">
        <v>276</v>
      </c>
      <c r="D102" t="s">
        <v>784</v>
      </c>
      <c r="E102" t="s">
        <v>1709</v>
      </c>
      <c r="F102" t="s">
        <v>1194</v>
      </c>
      <c r="G102" t="s">
        <v>1347</v>
      </c>
      <c r="H102">
        <v>8</v>
      </c>
      <c r="I102" t="s">
        <v>2416</v>
      </c>
      <c r="J102" t="s">
        <v>215</v>
      </c>
      <c r="K102" t="str">
        <f t="shared" si="1"/>
        <v>COM_201403</v>
      </c>
    </row>
    <row r="103" spans="1:11">
      <c r="A103" t="s">
        <v>28</v>
      </c>
      <c r="B103" t="s">
        <v>133</v>
      </c>
      <c r="C103" t="s">
        <v>276</v>
      </c>
      <c r="D103" t="s">
        <v>145</v>
      </c>
      <c r="E103" t="s">
        <v>1193</v>
      </c>
      <c r="F103" t="s">
        <v>1194</v>
      </c>
      <c r="G103" t="s">
        <v>1347</v>
      </c>
      <c r="H103">
        <v>8</v>
      </c>
      <c r="I103" t="s">
        <v>2416</v>
      </c>
      <c r="J103" t="s">
        <v>215</v>
      </c>
      <c r="K103" t="str">
        <f t="shared" si="1"/>
        <v>COM_201403</v>
      </c>
    </row>
    <row r="104" spans="1:11">
      <c r="A104" t="s">
        <v>100</v>
      </c>
      <c r="B104" t="s">
        <v>133</v>
      </c>
      <c r="C104" t="s">
        <v>279</v>
      </c>
      <c r="D104" t="s">
        <v>784</v>
      </c>
      <c r="E104" t="s">
        <v>1710</v>
      </c>
      <c r="F104" t="s">
        <v>1198</v>
      </c>
      <c r="G104" t="s">
        <v>1348</v>
      </c>
      <c r="H104">
        <v>8</v>
      </c>
      <c r="I104" t="s">
        <v>2416</v>
      </c>
      <c r="J104" t="s">
        <v>215</v>
      </c>
      <c r="K104" t="str">
        <f t="shared" si="1"/>
        <v>COM_201403</v>
      </c>
    </row>
    <row r="105" spans="1:11">
      <c r="A105" t="s">
        <v>89</v>
      </c>
      <c r="B105" t="s">
        <v>133</v>
      </c>
      <c r="C105" t="s">
        <v>279</v>
      </c>
      <c r="D105" t="s">
        <v>145</v>
      </c>
      <c r="E105" t="s">
        <v>1197</v>
      </c>
      <c r="F105" t="s">
        <v>1198</v>
      </c>
      <c r="G105" t="s">
        <v>1348</v>
      </c>
      <c r="H105">
        <v>8</v>
      </c>
      <c r="I105" t="s">
        <v>2416</v>
      </c>
      <c r="J105" t="s">
        <v>215</v>
      </c>
      <c r="K105" t="str">
        <f t="shared" si="1"/>
        <v>COM_201403</v>
      </c>
    </row>
    <row r="106" spans="1:11">
      <c r="A106" t="s">
        <v>101</v>
      </c>
      <c r="B106" t="s">
        <v>133</v>
      </c>
      <c r="C106" t="s">
        <v>277</v>
      </c>
      <c r="D106" t="s">
        <v>784</v>
      </c>
      <c r="E106" t="s">
        <v>1711</v>
      </c>
      <c r="F106" t="s">
        <v>1200</v>
      </c>
      <c r="G106" t="s">
        <v>1348</v>
      </c>
      <c r="H106">
        <v>8</v>
      </c>
      <c r="I106" t="s">
        <v>2416</v>
      </c>
      <c r="J106" t="s">
        <v>215</v>
      </c>
      <c r="K106" t="str">
        <f t="shared" si="1"/>
        <v>COM_201403</v>
      </c>
    </row>
    <row r="107" spans="1:11">
      <c r="A107" t="s">
        <v>90</v>
      </c>
      <c r="B107" t="s">
        <v>133</v>
      </c>
      <c r="C107" t="s">
        <v>277</v>
      </c>
      <c r="D107" t="s">
        <v>145</v>
      </c>
      <c r="E107" t="s">
        <v>1199</v>
      </c>
      <c r="F107" t="s">
        <v>1200</v>
      </c>
      <c r="G107" t="s">
        <v>1348</v>
      </c>
      <c r="H107">
        <v>8</v>
      </c>
      <c r="I107" t="s">
        <v>2416</v>
      </c>
      <c r="J107" t="s">
        <v>215</v>
      </c>
      <c r="K107" t="str">
        <f t="shared" si="1"/>
        <v>COM_201403</v>
      </c>
    </row>
    <row r="108" spans="1:11">
      <c r="A108" t="s">
        <v>2167</v>
      </c>
      <c r="B108" t="s">
        <v>2168</v>
      </c>
      <c r="C108" t="s">
        <v>2169</v>
      </c>
      <c r="D108" t="s">
        <v>288</v>
      </c>
      <c r="E108" t="s">
        <v>2170</v>
      </c>
      <c r="F108" t="s">
        <v>2170</v>
      </c>
      <c r="G108" t="s">
        <v>2171</v>
      </c>
      <c r="H108" t="s">
        <v>1977</v>
      </c>
      <c r="I108" t="s">
        <v>2172</v>
      </c>
      <c r="J108" t="s">
        <v>2599</v>
      </c>
      <c r="K108" t="str">
        <f t="shared" si="1"/>
        <v>COM_201404</v>
      </c>
    </row>
    <row r="109" spans="1:11">
      <c r="A109" t="s">
        <v>362</v>
      </c>
      <c r="B109" t="s">
        <v>134</v>
      </c>
      <c r="C109" t="s">
        <v>254</v>
      </c>
      <c r="D109" t="s">
        <v>288</v>
      </c>
      <c r="E109" t="s">
        <v>1712</v>
      </c>
      <c r="F109" t="s">
        <v>1507</v>
      </c>
      <c r="G109" t="s">
        <v>254</v>
      </c>
      <c r="H109">
        <v>5</v>
      </c>
      <c r="I109" t="s">
        <v>156</v>
      </c>
      <c r="J109" t="s">
        <v>227</v>
      </c>
      <c r="K109" t="str">
        <f t="shared" si="1"/>
        <v>COM_201405</v>
      </c>
    </row>
    <row r="110" spans="1:11">
      <c r="A110" t="s">
        <v>341</v>
      </c>
      <c r="B110" t="s">
        <v>134</v>
      </c>
      <c r="C110" t="s">
        <v>241</v>
      </c>
      <c r="D110" t="s">
        <v>288</v>
      </c>
      <c r="E110" t="s">
        <v>1713</v>
      </c>
      <c r="F110" t="s">
        <v>1506</v>
      </c>
      <c r="G110" t="s">
        <v>241</v>
      </c>
      <c r="H110">
        <v>5</v>
      </c>
      <c r="I110" t="s">
        <v>156</v>
      </c>
      <c r="J110" t="s">
        <v>227</v>
      </c>
      <c r="K110" t="str">
        <f t="shared" si="1"/>
        <v>COM_201405</v>
      </c>
    </row>
    <row r="111" spans="1:11">
      <c r="A111" t="s">
        <v>2339</v>
      </c>
      <c r="B111" t="s">
        <v>844</v>
      </c>
      <c r="C111" t="s">
        <v>1950</v>
      </c>
      <c r="D111" t="s">
        <v>145</v>
      </c>
      <c r="E111" t="s">
        <v>1950</v>
      </c>
      <c r="F111" t="s">
        <v>2111</v>
      </c>
      <c r="G111" t="s">
        <v>1950</v>
      </c>
      <c r="H111">
        <v>30</v>
      </c>
      <c r="I111" t="s">
        <v>2340</v>
      </c>
      <c r="J111" t="s">
        <v>2600</v>
      </c>
      <c r="K111" t="str">
        <f t="shared" si="1"/>
        <v>COM_201601</v>
      </c>
    </row>
    <row r="112" spans="1:11">
      <c r="A112" t="s">
        <v>2351</v>
      </c>
      <c r="B112" t="s">
        <v>2422</v>
      </c>
      <c r="C112" t="s">
        <v>2423</v>
      </c>
      <c r="D112" t="s">
        <v>2424</v>
      </c>
      <c r="E112" t="s">
        <v>2425</v>
      </c>
      <c r="F112" t="s">
        <v>2426</v>
      </c>
      <c r="G112" t="s">
        <v>2427</v>
      </c>
      <c r="H112">
        <v>20</v>
      </c>
      <c r="I112" t="s">
        <v>2352</v>
      </c>
      <c r="J112" t="s">
        <v>2601</v>
      </c>
      <c r="K112" t="str">
        <f t="shared" si="1"/>
        <v>COM_202201</v>
      </c>
    </row>
    <row r="113" spans="1:11">
      <c r="A113" t="s">
        <v>2353</v>
      </c>
      <c r="B113" t="s">
        <v>2422</v>
      </c>
      <c r="C113" t="s">
        <v>2428</v>
      </c>
      <c r="D113" t="s">
        <v>2429</v>
      </c>
      <c r="E113" t="s">
        <v>2430</v>
      </c>
      <c r="F113" t="s">
        <v>2431</v>
      </c>
      <c r="G113" t="s">
        <v>2432</v>
      </c>
      <c r="H113">
        <v>20</v>
      </c>
      <c r="I113" t="s">
        <v>2352</v>
      </c>
      <c r="J113" t="s">
        <v>2601</v>
      </c>
      <c r="K113" t="str">
        <f t="shared" si="1"/>
        <v>COM_202201</v>
      </c>
    </row>
    <row r="114" spans="1:11">
      <c r="A114" t="s">
        <v>2433</v>
      </c>
      <c r="B114" t="s">
        <v>2422</v>
      </c>
      <c r="C114" t="s">
        <v>2434</v>
      </c>
      <c r="D114" t="s">
        <v>2429</v>
      </c>
      <c r="E114" t="s">
        <v>2435</v>
      </c>
      <c r="F114" t="s">
        <v>2436</v>
      </c>
      <c r="G114" t="s">
        <v>2437</v>
      </c>
      <c r="H114">
        <v>20</v>
      </c>
      <c r="I114" t="s">
        <v>2352</v>
      </c>
      <c r="J114" t="s">
        <v>2601</v>
      </c>
      <c r="K114" t="str">
        <f t="shared" si="1"/>
        <v>COM_202201</v>
      </c>
    </row>
    <row r="115" spans="1:11">
      <c r="A115" t="s">
        <v>2438</v>
      </c>
      <c r="B115" t="s">
        <v>2422</v>
      </c>
      <c r="C115" t="s">
        <v>2439</v>
      </c>
      <c r="D115" t="s">
        <v>2440</v>
      </c>
      <c r="E115" t="s">
        <v>2441</v>
      </c>
      <c r="F115" t="s">
        <v>2442</v>
      </c>
      <c r="G115" t="s">
        <v>2443</v>
      </c>
      <c r="H115">
        <v>20</v>
      </c>
      <c r="I115" t="s">
        <v>2352</v>
      </c>
      <c r="J115" t="s">
        <v>2601</v>
      </c>
      <c r="K115" t="str">
        <f t="shared" si="1"/>
        <v>COM_202201</v>
      </c>
    </row>
    <row r="116" spans="1:11">
      <c r="A116" t="s">
        <v>2444</v>
      </c>
      <c r="B116" t="s">
        <v>2422</v>
      </c>
      <c r="C116" t="s">
        <v>2439</v>
      </c>
      <c r="D116" t="s">
        <v>2429</v>
      </c>
      <c r="E116" t="s">
        <v>2445</v>
      </c>
      <c r="F116" t="s">
        <v>2446</v>
      </c>
      <c r="G116" t="s">
        <v>2443</v>
      </c>
      <c r="H116">
        <v>20</v>
      </c>
      <c r="I116" t="s">
        <v>2352</v>
      </c>
      <c r="J116" t="s">
        <v>2601</v>
      </c>
      <c r="K116" t="str">
        <f t="shared" si="1"/>
        <v>COM_202201</v>
      </c>
    </row>
    <row r="117" spans="1:11">
      <c r="A117" t="s">
        <v>2447</v>
      </c>
      <c r="B117" t="s">
        <v>2422</v>
      </c>
      <c r="C117" t="s">
        <v>2448</v>
      </c>
      <c r="D117" t="s">
        <v>2440</v>
      </c>
      <c r="E117" t="s">
        <v>2449</v>
      </c>
      <c r="F117" t="s">
        <v>2450</v>
      </c>
      <c r="G117" t="s">
        <v>2451</v>
      </c>
      <c r="H117">
        <v>20</v>
      </c>
      <c r="I117" t="s">
        <v>2352</v>
      </c>
      <c r="J117" t="s">
        <v>2601</v>
      </c>
      <c r="K117" t="str">
        <f t="shared" si="1"/>
        <v>COM_202201</v>
      </c>
    </row>
    <row r="118" spans="1:11">
      <c r="A118" t="s">
        <v>2452</v>
      </c>
      <c r="B118" t="s">
        <v>2422</v>
      </c>
      <c r="C118" t="s">
        <v>2448</v>
      </c>
      <c r="D118" t="s">
        <v>2429</v>
      </c>
      <c r="E118" t="s">
        <v>2453</v>
      </c>
      <c r="F118" t="s">
        <v>2454</v>
      </c>
      <c r="G118" t="s">
        <v>2451</v>
      </c>
      <c r="H118">
        <v>20</v>
      </c>
      <c r="I118" t="s">
        <v>2352</v>
      </c>
      <c r="J118" t="s">
        <v>2601</v>
      </c>
      <c r="K118" t="str">
        <f t="shared" si="1"/>
        <v>COM_202201</v>
      </c>
    </row>
    <row r="119" spans="1:11">
      <c r="A119" t="s">
        <v>1590</v>
      </c>
      <c r="B119" t="s">
        <v>1241</v>
      </c>
      <c r="C119" t="s">
        <v>1266</v>
      </c>
      <c r="D119" t="s">
        <v>288</v>
      </c>
      <c r="E119" t="s">
        <v>1574</v>
      </c>
      <c r="F119" t="s">
        <v>1574</v>
      </c>
      <c r="G119" t="s">
        <v>1364</v>
      </c>
      <c r="H119">
        <v>10</v>
      </c>
      <c r="I119" t="s">
        <v>2056</v>
      </c>
      <c r="J119" t="s">
        <v>2602</v>
      </c>
      <c r="K119" t="str">
        <f t="shared" si="1"/>
        <v>IND_199801</v>
      </c>
    </row>
    <row r="120" spans="1:11">
      <c r="A120" t="s">
        <v>2173</v>
      </c>
      <c r="B120" t="s">
        <v>2174</v>
      </c>
      <c r="C120" t="s">
        <v>2175</v>
      </c>
      <c r="D120" t="s">
        <v>145</v>
      </c>
      <c r="E120" t="s">
        <v>2176</v>
      </c>
      <c r="F120" t="s">
        <v>2176</v>
      </c>
      <c r="G120" t="s">
        <v>2177</v>
      </c>
      <c r="H120" t="s">
        <v>1977</v>
      </c>
      <c r="I120" t="s">
        <v>2178</v>
      </c>
      <c r="J120" t="s">
        <v>2603</v>
      </c>
      <c r="K120" t="str">
        <f t="shared" si="1"/>
        <v>IND_199802</v>
      </c>
    </row>
    <row r="121" spans="1:11">
      <c r="A121" t="s">
        <v>2179</v>
      </c>
      <c r="B121" t="s">
        <v>2174</v>
      </c>
      <c r="C121" t="s">
        <v>2180</v>
      </c>
      <c r="D121" t="s">
        <v>145</v>
      </c>
      <c r="E121" t="s">
        <v>2181</v>
      </c>
      <c r="F121" t="s">
        <v>2181</v>
      </c>
      <c r="G121" t="s">
        <v>2177</v>
      </c>
      <c r="H121" t="s">
        <v>1977</v>
      </c>
      <c r="I121" t="s">
        <v>2178</v>
      </c>
      <c r="J121" t="s">
        <v>2603</v>
      </c>
      <c r="K121" t="str">
        <f t="shared" si="1"/>
        <v>IND_199802</v>
      </c>
    </row>
    <row r="122" spans="1:11">
      <c r="A122" t="s">
        <v>2182</v>
      </c>
      <c r="B122" t="s">
        <v>2174</v>
      </c>
      <c r="C122" t="s">
        <v>2183</v>
      </c>
      <c r="D122" t="s">
        <v>145</v>
      </c>
      <c r="E122" t="s">
        <v>2184</v>
      </c>
      <c r="F122" t="s">
        <v>2184</v>
      </c>
      <c r="G122" t="s">
        <v>2185</v>
      </c>
      <c r="H122" t="s">
        <v>1977</v>
      </c>
      <c r="I122" t="s">
        <v>2178</v>
      </c>
      <c r="J122" t="s">
        <v>2603</v>
      </c>
      <c r="K122" t="str">
        <f t="shared" si="1"/>
        <v>IND_199802</v>
      </c>
    </row>
    <row r="123" spans="1:11">
      <c r="A123" t="s">
        <v>2186</v>
      </c>
      <c r="B123" t="s">
        <v>2187</v>
      </c>
      <c r="C123" t="s">
        <v>2188</v>
      </c>
      <c r="D123" t="s">
        <v>145</v>
      </c>
      <c r="E123" t="s">
        <v>2189</v>
      </c>
      <c r="F123" t="s">
        <v>2189</v>
      </c>
      <c r="G123" t="s">
        <v>2188</v>
      </c>
      <c r="H123">
        <v>20</v>
      </c>
      <c r="I123" t="s">
        <v>2190</v>
      </c>
      <c r="J123" t="s">
        <v>2604</v>
      </c>
      <c r="K123" t="str">
        <f t="shared" si="1"/>
        <v>IND_199901</v>
      </c>
    </row>
    <row r="124" spans="1:11">
      <c r="A124" t="s">
        <v>30</v>
      </c>
      <c r="B124" t="s">
        <v>425</v>
      </c>
      <c r="C124" t="s">
        <v>426</v>
      </c>
      <c r="D124" t="s">
        <v>288</v>
      </c>
      <c r="E124" t="s">
        <v>2191</v>
      </c>
      <c r="F124" t="s">
        <v>2191</v>
      </c>
      <c r="G124" t="s">
        <v>2192</v>
      </c>
      <c r="H124">
        <v>10</v>
      </c>
      <c r="I124" t="s">
        <v>2193</v>
      </c>
      <c r="J124" t="s">
        <v>2605</v>
      </c>
      <c r="K124" t="str">
        <f t="shared" si="1"/>
        <v>IND_199902</v>
      </c>
    </row>
    <row r="125" spans="1:11">
      <c r="A125" t="s">
        <v>31</v>
      </c>
      <c r="B125" t="s">
        <v>425</v>
      </c>
      <c r="C125" t="s">
        <v>427</v>
      </c>
      <c r="D125" t="s">
        <v>288</v>
      </c>
      <c r="E125" t="s">
        <v>2194</v>
      </c>
      <c r="F125" t="s">
        <v>2194</v>
      </c>
      <c r="G125" t="s">
        <v>2194</v>
      </c>
      <c r="H125">
        <v>10</v>
      </c>
      <c r="I125" t="s">
        <v>2193</v>
      </c>
      <c r="J125" t="s">
        <v>2605</v>
      </c>
      <c r="K125" t="str">
        <f t="shared" si="1"/>
        <v>IND_199902</v>
      </c>
    </row>
    <row r="126" spans="1:11">
      <c r="A126" t="s">
        <v>1591</v>
      </c>
      <c r="B126" t="s">
        <v>1238</v>
      </c>
      <c r="C126" t="s">
        <v>1257</v>
      </c>
      <c r="D126" t="s">
        <v>288</v>
      </c>
      <c r="E126" t="s">
        <v>1508</v>
      </c>
      <c r="F126" t="s">
        <v>1508</v>
      </c>
      <c r="G126" t="s">
        <v>783</v>
      </c>
      <c r="H126">
        <v>10</v>
      </c>
      <c r="I126" t="s">
        <v>2057</v>
      </c>
      <c r="J126" t="s">
        <v>2606</v>
      </c>
      <c r="K126" t="str">
        <f t="shared" si="1"/>
        <v>IND_200004</v>
      </c>
    </row>
    <row r="127" spans="1:11">
      <c r="A127" t="s">
        <v>32</v>
      </c>
      <c r="B127" t="s">
        <v>135</v>
      </c>
      <c r="C127" t="s">
        <v>262</v>
      </c>
      <c r="D127" t="s">
        <v>288</v>
      </c>
      <c r="E127" t="s">
        <v>1714</v>
      </c>
      <c r="F127" t="s">
        <v>1373</v>
      </c>
      <c r="G127" t="s">
        <v>1298</v>
      </c>
      <c r="H127">
        <v>9</v>
      </c>
      <c r="I127" t="s">
        <v>161</v>
      </c>
      <c r="J127" t="s">
        <v>216</v>
      </c>
      <c r="K127" t="str">
        <f t="shared" si="1"/>
        <v>IND_200402</v>
      </c>
    </row>
    <row r="128" spans="1:11">
      <c r="A128" t="s">
        <v>33</v>
      </c>
      <c r="B128" t="s">
        <v>135</v>
      </c>
      <c r="C128" t="s">
        <v>247</v>
      </c>
      <c r="D128" t="s">
        <v>288</v>
      </c>
      <c r="E128" t="s">
        <v>1126</v>
      </c>
      <c r="F128" t="s">
        <v>1127</v>
      </c>
      <c r="G128" t="s">
        <v>1295</v>
      </c>
      <c r="H128">
        <v>9</v>
      </c>
      <c r="I128" t="s">
        <v>161</v>
      </c>
      <c r="J128" t="s">
        <v>216</v>
      </c>
      <c r="K128" t="str">
        <f t="shared" si="1"/>
        <v>IND_200402</v>
      </c>
    </row>
    <row r="129" spans="1:11">
      <c r="A129" t="s">
        <v>1592</v>
      </c>
      <c r="B129" t="s">
        <v>135</v>
      </c>
      <c r="C129" t="s">
        <v>1243</v>
      </c>
      <c r="D129" t="s">
        <v>1268</v>
      </c>
      <c r="E129" t="s">
        <v>1715</v>
      </c>
      <c r="F129" t="s">
        <v>1371</v>
      </c>
      <c r="G129" t="s">
        <v>1296</v>
      </c>
      <c r="H129">
        <v>9</v>
      </c>
      <c r="I129" t="s">
        <v>161</v>
      </c>
      <c r="J129" t="s">
        <v>216</v>
      </c>
      <c r="K129" t="str">
        <f t="shared" si="1"/>
        <v>IND_200402</v>
      </c>
    </row>
    <row r="130" spans="1:11">
      <c r="A130" t="s">
        <v>363</v>
      </c>
      <c r="B130" t="s">
        <v>135</v>
      </c>
      <c r="C130" t="s">
        <v>257</v>
      </c>
      <c r="D130" t="s">
        <v>288</v>
      </c>
      <c r="E130" t="s">
        <v>1716</v>
      </c>
      <c r="F130" t="s">
        <v>1372</v>
      </c>
      <c r="G130" t="s">
        <v>1297</v>
      </c>
      <c r="H130">
        <v>9</v>
      </c>
      <c r="I130" t="s">
        <v>161</v>
      </c>
      <c r="J130" t="s">
        <v>216</v>
      </c>
      <c r="K130" t="str">
        <f t="shared" si="1"/>
        <v>IND_200402</v>
      </c>
    </row>
    <row r="131" spans="1:11">
      <c r="A131" t="s">
        <v>34</v>
      </c>
      <c r="B131" t="s">
        <v>428</v>
      </c>
      <c r="C131" t="s">
        <v>429</v>
      </c>
      <c r="D131" t="s">
        <v>288</v>
      </c>
      <c r="E131" t="s">
        <v>2195</v>
      </c>
      <c r="F131" t="s">
        <v>2196</v>
      </c>
      <c r="G131" t="s">
        <v>2142</v>
      </c>
      <c r="H131">
        <v>10</v>
      </c>
      <c r="I131" t="s">
        <v>2197</v>
      </c>
      <c r="J131" t="s">
        <v>2607</v>
      </c>
      <c r="K131" t="str">
        <f t="shared" ref="K131:K194" si="2">LEFT(A131,10)</f>
        <v>IND_200602</v>
      </c>
    </row>
    <row r="132" spans="1:11">
      <c r="A132" t="s">
        <v>1593</v>
      </c>
      <c r="B132" t="s">
        <v>1239</v>
      </c>
      <c r="C132" t="s">
        <v>1258</v>
      </c>
      <c r="D132" t="s">
        <v>145</v>
      </c>
      <c r="E132" t="s">
        <v>2341</v>
      </c>
      <c r="F132" t="s">
        <v>1509</v>
      </c>
      <c r="G132" t="s">
        <v>1346</v>
      </c>
      <c r="H132" t="s">
        <v>1977</v>
      </c>
      <c r="I132" t="s">
        <v>2058</v>
      </c>
      <c r="J132" t="s">
        <v>2608</v>
      </c>
      <c r="K132" t="str">
        <f t="shared" si="2"/>
        <v>IND_200603</v>
      </c>
    </row>
    <row r="133" spans="1:11">
      <c r="A133" t="s">
        <v>2198</v>
      </c>
      <c r="B133" t="s">
        <v>2199</v>
      </c>
      <c r="C133" t="s">
        <v>2200</v>
      </c>
      <c r="D133" t="s">
        <v>145</v>
      </c>
      <c r="E133" t="s">
        <v>2199</v>
      </c>
      <c r="F133" t="s">
        <v>2199</v>
      </c>
      <c r="G133" t="s">
        <v>2199</v>
      </c>
      <c r="H133" t="s">
        <v>1977</v>
      </c>
      <c r="I133" t="s">
        <v>2201</v>
      </c>
      <c r="J133" t="s">
        <v>2609</v>
      </c>
      <c r="K133" t="str">
        <f t="shared" si="2"/>
        <v>IND_200702</v>
      </c>
    </row>
    <row r="134" spans="1:11">
      <c r="A134" t="s">
        <v>35</v>
      </c>
      <c r="B134" t="s">
        <v>136</v>
      </c>
      <c r="C134" t="s">
        <v>430</v>
      </c>
      <c r="D134" t="s">
        <v>288</v>
      </c>
      <c r="E134" t="s">
        <v>1117</v>
      </c>
      <c r="F134" t="s">
        <v>1289</v>
      </c>
      <c r="G134" t="s">
        <v>1289</v>
      </c>
      <c r="H134">
        <v>5</v>
      </c>
      <c r="I134" t="s">
        <v>155</v>
      </c>
      <c r="J134" t="s">
        <v>217</v>
      </c>
      <c r="K134" t="str">
        <f t="shared" si="2"/>
        <v>IND_201301</v>
      </c>
    </row>
    <row r="135" spans="1:11">
      <c r="A135" t="s">
        <v>2202</v>
      </c>
      <c r="B135" t="s">
        <v>2203</v>
      </c>
      <c r="C135" t="s">
        <v>2204</v>
      </c>
      <c r="D135" t="s">
        <v>288</v>
      </c>
      <c r="E135" t="s">
        <v>2342</v>
      </c>
      <c r="F135" t="s">
        <v>1509</v>
      </c>
      <c r="G135" t="s">
        <v>2205</v>
      </c>
      <c r="H135">
        <v>5</v>
      </c>
      <c r="I135" t="s">
        <v>2206</v>
      </c>
      <c r="J135" t="s">
        <v>2610</v>
      </c>
      <c r="K135" t="str">
        <f t="shared" si="2"/>
        <v>IND_201302</v>
      </c>
    </row>
    <row r="136" spans="1:11">
      <c r="A136" t="s">
        <v>779</v>
      </c>
      <c r="B136" t="s">
        <v>682</v>
      </c>
      <c r="C136" t="s">
        <v>711</v>
      </c>
      <c r="D136" t="s">
        <v>780</v>
      </c>
      <c r="E136" t="s">
        <v>1717</v>
      </c>
      <c r="F136" t="s">
        <v>1479</v>
      </c>
      <c r="G136" t="s">
        <v>1325</v>
      </c>
      <c r="H136">
        <v>4</v>
      </c>
      <c r="I136" t="s">
        <v>683</v>
      </c>
      <c r="J136" t="s">
        <v>684</v>
      </c>
      <c r="K136" t="str">
        <f t="shared" si="2"/>
        <v>OTH_201601</v>
      </c>
    </row>
    <row r="137" spans="1:11">
      <c r="A137" t="s">
        <v>710</v>
      </c>
      <c r="B137" t="s">
        <v>682</v>
      </c>
      <c r="C137" t="s">
        <v>711</v>
      </c>
      <c r="D137" t="s">
        <v>611</v>
      </c>
      <c r="E137" t="s">
        <v>1179</v>
      </c>
      <c r="F137" t="s">
        <v>1180</v>
      </c>
      <c r="G137" t="s">
        <v>1325</v>
      </c>
      <c r="H137">
        <v>4</v>
      </c>
      <c r="I137" t="s">
        <v>683</v>
      </c>
      <c r="J137" t="s">
        <v>684</v>
      </c>
      <c r="K137" t="str">
        <f t="shared" si="2"/>
        <v>OTH_201601</v>
      </c>
    </row>
    <row r="138" spans="1:11">
      <c r="A138" t="s">
        <v>781</v>
      </c>
      <c r="B138" t="s">
        <v>682</v>
      </c>
      <c r="C138" t="s">
        <v>778</v>
      </c>
      <c r="D138" t="s">
        <v>780</v>
      </c>
      <c r="E138" t="s">
        <v>1718</v>
      </c>
      <c r="F138" t="s">
        <v>1480</v>
      </c>
      <c r="G138" t="s">
        <v>1326</v>
      </c>
      <c r="H138">
        <v>5</v>
      </c>
      <c r="I138" t="s">
        <v>683</v>
      </c>
      <c r="J138" t="s">
        <v>684</v>
      </c>
      <c r="K138" t="str">
        <f t="shared" si="2"/>
        <v>OTH_201601</v>
      </c>
    </row>
    <row r="139" spans="1:11">
      <c r="A139" t="s">
        <v>753</v>
      </c>
      <c r="B139" t="s">
        <v>682</v>
      </c>
      <c r="C139" t="s">
        <v>778</v>
      </c>
      <c r="D139" t="s">
        <v>611</v>
      </c>
      <c r="E139" t="s">
        <v>1181</v>
      </c>
      <c r="F139" t="s">
        <v>1182</v>
      </c>
      <c r="G139" t="s">
        <v>1326</v>
      </c>
      <c r="H139">
        <v>5</v>
      </c>
      <c r="I139" t="s">
        <v>683</v>
      </c>
      <c r="J139" t="s">
        <v>684</v>
      </c>
      <c r="K139" t="str">
        <f t="shared" si="2"/>
        <v>OTH_201601</v>
      </c>
    </row>
    <row r="140" spans="1:11">
      <c r="A140" t="s">
        <v>782</v>
      </c>
      <c r="B140" t="s">
        <v>682</v>
      </c>
      <c r="C140" t="s">
        <v>713</v>
      </c>
      <c r="D140" t="s">
        <v>780</v>
      </c>
      <c r="E140" t="s">
        <v>1719</v>
      </c>
      <c r="F140" t="s">
        <v>1481</v>
      </c>
      <c r="G140" t="s">
        <v>1327</v>
      </c>
      <c r="H140">
        <v>4</v>
      </c>
      <c r="I140" t="s">
        <v>683</v>
      </c>
      <c r="J140" t="s">
        <v>684</v>
      </c>
      <c r="K140" t="str">
        <f t="shared" si="2"/>
        <v>OTH_201601</v>
      </c>
    </row>
    <row r="141" spans="1:11">
      <c r="A141" t="s">
        <v>712</v>
      </c>
      <c r="B141" t="s">
        <v>682</v>
      </c>
      <c r="C141" t="s">
        <v>713</v>
      </c>
      <c r="D141" t="s">
        <v>611</v>
      </c>
      <c r="E141" t="s">
        <v>1183</v>
      </c>
      <c r="F141" t="s">
        <v>1184</v>
      </c>
      <c r="G141" t="s">
        <v>1327</v>
      </c>
      <c r="H141">
        <v>4</v>
      </c>
      <c r="I141" t="s">
        <v>683</v>
      </c>
      <c r="J141" t="s">
        <v>684</v>
      </c>
      <c r="K141" t="str">
        <f t="shared" si="2"/>
        <v>OTH_201601</v>
      </c>
    </row>
    <row r="142" spans="1:11">
      <c r="A142" t="s">
        <v>96</v>
      </c>
      <c r="B142" t="s">
        <v>137</v>
      </c>
      <c r="C142" t="s">
        <v>240</v>
      </c>
      <c r="D142" t="s">
        <v>780</v>
      </c>
      <c r="E142" t="s">
        <v>2354</v>
      </c>
      <c r="F142" t="s">
        <v>2207</v>
      </c>
      <c r="G142" t="s">
        <v>240</v>
      </c>
      <c r="H142">
        <v>14</v>
      </c>
      <c r="I142" t="s">
        <v>160</v>
      </c>
      <c r="J142" t="s">
        <v>218</v>
      </c>
      <c r="K142" t="str">
        <f t="shared" si="2"/>
        <v>RES_199702</v>
      </c>
    </row>
    <row r="143" spans="1:11">
      <c r="A143" t="s">
        <v>338</v>
      </c>
      <c r="B143" t="s">
        <v>137</v>
      </c>
      <c r="C143" t="s">
        <v>137</v>
      </c>
      <c r="D143" t="s">
        <v>289</v>
      </c>
      <c r="E143" t="s">
        <v>2208</v>
      </c>
      <c r="F143" t="s">
        <v>2209</v>
      </c>
      <c r="G143" t="s">
        <v>137</v>
      </c>
      <c r="H143">
        <v>14</v>
      </c>
      <c r="I143" t="s">
        <v>160</v>
      </c>
      <c r="J143" t="s">
        <v>218</v>
      </c>
      <c r="K143" t="str">
        <f t="shared" si="2"/>
        <v>RES_199702</v>
      </c>
    </row>
    <row r="144" spans="1:11">
      <c r="A144" t="s">
        <v>2210</v>
      </c>
      <c r="B144" t="s">
        <v>137</v>
      </c>
      <c r="C144" t="s">
        <v>144</v>
      </c>
      <c r="D144" t="s">
        <v>780</v>
      </c>
      <c r="E144" t="s">
        <v>2211</v>
      </c>
      <c r="F144" t="s">
        <v>2207</v>
      </c>
      <c r="G144" t="s">
        <v>144</v>
      </c>
      <c r="H144">
        <v>14</v>
      </c>
      <c r="I144" t="s">
        <v>160</v>
      </c>
      <c r="J144" t="s">
        <v>218</v>
      </c>
      <c r="K144" t="str">
        <f t="shared" si="2"/>
        <v>RES_199702</v>
      </c>
    </row>
    <row r="145" spans="1:11">
      <c r="A145" t="s">
        <v>2212</v>
      </c>
      <c r="B145" t="s">
        <v>137</v>
      </c>
      <c r="C145" t="s">
        <v>144</v>
      </c>
      <c r="D145" t="s">
        <v>151</v>
      </c>
      <c r="E145" t="s">
        <v>2355</v>
      </c>
      <c r="F145" t="s">
        <v>2213</v>
      </c>
      <c r="G145" t="s">
        <v>144</v>
      </c>
      <c r="H145">
        <v>14</v>
      </c>
      <c r="I145" t="s">
        <v>160</v>
      </c>
      <c r="J145" t="s">
        <v>218</v>
      </c>
      <c r="K145" t="str">
        <f t="shared" si="2"/>
        <v>RES_199702</v>
      </c>
    </row>
    <row r="146" spans="1:11">
      <c r="A146" t="s">
        <v>339</v>
      </c>
      <c r="B146" t="s">
        <v>137</v>
      </c>
      <c r="C146" t="s">
        <v>137</v>
      </c>
      <c r="D146" t="s">
        <v>290</v>
      </c>
      <c r="E146" t="s">
        <v>2214</v>
      </c>
      <c r="F146" t="s">
        <v>2215</v>
      </c>
      <c r="G146" t="s">
        <v>137</v>
      </c>
      <c r="H146">
        <v>14</v>
      </c>
      <c r="I146" t="s">
        <v>160</v>
      </c>
      <c r="J146" t="s">
        <v>218</v>
      </c>
      <c r="K146" t="str">
        <f t="shared" si="2"/>
        <v>RES_199702</v>
      </c>
    </row>
    <row r="147" spans="1:11">
      <c r="A147" t="s">
        <v>340</v>
      </c>
      <c r="B147" t="s">
        <v>137</v>
      </c>
      <c r="C147" t="s">
        <v>137</v>
      </c>
      <c r="D147" t="s">
        <v>292</v>
      </c>
      <c r="E147" t="s">
        <v>2216</v>
      </c>
      <c r="F147" t="s">
        <v>2217</v>
      </c>
      <c r="G147" t="s">
        <v>137</v>
      </c>
      <c r="H147">
        <v>14</v>
      </c>
      <c r="I147" t="s">
        <v>160</v>
      </c>
      <c r="J147" t="s">
        <v>218</v>
      </c>
      <c r="K147" t="str">
        <f t="shared" si="2"/>
        <v>RES_199702</v>
      </c>
    </row>
    <row r="148" spans="1:11">
      <c r="A148" t="s">
        <v>36</v>
      </c>
      <c r="B148" t="s">
        <v>137</v>
      </c>
      <c r="C148" t="s">
        <v>137</v>
      </c>
      <c r="D148" t="s">
        <v>293</v>
      </c>
      <c r="E148" t="s">
        <v>2218</v>
      </c>
      <c r="F148" t="s">
        <v>2219</v>
      </c>
      <c r="G148" t="s">
        <v>137</v>
      </c>
      <c r="H148">
        <v>14</v>
      </c>
      <c r="I148" t="s">
        <v>160</v>
      </c>
      <c r="J148" t="s">
        <v>218</v>
      </c>
      <c r="K148" t="str">
        <f t="shared" si="2"/>
        <v>RES_199702</v>
      </c>
    </row>
    <row r="149" spans="1:11">
      <c r="A149" t="s">
        <v>37</v>
      </c>
      <c r="B149" t="s">
        <v>137</v>
      </c>
      <c r="C149" t="s">
        <v>137</v>
      </c>
      <c r="D149" t="s">
        <v>291</v>
      </c>
      <c r="E149" t="s">
        <v>2220</v>
      </c>
      <c r="F149" t="s">
        <v>2221</v>
      </c>
      <c r="G149" t="s">
        <v>137</v>
      </c>
      <c r="H149">
        <v>14</v>
      </c>
      <c r="I149" t="s">
        <v>160</v>
      </c>
      <c r="J149" t="s">
        <v>218</v>
      </c>
      <c r="K149" t="str">
        <f t="shared" si="2"/>
        <v>RES_199702</v>
      </c>
    </row>
    <row r="150" spans="1:11">
      <c r="A150" t="s">
        <v>38</v>
      </c>
      <c r="B150" t="s">
        <v>137</v>
      </c>
      <c r="C150" t="s">
        <v>137</v>
      </c>
      <c r="D150" t="s">
        <v>148</v>
      </c>
      <c r="E150" t="s">
        <v>2222</v>
      </c>
      <c r="F150" t="s">
        <v>2223</v>
      </c>
      <c r="G150" t="s">
        <v>137</v>
      </c>
      <c r="H150">
        <v>14</v>
      </c>
      <c r="I150" t="s">
        <v>160</v>
      </c>
      <c r="J150" t="s">
        <v>218</v>
      </c>
      <c r="K150" t="str">
        <f t="shared" si="2"/>
        <v>RES_199702</v>
      </c>
    </row>
    <row r="151" spans="1:11">
      <c r="A151" t="s">
        <v>39</v>
      </c>
      <c r="B151" t="s">
        <v>137</v>
      </c>
      <c r="C151" t="s">
        <v>137</v>
      </c>
      <c r="D151" t="s">
        <v>149</v>
      </c>
      <c r="E151" t="s">
        <v>2224</v>
      </c>
      <c r="F151" t="s">
        <v>2225</v>
      </c>
      <c r="G151" t="s">
        <v>137</v>
      </c>
      <c r="H151">
        <v>14</v>
      </c>
      <c r="I151" t="s">
        <v>160</v>
      </c>
      <c r="J151" t="s">
        <v>218</v>
      </c>
      <c r="K151" t="str">
        <f t="shared" si="2"/>
        <v>RES_199702</v>
      </c>
    </row>
    <row r="152" spans="1:11">
      <c r="A152" t="s">
        <v>40</v>
      </c>
      <c r="B152" t="s">
        <v>137</v>
      </c>
      <c r="C152" t="s">
        <v>137</v>
      </c>
      <c r="D152" t="s">
        <v>150</v>
      </c>
      <c r="E152" t="s">
        <v>2226</v>
      </c>
      <c r="F152" t="s">
        <v>2227</v>
      </c>
      <c r="G152" t="s">
        <v>137</v>
      </c>
      <c r="H152">
        <v>14</v>
      </c>
      <c r="I152" t="s">
        <v>160</v>
      </c>
      <c r="J152" t="s">
        <v>218</v>
      </c>
      <c r="K152" t="str">
        <f t="shared" si="2"/>
        <v>RES_199702</v>
      </c>
    </row>
    <row r="153" spans="1:11">
      <c r="A153" t="s">
        <v>97</v>
      </c>
      <c r="B153" t="s">
        <v>137</v>
      </c>
      <c r="C153" t="s">
        <v>240</v>
      </c>
      <c r="D153" t="s">
        <v>717</v>
      </c>
      <c r="E153" t="s">
        <v>2356</v>
      </c>
      <c r="F153" t="s">
        <v>2228</v>
      </c>
      <c r="G153" t="s">
        <v>240</v>
      </c>
      <c r="H153">
        <v>14</v>
      </c>
      <c r="I153" t="s">
        <v>160</v>
      </c>
      <c r="J153" t="s">
        <v>218</v>
      </c>
      <c r="K153" t="str">
        <f t="shared" si="2"/>
        <v>RES_199702</v>
      </c>
    </row>
    <row r="154" spans="1:11">
      <c r="A154" t="s">
        <v>41</v>
      </c>
      <c r="B154" t="s">
        <v>138</v>
      </c>
      <c r="C154" t="s">
        <v>559</v>
      </c>
      <c r="D154" t="s">
        <v>145</v>
      </c>
      <c r="E154" t="s">
        <v>1201</v>
      </c>
      <c r="F154" t="s">
        <v>1202</v>
      </c>
      <c r="G154" t="s">
        <v>1349</v>
      </c>
      <c r="H154">
        <v>6</v>
      </c>
      <c r="I154" t="s">
        <v>157</v>
      </c>
      <c r="J154" t="s">
        <v>223</v>
      </c>
      <c r="K154" t="str">
        <f t="shared" si="2"/>
        <v>RES_199703</v>
      </c>
    </row>
    <row r="155" spans="1:11">
      <c r="A155" t="s">
        <v>42</v>
      </c>
      <c r="B155" t="s">
        <v>138</v>
      </c>
      <c r="C155" t="s">
        <v>560</v>
      </c>
      <c r="D155" t="s">
        <v>145</v>
      </c>
      <c r="E155" t="s">
        <v>1203</v>
      </c>
      <c r="F155" t="s">
        <v>1204</v>
      </c>
      <c r="G155" t="s">
        <v>1350</v>
      </c>
      <c r="H155">
        <v>7</v>
      </c>
      <c r="I155" t="s">
        <v>157</v>
      </c>
      <c r="J155" t="s">
        <v>223</v>
      </c>
      <c r="K155" t="str">
        <f t="shared" si="2"/>
        <v>RES_199703</v>
      </c>
    </row>
    <row r="156" spans="1:11">
      <c r="A156" t="s">
        <v>98</v>
      </c>
      <c r="B156" t="s">
        <v>138</v>
      </c>
      <c r="C156" t="s">
        <v>255</v>
      </c>
      <c r="D156" t="s">
        <v>145</v>
      </c>
      <c r="E156" t="s">
        <v>1205</v>
      </c>
      <c r="F156" t="s">
        <v>1206</v>
      </c>
      <c r="G156" t="s">
        <v>255</v>
      </c>
      <c r="H156">
        <v>12</v>
      </c>
      <c r="I156" t="s">
        <v>157</v>
      </c>
      <c r="J156" t="s">
        <v>223</v>
      </c>
      <c r="K156" t="str">
        <f t="shared" si="2"/>
        <v>RES_199703</v>
      </c>
    </row>
    <row r="157" spans="1:11">
      <c r="A157" t="s">
        <v>99</v>
      </c>
      <c r="B157" t="s">
        <v>138</v>
      </c>
      <c r="C157" t="s">
        <v>256</v>
      </c>
      <c r="D157" t="s">
        <v>145</v>
      </c>
      <c r="E157" t="s">
        <v>1207</v>
      </c>
      <c r="F157" t="s">
        <v>1208</v>
      </c>
      <c r="G157" t="s">
        <v>256</v>
      </c>
      <c r="H157">
        <v>12</v>
      </c>
      <c r="I157" t="s">
        <v>157</v>
      </c>
      <c r="J157" t="s">
        <v>223</v>
      </c>
      <c r="K157" t="str">
        <f t="shared" si="2"/>
        <v>RES_199703</v>
      </c>
    </row>
    <row r="158" spans="1:11">
      <c r="A158" t="s">
        <v>714</v>
      </c>
      <c r="B158" t="s">
        <v>138</v>
      </c>
      <c r="C158" t="s">
        <v>561</v>
      </c>
      <c r="D158" t="s">
        <v>145</v>
      </c>
      <c r="E158" t="s">
        <v>1720</v>
      </c>
      <c r="F158" t="s">
        <v>1510</v>
      </c>
      <c r="G158" t="s">
        <v>1351</v>
      </c>
      <c r="H158">
        <v>2</v>
      </c>
      <c r="I158" t="s">
        <v>157</v>
      </c>
      <c r="J158" t="s">
        <v>223</v>
      </c>
      <c r="K158" t="str">
        <f t="shared" si="2"/>
        <v>RES_199703</v>
      </c>
    </row>
    <row r="159" spans="1:11">
      <c r="A159" t="s">
        <v>715</v>
      </c>
      <c r="B159" t="s">
        <v>138</v>
      </c>
      <c r="C159" t="s">
        <v>562</v>
      </c>
      <c r="D159" t="s">
        <v>145</v>
      </c>
      <c r="E159" t="s">
        <v>1721</v>
      </c>
      <c r="F159" t="s">
        <v>1511</v>
      </c>
      <c r="G159" t="s">
        <v>1352</v>
      </c>
      <c r="H159">
        <v>2</v>
      </c>
      <c r="I159" t="s">
        <v>157</v>
      </c>
      <c r="J159" t="s">
        <v>223</v>
      </c>
      <c r="K159" t="str">
        <f t="shared" si="2"/>
        <v>RES_199703</v>
      </c>
    </row>
    <row r="160" spans="1:11">
      <c r="A160" t="s">
        <v>431</v>
      </c>
      <c r="B160" t="s">
        <v>432</v>
      </c>
      <c r="C160" t="s">
        <v>433</v>
      </c>
      <c r="D160" t="s">
        <v>434</v>
      </c>
      <c r="E160" t="s">
        <v>2229</v>
      </c>
      <c r="F160" t="s">
        <v>2229</v>
      </c>
      <c r="G160" t="s">
        <v>2230</v>
      </c>
      <c r="H160">
        <v>20</v>
      </c>
      <c r="I160" t="s">
        <v>2231</v>
      </c>
      <c r="J160" t="s">
        <v>2611</v>
      </c>
      <c r="K160" t="str">
        <f t="shared" si="2"/>
        <v>RES_199705</v>
      </c>
    </row>
    <row r="161" spans="1:11">
      <c r="A161" t="s">
        <v>2232</v>
      </c>
      <c r="B161" t="s">
        <v>432</v>
      </c>
      <c r="C161" t="s">
        <v>2233</v>
      </c>
      <c r="D161" t="s">
        <v>434</v>
      </c>
      <c r="E161" t="s">
        <v>2234</v>
      </c>
      <c r="F161" t="s">
        <v>2235</v>
      </c>
      <c r="G161" t="s">
        <v>432</v>
      </c>
      <c r="H161" t="s">
        <v>1977</v>
      </c>
      <c r="I161" t="s">
        <v>2231</v>
      </c>
      <c r="J161" t="s">
        <v>2611</v>
      </c>
      <c r="K161" t="str">
        <f t="shared" si="2"/>
        <v>RES_199705</v>
      </c>
    </row>
    <row r="162" spans="1:11">
      <c r="A162" t="s">
        <v>2236</v>
      </c>
      <c r="B162" t="s">
        <v>432</v>
      </c>
      <c r="C162" t="s">
        <v>2237</v>
      </c>
      <c r="D162" t="s">
        <v>434</v>
      </c>
      <c r="E162" t="s">
        <v>2234</v>
      </c>
      <c r="F162" t="s">
        <v>2235</v>
      </c>
      <c r="G162" t="s">
        <v>432</v>
      </c>
      <c r="H162" t="s">
        <v>1977</v>
      </c>
      <c r="I162" t="s">
        <v>2231</v>
      </c>
      <c r="J162" t="s">
        <v>2611</v>
      </c>
      <c r="K162" t="str">
        <f t="shared" si="2"/>
        <v>RES_199705</v>
      </c>
    </row>
    <row r="163" spans="1:11">
      <c r="A163" t="s">
        <v>2238</v>
      </c>
      <c r="B163" t="s">
        <v>2239</v>
      </c>
      <c r="C163" t="s">
        <v>2239</v>
      </c>
      <c r="D163" t="s">
        <v>145</v>
      </c>
      <c r="E163" t="s">
        <v>2240</v>
      </c>
      <c r="F163" t="s">
        <v>2240</v>
      </c>
      <c r="G163" t="s">
        <v>2241</v>
      </c>
      <c r="H163" t="s">
        <v>1977</v>
      </c>
      <c r="I163" t="s">
        <v>2242</v>
      </c>
      <c r="J163" t="s">
        <v>2612</v>
      </c>
      <c r="K163" t="str">
        <f t="shared" si="2"/>
        <v>RES_199706</v>
      </c>
    </row>
    <row r="164" spans="1:11">
      <c r="A164" t="s">
        <v>1594</v>
      </c>
      <c r="B164" t="s">
        <v>1237</v>
      </c>
      <c r="C164" t="s">
        <v>1246</v>
      </c>
      <c r="D164" t="s">
        <v>145</v>
      </c>
      <c r="E164" t="s">
        <v>2343</v>
      </c>
      <c r="F164" t="s">
        <v>1399</v>
      </c>
      <c r="G164" t="s">
        <v>1306</v>
      </c>
      <c r="H164" t="s">
        <v>1977</v>
      </c>
      <c r="I164" t="s">
        <v>2059</v>
      </c>
      <c r="J164" t="s">
        <v>2613</v>
      </c>
      <c r="K164" t="str">
        <f t="shared" si="2"/>
        <v>RES_199802</v>
      </c>
    </row>
    <row r="165" spans="1:11">
      <c r="A165" t="s">
        <v>343</v>
      </c>
      <c r="B165" t="s">
        <v>246</v>
      </c>
      <c r="C165" t="s">
        <v>246</v>
      </c>
      <c r="D165" t="s">
        <v>294</v>
      </c>
      <c r="E165" t="s">
        <v>2243</v>
      </c>
      <c r="F165" t="s">
        <v>2244</v>
      </c>
      <c r="G165" t="s">
        <v>246</v>
      </c>
      <c r="H165">
        <v>14</v>
      </c>
      <c r="I165" t="s">
        <v>2245</v>
      </c>
      <c r="J165" t="s">
        <v>2614</v>
      </c>
      <c r="K165" t="str">
        <f t="shared" si="2"/>
        <v>RES_200005</v>
      </c>
    </row>
    <row r="166" spans="1:11">
      <c r="A166" t="s">
        <v>344</v>
      </c>
      <c r="B166" t="s">
        <v>246</v>
      </c>
      <c r="C166" t="s">
        <v>246</v>
      </c>
      <c r="D166" t="s">
        <v>295</v>
      </c>
      <c r="E166" t="s">
        <v>2246</v>
      </c>
      <c r="F166" t="s">
        <v>2247</v>
      </c>
      <c r="G166" t="s">
        <v>246</v>
      </c>
      <c r="H166">
        <v>14</v>
      </c>
      <c r="I166" t="s">
        <v>2245</v>
      </c>
      <c r="J166" t="s">
        <v>2614</v>
      </c>
      <c r="K166" t="str">
        <f t="shared" si="2"/>
        <v>RES_200005</v>
      </c>
    </row>
    <row r="167" spans="1:11">
      <c r="A167" t="s">
        <v>345</v>
      </c>
      <c r="B167" t="s">
        <v>246</v>
      </c>
      <c r="C167" t="s">
        <v>246</v>
      </c>
      <c r="D167" t="s">
        <v>296</v>
      </c>
      <c r="E167" t="s">
        <v>2248</v>
      </c>
      <c r="F167" t="s">
        <v>2249</v>
      </c>
      <c r="G167" t="s">
        <v>246</v>
      </c>
      <c r="H167">
        <v>14</v>
      </c>
      <c r="I167" t="s">
        <v>2245</v>
      </c>
      <c r="J167" t="s">
        <v>2614</v>
      </c>
      <c r="K167" t="str">
        <f t="shared" si="2"/>
        <v>RES_200005</v>
      </c>
    </row>
    <row r="168" spans="1:11">
      <c r="A168" t="s">
        <v>346</v>
      </c>
      <c r="B168" t="s">
        <v>246</v>
      </c>
      <c r="C168" t="s">
        <v>246</v>
      </c>
      <c r="D168" t="s">
        <v>297</v>
      </c>
      <c r="E168" t="s">
        <v>2250</v>
      </c>
      <c r="F168" t="s">
        <v>2251</v>
      </c>
      <c r="G168" t="s">
        <v>246</v>
      </c>
      <c r="H168">
        <v>14</v>
      </c>
      <c r="I168" t="s">
        <v>2245</v>
      </c>
      <c r="J168" t="s">
        <v>2614</v>
      </c>
      <c r="K168" t="str">
        <f t="shared" si="2"/>
        <v>RES_200005</v>
      </c>
    </row>
    <row r="169" spans="1:11">
      <c r="A169" t="s">
        <v>2252</v>
      </c>
      <c r="B169" t="s">
        <v>269</v>
      </c>
      <c r="C169" t="s">
        <v>269</v>
      </c>
      <c r="D169" t="s">
        <v>2253</v>
      </c>
      <c r="E169" t="s">
        <v>2254</v>
      </c>
      <c r="F169" t="s">
        <v>2255</v>
      </c>
      <c r="G169" t="s">
        <v>269</v>
      </c>
      <c r="H169">
        <v>20</v>
      </c>
      <c r="I169" t="s">
        <v>685</v>
      </c>
      <c r="J169" t="s">
        <v>686</v>
      </c>
      <c r="K169" t="str">
        <f t="shared" si="2"/>
        <v>RES_200006</v>
      </c>
    </row>
    <row r="170" spans="1:11">
      <c r="A170" t="s">
        <v>386</v>
      </c>
      <c r="B170" t="s">
        <v>269</v>
      </c>
      <c r="C170" t="s">
        <v>269</v>
      </c>
      <c r="D170" t="s">
        <v>322</v>
      </c>
      <c r="E170" t="s">
        <v>2256</v>
      </c>
      <c r="F170" t="s">
        <v>2257</v>
      </c>
      <c r="G170" t="s">
        <v>269</v>
      </c>
      <c r="H170">
        <v>20</v>
      </c>
      <c r="I170" t="s">
        <v>685</v>
      </c>
      <c r="J170" t="s">
        <v>686</v>
      </c>
      <c r="K170" t="str">
        <f t="shared" si="2"/>
        <v>RES_200006</v>
      </c>
    </row>
    <row r="171" spans="1:11">
      <c r="A171" t="s">
        <v>387</v>
      </c>
      <c r="B171" t="s">
        <v>269</v>
      </c>
      <c r="C171" t="s">
        <v>269</v>
      </c>
      <c r="D171" t="s">
        <v>323</v>
      </c>
      <c r="E171" t="s">
        <v>2258</v>
      </c>
      <c r="F171" t="s">
        <v>2259</v>
      </c>
      <c r="G171" t="s">
        <v>269</v>
      </c>
      <c r="H171">
        <v>20</v>
      </c>
      <c r="I171" t="s">
        <v>685</v>
      </c>
      <c r="J171" t="s">
        <v>686</v>
      </c>
      <c r="K171" t="str">
        <f t="shared" si="2"/>
        <v>RES_200006</v>
      </c>
    </row>
    <row r="172" spans="1:11">
      <c r="A172" t="s">
        <v>383</v>
      </c>
      <c r="B172" t="s">
        <v>269</v>
      </c>
      <c r="C172" t="s">
        <v>269</v>
      </c>
      <c r="D172" t="s">
        <v>319</v>
      </c>
      <c r="E172" t="s">
        <v>2260</v>
      </c>
      <c r="F172" t="s">
        <v>2261</v>
      </c>
      <c r="G172" t="s">
        <v>269</v>
      </c>
      <c r="H172">
        <v>20</v>
      </c>
      <c r="I172" t="s">
        <v>685</v>
      </c>
      <c r="J172" t="s">
        <v>686</v>
      </c>
      <c r="K172" t="str">
        <f t="shared" si="2"/>
        <v>RES_200006</v>
      </c>
    </row>
    <row r="173" spans="1:11">
      <c r="A173" t="s">
        <v>384</v>
      </c>
      <c r="B173" t="s">
        <v>269</v>
      </c>
      <c r="C173" t="s">
        <v>269</v>
      </c>
      <c r="D173" t="s">
        <v>320</v>
      </c>
      <c r="E173" t="s">
        <v>2262</v>
      </c>
      <c r="F173" t="s">
        <v>2263</v>
      </c>
      <c r="G173" t="s">
        <v>269</v>
      </c>
      <c r="H173">
        <v>20</v>
      </c>
      <c r="I173" t="s">
        <v>685</v>
      </c>
      <c r="J173" t="s">
        <v>686</v>
      </c>
      <c r="K173" t="str">
        <f t="shared" si="2"/>
        <v>RES_200006</v>
      </c>
    </row>
    <row r="174" spans="1:11">
      <c r="A174" t="s">
        <v>385</v>
      </c>
      <c r="B174" t="s">
        <v>269</v>
      </c>
      <c r="C174" t="s">
        <v>269</v>
      </c>
      <c r="D174" t="s">
        <v>321</v>
      </c>
      <c r="E174" t="s">
        <v>2264</v>
      </c>
      <c r="F174" t="s">
        <v>2265</v>
      </c>
      <c r="G174" t="s">
        <v>269</v>
      </c>
      <c r="H174">
        <v>20</v>
      </c>
      <c r="I174" t="s">
        <v>685</v>
      </c>
      <c r="J174" t="s">
        <v>686</v>
      </c>
      <c r="K174" t="str">
        <f t="shared" si="2"/>
        <v>RES_200006</v>
      </c>
    </row>
    <row r="175" spans="1:11">
      <c r="A175" t="s">
        <v>2266</v>
      </c>
      <c r="B175" t="s">
        <v>269</v>
      </c>
      <c r="C175" t="s">
        <v>269</v>
      </c>
      <c r="D175" t="s">
        <v>2267</v>
      </c>
      <c r="E175" t="s">
        <v>2268</v>
      </c>
      <c r="F175" t="s">
        <v>2269</v>
      </c>
      <c r="G175" t="s">
        <v>269</v>
      </c>
      <c r="H175">
        <v>20</v>
      </c>
      <c r="I175" t="s">
        <v>685</v>
      </c>
      <c r="J175" t="s">
        <v>686</v>
      </c>
      <c r="K175" t="str">
        <f t="shared" si="2"/>
        <v>RES_200006</v>
      </c>
    </row>
    <row r="176" spans="1:11">
      <c r="A176" t="s">
        <v>43</v>
      </c>
      <c r="B176" t="s">
        <v>410</v>
      </c>
      <c r="C176" t="s">
        <v>716</v>
      </c>
      <c r="D176" t="s">
        <v>717</v>
      </c>
      <c r="E176" t="s">
        <v>1722</v>
      </c>
      <c r="F176" t="s">
        <v>1393</v>
      </c>
      <c r="G176" t="s">
        <v>1300</v>
      </c>
      <c r="H176">
        <v>45</v>
      </c>
      <c r="I176" t="s">
        <v>2060</v>
      </c>
      <c r="J176" t="s">
        <v>2615</v>
      </c>
      <c r="K176" t="str">
        <f t="shared" si="2"/>
        <v>RES_200401</v>
      </c>
    </row>
    <row r="177" spans="1:11">
      <c r="A177" t="s">
        <v>1595</v>
      </c>
      <c r="B177" t="s">
        <v>410</v>
      </c>
      <c r="C177" t="s">
        <v>435</v>
      </c>
      <c r="D177" t="s">
        <v>717</v>
      </c>
      <c r="E177" t="s">
        <v>1723</v>
      </c>
      <c r="F177" t="s">
        <v>1378</v>
      </c>
      <c r="G177" t="s">
        <v>1301</v>
      </c>
      <c r="H177">
        <v>45</v>
      </c>
      <c r="I177" t="s">
        <v>2060</v>
      </c>
      <c r="J177" t="s">
        <v>2615</v>
      </c>
      <c r="K177" t="str">
        <f t="shared" si="2"/>
        <v>RES_200401</v>
      </c>
    </row>
    <row r="178" spans="1:11">
      <c r="A178" t="s">
        <v>374</v>
      </c>
      <c r="B178" t="s">
        <v>410</v>
      </c>
      <c r="C178" t="s">
        <v>263</v>
      </c>
      <c r="D178" t="s">
        <v>717</v>
      </c>
      <c r="E178" t="s">
        <v>1724</v>
      </c>
      <c r="F178" t="s">
        <v>1384</v>
      </c>
      <c r="G178" t="s">
        <v>1300</v>
      </c>
      <c r="H178">
        <v>45</v>
      </c>
      <c r="I178" t="s">
        <v>2060</v>
      </c>
      <c r="J178" t="s">
        <v>2615</v>
      </c>
      <c r="K178" t="str">
        <f t="shared" si="2"/>
        <v>RES_200401</v>
      </c>
    </row>
    <row r="179" spans="1:11">
      <c r="A179" t="s">
        <v>1596</v>
      </c>
      <c r="B179" t="s">
        <v>410</v>
      </c>
      <c r="C179" t="s">
        <v>1245</v>
      </c>
      <c r="D179" t="s">
        <v>717</v>
      </c>
      <c r="E179" t="s">
        <v>1725</v>
      </c>
      <c r="F179" t="s">
        <v>1389</v>
      </c>
      <c r="G179" t="s">
        <v>1301</v>
      </c>
      <c r="H179">
        <v>45</v>
      </c>
      <c r="I179" t="s">
        <v>2060</v>
      </c>
      <c r="J179" t="s">
        <v>2615</v>
      </c>
      <c r="K179" t="str">
        <f t="shared" si="2"/>
        <v>RES_200401</v>
      </c>
    </row>
    <row r="180" spans="1:11">
      <c r="A180" t="s">
        <v>1597</v>
      </c>
      <c r="B180" t="s">
        <v>410</v>
      </c>
      <c r="C180" t="s">
        <v>436</v>
      </c>
      <c r="D180" t="s">
        <v>717</v>
      </c>
      <c r="E180" t="s">
        <v>1726</v>
      </c>
      <c r="F180" t="s">
        <v>1394</v>
      </c>
      <c r="G180" t="s">
        <v>1301</v>
      </c>
      <c r="H180">
        <v>45</v>
      </c>
      <c r="I180" t="s">
        <v>2060</v>
      </c>
      <c r="J180" t="s">
        <v>2615</v>
      </c>
      <c r="K180" t="str">
        <f t="shared" si="2"/>
        <v>RES_200401</v>
      </c>
    </row>
    <row r="181" spans="1:11">
      <c r="A181" t="s">
        <v>1598</v>
      </c>
      <c r="B181" t="s">
        <v>410</v>
      </c>
      <c r="C181" t="s">
        <v>1244</v>
      </c>
      <c r="D181" t="s">
        <v>717</v>
      </c>
      <c r="E181" t="s">
        <v>1727</v>
      </c>
      <c r="F181" t="s">
        <v>1383</v>
      </c>
      <c r="G181" t="s">
        <v>1301</v>
      </c>
      <c r="H181">
        <v>45</v>
      </c>
      <c r="I181" t="s">
        <v>2060</v>
      </c>
      <c r="J181" t="s">
        <v>2615</v>
      </c>
      <c r="K181" t="str">
        <f t="shared" si="2"/>
        <v>RES_200401</v>
      </c>
    </row>
    <row r="182" spans="1:11">
      <c r="A182" t="s">
        <v>351</v>
      </c>
      <c r="B182" t="s">
        <v>410</v>
      </c>
      <c r="C182" t="s">
        <v>250</v>
      </c>
      <c r="D182" t="s">
        <v>298</v>
      </c>
      <c r="E182" t="s">
        <v>1728</v>
      </c>
      <c r="F182" t="s">
        <v>1374</v>
      </c>
      <c r="G182" t="s">
        <v>1300</v>
      </c>
      <c r="H182">
        <v>45</v>
      </c>
      <c r="I182" t="s">
        <v>2060</v>
      </c>
      <c r="J182" t="s">
        <v>2615</v>
      </c>
      <c r="K182" t="str">
        <f t="shared" si="2"/>
        <v>RES_200401</v>
      </c>
    </row>
    <row r="183" spans="1:11">
      <c r="A183" t="s">
        <v>352</v>
      </c>
      <c r="B183" t="s">
        <v>410</v>
      </c>
      <c r="C183" t="s">
        <v>250</v>
      </c>
      <c r="D183" t="s">
        <v>299</v>
      </c>
      <c r="E183" t="s">
        <v>1729</v>
      </c>
      <c r="F183" t="s">
        <v>1375</v>
      </c>
      <c r="G183" t="s">
        <v>1300</v>
      </c>
      <c r="H183">
        <v>45</v>
      </c>
      <c r="I183" t="s">
        <v>2060</v>
      </c>
      <c r="J183" t="s">
        <v>2615</v>
      </c>
      <c r="K183" t="str">
        <f t="shared" si="2"/>
        <v>RES_200401</v>
      </c>
    </row>
    <row r="184" spans="1:11">
      <c r="A184" t="s">
        <v>353</v>
      </c>
      <c r="B184" t="s">
        <v>410</v>
      </c>
      <c r="C184" t="s">
        <v>250</v>
      </c>
      <c r="D184" t="s">
        <v>300</v>
      </c>
      <c r="E184" t="s">
        <v>1730</v>
      </c>
      <c r="F184" t="s">
        <v>1376</v>
      </c>
      <c r="G184" t="s">
        <v>1300</v>
      </c>
      <c r="H184">
        <v>45</v>
      </c>
      <c r="I184" t="s">
        <v>2060</v>
      </c>
      <c r="J184" t="s">
        <v>2615</v>
      </c>
      <c r="K184" t="str">
        <f t="shared" si="2"/>
        <v>RES_200401</v>
      </c>
    </row>
    <row r="185" spans="1:11">
      <c r="A185" t="s">
        <v>364</v>
      </c>
      <c r="B185" t="s">
        <v>410</v>
      </c>
      <c r="C185" t="s">
        <v>258</v>
      </c>
      <c r="D185" t="s">
        <v>308</v>
      </c>
      <c r="E185" t="s">
        <v>1731</v>
      </c>
      <c r="F185" t="s">
        <v>1379</v>
      </c>
      <c r="G185" t="s">
        <v>1300</v>
      </c>
      <c r="H185">
        <v>45</v>
      </c>
      <c r="I185" t="s">
        <v>2060</v>
      </c>
      <c r="J185" t="s">
        <v>2615</v>
      </c>
      <c r="K185" t="str">
        <f t="shared" si="2"/>
        <v>RES_200401</v>
      </c>
    </row>
    <row r="186" spans="1:11">
      <c r="A186" t="s">
        <v>365</v>
      </c>
      <c r="B186" t="s">
        <v>410</v>
      </c>
      <c r="C186" t="s">
        <v>258</v>
      </c>
      <c r="D186" t="s">
        <v>309</v>
      </c>
      <c r="E186" t="s">
        <v>1732</v>
      </c>
      <c r="F186" t="s">
        <v>1380</v>
      </c>
      <c r="G186" t="s">
        <v>1300</v>
      </c>
      <c r="H186">
        <v>45</v>
      </c>
      <c r="I186" t="s">
        <v>2060</v>
      </c>
      <c r="J186" t="s">
        <v>2615</v>
      </c>
      <c r="K186" t="str">
        <f t="shared" si="2"/>
        <v>RES_200401</v>
      </c>
    </row>
    <row r="187" spans="1:11">
      <c r="A187" t="s">
        <v>366</v>
      </c>
      <c r="B187" t="s">
        <v>410</v>
      </c>
      <c r="C187" t="s">
        <v>258</v>
      </c>
      <c r="D187" t="s">
        <v>310</v>
      </c>
      <c r="E187" t="s">
        <v>1733</v>
      </c>
      <c r="F187" t="s">
        <v>1381</v>
      </c>
      <c r="G187" t="s">
        <v>1300</v>
      </c>
      <c r="H187">
        <v>45</v>
      </c>
      <c r="I187" t="s">
        <v>2060</v>
      </c>
      <c r="J187" t="s">
        <v>2615</v>
      </c>
      <c r="K187" t="str">
        <f t="shared" si="2"/>
        <v>RES_200401</v>
      </c>
    </row>
    <row r="188" spans="1:11">
      <c r="A188" t="s">
        <v>375</v>
      </c>
      <c r="B188" t="s">
        <v>410</v>
      </c>
      <c r="C188" t="s">
        <v>264</v>
      </c>
      <c r="D188" t="s">
        <v>315</v>
      </c>
      <c r="E188" t="s">
        <v>1734</v>
      </c>
      <c r="F188" t="s">
        <v>1386</v>
      </c>
      <c r="G188" t="s">
        <v>1300</v>
      </c>
      <c r="H188">
        <v>45</v>
      </c>
      <c r="I188" t="s">
        <v>2060</v>
      </c>
      <c r="J188" t="s">
        <v>2615</v>
      </c>
      <c r="K188" t="str">
        <f t="shared" si="2"/>
        <v>RES_200401</v>
      </c>
    </row>
    <row r="189" spans="1:11">
      <c r="A189" t="s">
        <v>376</v>
      </c>
      <c r="B189" t="s">
        <v>410</v>
      </c>
      <c r="C189" t="s">
        <v>264</v>
      </c>
      <c r="D189" t="s">
        <v>965</v>
      </c>
      <c r="E189" t="s">
        <v>1735</v>
      </c>
      <c r="F189" t="s">
        <v>1387</v>
      </c>
      <c r="G189" t="s">
        <v>1300</v>
      </c>
      <c r="H189">
        <v>45</v>
      </c>
      <c r="I189" t="s">
        <v>2060</v>
      </c>
      <c r="J189" t="s">
        <v>2615</v>
      </c>
      <c r="K189" t="str">
        <f t="shared" si="2"/>
        <v>RES_200401</v>
      </c>
    </row>
    <row r="190" spans="1:11">
      <c r="A190" t="s">
        <v>1599</v>
      </c>
      <c r="B190" t="s">
        <v>410</v>
      </c>
      <c r="C190" t="s">
        <v>264</v>
      </c>
      <c r="D190" t="s">
        <v>1269</v>
      </c>
      <c r="E190" t="s">
        <v>1736</v>
      </c>
      <c r="F190" t="s">
        <v>1385</v>
      </c>
      <c r="G190" t="s">
        <v>1300</v>
      </c>
      <c r="H190">
        <v>45</v>
      </c>
      <c r="I190" t="s">
        <v>2060</v>
      </c>
      <c r="J190" t="s">
        <v>2615</v>
      </c>
      <c r="K190" t="str">
        <f t="shared" si="2"/>
        <v>RES_200401</v>
      </c>
    </row>
    <row r="191" spans="1:11">
      <c r="A191" t="s">
        <v>396</v>
      </c>
      <c r="B191" t="s">
        <v>410</v>
      </c>
      <c r="C191" t="s">
        <v>281</v>
      </c>
      <c r="D191" t="s">
        <v>324</v>
      </c>
      <c r="E191" t="s">
        <v>1737</v>
      </c>
      <c r="F191" t="s">
        <v>1390</v>
      </c>
      <c r="G191" t="s">
        <v>1300</v>
      </c>
      <c r="H191">
        <v>45</v>
      </c>
      <c r="I191" t="s">
        <v>2060</v>
      </c>
      <c r="J191" t="s">
        <v>2615</v>
      </c>
      <c r="K191" t="str">
        <f t="shared" si="2"/>
        <v>RES_200401</v>
      </c>
    </row>
    <row r="192" spans="1:11">
      <c r="A192" t="s">
        <v>397</v>
      </c>
      <c r="B192" t="s">
        <v>410</v>
      </c>
      <c r="C192" t="s">
        <v>281</v>
      </c>
      <c r="D192" t="s">
        <v>325</v>
      </c>
      <c r="E192" t="s">
        <v>1738</v>
      </c>
      <c r="F192" t="s">
        <v>1391</v>
      </c>
      <c r="G192" t="s">
        <v>1300</v>
      </c>
      <c r="H192">
        <v>45</v>
      </c>
      <c r="I192" t="s">
        <v>2060</v>
      </c>
      <c r="J192" t="s">
        <v>2615</v>
      </c>
      <c r="K192" t="str">
        <f t="shared" si="2"/>
        <v>RES_200401</v>
      </c>
    </row>
    <row r="193" spans="1:11">
      <c r="A193" t="s">
        <v>398</v>
      </c>
      <c r="B193" t="s">
        <v>410</v>
      </c>
      <c r="C193" t="s">
        <v>281</v>
      </c>
      <c r="D193" t="s">
        <v>326</v>
      </c>
      <c r="E193" t="s">
        <v>1739</v>
      </c>
      <c r="F193" t="s">
        <v>1392</v>
      </c>
      <c r="G193" t="s">
        <v>1300</v>
      </c>
      <c r="H193">
        <v>45</v>
      </c>
      <c r="I193" t="s">
        <v>2060</v>
      </c>
      <c r="J193" t="s">
        <v>2615</v>
      </c>
      <c r="K193" t="str">
        <f t="shared" si="2"/>
        <v>RES_200401</v>
      </c>
    </row>
    <row r="194" spans="1:11">
      <c r="A194" t="s">
        <v>44</v>
      </c>
      <c r="B194" t="s">
        <v>410</v>
      </c>
      <c r="C194" t="s">
        <v>718</v>
      </c>
      <c r="D194" t="s">
        <v>717</v>
      </c>
      <c r="E194" t="s">
        <v>1740</v>
      </c>
      <c r="F194" t="s">
        <v>1377</v>
      </c>
      <c r="G194" t="s">
        <v>1300</v>
      </c>
      <c r="H194">
        <v>45</v>
      </c>
      <c r="I194" t="s">
        <v>2060</v>
      </c>
      <c r="J194" t="s">
        <v>2615</v>
      </c>
      <c r="K194" t="str">
        <f t="shared" si="2"/>
        <v>RES_200401</v>
      </c>
    </row>
    <row r="195" spans="1:11">
      <c r="A195" t="s">
        <v>45</v>
      </c>
      <c r="B195" t="s">
        <v>410</v>
      </c>
      <c r="C195" t="s">
        <v>719</v>
      </c>
      <c r="D195" t="s">
        <v>717</v>
      </c>
      <c r="E195" t="s">
        <v>1741</v>
      </c>
      <c r="F195" t="s">
        <v>1382</v>
      </c>
      <c r="G195" t="s">
        <v>1300</v>
      </c>
      <c r="H195">
        <v>45</v>
      </c>
      <c r="I195" t="s">
        <v>2060</v>
      </c>
      <c r="J195" t="s">
        <v>2615</v>
      </c>
      <c r="K195" t="str">
        <f t="shared" ref="K195:K258" si="3">LEFT(A195,10)</f>
        <v>RES_200401</v>
      </c>
    </row>
    <row r="196" spans="1:11">
      <c r="A196" t="s">
        <v>46</v>
      </c>
      <c r="B196" t="s">
        <v>410</v>
      </c>
      <c r="C196" t="s">
        <v>720</v>
      </c>
      <c r="D196" t="s">
        <v>717</v>
      </c>
      <c r="E196" t="s">
        <v>1742</v>
      </c>
      <c r="F196" t="s">
        <v>1388</v>
      </c>
      <c r="G196" t="s">
        <v>1300</v>
      </c>
      <c r="H196">
        <v>45</v>
      </c>
      <c r="I196" t="s">
        <v>2060</v>
      </c>
      <c r="J196" t="s">
        <v>2615</v>
      </c>
      <c r="K196" t="str">
        <f t="shared" si="3"/>
        <v>RES_200401</v>
      </c>
    </row>
    <row r="197" spans="1:11">
      <c r="A197" t="s">
        <v>359</v>
      </c>
      <c r="B197" t="s">
        <v>1969</v>
      </c>
      <c r="C197" t="s">
        <v>253</v>
      </c>
      <c r="D197" t="s">
        <v>298</v>
      </c>
      <c r="E197" t="s">
        <v>1743</v>
      </c>
      <c r="F197" t="s">
        <v>1465</v>
      </c>
      <c r="G197" t="s">
        <v>1301</v>
      </c>
      <c r="H197">
        <v>45</v>
      </c>
      <c r="I197" t="s">
        <v>2800</v>
      </c>
      <c r="J197" t="s">
        <v>221</v>
      </c>
      <c r="K197" t="str">
        <f t="shared" si="3"/>
        <v>RES_200601</v>
      </c>
    </row>
    <row r="198" spans="1:11">
      <c r="A198" t="s">
        <v>360</v>
      </c>
      <c r="B198" t="s">
        <v>1969</v>
      </c>
      <c r="C198" t="s">
        <v>253</v>
      </c>
      <c r="D198" t="s">
        <v>299</v>
      </c>
      <c r="E198" t="s">
        <v>1744</v>
      </c>
      <c r="F198" t="s">
        <v>1466</v>
      </c>
      <c r="G198" t="s">
        <v>1301</v>
      </c>
      <c r="H198">
        <v>45</v>
      </c>
      <c r="I198" t="s">
        <v>2800</v>
      </c>
      <c r="J198" t="s">
        <v>221</v>
      </c>
      <c r="K198" t="str">
        <f t="shared" si="3"/>
        <v>RES_200601</v>
      </c>
    </row>
    <row r="199" spans="1:11">
      <c r="A199" t="s">
        <v>361</v>
      </c>
      <c r="B199" t="s">
        <v>1969</v>
      </c>
      <c r="C199" t="s">
        <v>253</v>
      </c>
      <c r="D199" t="s">
        <v>300</v>
      </c>
      <c r="E199" t="s">
        <v>1745</v>
      </c>
      <c r="F199" t="s">
        <v>1467</v>
      </c>
      <c r="G199" t="s">
        <v>1301</v>
      </c>
      <c r="H199">
        <v>45</v>
      </c>
      <c r="I199" t="s">
        <v>2800</v>
      </c>
      <c r="J199" t="s">
        <v>221</v>
      </c>
      <c r="K199" t="str">
        <f t="shared" si="3"/>
        <v>RES_200601</v>
      </c>
    </row>
    <row r="200" spans="1:11">
      <c r="A200" t="s">
        <v>867</v>
      </c>
      <c r="B200" t="s">
        <v>1969</v>
      </c>
      <c r="C200" t="s">
        <v>253</v>
      </c>
      <c r="D200" t="s">
        <v>301</v>
      </c>
      <c r="E200" t="s">
        <v>1172</v>
      </c>
      <c r="F200" t="s">
        <v>1173</v>
      </c>
      <c r="G200" t="s">
        <v>1301</v>
      </c>
      <c r="H200">
        <v>45</v>
      </c>
      <c r="I200" t="s">
        <v>2800</v>
      </c>
      <c r="J200" t="s">
        <v>221</v>
      </c>
      <c r="K200" t="str">
        <f t="shared" si="3"/>
        <v>RES_200601</v>
      </c>
    </row>
    <row r="201" spans="1:11">
      <c r="A201" t="s">
        <v>70</v>
      </c>
      <c r="B201" t="s">
        <v>1969</v>
      </c>
      <c r="C201" t="s">
        <v>253</v>
      </c>
      <c r="D201" t="s">
        <v>302</v>
      </c>
      <c r="E201" t="s">
        <v>1174</v>
      </c>
      <c r="F201" t="s">
        <v>1175</v>
      </c>
      <c r="G201" t="s">
        <v>1301</v>
      </c>
      <c r="H201">
        <v>45</v>
      </c>
      <c r="I201" t="s">
        <v>2800</v>
      </c>
      <c r="J201" t="s">
        <v>221</v>
      </c>
      <c r="K201" t="str">
        <f t="shared" si="3"/>
        <v>RES_200601</v>
      </c>
    </row>
    <row r="202" spans="1:11">
      <c r="A202" t="s">
        <v>966</v>
      </c>
      <c r="B202" t="s">
        <v>1969</v>
      </c>
      <c r="C202" t="s">
        <v>253</v>
      </c>
      <c r="D202" t="s">
        <v>311</v>
      </c>
      <c r="E202" t="s">
        <v>1746</v>
      </c>
      <c r="F202" t="s">
        <v>1468</v>
      </c>
      <c r="G202" t="s">
        <v>1301</v>
      </c>
      <c r="H202">
        <v>45</v>
      </c>
      <c r="I202" t="s">
        <v>2800</v>
      </c>
      <c r="J202" t="s">
        <v>221</v>
      </c>
      <c r="K202" t="str">
        <f t="shared" si="3"/>
        <v>RES_200601</v>
      </c>
    </row>
    <row r="203" spans="1:11">
      <c r="A203" t="s">
        <v>371</v>
      </c>
      <c r="B203" t="s">
        <v>1969</v>
      </c>
      <c r="C203" t="s">
        <v>261</v>
      </c>
      <c r="D203" t="s">
        <v>308</v>
      </c>
      <c r="E203" t="s">
        <v>1747</v>
      </c>
      <c r="F203" t="s">
        <v>1469</v>
      </c>
      <c r="G203" t="s">
        <v>1301</v>
      </c>
      <c r="H203">
        <v>45</v>
      </c>
      <c r="I203" t="s">
        <v>2800</v>
      </c>
      <c r="J203" t="s">
        <v>221</v>
      </c>
      <c r="K203" t="str">
        <f t="shared" si="3"/>
        <v>RES_200601</v>
      </c>
    </row>
    <row r="204" spans="1:11">
      <c r="A204" t="s">
        <v>372</v>
      </c>
      <c r="B204" t="s">
        <v>1969</v>
      </c>
      <c r="C204" t="s">
        <v>261</v>
      </c>
      <c r="D204" t="s">
        <v>309</v>
      </c>
      <c r="E204" t="s">
        <v>1748</v>
      </c>
      <c r="F204" t="s">
        <v>1470</v>
      </c>
      <c r="G204" t="s">
        <v>1301</v>
      </c>
      <c r="H204">
        <v>45</v>
      </c>
      <c r="I204" t="s">
        <v>2800</v>
      </c>
      <c r="J204" t="s">
        <v>221</v>
      </c>
      <c r="K204" t="str">
        <f t="shared" si="3"/>
        <v>RES_200601</v>
      </c>
    </row>
    <row r="205" spans="1:11">
      <c r="A205" t="s">
        <v>373</v>
      </c>
      <c r="B205" t="s">
        <v>1969</v>
      </c>
      <c r="C205" t="s">
        <v>261</v>
      </c>
      <c r="D205" t="s">
        <v>310</v>
      </c>
      <c r="E205" t="s">
        <v>1749</v>
      </c>
      <c r="F205" t="s">
        <v>1471</v>
      </c>
      <c r="G205" t="s">
        <v>1301</v>
      </c>
      <c r="H205">
        <v>45</v>
      </c>
      <c r="I205" t="s">
        <v>2800</v>
      </c>
      <c r="J205" t="s">
        <v>221</v>
      </c>
      <c r="K205" t="str">
        <f t="shared" si="3"/>
        <v>RES_200601</v>
      </c>
    </row>
    <row r="206" spans="1:11">
      <c r="A206" t="s">
        <v>868</v>
      </c>
      <c r="B206" t="s">
        <v>1969</v>
      </c>
      <c r="C206" t="s">
        <v>261</v>
      </c>
      <c r="D206" t="s">
        <v>301</v>
      </c>
      <c r="E206" t="s">
        <v>1176</v>
      </c>
      <c r="F206" t="s">
        <v>1177</v>
      </c>
      <c r="G206" t="s">
        <v>1301</v>
      </c>
      <c r="H206">
        <v>45</v>
      </c>
      <c r="I206" t="s">
        <v>2800</v>
      </c>
      <c r="J206" t="s">
        <v>221</v>
      </c>
      <c r="K206" t="str">
        <f t="shared" si="3"/>
        <v>RES_200601</v>
      </c>
    </row>
    <row r="207" spans="1:11">
      <c r="A207" t="s">
        <v>71</v>
      </c>
      <c r="B207" t="s">
        <v>1969</v>
      </c>
      <c r="C207" t="s">
        <v>261</v>
      </c>
      <c r="D207" t="s">
        <v>302</v>
      </c>
      <c r="E207" t="s">
        <v>2417</v>
      </c>
      <c r="F207" t="s">
        <v>1178</v>
      </c>
      <c r="G207" t="s">
        <v>1301</v>
      </c>
      <c r="H207">
        <v>45</v>
      </c>
      <c r="I207" t="s">
        <v>2800</v>
      </c>
      <c r="J207" t="s">
        <v>221</v>
      </c>
      <c r="K207" t="str">
        <f t="shared" si="3"/>
        <v>RES_200601</v>
      </c>
    </row>
    <row r="208" spans="1:11">
      <c r="A208" t="s">
        <v>967</v>
      </c>
      <c r="B208" t="s">
        <v>1969</v>
      </c>
      <c r="C208" t="s">
        <v>261</v>
      </c>
      <c r="D208" t="s">
        <v>311</v>
      </c>
      <c r="E208" t="s">
        <v>2097</v>
      </c>
      <c r="F208" t="s">
        <v>2418</v>
      </c>
      <c r="G208" t="s">
        <v>1301</v>
      </c>
      <c r="H208">
        <v>45</v>
      </c>
      <c r="I208" t="s">
        <v>2800</v>
      </c>
      <c r="J208" t="s">
        <v>221</v>
      </c>
      <c r="K208" t="str">
        <f t="shared" si="3"/>
        <v>RES_200601</v>
      </c>
    </row>
    <row r="209" spans="1:11">
      <c r="A209" t="s">
        <v>382</v>
      </c>
      <c r="B209" t="s">
        <v>1969</v>
      </c>
      <c r="C209" t="s">
        <v>267</v>
      </c>
      <c r="D209" t="s">
        <v>315</v>
      </c>
      <c r="E209" t="s">
        <v>1750</v>
      </c>
      <c r="F209" t="s">
        <v>1472</v>
      </c>
      <c r="G209" t="s">
        <v>1301</v>
      </c>
      <c r="H209">
        <v>45</v>
      </c>
      <c r="I209" t="s">
        <v>2800</v>
      </c>
      <c r="J209" t="s">
        <v>221</v>
      </c>
      <c r="K209" t="str">
        <f t="shared" si="3"/>
        <v>RES_200601</v>
      </c>
    </row>
    <row r="210" spans="1:11">
      <c r="A210" t="s">
        <v>968</v>
      </c>
      <c r="B210" t="s">
        <v>1969</v>
      </c>
      <c r="C210" t="s">
        <v>267</v>
      </c>
      <c r="D210" t="s">
        <v>965</v>
      </c>
      <c r="E210" t="s">
        <v>1751</v>
      </c>
      <c r="F210" t="s">
        <v>1473</v>
      </c>
      <c r="G210" t="s">
        <v>1301</v>
      </c>
      <c r="H210">
        <v>45</v>
      </c>
      <c r="I210" t="s">
        <v>2800</v>
      </c>
      <c r="J210" t="s">
        <v>221</v>
      </c>
      <c r="K210" t="str">
        <f t="shared" si="3"/>
        <v>RES_200601</v>
      </c>
    </row>
    <row r="211" spans="1:11">
      <c r="A211" t="s">
        <v>969</v>
      </c>
      <c r="B211" t="s">
        <v>1969</v>
      </c>
      <c r="C211" t="s">
        <v>267</v>
      </c>
      <c r="D211" t="s">
        <v>970</v>
      </c>
      <c r="E211" t="s">
        <v>1752</v>
      </c>
      <c r="F211" t="s">
        <v>1474</v>
      </c>
      <c r="G211" t="s">
        <v>1301</v>
      </c>
      <c r="H211">
        <v>45</v>
      </c>
      <c r="I211" t="s">
        <v>2800</v>
      </c>
      <c r="J211" t="s">
        <v>221</v>
      </c>
      <c r="K211" t="str">
        <f t="shared" si="3"/>
        <v>RES_200601</v>
      </c>
    </row>
    <row r="212" spans="1:11">
      <c r="A212" t="s">
        <v>615</v>
      </c>
      <c r="B212" t="s">
        <v>1969</v>
      </c>
      <c r="C212" t="s">
        <v>267</v>
      </c>
      <c r="D212" t="s">
        <v>653</v>
      </c>
      <c r="E212" t="s">
        <v>1164</v>
      </c>
      <c r="F212" t="s">
        <v>1165</v>
      </c>
      <c r="G212" t="s">
        <v>1301</v>
      </c>
      <c r="H212">
        <v>45</v>
      </c>
      <c r="I212" t="s">
        <v>2800</v>
      </c>
      <c r="J212" t="s">
        <v>221</v>
      </c>
      <c r="K212" t="str">
        <f t="shared" si="3"/>
        <v>RES_200601</v>
      </c>
    </row>
    <row r="213" spans="1:11">
      <c r="A213" t="s">
        <v>866</v>
      </c>
      <c r="B213" t="s">
        <v>1969</v>
      </c>
      <c r="C213" t="s">
        <v>267</v>
      </c>
      <c r="D213" t="s">
        <v>1005</v>
      </c>
      <c r="E213" t="s">
        <v>1168</v>
      </c>
      <c r="F213" t="s">
        <v>1169</v>
      </c>
      <c r="G213" t="s">
        <v>1301</v>
      </c>
      <c r="H213">
        <v>45</v>
      </c>
      <c r="I213" t="s">
        <v>2800</v>
      </c>
      <c r="J213" t="s">
        <v>221</v>
      </c>
      <c r="K213" t="str">
        <f t="shared" si="3"/>
        <v>RES_200601</v>
      </c>
    </row>
    <row r="214" spans="1:11">
      <c r="A214" t="s">
        <v>971</v>
      </c>
      <c r="B214" t="s">
        <v>1969</v>
      </c>
      <c r="C214" t="s">
        <v>267</v>
      </c>
      <c r="D214" t="s">
        <v>740</v>
      </c>
      <c r="E214" t="s">
        <v>2098</v>
      </c>
      <c r="F214" t="s">
        <v>1169</v>
      </c>
      <c r="G214" t="s">
        <v>1301</v>
      </c>
      <c r="H214">
        <v>45</v>
      </c>
      <c r="I214" t="s">
        <v>2800</v>
      </c>
      <c r="J214" t="s">
        <v>221</v>
      </c>
      <c r="K214" t="str">
        <f t="shared" si="3"/>
        <v>RES_200601</v>
      </c>
    </row>
    <row r="215" spans="1:11">
      <c r="A215" t="s">
        <v>405</v>
      </c>
      <c r="B215" t="s">
        <v>1969</v>
      </c>
      <c r="C215" t="s">
        <v>284</v>
      </c>
      <c r="D215" t="s">
        <v>324</v>
      </c>
      <c r="E215" t="s">
        <v>1753</v>
      </c>
      <c r="F215" t="s">
        <v>1475</v>
      </c>
      <c r="G215" t="s">
        <v>1301</v>
      </c>
      <c r="H215">
        <v>45</v>
      </c>
      <c r="I215" t="s">
        <v>2800</v>
      </c>
      <c r="J215" t="s">
        <v>221</v>
      </c>
      <c r="K215" t="str">
        <f t="shared" si="3"/>
        <v>RES_200601</v>
      </c>
    </row>
    <row r="216" spans="1:11">
      <c r="A216" t="s">
        <v>406</v>
      </c>
      <c r="B216" t="s">
        <v>1969</v>
      </c>
      <c r="C216" t="s">
        <v>284</v>
      </c>
      <c r="D216" t="s">
        <v>325</v>
      </c>
      <c r="E216" t="s">
        <v>1754</v>
      </c>
      <c r="F216" t="s">
        <v>1476</v>
      </c>
      <c r="G216" t="s">
        <v>1301</v>
      </c>
      <c r="H216">
        <v>45</v>
      </c>
      <c r="I216" t="s">
        <v>2800</v>
      </c>
      <c r="J216" t="s">
        <v>221</v>
      </c>
      <c r="K216" t="str">
        <f t="shared" si="3"/>
        <v>RES_200601</v>
      </c>
    </row>
    <row r="217" spans="1:11">
      <c r="A217" t="s">
        <v>407</v>
      </c>
      <c r="B217" t="s">
        <v>1969</v>
      </c>
      <c r="C217" t="s">
        <v>284</v>
      </c>
      <c r="D217" t="s">
        <v>326</v>
      </c>
      <c r="E217" t="s">
        <v>1755</v>
      </c>
      <c r="F217" t="s">
        <v>1477</v>
      </c>
      <c r="G217" t="s">
        <v>1301</v>
      </c>
      <c r="H217">
        <v>45</v>
      </c>
      <c r="I217" t="s">
        <v>2800</v>
      </c>
      <c r="J217" t="s">
        <v>221</v>
      </c>
      <c r="K217" t="str">
        <f t="shared" si="3"/>
        <v>RES_200601</v>
      </c>
    </row>
    <row r="218" spans="1:11">
      <c r="A218" t="s">
        <v>68</v>
      </c>
      <c r="B218" t="s">
        <v>1969</v>
      </c>
      <c r="C218" t="s">
        <v>284</v>
      </c>
      <c r="D218" t="s">
        <v>327</v>
      </c>
      <c r="E218" t="s">
        <v>1166</v>
      </c>
      <c r="F218" t="s">
        <v>1167</v>
      </c>
      <c r="G218" t="s">
        <v>1301</v>
      </c>
      <c r="H218">
        <v>45</v>
      </c>
      <c r="I218" t="s">
        <v>2800</v>
      </c>
      <c r="J218" t="s">
        <v>221</v>
      </c>
      <c r="K218" t="str">
        <f t="shared" si="3"/>
        <v>RES_200601</v>
      </c>
    </row>
    <row r="219" spans="1:11">
      <c r="A219" t="s">
        <v>69</v>
      </c>
      <c r="B219" t="s">
        <v>1969</v>
      </c>
      <c r="C219" t="s">
        <v>284</v>
      </c>
      <c r="D219" t="s">
        <v>328</v>
      </c>
      <c r="E219" t="s">
        <v>1170</v>
      </c>
      <c r="F219" t="s">
        <v>1171</v>
      </c>
      <c r="G219" t="s">
        <v>1301</v>
      </c>
      <c r="H219">
        <v>45</v>
      </c>
      <c r="I219" t="s">
        <v>2800</v>
      </c>
      <c r="J219" t="s">
        <v>221</v>
      </c>
      <c r="K219" t="str">
        <f t="shared" si="3"/>
        <v>RES_200601</v>
      </c>
    </row>
    <row r="220" spans="1:11">
      <c r="A220" t="s">
        <v>972</v>
      </c>
      <c r="B220" t="s">
        <v>1969</v>
      </c>
      <c r="C220" t="s">
        <v>284</v>
      </c>
      <c r="D220" t="s">
        <v>705</v>
      </c>
      <c r="E220" t="s">
        <v>2099</v>
      </c>
      <c r="F220" t="s">
        <v>1478</v>
      </c>
      <c r="G220" t="s">
        <v>1301</v>
      </c>
      <c r="H220">
        <v>45</v>
      </c>
      <c r="I220" t="s">
        <v>2800</v>
      </c>
      <c r="J220" t="s">
        <v>221</v>
      </c>
      <c r="K220" t="str">
        <f t="shared" si="3"/>
        <v>RES_200601</v>
      </c>
    </row>
    <row r="221" spans="1:11">
      <c r="A221" t="s">
        <v>47</v>
      </c>
      <c r="B221" t="s">
        <v>139</v>
      </c>
      <c r="C221" t="s">
        <v>245</v>
      </c>
      <c r="D221" t="s">
        <v>145</v>
      </c>
      <c r="E221" t="s">
        <v>1132</v>
      </c>
      <c r="F221" t="s">
        <v>1133</v>
      </c>
      <c r="G221" t="s">
        <v>1299</v>
      </c>
      <c r="H221">
        <v>15</v>
      </c>
      <c r="I221" t="s">
        <v>153</v>
      </c>
      <c r="J221" t="s">
        <v>219</v>
      </c>
      <c r="K221" t="str">
        <f t="shared" si="3"/>
        <v>RES_200804</v>
      </c>
    </row>
    <row r="222" spans="1:11">
      <c r="A222" t="s">
        <v>48</v>
      </c>
      <c r="B222" t="s">
        <v>139</v>
      </c>
      <c r="C222" t="s">
        <v>243</v>
      </c>
      <c r="D222" t="s">
        <v>145</v>
      </c>
      <c r="E222" t="s">
        <v>1128</v>
      </c>
      <c r="F222" t="s">
        <v>1129</v>
      </c>
      <c r="G222" t="s">
        <v>2344</v>
      </c>
      <c r="H222">
        <v>15</v>
      </c>
      <c r="I222" t="s">
        <v>153</v>
      </c>
      <c r="J222" t="s">
        <v>219</v>
      </c>
      <c r="K222" t="str">
        <f t="shared" si="3"/>
        <v>RES_200804</v>
      </c>
    </row>
    <row r="223" spans="1:11">
      <c r="A223" t="s">
        <v>49</v>
      </c>
      <c r="B223" t="s">
        <v>139</v>
      </c>
      <c r="C223" t="s">
        <v>244</v>
      </c>
      <c r="D223" t="s">
        <v>145</v>
      </c>
      <c r="E223" t="s">
        <v>1130</v>
      </c>
      <c r="F223" t="s">
        <v>1131</v>
      </c>
      <c r="G223" t="s">
        <v>2344</v>
      </c>
      <c r="H223">
        <v>15</v>
      </c>
      <c r="I223" t="s">
        <v>153</v>
      </c>
      <c r="J223" t="s">
        <v>219</v>
      </c>
      <c r="K223" t="str">
        <f t="shared" si="3"/>
        <v>RES_200804</v>
      </c>
    </row>
    <row r="224" spans="1:11">
      <c r="A224" t="s">
        <v>973</v>
      </c>
      <c r="B224" t="s">
        <v>873</v>
      </c>
      <c r="C224" t="s">
        <v>873</v>
      </c>
      <c r="D224" t="s">
        <v>974</v>
      </c>
      <c r="E224" t="s">
        <v>1756</v>
      </c>
      <c r="F224" t="s">
        <v>1563</v>
      </c>
      <c r="G224" t="s">
        <v>1363</v>
      </c>
      <c r="H224">
        <v>7</v>
      </c>
      <c r="I224" t="s">
        <v>2061</v>
      </c>
      <c r="J224" t="s">
        <v>2616</v>
      </c>
      <c r="K224" t="str">
        <f t="shared" si="3"/>
        <v>RES_200902</v>
      </c>
    </row>
    <row r="225" spans="1:11">
      <c r="A225" t="s">
        <v>1600</v>
      </c>
      <c r="B225" t="s">
        <v>873</v>
      </c>
      <c r="C225" t="s">
        <v>873</v>
      </c>
      <c r="D225" t="s">
        <v>1280</v>
      </c>
      <c r="E225" t="s">
        <v>1757</v>
      </c>
      <c r="F225" t="s">
        <v>1564</v>
      </c>
      <c r="G225" t="s">
        <v>1363</v>
      </c>
      <c r="H225">
        <v>7</v>
      </c>
      <c r="I225" t="s">
        <v>2061</v>
      </c>
      <c r="J225" t="s">
        <v>2616</v>
      </c>
      <c r="K225" t="str">
        <f t="shared" si="3"/>
        <v>RES_200902</v>
      </c>
    </row>
    <row r="226" spans="1:11">
      <c r="A226" t="s">
        <v>1601</v>
      </c>
      <c r="B226" t="s">
        <v>873</v>
      </c>
      <c r="C226" t="s">
        <v>873</v>
      </c>
      <c r="D226" t="s">
        <v>1288</v>
      </c>
      <c r="E226" t="s">
        <v>1758</v>
      </c>
      <c r="F226" t="s">
        <v>1573</v>
      </c>
      <c r="G226" t="s">
        <v>1363</v>
      </c>
      <c r="H226">
        <v>7</v>
      </c>
      <c r="I226" t="s">
        <v>2061</v>
      </c>
      <c r="J226" t="s">
        <v>2616</v>
      </c>
      <c r="K226" t="str">
        <f t="shared" si="3"/>
        <v>RES_200902</v>
      </c>
    </row>
    <row r="227" spans="1:11">
      <c r="A227" t="s">
        <v>1602</v>
      </c>
      <c r="B227" t="s">
        <v>873</v>
      </c>
      <c r="C227" t="s">
        <v>873</v>
      </c>
      <c r="D227" t="s">
        <v>1281</v>
      </c>
      <c r="E227" t="s">
        <v>1759</v>
      </c>
      <c r="F227" t="s">
        <v>1565</v>
      </c>
      <c r="G227" t="s">
        <v>1363</v>
      </c>
      <c r="H227">
        <v>7</v>
      </c>
      <c r="I227" t="s">
        <v>2061</v>
      </c>
      <c r="J227" t="s">
        <v>2616</v>
      </c>
      <c r="K227" t="str">
        <f t="shared" si="3"/>
        <v>RES_200902</v>
      </c>
    </row>
    <row r="228" spans="1:11">
      <c r="A228" t="s">
        <v>1603</v>
      </c>
      <c r="B228" t="s">
        <v>873</v>
      </c>
      <c r="C228" t="s">
        <v>873</v>
      </c>
      <c r="D228" t="s">
        <v>1282</v>
      </c>
      <c r="E228" t="s">
        <v>1760</v>
      </c>
      <c r="F228" t="s">
        <v>1566</v>
      </c>
      <c r="G228" t="s">
        <v>1363</v>
      </c>
      <c r="H228">
        <v>7</v>
      </c>
      <c r="I228" t="s">
        <v>2061</v>
      </c>
      <c r="J228" t="s">
        <v>2616</v>
      </c>
      <c r="K228" t="str">
        <f t="shared" si="3"/>
        <v>RES_200902</v>
      </c>
    </row>
    <row r="229" spans="1:11">
      <c r="A229" t="s">
        <v>1604</v>
      </c>
      <c r="B229" t="s">
        <v>873</v>
      </c>
      <c r="C229" t="s">
        <v>873</v>
      </c>
      <c r="D229" t="s">
        <v>1283</v>
      </c>
      <c r="E229" t="s">
        <v>1761</v>
      </c>
      <c r="F229" t="s">
        <v>1567</v>
      </c>
      <c r="G229" t="s">
        <v>1363</v>
      </c>
      <c r="H229">
        <v>7</v>
      </c>
      <c r="I229" t="s">
        <v>2061</v>
      </c>
      <c r="J229" t="s">
        <v>2616</v>
      </c>
      <c r="K229" t="str">
        <f t="shared" si="3"/>
        <v>RES_200902</v>
      </c>
    </row>
    <row r="230" spans="1:11">
      <c r="A230" t="s">
        <v>1605</v>
      </c>
      <c r="B230" t="s">
        <v>873</v>
      </c>
      <c r="C230" t="s">
        <v>873</v>
      </c>
      <c r="D230" t="s">
        <v>1284</v>
      </c>
      <c r="E230" t="s">
        <v>1762</v>
      </c>
      <c r="F230" t="s">
        <v>1568</v>
      </c>
      <c r="G230" t="s">
        <v>1363</v>
      </c>
      <c r="H230">
        <v>7</v>
      </c>
      <c r="I230" t="s">
        <v>2061</v>
      </c>
      <c r="J230" t="s">
        <v>2616</v>
      </c>
      <c r="K230" t="str">
        <f t="shared" si="3"/>
        <v>RES_200902</v>
      </c>
    </row>
    <row r="231" spans="1:11">
      <c r="A231" t="s">
        <v>1606</v>
      </c>
      <c r="B231" t="s">
        <v>873</v>
      </c>
      <c r="C231" t="s">
        <v>873</v>
      </c>
      <c r="D231" t="s">
        <v>1285</v>
      </c>
      <c r="E231" t="s">
        <v>1763</v>
      </c>
      <c r="F231" t="s">
        <v>1569</v>
      </c>
      <c r="G231" t="s">
        <v>1363</v>
      </c>
      <c r="H231">
        <v>7</v>
      </c>
      <c r="I231" t="s">
        <v>2061</v>
      </c>
      <c r="J231" t="s">
        <v>2616</v>
      </c>
      <c r="K231" t="str">
        <f t="shared" si="3"/>
        <v>RES_200902</v>
      </c>
    </row>
    <row r="232" spans="1:11">
      <c r="A232" t="s">
        <v>1607</v>
      </c>
      <c r="B232" t="s">
        <v>873</v>
      </c>
      <c r="C232" t="s">
        <v>873</v>
      </c>
      <c r="D232" t="s">
        <v>1287</v>
      </c>
      <c r="E232" t="s">
        <v>1764</v>
      </c>
      <c r="F232" t="s">
        <v>1572</v>
      </c>
      <c r="G232" t="s">
        <v>1363</v>
      </c>
      <c r="H232">
        <v>7</v>
      </c>
      <c r="I232" t="s">
        <v>2061</v>
      </c>
      <c r="J232" t="s">
        <v>2616</v>
      </c>
      <c r="K232" t="str">
        <f t="shared" si="3"/>
        <v>RES_200902</v>
      </c>
    </row>
    <row r="233" spans="1:11">
      <c r="A233" t="s">
        <v>1608</v>
      </c>
      <c r="B233" t="s">
        <v>873</v>
      </c>
      <c r="C233" t="s">
        <v>873</v>
      </c>
      <c r="D233" t="s">
        <v>742</v>
      </c>
      <c r="E233" t="s">
        <v>1765</v>
      </c>
      <c r="F233" t="s">
        <v>1570</v>
      </c>
      <c r="G233" t="s">
        <v>1363</v>
      </c>
      <c r="H233">
        <v>7</v>
      </c>
      <c r="I233" t="s">
        <v>2061</v>
      </c>
      <c r="J233" t="s">
        <v>2616</v>
      </c>
      <c r="K233" t="str">
        <f t="shared" si="3"/>
        <v>RES_200902</v>
      </c>
    </row>
    <row r="234" spans="1:11">
      <c r="A234" t="s">
        <v>1609</v>
      </c>
      <c r="B234" t="s">
        <v>873</v>
      </c>
      <c r="C234" t="s">
        <v>873</v>
      </c>
      <c r="D234" t="s">
        <v>1286</v>
      </c>
      <c r="E234" t="s">
        <v>1766</v>
      </c>
      <c r="F234" t="s">
        <v>1571</v>
      </c>
      <c r="G234" t="s">
        <v>1363</v>
      </c>
      <c r="H234">
        <v>7</v>
      </c>
      <c r="I234" t="s">
        <v>2061</v>
      </c>
      <c r="J234" t="s">
        <v>2616</v>
      </c>
      <c r="K234" t="str">
        <f t="shared" si="3"/>
        <v>RES_200902</v>
      </c>
    </row>
    <row r="235" spans="1:11">
      <c r="A235" t="s">
        <v>1610</v>
      </c>
      <c r="B235" t="s">
        <v>140</v>
      </c>
      <c r="C235" t="s">
        <v>239</v>
      </c>
      <c r="D235" t="s">
        <v>780</v>
      </c>
      <c r="E235" t="s">
        <v>1767</v>
      </c>
      <c r="F235" t="s">
        <v>1557</v>
      </c>
      <c r="G235" t="s">
        <v>1340</v>
      </c>
      <c r="H235">
        <v>12</v>
      </c>
      <c r="I235" t="s">
        <v>163</v>
      </c>
      <c r="J235" t="s">
        <v>225</v>
      </c>
      <c r="K235" t="str">
        <f t="shared" si="3"/>
        <v>RES_201101</v>
      </c>
    </row>
    <row r="236" spans="1:11">
      <c r="A236" t="s">
        <v>50</v>
      </c>
      <c r="B236" t="s">
        <v>140</v>
      </c>
      <c r="C236" t="s">
        <v>239</v>
      </c>
      <c r="D236" t="s">
        <v>901</v>
      </c>
      <c r="E236" t="s">
        <v>1768</v>
      </c>
      <c r="F236" t="s">
        <v>1556</v>
      </c>
      <c r="G236" t="s">
        <v>1340</v>
      </c>
      <c r="H236">
        <v>12</v>
      </c>
      <c r="I236" t="s">
        <v>163</v>
      </c>
      <c r="J236" t="s">
        <v>225</v>
      </c>
      <c r="K236" t="str">
        <f t="shared" si="3"/>
        <v>RES_201101</v>
      </c>
    </row>
    <row r="237" spans="1:11">
      <c r="A237" t="s">
        <v>84</v>
      </c>
      <c r="B237" t="s">
        <v>140</v>
      </c>
      <c r="C237" t="s">
        <v>239</v>
      </c>
      <c r="D237" t="s">
        <v>902</v>
      </c>
      <c r="E237" t="s">
        <v>1769</v>
      </c>
      <c r="F237" t="s">
        <v>1558</v>
      </c>
      <c r="G237" t="s">
        <v>1340</v>
      </c>
      <c r="H237">
        <v>12</v>
      </c>
      <c r="I237" t="s">
        <v>163</v>
      </c>
      <c r="J237" t="s">
        <v>225</v>
      </c>
      <c r="K237" t="str">
        <f t="shared" si="3"/>
        <v>RES_201101</v>
      </c>
    </row>
    <row r="238" spans="1:11">
      <c r="A238" t="s">
        <v>85</v>
      </c>
      <c r="B238" t="s">
        <v>140</v>
      </c>
      <c r="C238" t="s">
        <v>239</v>
      </c>
      <c r="D238" t="s">
        <v>903</v>
      </c>
      <c r="E238" t="s">
        <v>1770</v>
      </c>
      <c r="F238" t="s">
        <v>1559</v>
      </c>
      <c r="G238" t="s">
        <v>1340</v>
      </c>
      <c r="H238">
        <v>12</v>
      </c>
      <c r="I238" t="s">
        <v>163</v>
      </c>
      <c r="J238" t="s">
        <v>225</v>
      </c>
      <c r="K238" t="str">
        <f t="shared" si="3"/>
        <v>RES_201101</v>
      </c>
    </row>
    <row r="239" spans="1:11">
      <c r="A239" t="s">
        <v>86</v>
      </c>
      <c r="B239" t="s">
        <v>140</v>
      </c>
      <c r="C239" t="s">
        <v>239</v>
      </c>
      <c r="D239" t="s">
        <v>904</v>
      </c>
      <c r="E239" t="s">
        <v>1771</v>
      </c>
      <c r="F239" t="s">
        <v>1560</v>
      </c>
      <c r="G239" t="s">
        <v>1340</v>
      </c>
      <c r="H239">
        <v>12</v>
      </c>
      <c r="I239" t="s">
        <v>163</v>
      </c>
      <c r="J239" t="s">
        <v>225</v>
      </c>
      <c r="K239" t="str">
        <f t="shared" si="3"/>
        <v>RES_201101</v>
      </c>
    </row>
    <row r="240" spans="1:11">
      <c r="A240" t="s">
        <v>87</v>
      </c>
      <c r="B240" t="s">
        <v>140</v>
      </c>
      <c r="C240" t="s">
        <v>239</v>
      </c>
      <c r="D240" t="s">
        <v>905</v>
      </c>
      <c r="E240" t="s">
        <v>1772</v>
      </c>
      <c r="F240" t="s">
        <v>1561</v>
      </c>
      <c r="G240" t="s">
        <v>1340</v>
      </c>
      <c r="H240">
        <v>12</v>
      </c>
      <c r="I240" t="s">
        <v>163</v>
      </c>
      <c r="J240" t="s">
        <v>225</v>
      </c>
      <c r="K240" t="str">
        <f t="shared" si="3"/>
        <v>RES_201101</v>
      </c>
    </row>
    <row r="241" spans="1:11">
      <c r="A241" t="s">
        <v>113</v>
      </c>
      <c r="B241" t="s">
        <v>140</v>
      </c>
      <c r="C241" t="s">
        <v>239</v>
      </c>
      <c r="D241" t="s">
        <v>906</v>
      </c>
      <c r="E241" t="s">
        <v>1773</v>
      </c>
      <c r="F241" t="s">
        <v>1562</v>
      </c>
      <c r="G241" t="s">
        <v>1340</v>
      </c>
      <c r="H241">
        <v>12</v>
      </c>
      <c r="I241" t="s">
        <v>163</v>
      </c>
      <c r="J241" t="s">
        <v>225</v>
      </c>
      <c r="K241" t="str">
        <f t="shared" si="3"/>
        <v>RES_201101</v>
      </c>
    </row>
    <row r="242" spans="1:11">
      <c r="A242" t="s">
        <v>51</v>
      </c>
      <c r="B242" t="s">
        <v>141</v>
      </c>
      <c r="C242" t="s">
        <v>647</v>
      </c>
      <c r="D242" t="s">
        <v>145</v>
      </c>
      <c r="E242" t="s">
        <v>1774</v>
      </c>
      <c r="F242" t="s">
        <v>1395</v>
      </c>
      <c r="G242" t="s">
        <v>1302</v>
      </c>
      <c r="H242">
        <v>13</v>
      </c>
      <c r="I242" t="s">
        <v>2419</v>
      </c>
      <c r="J242" t="s">
        <v>220</v>
      </c>
      <c r="K242" t="str">
        <f t="shared" si="3"/>
        <v>RES_201202</v>
      </c>
    </row>
    <row r="243" spans="1:11">
      <c r="A243" t="s">
        <v>52</v>
      </c>
      <c r="B243" t="s">
        <v>141</v>
      </c>
      <c r="C243" t="s">
        <v>647</v>
      </c>
      <c r="D243" t="s">
        <v>146</v>
      </c>
      <c r="E243" t="s">
        <v>1775</v>
      </c>
      <c r="F243" t="s">
        <v>1395</v>
      </c>
      <c r="G243" t="s">
        <v>1302</v>
      </c>
      <c r="H243">
        <v>13</v>
      </c>
      <c r="I243" t="s">
        <v>2419</v>
      </c>
      <c r="J243" t="s">
        <v>220</v>
      </c>
      <c r="K243" t="str">
        <f t="shared" si="3"/>
        <v>RES_201202</v>
      </c>
    </row>
    <row r="244" spans="1:11">
      <c r="A244" t="s">
        <v>630</v>
      </c>
      <c r="B244" t="s">
        <v>141</v>
      </c>
      <c r="C244" t="s">
        <v>647</v>
      </c>
      <c r="D244" t="s">
        <v>660</v>
      </c>
      <c r="E244" t="s">
        <v>1776</v>
      </c>
      <c r="F244" t="s">
        <v>1395</v>
      </c>
      <c r="G244" t="s">
        <v>1302</v>
      </c>
      <c r="H244">
        <v>13</v>
      </c>
      <c r="I244" t="s">
        <v>2419</v>
      </c>
      <c r="J244" t="s">
        <v>220</v>
      </c>
      <c r="K244" t="str">
        <f t="shared" si="3"/>
        <v>RES_201202</v>
      </c>
    </row>
    <row r="245" spans="1:11">
      <c r="A245" t="s">
        <v>631</v>
      </c>
      <c r="B245" t="s">
        <v>141</v>
      </c>
      <c r="C245" t="s">
        <v>647</v>
      </c>
      <c r="D245" t="s">
        <v>661</v>
      </c>
      <c r="E245" t="s">
        <v>1777</v>
      </c>
      <c r="F245" t="s">
        <v>1395</v>
      </c>
      <c r="G245" t="s">
        <v>1302</v>
      </c>
      <c r="H245">
        <v>13</v>
      </c>
      <c r="I245" t="s">
        <v>2419</v>
      </c>
      <c r="J245" t="s">
        <v>220</v>
      </c>
      <c r="K245" t="str">
        <f t="shared" si="3"/>
        <v>RES_201202</v>
      </c>
    </row>
    <row r="246" spans="1:11">
      <c r="A246" t="s">
        <v>721</v>
      </c>
      <c r="B246" t="s">
        <v>141</v>
      </c>
      <c r="C246" t="s">
        <v>647</v>
      </c>
      <c r="D246" t="s">
        <v>722</v>
      </c>
      <c r="E246" t="s">
        <v>1778</v>
      </c>
      <c r="F246" t="s">
        <v>1395</v>
      </c>
      <c r="G246" t="s">
        <v>1302</v>
      </c>
      <c r="H246">
        <v>13</v>
      </c>
      <c r="I246" t="s">
        <v>2419</v>
      </c>
      <c r="J246" t="s">
        <v>220</v>
      </c>
      <c r="K246" t="str">
        <f t="shared" si="3"/>
        <v>RES_201202</v>
      </c>
    </row>
    <row r="247" spans="1:11">
      <c r="A247" t="s">
        <v>53</v>
      </c>
      <c r="B247" t="s">
        <v>141</v>
      </c>
      <c r="C247" t="s">
        <v>648</v>
      </c>
      <c r="D247" t="s">
        <v>145</v>
      </c>
      <c r="E247" t="s">
        <v>1779</v>
      </c>
      <c r="F247" t="s">
        <v>1397</v>
      </c>
      <c r="G247" t="s">
        <v>1304</v>
      </c>
      <c r="H247">
        <v>13</v>
      </c>
      <c r="I247" t="s">
        <v>2419</v>
      </c>
      <c r="J247" t="s">
        <v>220</v>
      </c>
      <c r="K247" t="str">
        <f t="shared" si="3"/>
        <v>RES_201202</v>
      </c>
    </row>
    <row r="248" spans="1:11">
      <c r="A248" t="s">
        <v>54</v>
      </c>
      <c r="B248" t="s">
        <v>141</v>
      </c>
      <c r="C248" t="s">
        <v>648</v>
      </c>
      <c r="D248" t="s">
        <v>146</v>
      </c>
      <c r="E248" t="s">
        <v>1780</v>
      </c>
      <c r="F248" t="s">
        <v>1397</v>
      </c>
      <c r="G248" t="s">
        <v>1304</v>
      </c>
      <c r="H248">
        <v>13</v>
      </c>
      <c r="I248" t="s">
        <v>2419</v>
      </c>
      <c r="J248" t="s">
        <v>220</v>
      </c>
      <c r="K248" t="str">
        <f t="shared" si="3"/>
        <v>RES_201202</v>
      </c>
    </row>
    <row r="249" spans="1:11">
      <c r="A249" t="s">
        <v>622</v>
      </c>
      <c r="B249" t="s">
        <v>141</v>
      </c>
      <c r="C249" t="s">
        <v>648</v>
      </c>
      <c r="D249" t="s">
        <v>660</v>
      </c>
      <c r="E249" t="s">
        <v>1781</v>
      </c>
      <c r="F249" t="s">
        <v>1397</v>
      </c>
      <c r="G249" t="s">
        <v>1304</v>
      </c>
      <c r="H249">
        <v>13</v>
      </c>
      <c r="I249" t="s">
        <v>2419</v>
      </c>
      <c r="J249" t="s">
        <v>220</v>
      </c>
      <c r="K249" t="str">
        <f t="shared" si="3"/>
        <v>RES_201202</v>
      </c>
    </row>
    <row r="250" spans="1:11">
      <c r="A250" t="s">
        <v>623</v>
      </c>
      <c r="B250" t="s">
        <v>141</v>
      </c>
      <c r="C250" t="s">
        <v>648</v>
      </c>
      <c r="D250" t="s">
        <v>661</v>
      </c>
      <c r="E250" t="s">
        <v>1782</v>
      </c>
      <c r="F250" t="s">
        <v>1397</v>
      </c>
      <c r="G250" t="s">
        <v>1304</v>
      </c>
      <c r="H250">
        <v>13</v>
      </c>
      <c r="I250" t="s">
        <v>2419</v>
      </c>
      <c r="J250" t="s">
        <v>220</v>
      </c>
      <c r="K250" t="str">
        <f t="shared" si="3"/>
        <v>RES_201202</v>
      </c>
    </row>
    <row r="251" spans="1:11">
      <c r="A251" t="s">
        <v>723</v>
      </c>
      <c r="B251" t="s">
        <v>141</v>
      </c>
      <c r="C251" t="s">
        <v>648</v>
      </c>
      <c r="D251" t="s">
        <v>722</v>
      </c>
      <c r="E251" t="s">
        <v>1783</v>
      </c>
      <c r="F251" t="s">
        <v>1397</v>
      </c>
      <c r="G251" t="s">
        <v>1304</v>
      </c>
      <c r="H251">
        <v>13</v>
      </c>
      <c r="I251" t="s">
        <v>2419</v>
      </c>
      <c r="J251" t="s">
        <v>220</v>
      </c>
      <c r="K251" t="str">
        <f t="shared" si="3"/>
        <v>RES_201202</v>
      </c>
    </row>
    <row r="252" spans="1:11">
      <c r="A252" t="s">
        <v>612</v>
      </c>
      <c r="B252" t="s">
        <v>141</v>
      </c>
      <c r="C252" t="s">
        <v>649</v>
      </c>
      <c r="D252" t="s">
        <v>145</v>
      </c>
      <c r="E252" t="s">
        <v>1784</v>
      </c>
      <c r="F252" t="s">
        <v>1396</v>
      </c>
      <c r="G252" t="s">
        <v>1303</v>
      </c>
      <c r="H252">
        <v>13</v>
      </c>
      <c r="I252" t="s">
        <v>2419</v>
      </c>
      <c r="J252" t="s">
        <v>220</v>
      </c>
      <c r="K252" t="str">
        <f t="shared" si="3"/>
        <v>RES_201202</v>
      </c>
    </row>
    <row r="253" spans="1:11">
      <c r="A253" t="s">
        <v>613</v>
      </c>
      <c r="B253" t="s">
        <v>141</v>
      </c>
      <c r="C253" t="s">
        <v>649</v>
      </c>
      <c r="D253" t="s">
        <v>146</v>
      </c>
      <c r="E253" t="s">
        <v>1785</v>
      </c>
      <c r="F253" t="s">
        <v>1396</v>
      </c>
      <c r="G253" t="s">
        <v>1303</v>
      </c>
      <c r="H253">
        <v>13</v>
      </c>
      <c r="I253" t="s">
        <v>2419</v>
      </c>
      <c r="J253" t="s">
        <v>220</v>
      </c>
      <c r="K253" t="str">
        <f t="shared" si="3"/>
        <v>RES_201202</v>
      </c>
    </row>
    <row r="254" spans="1:11">
      <c r="A254" t="s">
        <v>624</v>
      </c>
      <c r="B254" t="s">
        <v>141</v>
      </c>
      <c r="C254" t="s">
        <v>649</v>
      </c>
      <c r="D254" t="s">
        <v>660</v>
      </c>
      <c r="E254" t="s">
        <v>1786</v>
      </c>
      <c r="F254" t="s">
        <v>1396</v>
      </c>
      <c r="G254" t="s">
        <v>1303</v>
      </c>
      <c r="H254">
        <v>13</v>
      </c>
      <c r="I254" t="s">
        <v>2419</v>
      </c>
      <c r="J254" t="s">
        <v>220</v>
      </c>
      <c r="K254" t="str">
        <f t="shared" si="3"/>
        <v>RES_201202</v>
      </c>
    </row>
    <row r="255" spans="1:11">
      <c r="A255" t="s">
        <v>625</v>
      </c>
      <c r="B255" t="s">
        <v>141</v>
      </c>
      <c r="C255" t="s">
        <v>649</v>
      </c>
      <c r="D255" t="s">
        <v>661</v>
      </c>
      <c r="E255" t="s">
        <v>1787</v>
      </c>
      <c r="F255" t="s">
        <v>1396</v>
      </c>
      <c r="G255" t="s">
        <v>1303</v>
      </c>
      <c r="H255">
        <v>13</v>
      </c>
      <c r="I255" t="s">
        <v>2419</v>
      </c>
      <c r="J255" t="s">
        <v>220</v>
      </c>
      <c r="K255" t="str">
        <f t="shared" si="3"/>
        <v>RES_201202</v>
      </c>
    </row>
    <row r="256" spans="1:11">
      <c r="A256" t="s">
        <v>724</v>
      </c>
      <c r="B256" t="s">
        <v>141</v>
      </c>
      <c r="C256" t="s">
        <v>649</v>
      </c>
      <c r="D256" t="s">
        <v>722</v>
      </c>
      <c r="E256" t="s">
        <v>1788</v>
      </c>
      <c r="F256" t="s">
        <v>1396</v>
      </c>
      <c r="G256" t="s">
        <v>1303</v>
      </c>
      <c r="H256">
        <v>13</v>
      </c>
      <c r="I256" t="s">
        <v>2419</v>
      </c>
      <c r="J256" t="s">
        <v>220</v>
      </c>
      <c r="K256" t="str">
        <f t="shared" si="3"/>
        <v>RES_201202</v>
      </c>
    </row>
    <row r="257" spans="1:11">
      <c r="A257" t="s">
        <v>626</v>
      </c>
      <c r="B257" t="s">
        <v>141</v>
      </c>
      <c r="C257" t="s">
        <v>650</v>
      </c>
      <c r="D257" t="s">
        <v>145</v>
      </c>
      <c r="E257" t="s">
        <v>1789</v>
      </c>
      <c r="F257" t="s">
        <v>1398</v>
      </c>
      <c r="G257" t="s">
        <v>1305</v>
      </c>
      <c r="H257">
        <v>13</v>
      </c>
      <c r="I257" t="s">
        <v>2419</v>
      </c>
      <c r="J257" t="s">
        <v>220</v>
      </c>
      <c r="K257" t="str">
        <f t="shared" si="3"/>
        <v>RES_201202</v>
      </c>
    </row>
    <row r="258" spans="1:11">
      <c r="A258" t="s">
        <v>627</v>
      </c>
      <c r="B258" t="s">
        <v>141</v>
      </c>
      <c r="C258" t="s">
        <v>650</v>
      </c>
      <c r="D258" t="s">
        <v>146</v>
      </c>
      <c r="E258" t="s">
        <v>1790</v>
      </c>
      <c r="F258" t="s">
        <v>1398</v>
      </c>
      <c r="G258" t="s">
        <v>1305</v>
      </c>
      <c r="H258">
        <v>13</v>
      </c>
      <c r="I258" t="s">
        <v>2419</v>
      </c>
      <c r="J258" t="s">
        <v>220</v>
      </c>
      <c r="K258" t="str">
        <f t="shared" si="3"/>
        <v>RES_201202</v>
      </c>
    </row>
    <row r="259" spans="1:11">
      <c r="A259" t="s">
        <v>628</v>
      </c>
      <c r="B259" t="s">
        <v>141</v>
      </c>
      <c r="C259" t="s">
        <v>650</v>
      </c>
      <c r="D259" t="s">
        <v>660</v>
      </c>
      <c r="E259" t="s">
        <v>1791</v>
      </c>
      <c r="F259" t="s">
        <v>1398</v>
      </c>
      <c r="G259" t="s">
        <v>1305</v>
      </c>
      <c r="H259">
        <v>13</v>
      </c>
      <c r="I259" t="s">
        <v>2419</v>
      </c>
      <c r="J259" t="s">
        <v>220</v>
      </c>
      <c r="K259" t="str">
        <f t="shared" ref="K259:K322" si="4">LEFT(A259,10)</f>
        <v>RES_201202</v>
      </c>
    </row>
    <row r="260" spans="1:11">
      <c r="A260" t="s">
        <v>629</v>
      </c>
      <c r="B260" t="s">
        <v>141</v>
      </c>
      <c r="C260" t="s">
        <v>650</v>
      </c>
      <c r="D260" t="s">
        <v>661</v>
      </c>
      <c r="E260" t="s">
        <v>1792</v>
      </c>
      <c r="F260" t="s">
        <v>1398</v>
      </c>
      <c r="G260" t="s">
        <v>1305</v>
      </c>
      <c r="H260">
        <v>13</v>
      </c>
      <c r="I260" t="s">
        <v>2419</v>
      </c>
      <c r="J260" t="s">
        <v>220</v>
      </c>
      <c r="K260" t="str">
        <f t="shared" si="4"/>
        <v>RES_201202</v>
      </c>
    </row>
    <row r="261" spans="1:11">
      <c r="A261" t="s">
        <v>725</v>
      </c>
      <c r="B261" t="s">
        <v>141</v>
      </c>
      <c r="C261" t="s">
        <v>650</v>
      </c>
      <c r="D261" t="s">
        <v>722</v>
      </c>
      <c r="E261" t="s">
        <v>1793</v>
      </c>
      <c r="F261" t="s">
        <v>1398</v>
      </c>
      <c r="G261" t="s">
        <v>1305</v>
      </c>
      <c r="H261">
        <v>13</v>
      </c>
      <c r="I261" t="s">
        <v>2419</v>
      </c>
      <c r="J261" t="s">
        <v>220</v>
      </c>
      <c r="K261" t="str">
        <f t="shared" si="4"/>
        <v>RES_201202</v>
      </c>
    </row>
    <row r="262" spans="1:11">
      <c r="A262" t="s">
        <v>55</v>
      </c>
      <c r="B262" t="s">
        <v>614</v>
      </c>
      <c r="C262" t="s">
        <v>266</v>
      </c>
      <c r="D262" t="s">
        <v>307</v>
      </c>
      <c r="E262" t="s">
        <v>1794</v>
      </c>
      <c r="F262" t="s">
        <v>1426</v>
      </c>
      <c r="G262" t="s">
        <v>1300</v>
      </c>
      <c r="H262">
        <v>45</v>
      </c>
      <c r="I262" t="s">
        <v>687</v>
      </c>
      <c r="J262" t="s">
        <v>222</v>
      </c>
      <c r="K262" t="str">
        <f t="shared" si="4"/>
        <v>RES_201301</v>
      </c>
    </row>
    <row r="263" spans="1:11">
      <c r="A263" t="s">
        <v>404</v>
      </c>
      <c r="B263" t="s">
        <v>614</v>
      </c>
      <c r="C263" t="s">
        <v>716</v>
      </c>
      <c r="D263" t="s">
        <v>717</v>
      </c>
      <c r="E263" t="s">
        <v>1795</v>
      </c>
      <c r="F263" t="s">
        <v>1393</v>
      </c>
      <c r="G263" t="s">
        <v>1300</v>
      </c>
      <c r="H263">
        <v>45</v>
      </c>
      <c r="I263" t="s">
        <v>687</v>
      </c>
      <c r="J263" t="s">
        <v>222</v>
      </c>
      <c r="K263" t="str">
        <f t="shared" si="4"/>
        <v>RES_201301</v>
      </c>
    </row>
    <row r="264" spans="1:11">
      <c r="A264" t="s">
        <v>56</v>
      </c>
      <c r="B264" t="s">
        <v>614</v>
      </c>
      <c r="C264" t="s">
        <v>283</v>
      </c>
      <c r="D264" t="s">
        <v>307</v>
      </c>
      <c r="E264" t="s">
        <v>1796</v>
      </c>
      <c r="F264" t="s">
        <v>1435</v>
      </c>
      <c r="G264" t="s">
        <v>1300</v>
      </c>
      <c r="H264">
        <v>45</v>
      </c>
      <c r="I264" t="s">
        <v>687</v>
      </c>
      <c r="J264" t="s">
        <v>222</v>
      </c>
      <c r="K264" t="str">
        <f t="shared" si="4"/>
        <v>RES_201301</v>
      </c>
    </row>
    <row r="265" spans="1:11">
      <c r="A265" t="s">
        <v>77</v>
      </c>
      <c r="B265" t="s">
        <v>614</v>
      </c>
      <c r="C265" t="s">
        <v>975</v>
      </c>
      <c r="D265" t="s">
        <v>726</v>
      </c>
      <c r="E265" t="s">
        <v>1797</v>
      </c>
      <c r="F265" t="s">
        <v>1309</v>
      </c>
      <c r="G265" t="s">
        <v>1309</v>
      </c>
      <c r="H265">
        <v>45</v>
      </c>
      <c r="I265" t="s">
        <v>687</v>
      </c>
      <c r="J265" t="s">
        <v>222</v>
      </c>
      <c r="K265" t="str">
        <f t="shared" si="4"/>
        <v>RES_201301</v>
      </c>
    </row>
    <row r="266" spans="1:11">
      <c r="A266" t="s">
        <v>78</v>
      </c>
      <c r="B266" t="s">
        <v>614</v>
      </c>
      <c r="C266" t="s">
        <v>976</v>
      </c>
      <c r="D266" t="s">
        <v>726</v>
      </c>
      <c r="E266" t="s">
        <v>1798</v>
      </c>
      <c r="F266" t="s">
        <v>1313</v>
      </c>
      <c r="G266" t="s">
        <v>1313</v>
      </c>
      <c r="H266">
        <v>45</v>
      </c>
      <c r="I266" t="s">
        <v>687</v>
      </c>
      <c r="J266" t="s">
        <v>222</v>
      </c>
      <c r="K266" t="str">
        <f t="shared" si="4"/>
        <v>RES_201301</v>
      </c>
    </row>
    <row r="267" spans="1:11">
      <c r="A267" t="s">
        <v>79</v>
      </c>
      <c r="B267" t="s">
        <v>614</v>
      </c>
      <c r="C267" t="s">
        <v>977</v>
      </c>
      <c r="D267" t="s">
        <v>726</v>
      </c>
      <c r="E267" t="s">
        <v>1799</v>
      </c>
      <c r="F267" t="s">
        <v>1316</v>
      </c>
      <c r="G267" t="s">
        <v>1316</v>
      </c>
      <c r="H267">
        <v>45</v>
      </c>
      <c r="I267" t="s">
        <v>687</v>
      </c>
      <c r="J267" t="s">
        <v>222</v>
      </c>
      <c r="K267" t="str">
        <f t="shared" si="4"/>
        <v>RES_201301</v>
      </c>
    </row>
    <row r="268" spans="1:11">
      <c r="A268" t="s">
        <v>80</v>
      </c>
      <c r="B268" t="s">
        <v>614</v>
      </c>
      <c r="C268" t="s">
        <v>727</v>
      </c>
      <c r="D268" t="s">
        <v>726</v>
      </c>
      <c r="E268" t="s">
        <v>1800</v>
      </c>
      <c r="F268" t="s">
        <v>1323</v>
      </c>
      <c r="G268" t="s">
        <v>1323</v>
      </c>
      <c r="H268">
        <v>45</v>
      </c>
      <c r="I268" t="s">
        <v>687</v>
      </c>
      <c r="J268" t="s">
        <v>222</v>
      </c>
      <c r="K268" t="str">
        <f t="shared" si="4"/>
        <v>RES_201301</v>
      </c>
    </row>
    <row r="269" spans="1:11">
      <c r="A269" t="s">
        <v>72</v>
      </c>
      <c r="B269" t="s">
        <v>614</v>
      </c>
      <c r="C269" t="s">
        <v>728</v>
      </c>
      <c r="D269" t="s">
        <v>726</v>
      </c>
      <c r="E269" t="s">
        <v>1801</v>
      </c>
      <c r="F269" t="s">
        <v>1318</v>
      </c>
      <c r="G269" t="s">
        <v>1318</v>
      </c>
      <c r="H269">
        <v>45</v>
      </c>
      <c r="I269" t="s">
        <v>687</v>
      </c>
      <c r="J269" t="s">
        <v>222</v>
      </c>
      <c r="K269" t="str">
        <f t="shared" si="4"/>
        <v>RES_201301</v>
      </c>
    </row>
    <row r="270" spans="1:11">
      <c r="A270" t="s">
        <v>73</v>
      </c>
      <c r="B270" t="s">
        <v>614</v>
      </c>
      <c r="C270" t="s">
        <v>729</v>
      </c>
      <c r="D270" t="s">
        <v>726</v>
      </c>
      <c r="E270" t="s">
        <v>1802</v>
      </c>
      <c r="F270" t="s">
        <v>1406</v>
      </c>
      <c r="G270" t="s">
        <v>1307</v>
      </c>
      <c r="H270">
        <v>45</v>
      </c>
      <c r="I270" t="s">
        <v>687</v>
      </c>
      <c r="J270" t="s">
        <v>222</v>
      </c>
      <c r="K270" t="str">
        <f t="shared" si="4"/>
        <v>RES_201301</v>
      </c>
    </row>
    <row r="271" spans="1:11">
      <c r="A271" t="s">
        <v>74</v>
      </c>
      <c r="B271" t="s">
        <v>614</v>
      </c>
      <c r="C271" t="s">
        <v>730</v>
      </c>
      <c r="D271" t="s">
        <v>726</v>
      </c>
      <c r="E271" t="s">
        <v>1803</v>
      </c>
      <c r="F271" t="s">
        <v>1415</v>
      </c>
      <c r="G271" t="s">
        <v>1311</v>
      </c>
      <c r="H271">
        <v>45</v>
      </c>
      <c r="I271" t="s">
        <v>687</v>
      </c>
      <c r="J271" t="s">
        <v>222</v>
      </c>
      <c r="K271" t="str">
        <f t="shared" si="4"/>
        <v>RES_201301</v>
      </c>
    </row>
    <row r="272" spans="1:11">
      <c r="A272" t="s">
        <v>75</v>
      </c>
      <c r="B272" t="s">
        <v>614</v>
      </c>
      <c r="C272" t="s">
        <v>731</v>
      </c>
      <c r="D272" t="s">
        <v>726</v>
      </c>
      <c r="E272" t="s">
        <v>1804</v>
      </c>
      <c r="F272" t="s">
        <v>1424</v>
      </c>
      <c r="G272" t="s">
        <v>1314</v>
      </c>
      <c r="H272">
        <v>45</v>
      </c>
      <c r="I272" t="s">
        <v>687</v>
      </c>
      <c r="J272" t="s">
        <v>222</v>
      </c>
      <c r="K272" t="str">
        <f t="shared" si="4"/>
        <v>RES_201301</v>
      </c>
    </row>
    <row r="273" spans="1:11">
      <c r="A273" t="s">
        <v>76</v>
      </c>
      <c r="B273" t="s">
        <v>614</v>
      </c>
      <c r="C273" t="s">
        <v>732</v>
      </c>
      <c r="D273" t="s">
        <v>726</v>
      </c>
      <c r="E273" t="s">
        <v>1805</v>
      </c>
      <c r="F273" t="s">
        <v>1432</v>
      </c>
      <c r="G273" t="s">
        <v>1319</v>
      </c>
      <c r="H273">
        <v>45</v>
      </c>
      <c r="I273" t="s">
        <v>687</v>
      </c>
      <c r="J273" t="s">
        <v>222</v>
      </c>
      <c r="K273" t="str">
        <f t="shared" si="4"/>
        <v>RES_201301</v>
      </c>
    </row>
    <row r="274" spans="1:11">
      <c r="A274" t="s">
        <v>914</v>
      </c>
      <c r="B274" t="s">
        <v>614</v>
      </c>
      <c r="C274" t="s">
        <v>915</v>
      </c>
      <c r="D274" t="s">
        <v>726</v>
      </c>
      <c r="E274" t="s">
        <v>1806</v>
      </c>
      <c r="F274" t="s">
        <v>1407</v>
      </c>
      <c r="G274" t="s">
        <v>1308</v>
      </c>
      <c r="H274">
        <v>45</v>
      </c>
      <c r="I274" t="s">
        <v>687</v>
      </c>
      <c r="J274" t="s">
        <v>222</v>
      </c>
      <c r="K274" t="str">
        <f t="shared" si="4"/>
        <v>RES_201301</v>
      </c>
    </row>
    <row r="275" spans="1:11">
      <c r="A275" t="s">
        <v>916</v>
      </c>
      <c r="B275" t="s">
        <v>614</v>
      </c>
      <c r="C275" t="s">
        <v>917</v>
      </c>
      <c r="D275" t="s">
        <v>726</v>
      </c>
      <c r="E275" t="s">
        <v>1807</v>
      </c>
      <c r="F275" t="s">
        <v>1416</v>
      </c>
      <c r="G275" t="s">
        <v>1312</v>
      </c>
      <c r="H275">
        <v>45</v>
      </c>
      <c r="I275" t="s">
        <v>687</v>
      </c>
      <c r="J275" t="s">
        <v>222</v>
      </c>
      <c r="K275" t="str">
        <f t="shared" si="4"/>
        <v>RES_201301</v>
      </c>
    </row>
    <row r="276" spans="1:11">
      <c r="A276" t="s">
        <v>918</v>
      </c>
      <c r="B276" t="s">
        <v>614</v>
      </c>
      <c r="C276" t="s">
        <v>919</v>
      </c>
      <c r="D276" t="s">
        <v>726</v>
      </c>
      <c r="E276" t="s">
        <v>1808</v>
      </c>
      <c r="F276" t="s">
        <v>1425</v>
      </c>
      <c r="G276" t="s">
        <v>1315</v>
      </c>
      <c r="H276">
        <v>45</v>
      </c>
      <c r="I276" t="s">
        <v>687</v>
      </c>
      <c r="J276" t="s">
        <v>222</v>
      </c>
      <c r="K276" t="str">
        <f t="shared" si="4"/>
        <v>RES_201301</v>
      </c>
    </row>
    <row r="277" spans="1:11">
      <c r="A277" t="s">
        <v>920</v>
      </c>
      <c r="B277" t="s">
        <v>614</v>
      </c>
      <c r="C277" t="s">
        <v>921</v>
      </c>
      <c r="D277" t="s">
        <v>726</v>
      </c>
      <c r="E277" t="s">
        <v>1809</v>
      </c>
      <c r="F277" t="s">
        <v>1433</v>
      </c>
      <c r="G277" t="s">
        <v>1320</v>
      </c>
      <c r="H277">
        <v>45</v>
      </c>
      <c r="I277" t="s">
        <v>687</v>
      </c>
      <c r="J277" t="s">
        <v>222</v>
      </c>
      <c r="K277" t="str">
        <f t="shared" si="4"/>
        <v>RES_201301</v>
      </c>
    </row>
    <row r="278" spans="1:11">
      <c r="A278" t="s">
        <v>114</v>
      </c>
      <c r="B278" t="s">
        <v>614</v>
      </c>
      <c r="C278" t="s">
        <v>435</v>
      </c>
      <c r="D278" t="s">
        <v>717</v>
      </c>
      <c r="E278" t="s">
        <v>1810</v>
      </c>
      <c r="F278" t="s">
        <v>1409</v>
      </c>
      <c r="G278" t="s">
        <v>1301</v>
      </c>
      <c r="H278">
        <v>45</v>
      </c>
      <c r="I278" t="s">
        <v>687</v>
      </c>
      <c r="J278" t="s">
        <v>222</v>
      </c>
      <c r="K278" t="str">
        <f t="shared" si="4"/>
        <v>RES_201301</v>
      </c>
    </row>
    <row r="279" spans="1:11">
      <c r="A279" t="s">
        <v>115</v>
      </c>
      <c r="B279" t="s">
        <v>614</v>
      </c>
      <c r="C279" t="s">
        <v>436</v>
      </c>
      <c r="D279" t="s">
        <v>717</v>
      </c>
      <c r="E279" t="s">
        <v>1811</v>
      </c>
      <c r="F279" t="s">
        <v>1394</v>
      </c>
      <c r="G279" t="s">
        <v>1301</v>
      </c>
      <c r="H279">
        <v>45</v>
      </c>
      <c r="I279" t="s">
        <v>687</v>
      </c>
      <c r="J279" t="s">
        <v>222</v>
      </c>
      <c r="K279" t="str">
        <f t="shared" si="4"/>
        <v>RES_201301</v>
      </c>
    </row>
    <row r="280" spans="1:11">
      <c r="A280" t="s">
        <v>563</v>
      </c>
      <c r="B280" t="s">
        <v>614</v>
      </c>
      <c r="C280" t="s">
        <v>564</v>
      </c>
      <c r="D280" t="s">
        <v>726</v>
      </c>
      <c r="E280" t="s">
        <v>1812</v>
      </c>
      <c r="F280" t="s">
        <v>1401</v>
      </c>
      <c r="G280" t="s">
        <v>1300</v>
      </c>
      <c r="H280">
        <v>45</v>
      </c>
      <c r="I280" t="s">
        <v>687</v>
      </c>
      <c r="J280" t="s">
        <v>222</v>
      </c>
      <c r="K280" t="str">
        <f t="shared" si="4"/>
        <v>Res_201301</v>
      </c>
    </row>
    <row r="281" spans="1:11">
      <c r="A281" t="s">
        <v>57</v>
      </c>
      <c r="B281" t="s">
        <v>410</v>
      </c>
      <c r="C281" t="s">
        <v>250</v>
      </c>
      <c r="D281" t="s">
        <v>301</v>
      </c>
      <c r="E281" t="s">
        <v>1813</v>
      </c>
      <c r="F281" t="s">
        <v>1402</v>
      </c>
      <c r="G281" t="s">
        <v>1300</v>
      </c>
      <c r="H281">
        <v>45</v>
      </c>
      <c r="I281" t="s">
        <v>2060</v>
      </c>
      <c r="J281" t="s">
        <v>2615</v>
      </c>
      <c r="K281" t="str">
        <f t="shared" si="4"/>
        <v>RES_201301</v>
      </c>
    </row>
    <row r="282" spans="1:11">
      <c r="A282" t="s">
        <v>58</v>
      </c>
      <c r="B282" t="s">
        <v>1969</v>
      </c>
      <c r="C282" t="s">
        <v>250</v>
      </c>
      <c r="D282" t="s">
        <v>302</v>
      </c>
      <c r="E282" t="s">
        <v>1150</v>
      </c>
      <c r="F282" t="s">
        <v>1151</v>
      </c>
      <c r="G282" t="s">
        <v>1300</v>
      </c>
      <c r="H282">
        <v>45</v>
      </c>
      <c r="I282" t="s">
        <v>2800</v>
      </c>
      <c r="J282" t="s">
        <v>221</v>
      </c>
      <c r="K282" t="str">
        <f t="shared" si="4"/>
        <v>RES_201301</v>
      </c>
    </row>
    <row r="283" spans="1:11">
      <c r="A283" t="s">
        <v>1611</v>
      </c>
      <c r="B283" t="s">
        <v>1969</v>
      </c>
      <c r="C283" t="s">
        <v>250</v>
      </c>
      <c r="D283" t="s">
        <v>311</v>
      </c>
      <c r="E283" t="s">
        <v>1814</v>
      </c>
      <c r="F283" t="s">
        <v>1403</v>
      </c>
      <c r="G283" t="s">
        <v>1300</v>
      </c>
      <c r="H283">
        <v>45</v>
      </c>
      <c r="I283" t="s">
        <v>2800</v>
      </c>
      <c r="J283" t="s">
        <v>221</v>
      </c>
      <c r="K283" t="str">
        <f t="shared" si="4"/>
        <v>RES_201301</v>
      </c>
    </row>
    <row r="284" spans="1:11">
      <c r="A284" t="s">
        <v>1612</v>
      </c>
      <c r="B284" t="s">
        <v>1969</v>
      </c>
      <c r="C284" t="s">
        <v>250</v>
      </c>
      <c r="D284" t="s">
        <v>695</v>
      </c>
      <c r="E284" t="s">
        <v>1815</v>
      </c>
      <c r="F284" t="s">
        <v>1404</v>
      </c>
      <c r="G284" t="s">
        <v>1300</v>
      </c>
      <c r="H284">
        <v>45</v>
      </c>
      <c r="I284" t="s">
        <v>2800</v>
      </c>
      <c r="J284" t="s">
        <v>221</v>
      </c>
      <c r="K284" t="str">
        <f t="shared" si="4"/>
        <v>RES_201301</v>
      </c>
    </row>
    <row r="285" spans="1:11">
      <c r="A285" t="s">
        <v>1613</v>
      </c>
      <c r="B285" t="s">
        <v>1969</v>
      </c>
      <c r="C285" t="s">
        <v>250</v>
      </c>
      <c r="D285" t="s">
        <v>697</v>
      </c>
      <c r="E285" t="s">
        <v>1816</v>
      </c>
      <c r="F285" t="s">
        <v>1405</v>
      </c>
      <c r="G285" t="s">
        <v>1300</v>
      </c>
      <c r="H285">
        <v>45</v>
      </c>
      <c r="I285" t="s">
        <v>2800</v>
      </c>
      <c r="J285" t="s">
        <v>221</v>
      </c>
      <c r="K285" t="str">
        <f t="shared" si="4"/>
        <v>RES_201301</v>
      </c>
    </row>
    <row r="286" spans="1:11">
      <c r="A286" t="s">
        <v>437</v>
      </c>
      <c r="B286" t="s">
        <v>614</v>
      </c>
      <c r="C286" t="s">
        <v>733</v>
      </c>
      <c r="D286" t="s">
        <v>726</v>
      </c>
      <c r="E286" t="s">
        <v>1817</v>
      </c>
      <c r="F286" t="s">
        <v>1317</v>
      </c>
      <c r="G286" t="s">
        <v>1317</v>
      </c>
      <c r="H286">
        <v>45</v>
      </c>
      <c r="I286" t="s">
        <v>687</v>
      </c>
      <c r="J286" t="s">
        <v>222</v>
      </c>
      <c r="K286" t="str">
        <f t="shared" si="4"/>
        <v>Res_201301</v>
      </c>
    </row>
    <row r="287" spans="1:11">
      <c r="A287" t="s">
        <v>617</v>
      </c>
      <c r="B287" t="s">
        <v>614</v>
      </c>
      <c r="C287" t="s">
        <v>734</v>
      </c>
      <c r="D287" t="s">
        <v>726</v>
      </c>
      <c r="E287" t="s">
        <v>1818</v>
      </c>
      <c r="F287" t="s">
        <v>1411</v>
      </c>
      <c r="G287" t="s">
        <v>1310</v>
      </c>
      <c r="H287">
        <v>45</v>
      </c>
      <c r="I287" t="s">
        <v>687</v>
      </c>
      <c r="J287" t="s">
        <v>222</v>
      </c>
      <c r="K287" t="str">
        <f t="shared" si="4"/>
        <v>RES_201301</v>
      </c>
    </row>
    <row r="288" spans="1:11">
      <c r="A288" t="s">
        <v>618</v>
      </c>
      <c r="B288" t="s">
        <v>614</v>
      </c>
      <c r="C288" t="s">
        <v>735</v>
      </c>
      <c r="D288" t="s">
        <v>726</v>
      </c>
      <c r="E288" t="s">
        <v>1819</v>
      </c>
      <c r="F288" t="s">
        <v>1419</v>
      </c>
      <c r="G288" t="s">
        <v>1310</v>
      </c>
      <c r="H288">
        <v>45</v>
      </c>
      <c r="I288" t="s">
        <v>687</v>
      </c>
      <c r="J288" t="s">
        <v>222</v>
      </c>
      <c r="K288" t="str">
        <f t="shared" si="4"/>
        <v>RES_201301</v>
      </c>
    </row>
    <row r="289" spans="1:11">
      <c r="A289" t="s">
        <v>619</v>
      </c>
      <c r="B289" t="s">
        <v>614</v>
      </c>
      <c r="C289" t="s">
        <v>736</v>
      </c>
      <c r="D289" t="s">
        <v>726</v>
      </c>
      <c r="E289" t="s">
        <v>1820</v>
      </c>
      <c r="F289" t="s">
        <v>1428</v>
      </c>
      <c r="G289" t="s">
        <v>1310</v>
      </c>
      <c r="H289">
        <v>45</v>
      </c>
      <c r="I289" t="s">
        <v>687</v>
      </c>
      <c r="J289" t="s">
        <v>222</v>
      </c>
      <c r="K289" t="str">
        <f t="shared" si="4"/>
        <v>RES_201301</v>
      </c>
    </row>
    <row r="290" spans="1:11">
      <c r="A290" t="s">
        <v>620</v>
      </c>
      <c r="B290" t="s">
        <v>614</v>
      </c>
      <c r="C290" t="s">
        <v>737</v>
      </c>
      <c r="D290" t="s">
        <v>726</v>
      </c>
      <c r="E290" t="s">
        <v>1821</v>
      </c>
      <c r="F290" t="s">
        <v>1436</v>
      </c>
      <c r="G290" t="s">
        <v>1310</v>
      </c>
      <c r="H290">
        <v>45</v>
      </c>
      <c r="I290" t="s">
        <v>687</v>
      </c>
      <c r="J290" t="s">
        <v>222</v>
      </c>
      <c r="K290" t="str">
        <f t="shared" si="4"/>
        <v>RES_201301</v>
      </c>
    </row>
    <row r="291" spans="1:11">
      <c r="A291" t="s">
        <v>621</v>
      </c>
      <c r="B291" t="s">
        <v>614</v>
      </c>
      <c r="C291" t="s">
        <v>738</v>
      </c>
      <c r="D291" t="s">
        <v>726</v>
      </c>
      <c r="E291" t="s">
        <v>1822</v>
      </c>
      <c r="F291" t="s">
        <v>1322</v>
      </c>
      <c r="G291" t="s">
        <v>1322</v>
      </c>
      <c r="H291">
        <v>45</v>
      </c>
      <c r="I291" t="s">
        <v>687</v>
      </c>
      <c r="J291" t="s">
        <v>222</v>
      </c>
      <c r="K291" t="str">
        <f t="shared" si="4"/>
        <v>RES_201301</v>
      </c>
    </row>
    <row r="292" spans="1:11">
      <c r="A292" t="s">
        <v>1614</v>
      </c>
      <c r="B292" t="s">
        <v>614</v>
      </c>
      <c r="C292" t="s">
        <v>1248</v>
      </c>
      <c r="D292" t="s">
        <v>726</v>
      </c>
      <c r="E292" t="s">
        <v>1823</v>
      </c>
      <c r="F292" t="s">
        <v>1427</v>
      </c>
      <c r="G292" t="s">
        <v>1248</v>
      </c>
      <c r="H292">
        <v>45</v>
      </c>
      <c r="I292" t="s">
        <v>687</v>
      </c>
      <c r="J292" t="s">
        <v>222</v>
      </c>
      <c r="K292" t="str">
        <f t="shared" si="4"/>
        <v>RES_201301</v>
      </c>
    </row>
    <row r="293" spans="1:11">
      <c r="A293" t="s">
        <v>1615</v>
      </c>
      <c r="B293" t="s">
        <v>614</v>
      </c>
      <c r="C293" t="s">
        <v>1247</v>
      </c>
      <c r="D293" t="s">
        <v>726</v>
      </c>
      <c r="E293" t="s">
        <v>1824</v>
      </c>
      <c r="F293" t="s">
        <v>1410</v>
      </c>
      <c r="G293" t="s">
        <v>1247</v>
      </c>
      <c r="H293">
        <v>45</v>
      </c>
      <c r="I293" t="s">
        <v>687</v>
      </c>
      <c r="J293" t="s">
        <v>222</v>
      </c>
      <c r="K293" t="str">
        <f t="shared" si="4"/>
        <v>RES_201301</v>
      </c>
    </row>
    <row r="294" spans="1:11">
      <c r="A294" t="s">
        <v>1074</v>
      </c>
      <c r="B294" t="s">
        <v>614</v>
      </c>
      <c r="C294" t="s">
        <v>1109</v>
      </c>
      <c r="D294" t="s">
        <v>726</v>
      </c>
      <c r="E294" t="s">
        <v>1825</v>
      </c>
      <c r="F294" t="s">
        <v>1418</v>
      </c>
      <c r="G294" t="s">
        <v>1109</v>
      </c>
      <c r="H294">
        <v>45</v>
      </c>
      <c r="I294" t="s">
        <v>687</v>
      </c>
      <c r="J294" t="s">
        <v>222</v>
      </c>
      <c r="K294" t="str">
        <f t="shared" si="4"/>
        <v>RES_201301</v>
      </c>
    </row>
    <row r="295" spans="1:11">
      <c r="A295" t="s">
        <v>616</v>
      </c>
      <c r="B295" t="s">
        <v>614</v>
      </c>
      <c r="C295" t="s">
        <v>739</v>
      </c>
      <c r="D295" t="s">
        <v>726</v>
      </c>
      <c r="E295" t="s">
        <v>1826</v>
      </c>
      <c r="F295" t="s">
        <v>1423</v>
      </c>
      <c r="G295" t="s">
        <v>1300</v>
      </c>
      <c r="H295">
        <v>45</v>
      </c>
      <c r="I295" t="s">
        <v>687</v>
      </c>
      <c r="J295" t="s">
        <v>222</v>
      </c>
      <c r="K295" t="str">
        <f t="shared" si="4"/>
        <v>RES_201301</v>
      </c>
    </row>
    <row r="296" spans="1:11">
      <c r="A296" t="s">
        <v>1616</v>
      </c>
      <c r="B296" t="s">
        <v>614</v>
      </c>
      <c r="C296" t="s">
        <v>1249</v>
      </c>
      <c r="D296" t="s">
        <v>726</v>
      </c>
      <c r="E296" t="s">
        <v>1827</v>
      </c>
      <c r="F296" t="s">
        <v>1434</v>
      </c>
      <c r="G296" t="s">
        <v>1321</v>
      </c>
      <c r="H296">
        <v>45</v>
      </c>
      <c r="I296" t="s">
        <v>687</v>
      </c>
      <c r="J296" t="s">
        <v>222</v>
      </c>
      <c r="K296" t="str">
        <f t="shared" si="4"/>
        <v>RES_201301</v>
      </c>
    </row>
    <row r="297" spans="1:11">
      <c r="A297" t="s">
        <v>59</v>
      </c>
      <c r="B297" t="s">
        <v>1969</v>
      </c>
      <c r="C297" t="s">
        <v>258</v>
      </c>
      <c r="D297" t="s">
        <v>302</v>
      </c>
      <c r="E297" t="s">
        <v>1148</v>
      </c>
      <c r="F297" t="s">
        <v>1149</v>
      </c>
      <c r="G297" t="s">
        <v>1300</v>
      </c>
      <c r="H297">
        <v>45</v>
      </c>
      <c r="I297" t="s">
        <v>2800</v>
      </c>
      <c r="J297" t="s">
        <v>221</v>
      </c>
      <c r="K297" t="str">
        <f t="shared" si="4"/>
        <v>RES_201301</v>
      </c>
    </row>
    <row r="298" spans="1:11">
      <c r="A298" t="s">
        <v>60</v>
      </c>
      <c r="B298" t="s">
        <v>1969</v>
      </c>
      <c r="C298" t="s">
        <v>258</v>
      </c>
      <c r="D298" t="s">
        <v>311</v>
      </c>
      <c r="E298" t="s">
        <v>1828</v>
      </c>
      <c r="F298" t="s">
        <v>1412</v>
      </c>
      <c r="G298" t="s">
        <v>1300</v>
      </c>
      <c r="H298">
        <v>45</v>
      </c>
      <c r="I298" t="s">
        <v>2800</v>
      </c>
      <c r="J298" t="s">
        <v>221</v>
      </c>
      <c r="K298" t="str">
        <f t="shared" si="4"/>
        <v>RES_201301</v>
      </c>
    </row>
    <row r="299" spans="1:11">
      <c r="A299" t="s">
        <v>1617</v>
      </c>
      <c r="B299" t="s">
        <v>1969</v>
      </c>
      <c r="C299" t="s">
        <v>258</v>
      </c>
      <c r="D299" t="s">
        <v>695</v>
      </c>
      <c r="E299" t="s">
        <v>1829</v>
      </c>
      <c r="F299" t="s">
        <v>1413</v>
      </c>
      <c r="G299" t="s">
        <v>1300</v>
      </c>
      <c r="H299">
        <v>45</v>
      </c>
      <c r="I299" t="s">
        <v>2800</v>
      </c>
      <c r="J299" t="s">
        <v>221</v>
      </c>
      <c r="K299" t="str">
        <f t="shared" si="4"/>
        <v>RES_201301</v>
      </c>
    </row>
    <row r="300" spans="1:11">
      <c r="A300" t="s">
        <v>1618</v>
      </c>
      <c r="B300" t="s">
        <v>1969</v>
      </c>
      <c r="C300" t="s">
        <v>258</v>
      </c>
      <c r="D300" t="s">
        <v>697</v>
      </c>
      <c r="E300" t="s">
        <v>1830</v>
      </c>
      <c r="F300" t="s">
        <v>1414</v>
      </c>
      <c r="G300" t="s">
        <v>1300</v>
      </c>
      <c r="H300">
        <v>45</v>
      </c>
      <c r="I300" t="s">
        <v>2800</v>
      </c>
      <c r="J300" t="s">
        <v>221</v>
      </c>
      <c r="K300" t="str">
        <f t="shared" si="4"/>
        <v>RES_201301</v>
      </c>
    </row>
    <row r="301" spans="1:11">
      <c r="A301" t="s">
        <v>81</v>
      </c>
      <c r="B301" t="s">
        <v>1969</v>
      </c>
      <c r="C301" t="s">
        <v>264</v>
      </c>
      <c r="D301" t="s">
        <v>653</v>
      </c>
      <c r="E301" t="s">
        <v>1140</v>
      </c>
      <c r="F301" t="s">
        <v>1141</v>
      </c>
      <c r="G301" t="s">
        <v>1300</v>
      </c>
      <c r="H301">
        <v>45</v>
      </c>
      <c r="I301" t="s">
        <v>2800</v>
      </c>
      <c r="J301" t="s">
        <v>221</v>
      </c>
      <c r="K301" t="str">
        <f t="shared" si="4"/>
        <v>RES_201301</v>
      </c>
    </row>
    <row r="302" spans="1:11">
      <c r="A302" t="s">
        <v>61</v>
      </c>
      <c r="B302" t="s">
        <v>1969</v>
      </c>
      <c r="C302" t="s">
        <v>264</v>
      </c>
      <c r="D302" t="s">
        <v>1005</v>
      </c>
      <c r="E302" t="s">
        <v>1144</v>
      </c>
      <c r="F302" t="s">
        <v>1145</v>
      </c>
      <c r="G302" t="s">
        <v>1300</v>
      </c>
      <c r="H302">
        <v>45</v>
      </c>
      <c r="I302" t="s">
        <v>2800</v>
      </c>
      <c r="J302" t="s">
        <v>221</v>
      </c>
      <c r="K302" t="str">
        <f t="shared" si="4"/>
        <v>RES_201301</v>
      </c>
    </row>
    <row r="303" spans="1:11">
      <c r="A303" t="s">
        <v>62</v>
      </c>
      <c r="B303" t="s">
        <v>1969</v>
      </c>
      <c r="C303" t="s">
        <v>264</v>
      </c>
      <c r="D303" t="s">
        <v>740</v>
      </c>
      <c r="E303" t="s">
        <v>1831</v>
      </c>
      <c r="F303" t="s">
        <v>1420</v>
      </c>
      <c r="G303" t="s">
        <v>1300</v>
      </c>
      <c r="H303">
        <v>45</v>
      </c>
      <c r="I303" t="s">
        <v>2800</v>
      </c>
      <c r="J303" t="s">
        <v>221</v>
      </c>
      <c r="K303" t="str">
        <f t="shared" si="4"/>
        <v>RES_201301</v>
      </c>
    </row>
    <row r="304" spans="1:11">
      <c r="A304" t="s">
        <v>1619</v>
      </c>
      <c r="B304" t="s">
        <v>1969</v>
      </c>
      <c r="C304" t="s">
        <v>264</v>
      </c>
      <c r="D304" t="s">
        <v>1271</v>
      </c>
      <c r="E304" t="s">
        <v>1832</v>
      </c>
      <c r="F304" t="s">
        <v>1421</v>
      </c>
      <c r="G304" t="s">
        <v>1300</v>
      </c>
      <c r="H304">
        <v>45</v>
      </c>
      <c r="I304" t="s">
        <v>2800</v>
      </c>
      <c r="J304" t="s">
        <v>221</v>
      </c>
      <c r="K304" t="str">
        <f t="shared" si="4"/>
        <v>RES_201301</v>
      </c>
    </row>
    <row r="305" spans="1:11">
      <c r="A305" t="s">
        <v>1620</v>
      </c>
      <c r="B305" t="s">
        <v>1969</v>
      </c>
      <c r="C305" t="s">
        <v>264</v>
      </c>
      <c r="D305" t="s">
        <v>1272</v>
      </c>
      <c r="E305" t="s">
        <v>1833</v>
      </c>
      <c r="F305" t="s">
        <v>1422</v>
      </c>
      <c r="G305" t="s">
        <v>1300</v>
      </c>
      <c r="H305">
        <v>45</v>
      </c>
      <c r="I305" t="s">
        <v>2800</v>
      </c>
      <c r="J305" t="s">
        <v>221</v>
      </c>
      <c r="K305" t="str">
        <f t="shared" si="4"/>
        <v>RES_201301</v>
      </c>
    </row>
    <row r="306" spans="1:11">
      <c r="A306" t="s">
        <v>63</v>
      </c>
      <c r="B306" t="s">
        <v>410</v>
      </c>
      <c r="C306" t="s">
        <v>281</v>
      </c>
      <c r="D306" t="s">
        <v>327</v>
      </c>
      <c r="E306" t="s">
        <v>1142</v>
      </c>
      <c r="F306" t="s">
        <v>1143</v>
      </c>
      <c r="G306" t="s">
        <v>1300</v>
      </c>
      <c r="H306">
        <v>45</v>
      </c>
      <c r="I306" t="s">
        <v>2060</v>
      </c>
      <c r="J306" t="s">
        <v>2615</v>
      </c>
      <c r="K306" t="str">
        <f t="shared" si="4"/>
        <v>RES_201301</v>
      </c>
    </row>
    <row r="307" spans="1:11">
      <c r="A307" t="s">
        <v>64</v>
      </c>
      <c r="B307" t="s">
        <v>1969</v>
      </c>
      <c r="C307" t="s">
        <v>281</v>
      </c>
      <c r="D307" t="s">
        <v>328</v>
      </c>
      <c r="E307" t="s">
        <v>1146</v>
      </c>
      <c r="F307" t="s">
        <v>1147</v>
      </c>
      <c r="G307" t="s">
        <v>1300</v>
      </c>
      <c r="H307">
        <v>45</v>
      </c>
      <c r="I307" t="s">
        <v>2800</v>
      </c>
      <c r="J307" t="s">
        <v>221</v>
      </c>
      <c r="K307" t="str">
        <f t="shared" si="4"/>
        <v>RES_201301</v>
      </c>
    </row>
    <row r="308" spans="1:11">
      <c r="A308" t="s">
        <v>399</v>
      </c>
      <c r="B308" t="s">
        <v>1969</v>
      </c>
      <c r="C308" t="s">
        <v>281</v>
      </c>
      <c r="D308" t="s">
        <v>705</v>
      </c>
      <c r="E308" t="s">
        <v>1834</v>
      </c>
      <c r="F308" t="s">
        <v>1429</v>
      </c>
      <c r="G308" t="s">
        <v>1300</v>
      </c>
      <c r="H308">
        <v>45</v>
      </c>
      <c r="I308" t="s">
        <v>2800</v>
      </c>
      <c r="J308" t="s">
        <v>221</v>
      </c>
      <c r="K308" t="str">
        <f t="shared" si="4"/>
        <v>RES_201301</v>
      </c>
    </row>
    <row r="309" spans="1:11">
      <c r="A309" t="s">
        <v>1621</v>
      </c>
      <c r="B309" t="s">
        <v>1969</v>
      </c>
      <c r="C309" t="s">
        <v>281</v>
      </c>
      <c r="D309" t="s">
        <v>708</v>
      </c>
      <c r="E309" t="s">
        <v>1835</v>
      </c>
      <c r="F309" t="s">
        <v>1430</v>
      </c>
      <c r="G309" t="s">
        <v>1300</v>
      </c>
      <c r="H309">
        <v>45</v>
      </c>
      <c r="I309" t="s">
        <v>2800</v>
      </c>
      <c r="J309" t="s">
        <v>221</v>
      </c>
      <c r="K309" t="str">
        <f t="shared" si="4"/>
        <v>RES_201301</v>
      </c>
    </row>
    <row r="310" spans="1:11">
      <c r="A310" t="s">
        <v>1622</v>
      </c>
      <c r="B310" t="s">
        <v>1969</v>
      </c>
      <c r="C310" t="s">
        <v>281</v>
      </c>
      <c r="D310" t="s">
        <v>709</v>
      </c>
      <c r="E310" t="s">
        <v>1836</v>
      </c>
      <c r="F310" t="s">
        <v>1431</v>
      </c>
      <c r="G310" t="s">
        <v>1300</v>
      </c>
      <c r="H310">
        <v>45</v>
      </c>
      <c r="I310" t="s">
        <v>2800</v>
      </c>
      <c r="J310" t="s">
        <v>221</v>
      </c>
      <c r="K310" t="str">
        <f t="shared" si="4"/>
        <v>RES_201301</v>
      </c>
    </row>
    <row r="311" spans="1:11">
      <c r="A311" t="s">
        <v>358</v>
      </c>
      <c r="B311" t="s">
        <v>614</v>
      </c>
      <c r="C311" t="s">
        <v>718</v>
      </c>
      <c r="D311" t="s">
        <v>717</v>
      </c>
      <c r="E311" t="s">
        <v>1837</v>
      </c>
      <c r="F311" t="s">
        <v>1377</v>
      </c>
      <c r="G311" t="s">
        <v>1300</v>
      </c>
      <c r="H311">
        <v>45</v>
      </c>
      <c r="I311" t="s">
        <v>687</v>
      </c>
      <c r="J311" t="s">
        <v>222</v>
      </c>
      <c r="K311" t="str">
        <f t="shared" si="4"/>
        <v>RES_201301</v>
      </c>
    </row>
    <row r="312" spans="1:11">
      <c r="A312" t="s">
        <v>370</v>
      </c>
      <c r="B312" t="s">
        <v>614</v>
      </c>
      <c r="C312" t="s">
        <v>719</v>
      </c>
      <c r="D312" t="s">
        <v>717</v>
      </c>
      <c r="E312" t="s">
        <v>1838</v>
      </c>
      <c r="F312" t="s">
        <v>1382</v>
      </c>
      <c r="G312" t="s">
        <v>1300</v>
      </c>
      <c r="H312">
        <v>45</v>
      </c>
      <c r="I312" t="s">
        <v>687</v>
      </c>
      <c r="J312" t="s">
        <v>222</v>
      </c>
      <c r="K312" t="str">
        <f t="shared" si="4"/>
        <v>RES_201301</v>
      </c>
    </row>
    <row r="313" spans="1:11">
      <c r="A313" t="s">
        <v>381</v>
      </c>
      <c r="B313" t="s">
        <v>614</v>
      </c>
      <c r="C313" t="s">
        <v>720</v>
      </c>
      <c r="D313" t="s">
        <v>717</v>
      </c>
      <c r="E313" t="s">
        <v>1839</v>
      </c>
      <c r="F313" t="s">
        <v>1388</v>
      </c>
      <c r="G313" t="s">
        <v>1300</v>
      </c>
      <c r="H313">
        <v>45</v>
      </c>
      <c r="I313" t="s">
        <v>687</v>
      </c>
      <c r="J313" t="s">
        <v>222</v>
      </c>
      <c r="K313" t="str">
        <f t="shared" si="4"/>
        <v>RES_201301</v>
      </c>
    </row>
    <row r="314" spans="1:11">
      <c r="A314" t="s">
        <v>65</v>
      </c>
      <c r="B314" t="s">
        <v>614</v>
      </c>
      <c r="C314" t="s">
        <v>252</v>
      </c>
      <c r="D314" t="s">
        <v>307</v>
      </c>
      <c r="E314" t="s">
        <v>1840</v>
      </c>
      <c r="F314" t="s">
        <v>1408</v>
      </c>
      <c r="G314" t="s">
        <v>1300</v>
      </c>
      <c r="H314">
        <v>45</v>
      </c>
      <c r="I314" t="s">
        <v>687</v>
      </c>
      <c r="J314" t="s">
        <v>222</v>
      </c>
      <c r="K314" t="str">
        <f t="shared" si="4"/>
        <v>RES_201301</v>
      </c>
    </row>
    <row r="315" spans="1:11">
      <c r="A315" t="s">
        <v>66</v>
      </c>
      <c r="B315" t="s">
        <v>614</v>
      </c>
      <c r="C315" t="s">
        <v>260</v>
      </c>
      <c r="D315" t="s">
        <v>307</v>
      </c>
      <c r="E315" t="s">
        <v>1841</v>
      </c>
      <c r="F315" t="s">
        <v>1417</v>
      </c>
      <c r="G315" t="s">
        <v>1300</v>
      </c>
      <c r="H315">
        <v>45</v>
      </c>
      <c r="I315" t="s">
        <v>687</v>
      </c>
      <c r="J315" t="s">
        <v>222</v>
      </c>
      <c r="K315" t="str">
        <f t="shared" si="4"/>
        <v>RES_201301</v>
      </c>
    </row>
    <row r="316" spans="1:11">
      <c r="A316" t="s">
        <v>1623</v>
      </c>
      <c r="B316" t="s">
        <v>2677</v>
      </c>
      <c r="C316" t="s">
        <v>1251</v>
      </c>
      <c r="D316" t="s">
        <v>2357</v>
      </c>
      <c r="E316" t="s">
        <v>1842</v>
      </c>
      <c r="F316" t="s">
        <v>1496</v>
      </c>
      <c r="G316" t="s">
        <v>1251</v>
      </c>
      <c r="H316">
        <v>14</v>
      </c>
      <c r="I316" t="s">
        <v>2730</v>
      </c>
      <c r="J316" t="s">
        <v>989</v>
      </c>
      <c r="K316" t="str">
        <f t="shared" si="4"/>
        <v>RES_201402</v>
      </c>
    </row>
    <row r="317" spans="1:11">
      <c r="A317" t="s">
        <v>1624</v>
      </c>
      <c r="B317" t="s">
        <v>2677</v>
      </c>
      <c r="C317" t="s">
        <v>1254</v>
      </c>
      <c r="D317" t="s">
        <v>1276</v>
      </c>
      <c r="E317" t="s">
        <v>1843</v>
      </c>
      <c r="F317" t="s">
        <v>1501</v>
      </c>
      <c r="G317" t="s">
        <v>1254</v>
      </c>
      <c r="H317">
        <v>11</v>
      </c>
      <c r="I317" t="s">
        <v>2730</v>
      </c>
      <c r="J317" t="s">
        <v>989</v>
      </c>
      <c r="K317" t="str">
        <f t="shared" si="4"/>
        <v>RES_201402</v>
      </c>
    </row>
    <row r="318" spans="1:11">
      <c r="A318" t="s">
        <v>1625</v>
      </c>
      <c r="B318" t="s">
        <v>2677</v>
      </c>
      <c r="C318" t="s">
        <v>1255</v>
      </c>
      <c r="D318" t="s">
        <v>1276</v>
      </c>
      <c r="E318" t="s">
        <v>1844</v>
      </c>
      <c r="F318" t="s">
        <v>1505</v>
      </c>
      <c r="G318" t="s">
        <v>783</v>
      </c>
      <c r="H318">
        <v>6</v>
      </c>
      <c r="I318" t="s">
        <v>2730</v>
      </c>
      <c r="J318" t="s">
        <v>989</v>
      </c>
      <c r="K318" t="str">
        <f t="shared" si="4"/>
        <v>RES_201402</v>
      </c>
    </row>
    <row r="319" spans="1:11">
      <c r="A319" t="s">
        <v>1626</v>
      </c>
      <c r="B319" t="s">
        <v>2677</v>
      </c>
      <c r="C319" t="s">
        <v>1253</v>
      </c>
      <c r="D319" t="s">
        <v>1276</v>
      </c>
      <c r="E319" t="s">
        <v>1845</v>
      </c>
      <c r="F319" t="s">
        <v>1498</v>
      </c>
      <c r="G319" t="s">
        <v>1253</v>
      </c>
      <c r="H319">
        <v>25</v>
      </c>
      <c r="I319" t="s">
        <v>2730</v>
      </c>
      <c r="J319" t="s">
        <v>989</v>
      </c>
      <c r="K319" t="str">
        <f t="shared" si="4"/>
        <v>RES_201402</v>
      </c>
    </row>
    <row r="320" spans="1:11">
      <c r="A320" t="s">
        <v>1627</v>
      </c>
      <c r="B320" t="s">
        <v>2677</v>
      </c>
      <c r="C320" t="s">
        <v>1256</v>
      </c>
      <c r="D320" t="s">
        <v>286</v>
      </c>
      <c r="E320" t="s">
        <v>2345</v>
      </c>
      <c r="F320" t="s">
        <v>1490</v>
      </c>
      <c r="G320" t="s">
        <v>1343</v>
      </c>
      <c r="H320" t="s">
        <v>1977</v>
      </c>
      <c r="I320" t="s">
        <v>2730</v>
      </c>
      <c r="J320" t="s">
        <v>989</v>
      </c>
      <c r="K320" t="str">
        <f t="shared" si="4"/>
        <v>RES_201402</v>
      </c>
    </row>
    <row r="321" spans="1:11">
      <c r="A321" t="s">
        <v>392</v>
      </c>
      <c r="B321" t="s">
        <v>2677</v>
      </c>
      <c r="C321" t="s">
        <v>273</v>
      </c>
      <c r="D321" t="s">
        <v>287</v>
      </c>
      <c r="E321" t="s">
        <v>1846</v>
      </c>
      <c r="F321" t="s">
        <v>1502</v>
      </c>
      <c r="G321" t="s">
        <v>1344</v>
      </c>
      <c r="H321">
        <v>19</v>
      </c>
      <c r="I321" t="s">
        <v>2730</v>
      </c>
      <c r="J321" t="s">
        <v>989</v>
      </c>
      <c r="K321" t="str">
        <f t="shared" si="4"/>
        <v>RES_201402</v>
      </c>
    </row>
    <row r="322" spans="1:11">
      <c r="A322" t="s">
        <v>335</v>
      </c>
      <c r="B322" t="s">
        <v>2677</v>
      </c>
      <c r="C322" t="s">
        <v>237</v>
      </c>
      <c r="D322" t="s">
        <v>287</v>
      </c>
      <c r="E322" t="s">
        <v>1847</v>
      </c>
      <c r="F322" t="s">
        <v>1495</v>
      </c>
      <c r="G322" t="s">
        <v>1339</v>
      </c>
      <c r="H322">
        <v>5</v>
      </c>
      <c r="I322" t="s">
        <v>2730</v>
      </c>
      <c r="J322" t="s">
        <v>989</v>
      </c>
      <c r="K322" t="str">
        <f t="shared" si="4"/>
        <v>RES_201402</v>
      </c>
    </row>
    <row r="323" spans="1:11">
      <c r="A323" t="s">
        <v>393</v>
      </c>
      <c r="B323" t="s">
        <v>2677</v>
      </c>
      <c r="C323" t="s">
        <v>274</v>
      </c>
      <c r="D323" t="s">
        <v>287</v>
      </c>
      <c r="E323" t="s">
        <v>1848</v>
      </c>
      <c r="F323" t="s">
        <v>1504</v>
      </c>
      <c r="G323" t="s">
        <v>1345</v>
      </c>
      <c r="H323">
        <v>16</v>
      </c>
      <c r="I323" t="s">
        <v>2730</v>
      </c>
      <c r="J323" t="s">
        <v>989</v>
      </c>
      <c r="K323" t="str">
        <f t="shared" ref="K323:K386" si="5">LEFT(A323,10)</f>
        <v>RES_201402</v>
      </c>
    </row>
    <row r="324" spans="1:11">
      <c r="A324" t="s">
        <v>408</v>
      </c>
      <c r="B324" t="s">
        <v>2677</v>
      </c>
      <c r="C324" t="s">
        <v>285</v>
      </c>
      <c r="D324" t="s">
        <v>287</v>
      </c>
      <c r="E324" t="s">
        <v>1849</v>
      </c>
      <c r="F324" t="s">
        <v>1500</v>
      </c>
      <c r="G324" t="s">
        <v>1342</v>
      </c>
      <c r="H324">
        <v>21</v>
      </c>
      <c r="I324" t="s">
        <v>2730</v>
      </c>
      <c r="J324" t="s">
        <v>989</v>
      </c>
      <c r="K324" t="str">
        <f t="shared" si="5"/>
        <v>RES_201402</v>
      </c>
    </row>
    <row r="325" spans="1:11">
      <c r="A325" t="s">
        <v>337</v>
      </c>
      <c r="B325" t="s">
        <v>2677</v>
      </c>
      <c r="C325" t="s">
        <v>239</v>
      </c>
      <c r="D325" t="s">
        <v>287</v>
      </c>
      <c r="E325" t="s">
        <v>1850</v>
      </c>
      <c r="F325" t="s">
        <v>1497</v>
      </c>
      <c r="G325" t="s">
        <v>1340</v>
      </c>
      <c r="H325">
        <v>16</v>
      </c>
      <c r="I325" t="s">
        <v>2730</v>
      </c>
      <c r="J325" t="s">
        <v>989</v>
      </c>
      <c r="K325" t="str">
        <f t="shared" si="5"/>
        <v>RES_201402</v>
      </c>
    </row>
    <row r="326" spans="1:11">
      <c r="A326" t="s">
        <v>347</v>
      </c>
      <c r="B326" t="s">
        <v>2677</v>
      </c>
      <c r="C326" t="s">
        <v>248</v>
      </c>
      <c r="D326" t="s">
        <v>287</v>
      </c>
      <c r="E326" t="s">
        <v>1851</v>
      </c>
      <c r="F326" t="s">
        <v>1499</v>
      </c>
      <c r="G326" t="s">
        <v>1341</v>
      </c>
      <c r="H326">
        <v>5</v>
      </c>
      <c r="I326" t="s">
        <v>2730</v>
      </c>
      <c r="J326" t="s">
        <v>989</v>
      </c>
      <c r="K326" t="str">
        <f t="shared" si="5"/>
        <v>RES_201402</v>
      </c>
    </row>
    <row r="327" spans="1:11">
      <c r="A327" t="s">
        <v>349</v>
      </c>
      <c r="B327" t="s">
        <v>2677</v>
      </c>
      <c r="C327" t="s">
        <v>907</v>
      </c>
      <c r="D327" t="s">
        <v>287</v>
      </c>
      <c r="E327" t="s">
        <v>1852</v>
      </c>
      <c r="F327" t="s">
        <v>1503</v>
      </c>
      <c r="G327" t="s">
        <v>1333</v>
      </c>
      <c r="H327">
        <v>16</v>
      </c>
      <c r="I327" t="s">
        <v>2730</v>
      </c>
      <c r="J327" t="s">
        <v>989</v>
      </c>
      <c r="K327" t="str">
        <f t="shared" si="5"/>
        <v>RES_201402</v>
      </c>
    </row>
    <row r="328" spans="1:11">
      <c r="A328" t="s">
        <v>876</v>
      </c>
      <c r="B328" t="s">
        <v>2677</v>
      </c>
      <c r="C328" t="s">
        <v>875</v>
      </c>
      <c r="D328" t="s">
        <v>2357</v>
      </c>
      <c r="E328" t="s">
        <v>1192</v>
      </c>
      <c r="F328" t="s">
        <v>1088</v>
      </c>
      <c r="G328" t="s">
        <v>875</v>
      </c>
      <c r="H328">
        <v>14</v>
      </c>
      <c r="I328" t="s">
        <v>2730</v>
      </c>
      <c r="J328" t="s">
        <v>989</v>
      </c>
      <c r="K328" t="str">
        <f t="shared" si="5"/>
        <v>RES_201402</v>
      </c>
    </row>
    <row r="329" spans="1:11">
      <c r="A329" t="s">
        <v>111</v>
      </c>
      <c r="B329" t="s">
        <v>142</v>
      </c>
      <c r="C329" t="s">
        <v>741</v>
      </c>
      <c r="D329" t="s">
        <v>780</v>
      </c>
      <c r="E329" t="s">
        <v>1535</v>
      </c>
      <c r="F329" t="s">
        <v>1535</v>
      </c>
      <c r="G329" t="s">
        <v>1358</v>
      </c>
      <c r="H329">
        <v>6.5</v>
      </c>
      <c r="I329" t="s">
        <v>2420</v>
      </c>
      <c r="J329" t="s">
        <v>228</v>
      </c>
      <c r="K329" t="str">
        <f t="shared" si="5"/>
        <v>RES_201403</v>
      </c>
    </row>
    <row r="330" spans="1:11">
      <c r="A330" t="s">
        <v>110</v>
      </c>
      <c r="B330" t="s">
        <v>142</v>
      </c>
      <c r="C330" t="s">
        <v>741</v>
      </c>
      <c r="D330" t="s">
        <v>865</v>
      </c>
      <c r="E330" t="s">
        <v>1214</v>
      </c>
      <c r="F330" t="s">
        <v>1214</v>
      </c>
      <c r="G330" t="s">
        <v>1358</v>
      </c>
      <c r="H330">
        <v>6.5</v>
      </c>
      <c r="I330" t="s">
        <v>2420</v>
      </c>
      <c r="J330" t="s">
        <v>228</v>
      </c>
      <c r="K330" t="str">
        <f t="shared" si="5"/>
        <v>RES_201403</v>
      </c>
    </row>
    <row r="331" spans="1:11">
      <c r="A331" t="s">
        <v>342</v>
      </c>
      <c r="B331" t="s">
        <v>142</v>
      </c>
      <c r="C331" t="s">
        <v>741</v>
      </c>
      <c r="D331" t="s">
        <v>854</v>
      </c>
      <c r="E331" t="s">
        <v>1215</v>
      </c>
      <c r="F331" t="s">
        <v>1215</v>
      </c>
      <c r="G331" t="s">
        <v>1358</v>
      </c>
      <c r="H331">
        <v>6.5</v>
      </c>
      <c r="I331" t="s">
        <v>2420</v>
      </c>
      <c r="J331" t="s">
        <v>228</v>
      </c>
      <c r="K331" t="str">
        <f t="shared" si="5"/>
        <v>RES_201403</v>
      </c>
    </row>
    <row r="332" spans="1:11">
      <c r="A332" t="s">
        <v>1235</v>
      </c>
      <c r="B332" t="s">
        <v>142</v>
      </c>
      <c r="C332" t="s">
        <v>240</v>
      </c>
      <c r="D332" t="s">
        <v>780</v>
      </c>
      <c r="E332" t="s">
        <v>2358</v>
      </c>
      <c r="F332" t="s">
        <v>1531</v>
      </c>
      <c r="G332" t="s">
        <v>240</v>
      </c>
      <c r="H332">
        <v>14</v>
      </c>
      <c r="I332" t="s">
        <v>2420</v>
      </c>
      <c r="J332" t="s">
        <v>228</v>
      </c>
      <c r="K332" t="str">
        <f t="shared" si="5"/>
        <v>RES_201403</v>
      </c>
    </row>
    <row r="333" spans="1:11">
      <c r="A333" t="s">
        <v>229</v>
      </c>
      <c r="B333" t="s">
        <v>142</v>
      </c>
      <c r="C333" t="s">
        <v>240</v>
      </c>
      <c r="D333" t="s">
        <v>908</v>
      </c>
      <c r="E333" t="s">
        <v>2359</v>
      </c>
      <c r="F333" t="s">
        <v>1210</v>
      </c>
      <c r="G333" t="s">
        <v>240</v>
      </c>
      <c r="H333">
        <v>14</v>
      </c>
      <c r="I333" t="s">
        <v>2420</v>
      </c>
      <c r="J333" t="s">
        <v>228</v>
      </c>
      <c r="K333" t="str">
        <f t="shared" si="5"/>
        <v>RES_201403</v>
      </c>
    </row>
    <row r="334" spans="1:11">
      <c r="A334" t="s">
        <v>230</v>
      </c>
      <c r="B334" t="s">
        <v>142</v>
      </c>
      <c r="C334" t="s">
        <v>240</v>
      </c>
      <c r="D334" t="s">
        <v>743</v>
      </c>
      <c r="E334" t="s">
        <v>2360</v>
      </c>
      <c r="F334" t="s">
        <v>1211</v>
      </c>
      <c r="G334" t="s">
        <v>240</v>
      </c>
      <c r="H334">
        <v>14</v>
      </c>
      <c r="I334" t="s">
        <v>2420</v>
      </c>
      <c r="J334" t="s">
        <v>228</v>
      </c>
      <c r="K334" t="str">
        <f t="shared" si="5"/>
        <v>RES_201403</v>
      </c>
    </row>
    <row r="335" spans="1:11">
      <c r="A335" t="s">
        <v>231</v>
      </c>
      <c r="B335" t="s">
        <v>142</v>
      </c>
      <c r="C335" t="s">
        <v>240</v>
      </c>
      <c r="D335" t="s">
        <v>909</v>
      </c>
      <c r="E335" t="s">
        <v>2361</v>
      </c>
      <c r="F335" t="s">
        <v>1530</v>
      </c>
      <c r="G335" t="s">
        <v>240</v>
      </c>
      <c r="H335">
        <v>14</v>
      </c>
      <c r="I335" t="s">
        <v>2420</v>
      </c>
      <c r="J335" t="s">
        <v>228</v>
      </c>
      <c r="K335" t="str">
        <f t="shared" si="5"/>
        <v>RES_201403</v>
      </c>
    </row>
    <row r="336" spans="1:11">
      <c r="A336" t="s">
        <v>1628</v>
      </c>
      <c r="B336" t="s">
        <v>142</v>
      </c>
      <c r="C336" t="s">
        <v>270</v>
      </c>
      <c r="D336" t="s">
        <v>780</v>
      </c>
      <c r="E336" t="s">
        <v>1853</v>
      </c>
      <c r="F336" t="s">
        <v>1540</v>
      </c>
      <c r="G336" t="s">
        <v>783</v>
      </c>
      <c r="H336">
        <v>15.2</v>
      </c>
      <c r="I336" t="s">
        <v>2420</v>
      </c>
      <c r="J336" t="s">
        <v>228</v>
      </c>
      <c r="K336" t="str">
        <f t="shared" si="5"/>
        <v>RES_201403</v>
      </c>
    </row>
    <row r="337" spans="1:11">
      <c r="A337" t="s">
        <v>388</v>
      </c>
      <c r="B337" t="s">
        <v>142</v>
      </c>
      <c r="C337" t="s">
        <v>270</v>
      </c>
      <c r="D337" t="s">
        <v>865</v>
      </c>
      <c r="E337" t="s">
        <v>2362</v>
      </c>
      <c r="F337" t="s">
        <v>2362</v>
      </c>
      <c r="G337" t="s">
        <v>783</v>
      </c>
      <c r="H337">
        <v>15.2</v>
      </c>
      <c r="I337" t="s">
        <v>2420</v>
      </c>
      <c r="J337" t="s">
        <v>228</v>
      </c>
      <c r="K337" t="str">
        <f t="shared" si="5"/>
        <v>RES_201403</v>
      </c>
    </row>
    <row r="338" spans="1:11">
      <c r="A338" t="s">
        <v>389</v>
      </c>
      <c r="B338" t="s">
        <v>142</v>
      </c>
      <c r="C338" t="s">
        <v>270</v>
      </c>
      <c r="D338" t="s">
        <v>151</v>
      </c>
      <c r="E338" t="s">
        <v>2363</v>
      </c>
      <c r="F338" t="s">
        <v>2364</v>
      </c>
      <c r="G338" t="s">
        <v>783</v>
      </c>
      <c r="H338">
        <v>15.2</v>
      </c>
      <c r="I338" t="s">
        <v>2420</v>
      </c>
      <c r="J338" t="s">
        <v>228</v>
      </c>
      <c r="K338" t="str">
        <f t="shared" si="5"/>
        <v>RES_201403</v>
      </c>
    </row>
    <row r="339" spans="1:11">
      <c r="A339" t="s">
        <v>1629</v>
      </c>
      <c r="B339" t="s">
        <v>142</v>
      </c>
      <c r="C339" t="s">
        <v>270</v>
      </c>
      <c r="D339" t="s">
        <v>566</v>
      </c>
      <c r="E339" t="s">
        <v>1866</v>
      </c>
      <c r="F339" t="s">
        <v>1539</v>
      </c>
      <c r="G339" t="s">
        <v>783</v>
      </c>
      <c r="H339">
        <v>15.2</v>
      </c>
      <c r="I339" t="s">
        <v>2420</v>
      </c>
      <c r="J339" t="s">
        <v>228</v>
      </c>
      <c r="K339" t="str">
        <f t="shared" si="5"/>
        <v>RES_201403</v>
      </c>
    </row>
    <row r="340" spans="1:11">
      <c r="A340" t="s">
        <v>1630</v>
      </c>
      <c r="B340" t="s">
        <v>142</v>
      </c>
      <c r="C340" t="s">
        <v>272</v>
      </c>
      <c r="D340" t="s">
        <v>780</v>
      </c>
      <c r="E340" t="s">
        <v>1547</v>
      </c>
      <c r="F340" t="s">
        <v>1547</v>
      </c>
      <c r="G340" t="s">
        <v>783</v>
      </c>
      <c r="H340">
        <v>15.2</v>
      </c>
      <c r="I340" t="s">
        <v>2420</v>
      </c>
      <c r="J340" t="s">
        <v>228</v>
      </c>
      <c r="K340" t="str">
        <f t="shared" si="5"/>
        <v>RES_201403</v>
      </c>
    </row>
    <row r="341" spans="1:11">
      <c r="A341" t="s">
        <v>390</v>
      </c>
      <c r="B341" t="s">
        <v>142</v>
      </c>
      <c r="C341" t="s">
        <v>272</v>
      </c>
      <c r="D341" t="s">
        <v>865</v>
      </c>
      <c r="E341" t="s">
        <v>2365</v>
      </c>
      <c r="F341" t="s">
        <v>2365</v>
      </c>
      <c r="G341" t="s">
        <v>783</v>
      </c>
      <c r="H341">
        <v>15.2</v>
      </c>
      <c r="I341" t="s">
        <v>2420</v>
      </c>
      <c r="J341" t="s">
        <v>228</v>
      </c>
      <c r="K341" t="str">
        <f t="shared" si="5"/>
        <v>RES_201403</v>
      </c>
    </row>
    <row r="342" spans="1:11">
      <c r="A342" t="s">
        <v>391</v>
      </c>
      <c r="B342" t="s">
        <v>142</v>
      </c>
      <c r="C342" t="s">
        <v>272</v>
      </c>
      <c r="D342" t="s">
        <v>151</v>
      </c>
      <c r="E342" t="s">
        <v>2366</v>
      </c>
      <c r="F342" t="s">
        <v>2367</v>
      </c>
      <c r="G342" t="s">
        <v>783</v>
      </c>
      <c r="H342">
        <v>15.2</v>
      </c>
      <c r="I342" t="s">
        <v>2420</v>
      </c>
      <c r="J342" t="s">
        <v>228</v>
      </c>
      <c r="K342" t="str">
        <f t="shared" si="5"/>
        <v>RES_201403</v>
      </c>
    </row>
    <row r="343" spans="1:11">
      <c r="A343" t="s">
        <v>1631</v>
      </c>
      <c r="B343" t="s">
        <v>142</v>
      </c>
      <c r="C343" t="s">
        <v>272</v>
      </c>
      <c r="D343" t="s">
        <v>566</v>
      </c>
      <c r="E343" t="s">
        <v>1546</v>
      </c>
      <c r="F343" t="s">
        <v>1546</v>
      </c>
      <c r="G343" t="s">
        <v>783</v>
      </c>
      <c r="H343">
        <v>15.2</v>
      </c>
      <c r="I343" t="s">
        <v>2420</v>
      </c>
      <c r="J343" t="s">
        <v>228</v>
      </c>
      <c r="K343" t="str">
        <f t="shared" si="5"/>
        <v>RES_201403</v>
      </c>
    </row>
    <row r="344" spans="1:11">
      <c r="A344" t="s">
        <v>1632</v>
      </c>
      <c r="B344" t="s">
        <v>142</v>
      </c>
      <c r="C344" t="s">
        <v>980</v>
      </c>
      <c r="D344" t="s">
        <v>780</v>
      </c>
      <c r="E344" t="s">
        <v>1854</v>
      </c>
      <c r="F344" t="s">
        <v>1522</v>
      </c>
      <c r="G344" t="s">
        <v>1355</v>
      </c>
      <c r="H344">
        <v>16</v>
      </c>
      <c r="I344" t="s">
        <v>2420</v>
      </c>
      <c r="J344" t="s">
        <v>228</v>
      </c>
      <c r="K344" t="str">
        <f t="shared" si="5"/>
        <v>RES_201403</v>
      </c>
    </row>
    <row r="345" spans="1:11">
      <c r="A345" t="s">
        <v>979</v>
      </c>
      <c r="B345" t="s">
        <v>142</v>
      </c>
      <c r="C345" t="s">
        <v>980</v>
      </c>
      <c r="D345" t="s">
        <v>981</v>
      </c>
      <c r="E345" t="s">
        <v>1223</v>
      </c>
      <c r="F345" t="s">
        <v>1224</v>
      </c>
      <c r="G345" t="s">
        <v>1355</v>
      </c>
      <c r="H345">
        <v>16</v>
      </c>
      <c r="I345" t="s">
        <v>2420</v>
      </c>
      <c r="J345" t="s">
        <v>228</v>
      </c>
      <c r="K345" t="str">
        <f t="shared" si="5"/>
        <v>RES_201403</v>
      </c>
    </row>
    <row r="346" spans="1:11">
      <c r="A346" t="s">
        <v>982</v>
      </c>
      <c r="B346" t="s">
        <v>142</v>
      </c>
      <c r="C346" t="s">
        <v>980</v>
      </c>
      <c r="D346" t="s">
        <v>902</v>
      </c>
      <c r="E346" t="s">
        <v>1225</v>
      </c>
      <c r="F346" t="s">
        <v>1226</v>
      </c>
      <c r="G346" t="s">
        <v>1355</v>
      </c>
      <c r="H346">
        <v>16</v>
      </c>
      <c r="I346" t="s">
        <v>2420</v>
      </c>
      <c r="J346" t="s">
        <v>228</v>
      </c>
      <c r="K346" t="str">
        <f t="shared" si="5"/>
        <v>RES_201403</v>
      </c>
    </row>
    <row r="347" spans="1:11">
      <c r="A347" t="s">
        <v>983</v>
      </c>
      <c r="B347" t="s">
        <v>142</v>
      </c>
      <c r="C347" t="s">
        <v>980</v>
      </c>
      <c r="D347" t="s">
        <v>903</v>
      </c>
      <c r="E347" t="s">
        <v>1227</v>
      </c>
      <c r="F347" t="s">
        <v>1228</v>
      </c>
      <c r="G347" t="s">
        <v>1355</v>
      </c>
      <c r="H347">
        <v>16</v>
      </c>
      <c r="I347" t="s">
        <v>2420</v>
      </c>
      <c r="J347" t="s">
        <v>228</v>
      </c>
      <c r="K347" t="str">
        <f t="shared" si="5"/>
        <v>RES_201403</v>
      </c>
    </row>
    <row r="348" spans="1:11">
      <c r="A348" t="s">
        <v>984</v>
      </c>
      <c r="B348" t="s">
        <v>142</v>
      </c>
      <c r="C348" t="s">
        <v>980</v>
      </c>
      <c r="D348" t="s">
        <v>904</v>
      </c>
      <c r="E348" t="s">
        <v>1229</v>
      </c>
      <c r="F348" t="s">
        <v>1230</v>
      </c>
      <c r="G348" t="s">
        <v>1355</v>
      </c>
      <c r="H348">
        <v>16</v>
      </c>
      <c r="I348" t="s">
        <v>2420</v>
      </c>
      <c r="J348" t="s">
        <v>228</v>
      </c>
      <c r="K348" t="str">
        <f t="shared" si="5"/>
        <v>RES_201403</v>
      </c>
    </row>
    <row r="349" spans="1:11">
      <c r="A349" t="s">
        <v>985</v>
      </c>
      <c r="B349" t="s">
        <v>142</v>
      </c>
      <c r="C349" t="s">
        <v>980</v>
      </c>
      <c r="D349" t="s">
        <v>905</v>
      </c>
      <c r="E349" t="s">
        <v>1231</v>
      </c>
      <c r="F349" t="s">
        <v>1232</v>
      </c>
      <c r="G349" t="s">
        <v>1355</v>
      </c>
      <c r="H349">
        <v>16</v>
      </c>
      <c r="I349" t="s">
        <v>2420</v>
      </c>
      <c r="J349" t="s">
        <v>228</v>
      </c>
      <c r="K349" t="str">
        <f t="shared" si="5"/>
        <v>RES_201403</v>
      </c>
    </row>
    <row r="350" spans="1:11">
      <c r="A350" t="s">
        <v>986</v>
      </c>
      <c r="B350" t="s">
        <v>142</v>
      </c>
      <c r="C350" t="s">
        <v>980</v>
      </c>
      <c r="D350" t="s">
        <v>906</v>
      </c>
      <c r="E350" t="s">
        <v>1233</v>
      </c>
      <c r="F350" t="s">
        <v>1234</v>
      </c>
      <c r="G350" t="s">
        <v>1355</v>
      </c>
      <c r="H350">
        <v>16</v>
      </c>
      <c r="I350" t="s">
        <v>2420</v>
      </c>
      <c r="J350" t="s">
        <v>228</v>
      </c>
      <c r="K350" t="str">
        <f t="shared" si="5"/>
        <v>RES_201403</v>
      </c>
    </row>
    <row r="351" spans="1:11">
      <c r="A351" t="s">
        <v>1633</v>
      </c>
      <c r="B351" t="s">
        <v>142</v>
      </c>
      <c r="C351" t="s">
        <v>1261</v>
      </c>
      <c r="D351" t="s">
        <v>780</v>
      </c>
      <c r="E351" t="s">
        <v>1855</v>
      </c>
      <c r="F351" t="s">
        <v>1525</v>
      </c>
      <c r="G351" t="s">
        <v>1261</v>
      </c>
      <c r="H351">
        <v>12</v>
      </c>
      <c r="I351" t="s">
        <v>2420</v>
      </c>
      <c r="J351" t="s">
        <v>228</v>
      </c>
      <c r="K351" t="str">
        <f t="shared" si="5"/>
        <v>RES_201403</v>
      </c>
    </row>
    <row r="352" spans="1:11">
      <c r="A352" t="s">
        <v>1634</v>
      </c>
      <c r="B352" t="s">
        <v>142</v>
      </c>
      <c r="C352" t="s">
        <v>1261</v>
      </c>
      <c r="D352" t="s">
        <v>981</v>
      </c>
      <c r="E352" t="s">
        <v>1856</v>
      </c>
      <c r="F352" t="s">
        <v>1523</v>
      </c>
      <c r="G352" t="s">
        <v>1261</v>
      </c>
      <c r="H352">
        <v>12</v>
      </c>
      <c r="I352" t="s">
        <v>2420</v>
      </c>
      <c r="J352" t="s">
        <v>228</v>
      </c>
      <c r="K352" t="str">
        <f t="shared" si="5"/>
        <v>RES_201403</v>
      </c>
    </row>
    <row r="353" spans="1:11">
      <c r="A353" t="s">
        <v>1635</v>
      </c>
      <c r="B353" t="s">
        <v>142</v>
      </c>
      <c r="C353" t="s">
        <v>1261</v>
      </c>
      <c r="D353" t="s">
        <v>1278</v>
      </c>
      <c r="E353" t="s">
        <v>1857</v>
      </c>
      <c r="F353" t="s">
        <v>1524</v>
      </c>
      <c r="G353" t="s">
        <v>1261</v>
      </c>
      <c r="H353">
        <v>12</v>
      </c>
      <c r="I353" t="s">
        <v>2420</v>
      </c>
      <c r="J353" t="s">
        <v>228</v>
      </c>
      <c r="K353" t="str">
        <f t="shared" si="5"/>
        <v>RES_201403</v>
      </c>
    </row>
    <row r="354" spans="1:11">
      <c r="A354" t="s">
        <v>1636</v>
      </c>
      <c r="B354" t="s">
        <v>142</v>
      </c>
      <c r="C354" t="s">
        <v>1260</v>
      </c>
      <c r="D354" t="s">
        <v>780</v>
      </c>
      <c r="E354" t="s">
        <v>1858</v>
      </c>
      <c r="F354" t="s">
        <v>1521</v>
      </c>
      <c r="G354" t="s">
        <v>1260</v>
      </c>
      <c r="H354">
        <v>12</v>
      </c>
      <c r="I354" t="s">
        <v>2420</v>
      </c>
      <c r="J354" t="s">
        <v>228</v>
      </c>
      <c r="K354" t="str">
        <f t="shared" si="5"/>
        <v>RES_201403</v>
      </c>
    </row>
    <row r="355" spans="1:11">
      <c r="A355" t="s">
        <v>1637</v>
      </c>
      <c r="B355" t="s">
        <v>142</v>
      </c>
      <c r="C355" t="s">
        <v>1260</v>
      </c>
      <c r="D355" t="s">
        <v>981</v>
      </c>
      <c r="E355" t="s">
        <v>1859</v>
      </c>
      <c r="F355" t="s">
        <v>1519</v>
      </c>
      <c r="G355" t="s">
        <v>1260</v>
      </c>
      <c r="H355">
        <v>12</v>
      </c>
      <c r="I355" t="s">
        <v>2420</v>
      </c>
      <c r="J355" t="s">
        <v>228</v>
      </c>
      <c r="K355" t="str">
        <f t="shared" si="5"/>
        <v>RES_201403</v>
      </c>
    </row>
    <row r="356" spans="1:11">
      <c r="A356" t="s">
        <v>1638</v>
      </c>
      <c r="B356" t="s">
        <v>142</v>
      </c>
      <c r="C356" t="s">
        <v>1260</v>
      </c>
      <c r="D356" t="s">
        <v>1278</v>
      </c>
      <c r="E356" t="s">
        <v>1860</v>
      </c>
      <c r="F356" t="s">
        <v>1520</v>
      </c>
      <c r="G356" t="s">
        <v>1260</v>
      </c>
      <c r="H356">
        <v>12</v>
      </c>
      <c r="I356" t="s">
        <v>2420</v>
      </c>
      <c r="J356" t="s">
        <v>228</v>
      </c>
      <c r="K356" t="str">
        <f t="shared" si="5"/>
        <v>RES_201403</v>
      </c>
    </row>
    <row r="357" spans="1:11">
      <c r="A357" t="s">
        <v>1639</v>
      </c>
      <c r="B357" t="s">
        <v>142</v>
      </c>
      <c r="C357" t="s">
        <v>1263</v>
      </c>
      <c r="D357" t="s">
        <v>780</v>
      </c>
      <c r="E357" t="s">
        <v>1861</v>
      </c>
      <c r="F357" t="s">
        <v>1533</v>
      </c>
      <c r="G357" t="s">
        <v>1263</v>
      </c>
      <c r="H357">
        <v>11</v>
      </c>
      <c r="I357" t="s">
        <v>2420</v>
      </c>
      <c r="J357" t="s">
        <v>228</v>
      </c>
      <c r="K357" t="str">
        <f t="shared" si="5"/>
        <v>RES_201403</v>
      </c>
    </row>
    <row r="358" spans="1:11">
      <c r="A358" t="s">
        <v>1640</v>
      </c>
      <c r="B358" t="s">
        <v>142</v>
      </c>
      <c r="C358" t="s">
        <v>1263</v>
      </c>
      <c r="D358" t="s">
        <v>744</v>
      </c>
      <c r="E358" t="s">
        <v>1862</v>
      </c>
      <c r="F358" t="s">
        <v>1532</v>
      </c>
      <c r="G358" t="s">
        <v>1263</v>
      </c>
      <c r="H358">
        <v>11</v>
      </c>
      <c r="I358" t="s">
        <v>2420</v>
      </c>
      <c r="J358" t="s">
        <v>228</v>
      </c>
      <c r="K358" t="str">
        <f t="shared" si="5"/>
        <v>RES_201403</v>
      </c>
    </row>
    <row r="359" spans="1:11">
      <c r="A359" t="s">
        <v>1641</v>
      </c>
      <c r="B359" t="s">
        <v>142</v>
      </c>
      <c r="C359" t="s">
        <v>1264</v>
      </c>
      <c r="D359" t="s">
        <v>780</v>
      </c>
      <c r="E359" t="s">
        <v>1543</v>
      </c>
      <c r="F359" t="s">
        <v>1543</v>
      </c>
      <c r="G359" t="s">
        <v>1359</v>
      </c>
      <c r="H359">
        <v>15.2</v>
      </c>
      <c r="I359" t="s">
        <v>2420</v>
      </c>
      <c r="J359" t="s">
        <v>228</v>
      </c>
      <c r="K359" t="str">
        <f t="shared" si="5"/>
        <v>RES_201403</v>
      </c>
    </row>
    <row r="360" spans="1:11">
      <c r="A360" t="s">
        <v>1642</v>
      </c>
      <c r="B360" t="s">
        <v>142</v>
      </c>
      <c r="C360" t="s">
        <v>1264</v>
      </c>
      <c r="D360" t="s">
        <v>865</v>
      </c>
      <c r="E360" t="s">
        <v>1541</v>
      </c>
      <c r="F360" t="s">
        <v>1541</v>
      </c>
      <c r="G360" t="s">
        <v>1359</v>
      </c>
      <c r="H360">
        <v>15.2</v>
      </c>
      <c r="I360" t="s">
        <v>2420</v>
      </c>
      <c r="J360" t="s">
        <v>228</v>
      </c>
      <c r="K360" t="str">
        <f t="shared" si="5"/>
        <v>RES_201403</v>
      </c>
    </row>
    <row r="361" spans="1:11">
      <c r="A361" t="s">
        <v>1643</v>
      </c>
      <c r="B361" t="s">
        <v>142</v>
      </c>
      <c r="C361" t="s">
        <v>1264</v>
      </c>
      <c r="D361" t="s">
        <v>978</v>
      </c>
      <c r="E361" t="s">
        <v>1542</v>
      </c>
      <c r="F361" t="s">
        <v>1542</v>
      </c>
      <c r="G361" t="s">
        <v>1359</v>
      </c>
      <c r="H361">
        <v>15.2</v>
      </c>
      <c r="I361" t="s">
        <v>2420</v>
      </c>
      <c r="J361" t="s">
        <v>228</v>
      </c>
      <c r="K361" t="str">
        <f t="shared" si="5"/>
        <v>RES_201403</v>
      </c>
    </row>
    <row r="362" spans="1:11">
      <c r="A362" t="s">
        <v>1644</v>
      </c>
      <c r="B362" t="s">
        <v>142</v>
      </c>
      <c r="C362" t="s">
        <v>1259</v>
      </c>
      <c r="D362" t="s">
        <v>780</v>
      </c>
      <c r="E362" t="s">
        <v>1863</v>
      </c>
      <c r="F362" t="s">
        <v>1518</v>
      </c>
      <c r="G362" t="s">
        <v>1354</v>
      </c>
      <c r="H362">
        <v>12</v>
      </c>
      <c r="I362" t="s">
        <v>2420</v>
      </c>
      <c r="J362" t="s">
        <v>228</v>
      </c>
      <c r="K362" t="str">
        <f t="shared" si="5"/>
        <v>RES_201403</v>
      </c>
    </row>
    <row r="363" spans="1:11">
      <c r="A363" t="s">
        <v>1645</v>
      </c>
      <c r="B363" t="s">
        <v>142</v>
      </c>
      <c r="C363" t="s">
        <v>1259</v>
      </c>
      <c r="D363" t="s">
        <v>981</v>
      </c>
      <c r="E363" t="s">
        <v>1864</v>
      </c>
      <c r="F363" t="s">
        <v>1516</v>
      </c>
      <c r="G363" t="s">
        <v>1354</v>
      </c>
      <c r="H363">
        <v>12</v>
      </c>
      <c r="I363" t="s">
        <v>2420</v>
      </c>
      <c r="J363" t="s">
        <v>228</v>
      </c>
      <c r="K363" t="str">
        <f t="shared" si="5"/>
        <v>RES_201403</v>
      </c>
    </row>
    <row r="364" spans="1:11">
      <c r="A364" t="s">
        <v>1646</v>
      </c>
      <c r="B364" t="s">
        <v>142</v>
      </c>
      <c r="C364" t="s">
        <v>1259</v>
      </c>
      <c r="D364" t="s">
        <v>1278</v>
      </c>
      <c r="E364" t="s">
        <v>1865</v>
      </c>
      <c r="F364" t="s">
        <v>1517</v>
      </c>
      <c r="G364" t="s">
        <v>1354</v>
      </c>
      <c r="H364">
        <v>12</v>
      </c>
      <c r="I364" t="s">
        <v>2420</v>
      </c>
      <c r="J364" t="s">
        <v>228</v>
      </c>
      <c r="K364" t="str">
        <f t="shared" si="5"/>
        <v>RES_201403</v>
      </c>
    </row>
    <row r="365" spans="1:11">
      <c r="A365" t="s">
        <v>1647</v>
      </c>
      <c r="B365" t="s">
        <v>142</v>
      </c>
      <c r="C365" t="s">
        <v>1256</v>
      </c>
      <c r="D365" t="s">
        <v>286</v>
      </c>
      <c r="E365" t="s">
        <v>1866</v>
      </c>
      <c r="F365" t="s">
        <v>1538</v>
      </c>
      <c r="G365" t="s">
        <v>1343</v>
      </c>
      <c r="H365">
        <v>7</v>
      </c>
      <c r="I365" t="s">
        <v>2420</v>
      </c>
      <c r="J365" t="s">
        <v>228</v>
      </c>
      <c r="K365" t="str">
        <f t="shared" si="5"/>
        <v>RES_201403</v>
      </c>
    </row>
    <row r="366" spans="1:11">
      <c r="A366" t="s">
        <v>1648</v>
      </c>
      <c r="B366" t="s">
        <v>142</v>
      </c>
      <c r="C366" t="s">
        <v>1262</v>
      </c>
      <c r="D366" t="s">
        <v>780</v>
      </c>
      <c r="E366" t="s">
        <v>2368</v>
      </c>
      <c r="F366" t="s">
        <v>1526</v>
      </c>
      <c r="G366" t="s">
        <v>1356</v>
      </c>
      <c r="H366">
        <v>14</v>
      </c>
      <c r="I366" t="s">
        <v>2420</v>
      </c>
      <c r="J366" t="s">
        <v>228</v>
      </c>
      <c r="K366" t="str">
        <f t="shared" si="5"/>
        <v>RES_201403</v>
      </c>
    </row>
    <row r="367" spans="1:11">
      <c r="A367" t="s">
        <v>2101</v>
      </c>
      <c r="B367" t="s">
        <v>142</v>
      </c>
      <c r="C367" t="s">
        <v>2102</v>
      </c>
      <c r="D367" t="s">
        <v>2096</v>
      </c>
      <c r="E367" t="s">
        <v>2100</v>
      </c>
      <c r="F367" t="s">
        <v>2112</v>
      </c>
      <c r="G367" t="s">
        <v>2113</v>
      </c>
      <c r="H367">
        <v>7</v>
      </c>
      <c r="I367" t="s">
        <v>2420</v>
      </c>
      <c r="J367" t="s">
        <v>228</v>
      </c>
      <c r="K367" t="str">
        <f t="shared" si="5"/>
        <v>RES_201403</v>
      </c>
    </row>
    <row r="368" spans="1:11">
      <c r="A368" t="s">
        <v>1093</v>
      </c>
      <c r="B368" t="s">
        <v>142</v>
      </c>
      <c r="C368" t="s">
        <v>236</v>
      </c>
      <c r="D368" t="s">
        <v>780</v>
      </c>
      <c r="E368" t="s">
        <v>1515</v>
      </c>
      <c r="F368" t="s">
        <v>1515</v>
      </c>
      <c r="G368" t="s">
        <v>1353</v>
      </c>
      <c r="H368">
        <v>9</v>
      </c>
      <c r="I368" t="s">
        <v>2420</v>
      </c>
      <c r="J368" t="s">
        <v>228</v>
      </c>
      <c r="K368" t="str">
        <f t="shared" si="5"/>
        <v>RES_201403</v>
      </c>
    </row>
    <row r="369" spans="1:11">
      <c r="A369" t="s">
        <v>333</v>
      </c>
      <c r="B369" t="s">
        <v>142</v>
      </c>
      <c r="C369" t="s">
        <v>236</v>
      </c>
      <c r="D369" t="s">
        <v>981</v>
      </c>
      <c r="E369" t="s">
        <v>1512</v>
      </c>
      <c r="F369" t="s">
        <v>1512</v>
      </c>
      <c r="G369" t="s">
        <v>1353</v>
      </c>
      <c r="H369">
        <v>9</v>
      </c>
      <c r="I369" t="s">
        <v>2420</v>
      </c>
      <c r="J369" t="s">
        <v>228</v>
      </c>
      <c r="K369" t="str">
        <f t="shared" si="5"/>
        <v>RES_201403</v>
      </c>
    </row>
    <row r="370" spans="1:11">
      <c r="A370" t="s">
        <v>334</v>
      </c>
      <c r="B370" t="s">
        <v>142</v>
      </c>
      <c r="C370" t="s">
        <v>236</v>
      </c>
      <c r="D370" t="s">
        <v>987</v>
      </c>
      <c r="E370" t="s">
        <v>1513</v>
      </c>
      <c r="F370" t="s">
        <v>1513</v>
      </c>
      <c r="G370" t="s">
        <v>1353</v>
      </c>
      <c r="H370">
        <v>9</v>
      </c>
      <c r="I370" t="s">
        <v>2420</v>
      </c>
      <c r="J370" t="s">
        <v>228</v>
      </c>
      <c r="K370" t="str">
        <f t="shared" si="5"/>
        <v>RES_201403</v>
      </c>
    </row>
    <row r="371" spans="1:11">
      <c r="A371" t="s">
        <v>83</v>
      </c>
      <c r="B371" t="s">
        <v>142</v>
      </c>
      <c r="C371" t="s">
        <v>236</v>
      </c>
      <c r="D371" t="s">
        <v>1277</v>
      </c>
      <c r="E371" t="s">
        <v>1514</v>
      </c>
      <c r="F371" t="s">
        <v>1514</v>
      </c>
      <c r="G371" t="s">
        <v>1353</v>
      </c>
      <c r="H371">
        <v>9</v>
      </c>
      <c r="I371" t="s">
        <v>2420</v>
      </c>
      <c r="J371" t="s">
        <v>228</v>
      </c>
      <c r="K371" t="str">
        <f t="shared" si="5"/>
        <v>RES_201403</v>
      </c>
    </row>
    <row r="372" spans="1:11">
      <c r="A372" t="s">
        <v>1649</v>
      </c>
      <c r="B372" t="s">
        <v>142</v>
      </c>
      <c r="C372" t="s">
        <v>439</v>
      </c>
      <c r="D372" t="s">
        <v>780</v>
      </c>
      <c r="E372" t="s">
        <v>1867</v>
      </c>
      <c r="F372" t="s">
        <v>1550</v>
      </c>
      <c r="G372" t="s">
        <v>1360</v>
      </c>
      <c r="H372">
        <v>9</v>
      </c>
      <c r="I372" t="s">
        <v>2420</v>
      </c>
      <c r="J372" t="s">
        <v>228</v>
      </c>
      <c r="K372" t="str">
        <f t="shared" si="5"/>
        <v>RES_201403</v>
      </c>
    </row>
    <row r="373" spans="1:11">
      <c r="A373" t="s">
        <v>116</v>
      </c>
      <c r="B373" t="s">
        <v>142</v>
      </c>
      <c r="C373" t="s">
        <v>439</v>
      </c>
      <c r="D373" t="s">
        <v>744</v>
      </c>
      <c r="E373" t="s">
        <v>1220</v>
      </c>
      <c r="F373" t="s">
        <v>1549</v>
      </c>
      <c r="G373" t="s">
        <v>1360</v>
      </c>
      <c r="H373">
        <v>9</v>
      </c>
      <c r="I373" t="s">
        <v>2420</v>
      </c>
      <c r="J373" t="s">
        <v>228</v>
      </c>
      <c r="K373" t="str">
        <f t="shared" si="5"/>
        <v>RES_201403</v>
      </c>
    </row>
    <row r="374" spans="1:11">
      <c r="A374" t="s">
        <v>910</v>
      </c>
      <c r="B374" t="s">
        <v>142</v>
      </c>
      <c r="C374" t="s">
        <v>439</v>
      </c>
      <c r="D374" t="s">
        <v>151</v>
      </c>
      <c r="E374" t="s">
        <v>1221</v>
      </c>
      <c r="F374" t="s">
        <v>1548</v>
      </c>
      <c r="G374" t="s">
        <v>1360</v>
      </c>
      <c r="H374">
        <v>9</v>
      </c>
      <c r="I374" t="s">
        <v>2420</v>
      </c>
      <c r="J374" t="s">
        <v>228</v>
      </c>
      <c r="K374" t="str">
        <f t="shared" si="5"/>
        <v>RES_201403</v>
      </c>
    </row>
    <row r="375" spans="1:11">
      <c r="A375" t="s">
        <v>1650</v>
      </c>
      <c r="B375" t="s">
        <v>142</v>
      </c>
      <c r="C375" t="s">
        <v>441</v>
      </c>
      <c r="D375" t="s">
        <v>780</v>
      </c>
      <c r="E375" t="s">
        <v>1868</v>
      </c>
      <c r="F375" t="s">
        <v>1553</v>
      </c>
      <c r="G375" t="s">
        <v>249</v>
      </c>
      <c r="H375">
        <v>7</v>
      </c>
      <c r="I375" t="s">
        <v>2420</v>
      </c>
      <c r="J375" t="s">
        <v>228</v>
      </c>
      <c r="K375" t="str">
        <f t="shared" si="5"/>
        <v>RES_201403</v>
      </c>
    </row>
    <row r="376" spans="1:11">
      <c r="A376" t="s">
        <v>117</v>
      </c>
      <c r="B376" t="s">
        <v>142</v>
      </c>
      <c r="C376" t="s">
        <v>441</v>
      </c>
      <c r="D376" t="s">
        <v>745</v>
      </c>
      <c r="E376" t="s">
        <v>1869</v>
      </c>
      <c r="F376" t="s">
        <v>1552</v>
      </c>
      <c r="G376" t="s">
        <v>249</v>
      </c>
      <c r="H376">
        <v>7</v>
      </c>
      <c r="I376" t="s">
        <v>2420</v>
      </c>
      <c r="J376" t="s">
        <v>228</v>
      </c>
      <c r="K376" t="str">
        <f t="shared" si="5"/>
        <v>RES_201403</v>
      </c>
    </row>
    <row r="377" spans="1:11">
      <c r="A377" t="s">
        <v>350</v>
      </c>
      <c r="B377" t="s">
        <v>142</v>
      </c>
      <c r="C377" t="s">
        <v>441</v>
      </c>
      <c r="D377" t="s">
        <v>746</v>
      </c>
      <c r="E377" t="s">
        <v>1870</v>
      </c>
      <c r="F377" t="s">
        <v>1222</v>
      </c>
      <c r="G377" t="s">
        <v>249</v>
      </c>
      <c r="H377">
        <v>7</v>
      </c>
      <c r="I377" t="s">
        <v>2420</v>
      </c>
      <c r="J377" t="s">
        <v>228</v>
      </c>
      <c r="K377" t="str">
        <f t="shared" si="5"/>
        <v>RES_201403</v>
      </c>
    </row>
    <row r="378" spans="1:11">
      <c r="A378" t="s">
        <v>88</v>
      </c>
      <c r="B378" t="s">
        <v>142</v>
      </c>
      <c r="C378" t="s">
        <v>441</v>
      </c>
      <c r="D378" t="s">
        <v>747</v>
      </c>
      <c r="E378" t="s">
        <v>1871</v>
      </c>
      <c r="F378" t="s">
        <v>1209</v>
      </c>
      <c r="G378" t="s">
        <v>249</v>
      </c>
      <c r="H378">
        <v>7</v>
      </c>
      <c r="I378" t="s">
        <v>2420</v>
      </c>
      <c r="J378" t="s">
        <v>228</v>
      </c>
      <c r="K378" t="str">
        <f t="shared" si="5"/>
        <v>RES_201403</v>
      </c>
    </row>
    <row r="379" spans="1:11">
      <c r="A379" t="s">
        <v>1651</v>
      </c>
      <c r="B379" t="s">
        <v>142</v>
      </c>
      <c r="C379" t="s">
        <v>441</v>
      </c>
      <c r="D379" t="s">
        <v>1279</v>
      </c>
      <c r="E379" t="s">
        <v>1872</v>
      </c>
      <c r="F379" t="s">
        <v>1551</v>
      </c>
      <c r="G379" t="s">
        <v>249</v>
      </c>
      <c r="H379">
        <v>7</v>
      </c>
      <c r="I379" t="s">
        <v>2420</v>
      </c>
      <c r="J379" t="s">
        <v>228</v>
      </c>
      <c r="K379" t="str">
        <f t="shared" si="5"/>
        <v>RES_201403</v>
      </c>
    </row>
    <row r="380" spans="1:11">
      <c r="A380" t="s">
        <v>1652</v>
      </c>
      <c r="B380" t="s">
        <v>142</v>
      </c>
      <c r="C380" t="s">
        <v>748</v>
      </c>
      <c r="D380" t="s">
        <v>780</v>
      </c>
      <c r="E380" t="s">
        <v>1873</v>
      </c>
      <c r="F380" t="s">
        <v>1536</v>
      </c>
      <c r="G380" t="s">
        <v>280</v>
      </c>
      <c r="H380">
        <v>22</v>
      </c>
      <c r="I380" t="s">
        <v>2420</v>
      </c>
      <c r="J380" t="s">
        <v>228</v>
      </c>
      <c r="K380" t="str">
        <f t="shared" si="5"/>
        <v>RES_201403</v>
      </c>
    </row>
    <row r="381" spans="1:11">
      <c r="A381" t="s">
        <v>112</v>
      </c>
      <c r="B381" t="s">
        <v>142</v>
      </c>
      <c r="C381" t="s">
        <v>748</v>
      </c>
      <c r="D381" t="s">
        <v>865</v>
      </c>
      <c r="E381" t="s">
        <v>1216</v>
      </c>
      <c r="F381" t="s">
        <v>1216</v>
      </c>
      <c r="G381" t="s">
        <v>280</v>
      </c>
      <c r="H381">
        <v>22</v>
      </c>
      <c r="I381" t="s">
        <v>2420</v>
      </c>
      <c r="J381" t="s">
        <v>228</v>
      </c>
      <c r="K381" t="str">
        <f t="shared" si="5"/>
        <v>RES_201403</v>
      </c>
    </row>
    <row r="382" spans="1:11">
      <c r="A382" t="s">
        <v>988</v>
      </c>
      <c r="B382" t="s">
        <v>142</v>
      </c>
      <c r="C382" t="s">
        <v>748</v>
      </c>
      <c r="D382" t="s">
        <v>854</v>
      </c>
      <c r="E382" t="s">
        <v>1217</v>
      </c>
      <c r="F382" t="s">
        <v>1217</v>
      </c>
      <c r="G382" t="s">
        <v>280</v>
      </c>
      <c r="H382">
        <v>22</v>
      </c>
      <c r="I382" t="s">
        <v>2420</v>
      </c>
      <c r="J382" t="s">
        <v>228</v>
      </c>
      <c r="K382" t="str">
        <f t="shared" si="5"/>
        <v>RES_201403</v>
      </c>
    </row>
    <row r="383" spans="1:11">
      <c r="A383" t="s">
        <v>395</v>
      </c>
      <c r="B383" t="s">
        <v>142</v>
      </c>
      <c r="C383" t="s">
        <v>748</v>
      </c>
      <c r="D383" t="s">
        <v>286</v>
      </c>
      <c r="E383" t="s">
        <v>1537</v>
      </c>
      <c r="F383" t="s">
        <v>1537</v>
      </c>
      <c r="G383" t="s">
        <v>280</v>
      </c>
      <c r="H383">
        <v>22</v>
      </c>
      <c r="I383" t="s">
        <v>2420</v>
      </c>
      <c r="J383" t="s">
        <v>228</v>
      </c>
      <c r="K383" t="str">
        <f t="shared" si="5"/>
        <v>RES_201403</v>
      </c>
    </row>
    <row r="384" spans="1:11">
      <c r="A384" t="s">
        <v>1653</v>
      </c>
      <c r="B384" t="s">
        <v>142</v>
      </c>
      <c r="C384" t="s">
        <v>271</v>
      </c>
      <c r="D384" t="s">
        <v>780</v>
      </c>
      <c r="E384" t="s">
        <v>1545</v>
      </c>
      <c r="F384" t="s">
        <v>1545</v>
      </c>
      <c r="G384" t="s">
        <v>783</v>
      </c>
      <c r="H384">
        <v>15.2</v>
      </c>
      <c r="I384" t="s">
        <v>2420</v>
      </c>
      <c r="J384" t="s">
        <v>228</v>
      </c>
      <c r="K384" t="str">
        <f t="shared" si="5"/>
        <v>RES_201403</v>
      </c>
    </row>
    <row r="385" spans="1:11">
      <c r="A385" t="s">
        <v>91</v>
      </c>
      <c r="B385" t="s">
        <v>142</v>
      </c>
      <c r="C385" t="s">
        <v>271</v>
      </c>
      <c r="D385" t="s">
        <v>2346</v>
      </c>
      <c r="E385" t="s">
        <v>2347</v>
      </c>
      <c r="F385" t="s">
        <v>2369</v>
      </c>
      <c r="G385" t="s">
        <v>783</v>
      </c>
      <c r="H385">
        <v>15.2</v>
      </c>
      <c r="I385" t="s">
        <v>2420</v>
      </c>
      <c r="J385" t="s">
        <v>228</v>
      </c>
      <c r="K385" t="str">
        <f t="shared" si="5"/>
        <v>RES_201403</v>
      </c>
    </row>
    <row r="386" spans="1:11">
      <c r="A386" t="s">
        <v>92</v>
      </c>
      <c r="B386" t="s">
        <v>142</v>
      </c>
      <c r="C386" t="s">
        <v>271</v>
      </c>
      <c r="D386" t="s">
        <v>286</v>
      </c>
      <c r="E386" t="s">
        <v>2348</v>
      </c>
      <c r="F386" t="s">
        <v>286</v>
      </c>
      <c r="G386" t="s">
        <v>783</v>
      </c>
      <c r="H386">
        <v>15.2</v>
      </c>
      <c r="I386" t="s">
        <v>2420</v>
      </c>
      <c r="J386" t="s">
        <v>228</v>
      </c>
      <c r="K386" t="str">
        <f t="shared" si="5"/>
        <v>RES_201403</v>
      </c>
    </row>
    <row r="387" spans="1:11">
      <c r="A387" t="s">
        <v>1654</v>
      </c>
      <c r="B387" t="s">
        <v>142</v>
      </c>
      <c r="C387" t="s">
        <v>271</v>
      </c>
      <c r="D387" t="s">
        <v>566</v>
      </c>
      <c r="E387" t="s">
        <v>1866</v>
      </c>
      <c r="F387" t="s">
        <v>1544</v>
      </c>
      <c r="G387" t="s">
        <v>783</v>
      </c>
      <c r="H387">
        <v>15.2</v>
      </c>
      <c r="I387" t="s">
        <v>2420</v>
      </c>
      <c r="J387" t="s">
        <v>228</v>
      </c>
      <c r="K387" t="str">
        <f t="shared" ref="K387:K450" si="6">LEFT(A387,10)</f>
        <v>RES_201403</v>
      </c>
    </row>
    <row r="388" spans="1:11">
      <c r="A388" t="s">
        <v>82</v>
      </c>
      <c r="B388" t="s">
        <v>142</v>
      </c>
      <c r="C388" t="s">
        <v>2095</v>
      </c>
      <c r="D388" t="s">
        <v>2096</v>
      </c>
      <c r="E388" t="s">
        <v>2094</v>
      </c>
      <c r="F388" t="s">
        <v>2114</v>
      </c>
      <c r="G388" t="s">
        <v>2113</v>
      </c>
      <c r="H388">
        <v>7</v>
      </c>
      <c r="I388" t="s">
        <v>2420</v>
      </c>
      <c r="J388" t="s">
        <v>228</v>
      </c>
      <c r="K388" t="str">
        <f t="shared" si="6"/>
        <v>RES_201403</v>
      </c>
    </row>
    <row r="389" spans="1:11">
      <c r="A389" t="s">
        <v>1655</v>
      </c>
      <c r="B389" t="s">
        <v>142</v>
      </c>
      <c r="C389" t="s">
        <v>565</v>
      </c>
      <c r="D389" t="s">
        <v>2115</v>
      </c>
      <c r="E389" t="s">
        <v>2116</v>
      </c>
      <c r="F389" t="s">
        <v>2116</v>
      </c>
      <c r="G389" t="s">
        <v>1361</v>
      </c>
      <c r="H389">
        <v>7</v>
      </c>
      <c r="I389" t="s">
        <v>2420</v>
      </c>
      <c r="J389" t="s">
        <v>228</v>
      </c>
      <c r="K389" t="str">
        <f t="shared" si="6"/>
        <v>RES_201403</v>
      </c>
    </row>
    <row r="390" spans="1:11">
      <c r="A390" t="s">
        <v>1656</v>
      </c>
      <c r="B390" t="s">
        <v>142</v>
      </c>
      <c r="C390" t="s">
        <v>565</v>
      </c>
      <c r="D390" t="s">
        <v>151</v>
      </c>
      <c r="E390" t="s">
        <v>1874</v>
      </c>
      <c r="F390" t="s">
        <v>1554</v>
      </c>
      <c r="G390" t="s">
        <v>1361</v>
      </c>
      <c r="H390">
        <v>7</v>
      </c>
      <c r="I390" t="s">
        <v>2420</v>
      </c>
      <c r="J390" t="s">
        <v>228</v>
      </c>
      <c r="K390" t="str">
        <f t="shared" si="6"/>
        <v>RES_201403</v>
      </c>
    </row>
    <row r="391" spans="1:11">
      <c r="A391" t="s">
        <v>1657</v>
      </c>
      <c r="B391" t="s">
        <v>142</v>
      </c>
      <c r="C391" t="s">
        <v>565</v>
      </c>
      <c r="D391" t="s">
        <v>2117</v>
      </c>
      <c r="E391" t="s">
        <v>2118</v>
      </c>
      <c r="F391" t="s">
        <v>2118</v>
      </c>
      <c r="G391" t="s">
        <v>1361</v>
      </c>
      <c r="H391">
        <v>7</v>
      </c>
      <c r="I391" t="s">
        <v>2420</v>
      </c>
      <c r="J391" t="s">
        <v>228</v>
      </c>
      <c r="K391" t="str">
        <f t="shared" si="6"/>
        <v>RES_201403</v>
      </c>
    </row>
    <row r="392" spans="1:11">
      <c r="A392" t="s">
        <v>1658</v>
      </c>
      <c r="B392" t="s">
        <v>142</v>
      </c>
      <c r="C392" t="s">
        <v>565</v>
      </c>
      <c r="D392" t="s">
        <v>286</v>
      </c>
      <c r="E392" t="s">
        <v>1875</v>
      </c>
      <c r="F392" t="s">
        <v>1555</v>
      </c>
      <c r="G392" t="s">
        <v>1361</v>
      </c>
      <c r="H392">
        <v>7</v>
      </c>
      <c r="I392" t="s">
        <v>2420</v>
      </c>
      <c r="J392" t="s">
        <v>228</v>
      </c>
      <c r="K392" t="str">
        <f t="shared" si="6"/>
        <v>RES_201403</v>
      </c>
    </row>
    <row r="393" spans="1:11">
      <c r="A393" t="s">
        <v>127</v>
      </c>
      <c r="B393" t="s">
        <v>142</v>
      </c>
      <c r="C393" t="s">
        <v>144</v>
      </c>
      <c r="D393" t="s">
        <v>780</v>
      </c>
      <c r="E393" t="s">
        <v>2370</v>
      </c>
      <c r="F393" t="s">
        <v>1529</v>
      </c>
      <c r="G393" t="s">
        <v>144</v>
      </c>
      <c r="H393">
        <v>14</v>
      </c>
      <c r="I393" t="s">
        <v>2420</v>
      </c>
      <c r="J393" t="s">
        <v>228</v>
      </c>
      <c r="K393" t="str">
        <f t="shared" si="6"/>
        <v>RES_201403</v>
      </c>
    </row>
    <row r="394" spans="1:11">
      <c r="A394" t="s">
        <v>93</v>
      </c>
      <c r="B394" t="s">
        <v>142</v>
      </c>
      <c r="C394" t="s">
        <v>144</v>
      </c>
      <c r="D394" t="s">
        <v>743</v>
      </c>
      <c r="E394" t="s">
        <v>2371</v>
      </c>
      <c r="F394" t="s">
        <v>1528</v>
      </c>
      <c r="G394" t="s">
        <v>144</v>
      </c>
      <c r="H394">
        <v>14</v>
      </c>
      <c r="I394" t="s">
        <v>2420</v>
      </c>
      <c r="J394" t="s">
        <v>228</v>
      </c>
      <c r="K394" t="str">
        <f t="shared" si="6"/>
        <v>RES_201403</v>
      </c>
    </row>
    <row r="395" spans="1:11">
      <c r="A395" t="s">
        <v>94</v>
      </c>
      <c r="B395" t="s">
        <v>142</v>
      </c>
      <c r="C395" t="s">
        <v>144</v>
      </c>
      <c r="D395" t="s">
        <v>1006</v>
      </c>
      <c r="E395" t="s">
        <v>2372</v>
      </c>
      <c r="F395" t="s">
        <v>1212</v>
      </c>
      <c r="G395" t="s">
        <v>144</v>
      </c>
      <c r="H395">
        <v>14</v>
      </c>
      <c r="I395" t="s">
        <v>2420</v>
      </c>
      <c r="J395" t="s">
        <v>228</v>
      </c>
      <c r="K395" t="str">
        <f t="shared" si="6"/>
        <v>RES_201403</v>
      </c>
    </row>
    <row r="396" spans="1:11">
      <c r="A396" t="s">
        <v>95</v>
      </c>
      <c r="B396" t="s">
        <v>142</v>
      </c>
      <c r="C396" t="s">
        <v>144</v>
      </c>
      <c r="D396" t="s">
        <v>1007</v>
      </c>
      <c r="E396" t="s">
        <v>2373</v>
      </c>
      <c r="F396" t="s">
        <v>1213</v>
      </c>
      <c r="G396" t="s">
        <v>144</v>
      </c>
      <c r="H396">
        <v>14</v>
      </c>
      <c r="I396" t="s">
        <v>2420</v>
      </c>
      <c r="J396" t="s">
        <v>228</v>
      </c>
      <c r="K396" t="str">
        <f t="shared" si="6"/>
        <v>RES_201403</v>
      </c>
    </row>
    <row r="397" spans="1:11">
      <c r="A397" t="s">
        <v>1659</v>
      </c>
      <c r="B397" t="s">
        <v>142</v>
      </c>
      <c r="C397" t="s">
        <v>144</v>
      </c>
      <c r="D397" t="s">
        <v>150</v>
      </c>
      <c r="E397" t="s">
        <v>2374</v>
      </c>
      <c r="F397" t="s">
        <v>1527</v>
      </c>
      <c r="G397" t="s">
        <v>144</v>
      </c>
      <c r="H397">
        <v>14</v>
      </c>
      <c r="I397" t="s">
        <v>2420</v>
      </c>
      <c r="J397" t="s">
        <v>228</v>
      </c>
      <c r="K397" t="str">
        <f t="shared" si="6"/>
        <v>RES_201403</v>
      </c>
    </row>
    <row r="398" spans="1:11">
      <c r="A398" t="s">
        <v>102</v>
      </c>
      <c r="B398" t="s">
        <v>142</v>
      </c>
      <c r="C398" t="s">
        <v>749</v>
      </c>
      <c r="D398" t="s">
        <v>780</v>
      </c>
      <c r="E398" t="s">
        <v>1534</v>
      </c>
      <c r="F398" t="s">
        <v>1534</v>
      </c>
      <c r="G398" t="s">
        <v>1357</v>
      </c>
      <c r="H398">
        <v>22</v>
      </c>
      <c r="I398" t="s">
        <v>2420</v>
      </c>
      <c r="J398" t="s">
        <v>228</v>
      </c>
      <c r="K398" t="str">
        <f t="shared" si="6"/>
        <v>RES_201403</v>
      </c>
    </row>
    <row r="399" spans="1:11">
      <c r="A399" t="s">
        <v>103</v>
      </c>
      <c r="B399" t="s">
        <v>142</v>
      </c>
      <c r="C399" t="s">
        <v>749</v>
      </c>
      <c r="D399" t="s">
        <v>865</v>
      </c>
      <c r="E399" t="s">
        <v>1218</v>
      </c>
      <c r="F399" t="s">
        <v>1218</v>
      </c>
      <c r="G399" t="s">
        <v>1357</v>
      </c>
      <c r="H399">
        <v>22</v>
      </c>
      <c r="I399" t="s">
        <v>2420</v>
      </c>
      <c r="J399" t="s">
        <v>228</v>
      </c>
      <c r="K399" t="str">
        <f t="shared" si="6"/>
        <v>RES_201403</v>
      </c>
    </row>
    <row r="400" spans="1:11">
      <c r="A400" t="s">
        <v>104</v>
      </c>
      <c r="B400" t="s">
        <v>142</v>
      </c>
      <c r="C400" t="s">
        <v>749</v>
      </c>
      <c r="D400" t="s">
        <v>854</v>
      </c>
      <c r="E400" t="s">
        <v>1219</v>
      </c>
      <c r="F400" t="s">
        <v>1219</v>
      </c>
      <c r="G400" t="s">
        <v>1357</v>
      </c>
      <c r="H400">
        <v>22</v>
      </c>
      <c r="I400" t="s">
        <v>2420</v>
      </c>
      <c r="J400" t="s">
        <v>228</v>
      </c>
      <c r="K400" t="str">
        <f t="shared" si="6"/>
        <v>RES_201403</v>
      </c>
    </row>
    <row r="401" spans="1:11">
      <c r="A401" t="s">
        <v>1660</v>
      </c>
      <c r="B401" t="s">
        <v>680</v>
      </c>
      <c r="C401" t="s">
        <v>911</v>
      </c>
      <c r="D401" t="s">
        <v>1270</v>
      </c>
      <c r="E401" t="s">
        <v>1876</v>
      </c>
      <c r="F401" t="s">
        <v>1400</v>
      </c>
      <c r="G401" t="s">
        <v>911</v>
      </c>
      <c r="H401">
        <v>42</v>
      </c>
      <c r="I401" t="s">
        <v>2731</v>
      </c>
      <c r="J401" t="s">
        <v>681</v>
      </c>
      <c r="K401" t="str">
        <f t="shared" si="6"/>
        <v>RES_201601</v>
      </c>
    </row>
    <row r="402" spans="1:11">
      <c r="A402" t="s">
        <v>750</v>
      </c>
      <c r="B402" t="s">
        <v>680</v>
      </c>
      <c r="C402" t="s">
        <v>911</v>
      </c>
      <c r="D402" t="s">
        <v>751</v>
      </c>
      <c r="E402" t="s">
        <v>1134</v>
      </c>
      <c r="F402" t="s">
        <v>1135</v>
      </c>
      <c r="G402" t="s">
        <v>911</v>
      </c>
      <c r="H402">
        <v>42</v>
      </c>
      <c r="I402" t="s">
        <v>2731</v>
      </c>
      <c r="J402" t="s">
        <v>681</v>
      </c>
      <c r="K402" t="str">
        <f t="shared" si="6"/>
        <v>RES_201601</v>
      </c>
    </row>
    <row r="403" spans="1:11">
      <c r="A403" t="s">
        <v>912</v>
      </c>
      <c r="B403" t="s">
        <v>680</v>
      </c>
      <c r="C403" t="s">
        <v>911</v>
      </c>
      <c r="D403" t="s">
        <v>913</v>
      </c>
      <c r="E403" t="s">
        <v>1136</v>
      </c>
      <c r="F403" t="s">
        <v>1137</v>
      </c>
      <c r="G403" t="s">
        <v>911</v>
      </c>
      <c r="H403">
        <v>42</v>
      </c>
      <c r="I403" t="s">
        <v>2731</v>
      </c>
      <c r="J403" t="s">
        <v>681</v>
      </c>
      <c r="K403" t="str">
        <f t="shared" si="6"/>
        <v>RES_201601</v>
      </c>
    </row>
    <row r="404" spans="1:11">
      <c r="A404" t="s">
        <v>752</v>
      </c>
      <c r="B404" t="s">
        <v>680</v>
      </c>
      <c r="C404" t="s">
        <v>911</v>
      </c>
      <c r="D404" t="s">
        <v>869</v>
      </c>
      <c r="E404" t="s">
        <v>1138</v>
      </c>
      <c r="F404" t="s">
        <v>1139</v>
      </c>
      <c r="G404" t="s">
        <v>911</v>
      </c>
      <c r="H404">
        <v>42</v>
      </c>
      <c r="I404" t="s">
        <v>2731</v>
      </c>
      <c r="J404" t="s">
        <v>681</v>
      </c>
      <c r="K404" t="str">
        <f t="shared" si="6"/>
        <v>RES_201601</v>
      </c>
    </row>
    <row r="405" spans="1:11">
      <c r="A405" t="s">
        <v>1978</v>
      </c>
      <c r="B405" t="s">
        <v>1101</v>
      </c>
      <c r="C405" t="s">
        <v>1008</v>
      </c>
      <c r="D405" t="s">
        <v>780</v>
      </c>
      <c r="E405" t="s">
        <v>1979</v>
      </c>
      <c r="F405" t="s">
        <v>2455</v>
      </c>
      <c r="G405" t="s">
        <v>2456</v>
      </c>
      <c r="H405">
        <v>11.5</v>
      </c>
      <c r="I405" t="s">
        <v>2421</v>
      </c>
      <c r="J405" t="s">
        <v>1004</v>
      </c>
      <c r="K405" t="str">
        <f t="shared" si="6"/>
        <v>XMP_202001</v>
      </c>
    </row>
    <row r="406" spans="1:11">
      <c r="A406" t="s">
        <v>991</v>
      </c>
      <c r="B406" t="s">
        <v>1101</v>
      </c>
      <c r="C406" t="s">
        <v>1008</v>
      </c>
      <c r="D406" t="s">
        <v>145</v>
      </c>
      <c r="E406" t="s">
        <v>1877</v>
      </c>
      <c r="F406" t="s">
        <v>2457</v>
      </c>
      <c r="G406" t="s">
        <v>2456</v>
      </c>
      <c r="H406">
        <v>11.5</v>
      </c>
      <c r="I406" t="s">
        <v>2421</v>
      </c>
      <c r="J406" t="s">
        <v>1004</v>
      </c>
      <c r="K406" t="str">
        <f t="shared" si="6"/>
        <v>XMP_202001</v>
      </c>
    </row>
    <row r="407" spans="1:11">
      <c r="A407" t="s">
        <v>992</v>
      </c>
      <c r="B407" t="s">
        <v>1101</v>
      </c>
      <c r="C407" t="s">
        <v>1008</v>
      </c>
      <c r="D407" t="s">
        <v>146</v>
      </c>
      <c r="E407" t="s">
        <v>1878</v>
      </c>
      <c r="F407" t="s">
        <v>2458</v>
      </c>
      <c r="G407" t="s">
        <v>2456</v>
      </c>
      <c r="H407">
        <v>11.5</v>
      </c>
      <c r="I407" t="s">
        <v>2421</v>
      </c>
      <c r="J407" t="s">
        <v>1004</v>
      </c>
      <c r="K407" t="str">
        <f t="shared" si="6"/>
        <v>XMP_202001</v>
      </c>
    </row>
    <row r="408" spans="1:11">
      <c r="A408" t="s">
        <v>1980</v>
      </c>
      <c r="B408" t="s">
        <v>1101</v>
      </c>
      <c r="C408" t="s">
        <v>1009</v>
      </c>
      <c r="D408" t="s">
        <v>780</v>
      </c>
      <c r="E408" t="s">
        <v>1981</v>
      </c>
      <c r="F408" t="s">
        <v>2459</v>
      </c>
      <c r="G408" t="s">
        <v>2460</v>
      </c>
      <c r="H408">
        <v>11.5</v>
      </c>
      <c r="I408" t="s">
        <v>2421</v>
      </c>
      <c r="J408" t="s">
        <v>1004</v>
      </c>
      <c r="K408" t="str">
        <f t="shared" si="6"/>
        <v>XMP_202001</v>
      </c>
    </row>
    <row r="409" spans="1:11">
      <c r="A409" t="s">
        <v>993</v>
      </c>
      <c r="B409" t="s">
        <v>1101</v>
      </c>
      <c r="C409" t="s">
        <v>1009</v>
      </c>
      <c r="D409" t="s">
        <v>145</v>
      </c>
      <c r="E409" t="s">
        <v>1879</v>
      </c>
      <c r="F409" t="s">
        <v>2461</v>
      </c>
      <c r="G409" t="s">
        <v>2460</v>
      </c>
      <c r="H409">
        <v>11.5</v>
      </c>
      <c r="I409" t="s">
        <v>2421</v>
      </c>
      <c r="J409" t="s">
        <v>1004</v>
      </c>
      <c r="K409" t="str">
        <f t="shared" si="6"/>
        <v>XMP_202001</v>
      </c>
    </row>
    <row r="410" spans="1:11">
      <c r="A410" t="s">
        <v>994</v>
      </c>
      <c r="B410" t="s">
        <v>1101</v>
      </c>
      <c r="C410" t="s">
        <v>1009</v>
      </c>
      <c r="D410" t="s">
        <v>146</v>
      </c>
      <c r="E410" t="s">
        <v>1880</v>
      </c>
      <c r="F410" t="s">
        <v>2462</v>
      </c>
      <c r="G410" t="s">
        <v>2460</v>
      </c>
      <c r="H410">
        <v>11.5</v>
      </c>
      <c r="I410" t="s">
        <v>2421</v>
      </c>
      <c r="J410" t="s">
        <v>1004</v>
      </c>
      <c r="K410" t="str">
        <f t="shared" si="6"/>
        <v>XMP_202001</v>
      </c>
    </row>
    <row r="411" spans="1:11">
      <c r="A411" t="s">
        <v>1982</v>
      </c>
      <c r="B411" t="s">
        <v>1101</v>
      </c>
      <c r="C411" t="s">
        <v>1010</v>
      </c>
      <c r="D411" t="s">
        <v>780</v>
      </c>
      <c r="E411" t="s">
        <v>1983</v>
      </c>
      <c r="F411" t="s">
        <v>2463</v>
      </c>
      <c r="G411" t="s">
        <v>2464</v>
      </c>
      <c r="H411">
        <v>11.5</v>
      </c>
      <c r="I411" t="s">
        <v>2421</v>
      </c>
      <c r="J411" t="s">
        <v>1004</v>
      </c>
      <c r="K411" t="str">
        <f t="shared" si="6"/>
        <v>XMP_202001</v>
      </c>
    </row>
    <row r="412" spans="1:11">
      <c r="A412" t="s">
        <v>995</v>
      </c>
      <c r="B412" t="s">
        <v>1101</v>
      </c>
      <c r="C412" t="s">
        <v>1010</v>
      </c>
      <c r="D412" t="s">
        <v>145</v>
      </c>
      <c r="E412" t="s">
        <v>1881</v>
      </c>
      <c r="F412" t="s">
        <v>2465</v>
      </c>
      <c r="G412" t="s">
        <v>2464</v>
      </c>
      <c r="H412">
        <v>11.5</v>
      </c>
      <c r="I412" t="s">
        <v>2421</v>
      </c>
      <c r="J412" t="s">
        <v>1004</v>
      </c>
      <c r="K412" t="str">
        <f t="shared" si="6"/>
        <v>XMP_202001</v>
      </c>
    </row>
    <row r="413" spans="1:11">
      <c r="A413" t="s">
        <v>996</v>
      </c>
      <c r="B413" t="s">
        <v>1101</v>
      </c>
      <c r="C413" t="s">
        <v>1010</v>
      </c>
      <c r="D413" t="s">
        <v>146</v>
      </c>
      <c r="E413" t="s">
        <v>1882</v>
      </c>
      <c r="F413" t="s">
        <v>1577</v>
      </c>
      <c r="G413" t="s">
        <v>2464</v>
      </c>
      <c r="H413">
        <v>11.5</v>
      </c>
      <c r="I413" t="s">
        <v>2421</v>
      </c>
      <c r="J413" t="s">
        <v>1004</v>
      </c>
      <c r="K413" t="str">
        <f t="shared" si="6"/>
        <v>XMP_202001</v>
      </c>
    </row>
    <row r="414" spans="1:11">
      <c r="A414" t="s">
        <v>997</v>
      </c>
      <c r="B414" t="s">
        <v>1101</v>
      </c>
      <c r="C414" t="s">
        <v>1010</v>
      </c>
      <c r="D414" t="s">
        <v>660</v>
      </c>
      <c r="E414" t="s">
        <v>1883</v>
      </c>
      <c r="F414" t="s">
        <v>2466</v>
      </c>
      <c r="G414" t="s">
        <v>2464</v>
      </c>
      <c r="H414">
        <v>11.5</v>
      </c>
      <c r="I414" t="s">
        <v>2421</v>
      </c>
      <c r="J414" t="s">
        <v>1004</v>
      </c>
      <c r="K414" t="str">
        <f t="shared" si="6"/>
        <v>XMP_202001</v>
      </c>
    </row>
    <row r="415" spans="1:11">
      <c r="A415" t="s">
        <v>1984</v>
      </c>
      <c r="B415" t="s">
        <v>1101</v>
      </c>
      <c r="C415" t="s">
        <v>1011</v>
      </c>
      <c r="D415" t="s">
        <v>780</v>
      </c>
      <c r="E415" t="s">
        <v>1985</v>
      </c>
      <c r="F415" t="s">
        <v>2467</v>
      </c>
      <c r="G415" t="s">
        <v>2468</v>
      </c>
      <c r="H415">
        <v>11.5</v>
      </c>
      <c r="I415" t="s">
        <v>2421</v>
      </c>
      <c r="J415" t="s">
        <v>1004</v>
      </c>
      <c r="K415" t="str">
        <f t="shared" si="6"/>
        <v>XMP_202001</v>
      </c>
    </row>
    <row r="416" spans="1:11">
      <c r="A416" t="s">
        <v>998</v>
      </c>
      <c r="B416" t="s">
        <v>1101</v>
      </c>
      <c r="C416" t="s">
        <v>1011</v>
      </c>
      <c r="D416" t="s">
        <v>145</v>
      </c>
      <c r="E416" t="s">
        <v>1884</v>
      </c>
      <c r="F416" t="s">
        <v>2469</v>
      </c>
      <c r="G416" t="s">
        <v>2468</v>
      </c>
      <c r="H416">
        <v>11.5</v>
      </c>
      <c r="I416" t="s">
        <v>2421</v>
      </c>
      <c r="J416" t="s">
        <v>1004</v>
      </c>
      <c r="K416" t="str">
        <f t="shared" si="6"/>
        <v>XMP_202001</v>
      </c>
    </row>
    <row r="417" spans="1:11">
      <c r="A417" t="s">
        <v>999</v>
      </c>
      <c r="B417" t="s">
        <v>1101</v>
      </c>
      <c r="C417" t="s">
        <v>1011</v>
      </c>
      <c r="D417" t="s">
        <v>146</v>
      </c>
      <c r="E417" t="s">
        <v>1885</v>
      </c>
      <c r="F417" t="s">
        <v>1576</v>
      </c>
      <c r="G417" t="s">
        <v>2468</v>
      </c>
      <c r="H417">
        <v>11.5</v>
      </c>
      <c r="I417" t="s">
        <v>2421</v>
      </c>
      <c r="J417" t="s">
        <v>1004</v>
      </c>
      <c r="K417" t="str">
        <f t="shared" si="6"/>
        <v>XMP_202001</v>
      </c>
    </row>
    <row r="418" spans="1:11">
      <c r="A418" t="s">
        <v>1000</v>
      </c>
      <c r="B418" t="s">
        <v>1101</v>
      </c>
      <c r="C418" t="s">
        <v>1011</v>
      </c>
      <c r="D418" t="s">
        <v>660</v>
      </c>
      <c r="E418" t="s">
        <v>1886</v>
      </c>
      <c r="F418" t="s">
        <v>2470</v>
      </c>
      <c r="G418" t="s">
        <v>2468</v>
      </c>
      <c r="H418">
        <v>11.5</v>
      </c>
      <c r="I418" t="s">
        <v>2421</v>
      </c>
      <c r="J418" t="s">
        <v>1004</v>
      </c>
      <c r="K418" t="str">
        <f t="shared" si="6"/>
        <v>XMP_202001</v>
      </c>
    </row>
    <row r="419" spans="1:11">
      <c r="A419" t="s">
        <v>1986</v>
      </c>
      <c r="B419" t="s">
        <v>1101</v>
      </c>
      <c r="C419" t="s">
        <v>1013</v>
      </c>
      <c r="D419" t="s">
        <v>780</v>
      </c>
      <c r="E419" t="s">
        <v>1987</v>
      </c>
      <c r="F419" t="s">
        <v>1988</v>
      </c>
      <c r="G419" t="s">
        <v>2471</v>
      </c>
      <c r="H419">
        <v>19</v>
      </c>
      <c r="I419" t="s">
        <v>2421</v>
      </c>
      <c r="J419" t="s">
        <v>1004</v>
      </c>
      <c r="K419" t="str">
        <f t="shared" si="6"/>
        <v>XMP_202001</v>
      </c>
    </row>
    <row r="420" spans="1:11">
      <c r="A420" t="s">
        <v>1001</v>
      </c>
      <c r="B420" t="s">
        <v>1101</v>
      </c>
      <c r="C420" t="s">
        <v>1013</v>
      </c>
      <c r="D420" t="s">
        <v>288</v>
      </c>
      <c r="E420" t="s">
        <v>1887</v>
      </c>
      <c r="F420" t="s">
        <v>1014</v>
      </c>
      <c r="G420" t="s">
        <v>2471</v>
      </c>
      <c r="H420">
        <v>19</v>
      </c>
      <c r="I420" t="s">
        <v>2421</v>
      </c>
      <c r="J420" t="s">
        <v>1004</v>
      </c>
      <c r="K420" t="str">
        <f t="shared" si="6"/>
        <v>XMP_202001</v>
      </c>
    </row>
    <row r="421" spans="1:11">
      <c r="A421" t="s">
        <v>1989</v>
      </c>
      <c r="B421" t="s">
        <v>1101</v>
      </c>
      <c r="C421" t="s">
        <v>1092</v>
      </c>
      <c r="D421" t="s">
        <v>780</v>
      </c>
      <c r="E421" t="s">
        <v>1990</v>
      </c>
      <c r="F421" t="s">
        <v>1991</v>
      </c>
      <c r="G421" t="s">
        <v>2472</v>
      </c>
      <c r="H421">
        <v>19</v>
      </c>
      <c r="I421" t="s">
        <v>2421</v>
      </c>
      <c r="J421" t="s">
        <v>1004</v>
      </c>
      <c r="K421" t="str">
        <f t="shared" si="6"/>
        <v>XMP_202001</v>
      </c>
    </row>
    <row r="422" spans="1:11">
      <c r="A422" t="s">
        <v>1002</v>
      </c>
      <c r="B422" t="s">
        <v>1101</v>
      </c>
      <c r="C422" t="s">
        <v>1092</v>
      </c>
      <c r="D422" t="s">
        <v>145</v>
      </c>
      <c r="E422" t="s">
        <v>1888</v>
      </c>
      <c r="F422" t="s">
        <v>1015</v>
      </c>
      <c r="G422" t="s">
        <v>2472</v>
      </c>
      <c r="H422">
        <v>19</v>
      </c>
      <c r="I422" t="s">
        <v>2421</v>
      </c>
      <c r="J422" t="s">
        <v>1004</v>
      </c>
      <c r="K422" t="str">
        <f t="shared" si="6"/>
        <v>XMP_202001</v>
      </c>
    </row>
    <row r="423" spans="1:11">
      <c r="A423" t="s">
        <v>1003</v>
      </c>
      <c r="B423" t="s">
        <v>1101</v>
      </c>
      <c r="C423" t="s">
        <v>1092</v>
      </c>
      <c r="D423" t="s">
        <v>146</v>
      </c>
      <c r="E423" t="s">
        <v>2473</v>
      </c>
      <c r="F423" t="s">
        <v>1016</v>
      </c>
      <c r="G423" t="s">
        <v>2472</v>
      </c>
      <c r="H423">
        <v>19</v>
      </c>
      <c r="I423" t="s">
        <v>2421</v>
      </c>
      <c r="J423" t="s">
        <v>1004</v>
      </c>
      <c r="K423" t="str">
        <f t="shared" si="6"/>
        <v>XMP_202001</v>
      </c>
    </row>
    <row r="424" spans="1:11">
      <c r="K424" t="str">
        <f t="shared" si="6"/>
        <v/>
      </c>
    </row>
    <row r="425" spans="1:11">
      <c r="K425" t="str">
        <f t="shared" si="6"/>
        <v/>
      </c>
    </row>
    <row r="426" spans="1:11">
      <c r="K426" t="str">
        <f t="shared" si="6"/>
        <v/>
      </c>
    </row>
    <row r="427" spans="1:11">
      <c r="K427" t="str">
        <f t="shared" si="6"/>
        <v/>
      </c>
    </row>
    <row r="428" spans="1:11">
      <c r="K428" t="str">
        <f t="shared" si="6"/>
        <v/>
      </c>
    </row>
    <row r="429" spans="1:11">
      <c r="K429" t="str">
        <f t="shared" si="6"/>
        <v/>
      </c>
    </row>
    <row r="430" spans="1:11">
      <c r="K430" t="str">
        <f t="shared" si="6"/>
        <v/>
      </c>
    </row>
    <row r="431" spans="1:11">
      <c r="K431" t="str">
        <f t="shared" si="6"/>
        <v/>
      </c>
    </row>
    <row r="432" spans="1:11">
      <c r="K432" t="str">
        <f t="shared" si="6"/>
        <v/>
      </c>
    </row>
    <row r="433" spans="11:11">
      <c r="K433" t="str">
        <f t="shared" si="6"/>
        <v/>
      </c>
    </row>
    <row r="434" spans="11:11">
      <c r="K434" t="str">
        <f t="shared" si="6"/>
        <v/>
      </c>
    </row>
    <row r="435" spans="11:11">
      <c r="K435" t="str">
        <f t="shared" si="6"/>
        <v/>
      </c>
    </row>
    <row r="436" spans="11:11">
      <c r="K436" t="str">
        <f t="shared" si="6"/>
        <v/>
      </c>
    </row>
    <row r="437" spans="11:11">
      <c r="K437" t="str">
        <f t="shared" si="6"/>
        <v/>
      </c>
    </row>
    <row r="438" spans="11:11">
      <c r="K438" t="str">
        <f t="shared" si="6"/>
        <v/>
      </c>
    </row>
    <row r="439" spans="11:11">
      <c r="K439" t="str">
        <f t="shared" si="6"/>
        <v/>
      </c>
    </row>
    <row r="440" spans="11:11">
      <c r="K440" t="str">
        <f t="shared" si="6"/>
        <v/>
      </c>
    </row>
    <row r="441" spans="11:11">
      <c r="K441" t="str">
        <f t="shared" si="6"/>
        <v/>
      </c>
    </row>
    <row r="442" spans="11:11">
      <c r="K442" t="str">
        <f t="shared" si="6"/>
        <v/>
      </c>
    </row>
    <row r="443" spans="11:11">
      <c r="K443" t="str">
        <f t="shared" si="6"/>
        <v/>
      </c>
    </row>
    <row r="444" spans="11:11">
      <c r="K444" t="str">
        <f t="shared" si="6"/>
        <v/>
      </c>
    </row>
    <row r="445" spans="11:11">
      <c r="K445" t="str">
        <f t="shared" si="6"/>
        <v/>
      </c>
    </row>
    <row r="446" spans="11:11">
      <c r="K446" t="str">
        <f t="shared" si="6"/>
        <v/>
      </c>
    </row>
    <row r="447" spans="11:11">
      <c r="K447" t="str">
        <f t="shared" si="6"/>
        <v/>
      </c>
    </row>
    <row r="448" spans="11:11">
      <c r="K448" t="str">
        <f t="shared" si="6"/>
        <v/>
      </c>
    </row>
    <row r="449" spans="11:11">
      <c r="K449" t="str">
        <f t="shared" si="6"/>
        <v/>
      </c>
    </row>
    <row r="450" spans="11:11">
      <c r="K450" t="str">
        <f t="shared" si="6"/>
        <v/>
      </c>
    </row>
    <row r="451" spans="11:11">
      <c r="K451" t="str">
        <f t="shared" ref="K451:K514" si="7">LEFT(A451,10)</f>
        <v/>
      </c>
    </row>
    <row r="452" spans="11:11">
      <c r="K452" t="str">
        <f t="shared" si="7"/>
        <v/>
      </c>
    </row>
    <row r="453" spans="11:11">
      <c r="K453" t="str">
        <f t="shared" si="7"/>
        <v/>
      </c>
    </row>
    <row r="454" spans="11:11">
      <c r="K454" t="str">
        <f t="shared" si="7"/>
        <v/>
      </c>
    </row>
    <row r="455" spans="11:11">
      <c r="K455" t="str">
        <f t="shared" si="7"/>
        <v/>
      </c>
    </row>
    <row r="456" spans="11:11">
      <c r="K456" t="str">
        <f t="shared" si="7"/>
        <v/>
      </c>
    </row>
    <row r="457" spans="11:11">
      <c r="K457" t="str">
        <f t="shared" si="7"/>
        <v/>
      </c>
    </row>
    <row r="458" spans="11:11">
      <c r="K458" t="str">
        <f t="shared" si="7"/>
        <v/>
      </c>
    </row>
    <row r="459" spans="11:11">
      <c r="K459" t="str">
        <f t="shared" si="7"/>
        <v/>
      </c>
    </row>
    <row r="460" spans="11:11">
      <c r="K460" t="str">
        <f t="shared" si="7"/>
        <v/>
      </c>
    </row>
    <row r="461" spans="11:11">
      <c r="K461" t="str">
        <f t="shared" si="7"/>
        <v/>
      </c>
    </row>
    <row r="462" spans="11:11">
      <c r="K462" t="str">
        <f t="shared" si="7"/>
        <v/>
      </c>
    </row>
    <row r="463" spans="11:11">
      <c r="K463" t="str">
        <f t="shared" si="7"/>
        <v/>
      </c>
    </row>
    <row r="464" spans="11:11">
      <c r="K464" t="str">
        <f t="shared" si="7"/>
        <v/>
      </c>
    </row>
    <row r="465" spans="11:11">
      <c r="K465" t="str">
        <f t="shared" si="7"/>
        <v/>
      </c>
    </row>
    <row r="466" spans="11:11">
      <c r="K466" t="str">
        <f t="shared" si="7"/>
        <v/>
      </c>
    </row>
    <row r="467" spans="11:11">
      <c r="K467" t="str">
        <f t="shared" si="7"/>
        <v/>
      </c>
    </row>
    <row r="468" spans="11:11">
      <c r="K468" t="str">
        <f t="shared" si="7"/>
        <v/>
      </c>
    </row>
    <row r="469" spans="11:11">
      <c r="K469" t="str">
        <f t="shared" si="7"/>
        <v/>
      </c>
    </row>
    <row r="470" spans="11:11">
      <c r="K470" t="str">
        <f t="shared" si="7"/>
        <v/>
      </c>
    </row>
    <row r="471" spans="11:11">
      <c r="K471" t="str">
        <f t="shared" si="7"/>
        <v/>
      </c>
    </row>
    <row r="472" spans="11:11">
      <c r="K472" t="str">
        <f t="shared" si="7"/>
        <v/>
      </c>
    </row>
    <row r="473" spans="11:11">
      <c r="K473" t="str">
        <f t="shared" si="7"/>
        <v/>
      </c>
    </row>
    <row r="474" spans="11:11">
      <c r="K474" t="str">
        <f t="shared" si="7"/>
        <v/>
      </c>
    </row>
    <row r="475" spans="11:11">
      <c r="K475" t="str">
        <f t="shared" si="7"/>
        <v/>
      </c>
    </row>
    <row r="476" spans="11:11">
      <c r="K476" t="str">
        <f t="shared" si="7"/>
        <v/>
      </c>
    </row>
    <row r="477" spans="11:11">
      <c r="K477" t="str">
        <f t="shared" si="7"/>
        <v/>
      </c>
    </row>
    <row r="478" spans="11:11">
      <c r="K478" t="str">
        <f t="shared" si="7"/>
        <v/>
      </c>
    </row>
    <row r="479" spans="11:11">
      <c r="K479" t="str">
        <f t="shared" si="7"/>
        <v/>
      </c>
    </row>
    <row r="480" spans="11:11">
      <c r="K480" t="str">
        <f t="shared" si="7"/>
        <v/>
      </c>
    </row>
    <row r="481" spans="11:11">
      <c r="K481" t="str">
        <f t="shared" si="7"/>
        <v/>
      </c>
    </row>
    <row r="482" spans="11:11">
      <c r="K482" t="str">
        <f t="shared" si="7"/>
        <v/>
      </c>
    </row>
    <row r="483" spans="11:11">
      <c r="K483" t="str">
        <f t="shared" si="7"/>
        <v/>
      </c>
    </row>
    <row r="484" spans="11:11">
      <c r="K484" t="str">
        <f t="shared" si="7"/>
        <v/>
      </c>
    </row>
    <row r="485" spans="11:11">
      <c r="K485" t="str">
        <f t="shared" si="7"/>
        <v/>
      </c>
    </row>
    <row r="486" spans="11:11">
      <c r="K486" t="str">
        <f t="shared" si="7"/>
        <v/>
      </c>
    </row>
    <row r="487" spans="11:11">
      <c r="K487" t="str">
        <f t="shared" si="7"/>
        <v/>
      </c>
    </row>
    <row r="488" spans="11:11">
      <c r="K488" t="str">
        <f t="shared" si="7"/>
        <v/>
      </c>
    </row>
    <row r="489" spans="11:11">
      <c r="K489" t="str">
        <f t="shared" si="7"/>
        <v/>
      </c>
    </row>
    <row r="490" spans="11:11">
      <c r="K490" t="str">
        <f t="shared" si="7"/>
        <v/>
      </c>
    </row>
    <row r="491" spans="11:11">
      <c r="K491" t="str">
        <f t="shared" si="7"/>
        <v/>
      </c>
    </row>
    <row r="492" spans="11:11">
      <c r="K492" t="str">
        <f t="shared" si="7"/>
        <v/>
      </c>
    </row>
    <row r="493" spans="11:11">
      <c r="K493" t="str">
        <f t="shared" si="7"/>
        <v/>
      </c>
    </row>
    <row r="494" spans="11:11">
      <c r="K494" t="str">
        <f t="shared" si="7"/>
        <v/>
      </c>
    </row>
    <row r="495" spans="11:11">
      <c r="K495" t="str">
        <f t="shared" si="7"/>
        <v/>
      </c>
    </row>
    <row r="496" spans="11:11">
      <c r="K496" t="str">
        <f t="shared" si="7"/>
        <v/>
      </c>
    </row>
    <row r="497" spans="11:11">
      <c r="K497" t="str">
        <f t="shared" si="7"/>
        <v/>
      </c>
    </row>
    <row r="498" spans="11:11">
      <c r="K498" t="str">
        <f t="shared" si="7"/>
        <v/>
      </c>
    </row>
    <row r="499" spans="11:11">
      <c r="K499" t="str">
        <f t="shared" si="7"/>
        <v/>
      </c>
    </row>
    <row r="500" spans="11:11">
      <c r="K500" t="str">
        <f t="shared" si="7"/>
        <v/>
      </c>
    </row>
    <row r="501" spans="11:11">
      <c r="K501" t="str">
        <f t="shared" si="7"/>
        <v/>
      </c>
    </row>
    <row r="502" spans="11:11">
      <c r="K502" t="str">
        <f t="shared" si="7"/>
        <v/>
      </c>
    </row>
    <row r="503" spans="11:11">
      <c r="K503" t="str">
        <f t="shared" si="7"/>
        <v/>
      </c>
    </row>
    <row r="504" spans="11:11">
      <c r="K504" t="str">
        <f t="shared" si="7"/>
        <v/>
      </c>
    </row>
    <row r="505" spans="11:11">
      <c r="K505" t="str">
        <f t="shared" si="7"/>
        <v/>
      </c>
    </row>
    <row r="506" spans="11:11">
      <c r="K506" t="str">
        <f t="shared" si="7"/>
        <v/>
      </c>
    </row>
    <row r="507" spans="11:11">
      <c r="K507" t="str">
        <f t="shared" si="7"/>
        <v/>
      </c>
    </row>
    <row r="508" spans="11:11">
      <c r="K508" t="str">
        <f t="shared" si="7"/>
        <v/>
      </c>
    </row>
    <row r="509" spans="11:11">
      <c r="K509" t="str">
        <f t="shared" si="7"/>
        <v/>
      </c>
    </row>
    <row r="510" spans="11:11">
      <c r="K510" t="str">
        <f t="shared" si="7"/>
        <v/>
      </c>
    </row>
    <row r="511" spans="11:11">
      <c r="K511" t="str">
        <f t="shared" si="7"/>
        <v/>
      </c>
    </row>
    <row r="512" spans="11:11">
      <c r="K512" t="str">
        <f t="shared" si="7"/>
        <v/>
      </c>
    </row>
    <row r="513" spans="11:11">
      <c r="K513" t="str">
        <f t="shared" si="7"/>
        <v/>
      </c>
    </row>
    <row r="514" spans="11:11">
      <c r="K514" t="str">
        <f t="shared" si="7"/>
        <v/>
      </c>
    </row>
    <row r="515" spans="11:11">
      <c r="K515" t="str">
        <f t="shared" ref="K515:K578" si="8">LEFT(A515,10)</f>
        <v/>
      </c>
    </row>
    <row r="516" spans="11:11">
      <c r="K516" t="str">
        <f t="shared" si="8"/>
        <v/>
      </c>
    </row>
    <row r="517" spans="11:11">
      <c r="K517" t="str">
        <f t="shared" si="8"/>
        <v/>
      </c>
    </row>
    <row r="518" spans="11:11">
      <c r="K518" t="str">
        <f t="shared" si="8"/>
        <v/>
      </c>
    </row>
    <row r="519" spans="11:11">
      <c r="K519" t="str">
        <f t="shared" si="8"/>
        <v/>
      </c>
    </row>
    <row r="520" spans="11:11">
      <c r="K520" t="str">
        <f t="shared" si="8"/>
        <v/>
      </c>
    </row>
    <row r="521" spans="11:11">
      <c r="K521" t="str">
        <f t="shared" si="8"/>
        <v/>
      </c>
    </row>
    <row r="522" spans="11:11">
      <c r="K522" t="str">
        <f t="shared" si="8"/>
        <v/>
      </c>
    </row>
    <row r="523" spans="11:11">
      <c r="K523" t="str">
        <f t="shared" si="8"/>
        <v/>
      </c>
    </row>
    <row r="524" spans="11:11">
      <c r="K524" t="str">
        <f t="shared" si="8"/>
        <v/>
      </c>
    </row>
    <row r="525" spans="11:11">
      <c r="K525" t="str">
        <f t="shared" si="8"/>
        <v/>
      </c>
    </row>
    <row r="526" spans="11:11">
      <c r="K526" t="str">
        <f t="shared" si="8"/>
        <v/>
      </c>
    </row>
    <row r="527" spans="11:11">
      <c r="K527" t="str">
        <f t="shared" si="8"/>
        <v/>
      </c>
    </row>
    <row r="528" spans="11:11">
      <c r="K528" t="str">
        <f t="shared" si="8"/>
        <v/>
      </c>
    </row>
    <row r="529" spans="11:11">
      <c r="K529" t="str">
        <f t="shared" si="8"/>
        <v/>
      </c>
    </row>
    <row r="530" spans="11:11">
      <c r="K530" t="str">
        <f t="shared" si="8"/>
        <v/>
      </c>
    </row>
    <row r="531" spans="11:11">
      <c r="K531" t="str">
        <f t="shared" si="8"/>
        <v/>
      </c>
    </row>
    <row r="532" spans="11:11">
      <c r="K532" t="str">
        <f t="shared" si="8"/>
        <v/>
      </c>
    </row>
    <row r="533" spans="11:11">
      <c r="K533" t="str">
        <f t="shared" si="8"/>
        <v/>
      </c>
    </row>
    <row r="534" spans="11:11">
      <c r="K534" t="str">
        <f t="shared" si="8"/>
        <v/>
      </c>
    </row>
    <row r="535" spans="11:11">
      <c r="K535" t="str">
        <f t="shared" si="8"/>
        <v/>
      </c>
    </row>
    <row r="536" spans="11:11">
      <c r="K536" t="str">
        <f t="shared" si="8"/>
        <v/>
      </c>
    </row>
    <row r="537" spans="11:11">
      <c r="K537" t="str">
        <f t="shared" si="8"/>
        <v/>
      </c>
    </row>
    <row r="538" spans="11:11">
      <c r="K538" t="str">
        <f t="shared" si="8"/>
        <v/>
      </c>
    </row>
    <row r="539" spans="11:11">
      <c r="K539" t="str">
        <f t="shared" si="8"/>
        <v/>
      </c>
    </row>
    <row r="540" spans="11:11">
      <c r="K540" t="str">
        <f t="shared" si="8"/>
        <v/>
      </c>
    </row>
    <row r="541" spans="11:11">
      <c r="K541" t="str">
        <f t="shared" si="8"/>
        <v/>
      </c>
    </row>
    <row r="542" spans="11:11">
      <c r="K542" t="str">
        <f t="shared" si="8"/>
        <v/>
      </c>
    </row>
    <row r="543" spans="11:11">
      <c r="K543" t="str">
        <f t="shared" si="8"/>
        <v/>
      </c>
    </row>
    <row r="544" spans="11:11">
      <c r="K544" t="str">
        <f t="shared" si="8"/>
        <v/>
      </c>
    </row>
    <row r="545" spans="11:11">
      <c r="K545" t="str">
        <f t="shared" si="8"/>
        <v/>
      </c>
    </row>
    <row r="546" spans="11:11">
      <c r="K546" t="str">
        <f t="shared" si="8"/>
        <v/>
      </c>
    </row>
    <row r="547" spans="11:11">
      <c r="K547" t="str">
        <f t="shared" si="8"/>
        <v/>
      </c>
    </row>
    <row r="548" spans="11:11">
      <c r="K548" t="str">
        <f t="shared" si="8"/>
        <v/>
      </c>
    </row>
    <row r="549" spans="11:11">
      <c r="K549" t="str">
        <f t="shared" si="8"/>
        <v/>
      </c>
    </row>
    <row r="550" spans="11:11">
      <c r="K550" t="str">
        <f t="shared" si="8"/>
        <v/>
      </c>
    </row>
    <row r="551" spans="11:11">
      <c r="K551" t="str">
        <f t="shared" si="8"/>
        <v/>
      </c>
    </row>
    <row r="552" spans="11:11">
      <c r="K552" t="str">
        <f t="shared" si="8"/>
        <v/>
      </c>
    </row>
    <row r="553" spans="11:11">
      <c r="K553" t="str">
        <f t="shared" si="8"/>
        <v/>
      </c>
    </row>
    <row r="554" spans="11:11">
      <c r="K554" t="str">
        <f t="shared" si="8"/>
        <v/>
      </c>
    </row>
    <row r="555" spans="11:11">
      <c r="K555" t="str">
        <f t="shared" si="8"/>
        <v/>
      </c>
    </row>
    <row r="556" spans="11:11">
      <c r="K556" t="str">
        <f t="shared" si="8"/>
        <v/>
      </c>
    </row>
    <row r="557" spans="11:11">
      <c r="K557" t="str">
        <f t="shared" si="8"/>
        <v/>
      </c>
    </row>
    <row r="558" spans="11:11">
      <c r="K558" t="str">
        <f t="shared" si="8"/>
        <v/>
      </c>
    </row>
    <row r="559" spans="11:11">
      <c r="K559" t="str">
        <f t="shared" si="8"/>
        <v/>
      </c>
    </row>
    <row r="560" spans="11:11">
      <c r="K560" t="str">
        <f t="shared" si="8"/>
        <v/>
      </c>
    </row>
    <row r="561" spans="11:11">
      <c r="K561" t="str">
        <f t="shared" si="8"/>
        <v/>
      </c>
    </row>
    <row r="562" spans="11:11">
      <c r="K562" t="str">
        <f t="shared" si="8"/>
        <v/>
      </c>
    </row>
    <row r="563" spans="11:11">
      <c r="K563" t="str">
        <f t="shared" si="8"/>
        <v/>
      </c>
    </row>
    <row r="564" spans="11:11">
      <c r="K564" t="str">
        <f t="shared" si="8"/>
        <v/>
      </c>
    </row>
    <row r="565" spans="11:11">
      <c r="K565" t="str">
        <f t="shared" si="8"/>
        <v/>
      </c>
    </row>
    <row r="566" spans="11:11">
      <c r="K566" t="str">
        <f t="shared" si="8"/>
        <v/>
      </c>
    </row>
    <row r="567" spans="11:11">
      <c r="K567" t="str">
        <f t="shared" si="8"/>
        <v/>
      </c>
    </row>
    <row r="568" spans="11:11">
      <c r="K568" t="str">
        <f t="shared" si="8"/>
        <v/>
      </c>
    </row>
    <row r="569" spans="11:11">
      <c r="K569" t="str">
        <f t="shared" si="8"/>
        <v/>
      </c>
    </row>
    <row r="570" spans="11:11">
      <c r="K570" t="str">
        <f t="shared" si="8"/>
        <v/>
      </c>
    </row>
    <row r="571" spans="11:11">
      <c r="K571" t="str">
        <f t="shared" si="8"/>
        <v/>
      </c>
    </row>
    <row r="572" spans="11:11">
      <c r="K572" t="str">
        <f t="shared" si="8"/>
        <v/>
      </c>
    </row>
    <row r="573" spans="11:11">
      <c r="K573" t="str">
        <f t="shared" si="8"/>
        <v/>
      </c>
    </row>
    <row r="574" spans="11:11">
      <c r="K574" t="str">
        <f t="shared" si="8"/>
        <v/>
      </c>
    </row>
    <row r="575" spans="11:11">
      <c r="K575" t="str">
        <f t="shared" si="8"/>
        <v/>
      </c>
    </row>
    <row r="576" spans="11:11">
      <c r="K576" t="str">
        <f t="shared" si="8"/>
        <v/>
      </c>
    </row>
    <row r="577" spans="11:11">
      <c r="K577" t="str">
        <f t="shared" si="8"/>
        <v/>
      </c>
    </row>
    <row r="578" spans="11:11">
      <c r="K578" t="str">
        <f t="shared" si="8"/>
        <v/>
      </c>
    </row>
    <row r="579" spans="11:11">
      <c r="K579" t="str">
        <f t="shared" ref="K579:K642" si="9">LEFT(A579,10)</f>
        <v/>
      </c>
    </row>
    <row r="580" spans="11:11">
      <c r="K580" t="str">
        <f t="shared" si="9"/>
        <v/>
      </c>
    </row>
    <row r="581" spans="11:11">
      <c r="K581" t="str">
        <f t="shared" si="9"/>
        <v/>
      </c>
    </row>
    <row r="582" spans="11:11">
      <c r="K582" t="str">
        <f t="shared" si="9"/>
        <v/>
      </c>
    </row>
    <row r="583" spans="11:11">
      <c r="K583" t="str">
        <f t="shared" si="9"/>
        <v/>
      </c>
    </row>
    <row r="584" spans="11:11">
      <c r="K584" t="str">
        <f t="shared" si="9"/>
        <v/>
      </c>
    </row>
    <row r="585" spans="11:11">
      <c r="K585" t="str">
        <f t="shared" si="9"/>
        <v/>
      </c>
    </row>
    <row r="586" spans="11:11">
      <c r="K586" t="str">
        <f t="shared" si="9"/>
        <v/>
      </c>
    </row>
    <row r="587" spans="11:11">
      <c r="K587" t="str">
        <f t="shared" si="9"/>
        <v/>
      </c>
    </row>
    <row r="588" spans="11:11">
      <c r="K588" t="str">
        <f t="shared" si="9"/>
        <v/>
      </c>
    </row>
    <row r="589" spans="11:11">
      <c r="K589" t="str">
        <f t="shared" si="9"/>
        <v/>
      </c>
    </row>
    <row r="590" spans="11:11">
      <c r="K590" t="str">
        <f t="shared" si="9"/>
        <v/>
      </c>
    </row>
    <row r="591" spans="11:11">
      <c r="K591" t="str">
        <f t="shared" si="9"/>
        <v/>
      </c>
    </row>
    <row r="592" spans="11:11">
      <c r="K592" t="str">
        <f t="shared" si="9"/>
        <v/>
      </c>
    </row>
    <row r="593" spans="11:11">
      <c r="K593" t="str">
        <f t="shared" si="9"/>
        <v/>
      </c>
    </row>
    <row r="594" spans="11:11">
      <c r="K594" t="str">
        <f t="shared" si="9"/>
        <v/>
      </c>
    </row>
    <row r="595" spans="11:11">
      <c r="K595" t="str">
        <f t="shared" si="9"/>
        <v/>
      </c>
    </row>
    <row r="596" spans="11:11">
      <c r="K596" t="str">
        <f t="shared" si="9"/>
        <v/>
      </c>
    </row>
    <row r="597" spans="11:11">
      <c r="K597" t="str">
        <f t="shared" si="9"/>
        <v/>
      </c>
    </row>
    <row r="598" spans="11:11">
      <c r="K598" t="str">
        <f t="shared" si="9"/>
        <v/>
      </c>
    </row>
    <row r="599" spans="11:11">
      <c r="K599" t="str">
        <f t="shared" si="9"/>
        <v/>
      </c>
    </row>
    <row r="600" spans="11:11">
      <c r="K600" t="str">
        <f t="shared" si="9"/>
        <v/>
      </c>
    </row>
    <row r="601" spans="11:11">
      <c r="K601" t="str">
        <f t="shared" si="9"/>
        <v/>
      </c>
    </row>
    <row r="602" spans="11:11">
      <c r="K602" t="str">
        <f t="shared" si="9"/>
        <v/>
      </c>
    </row>
    <row r="603" spans="11:11">
      <c r="K603" t="str">
        <f t="shared" si="9"/>
        <v/>
      </c>
    </row>
    <row r="604" spans="11:11">
      <c r="K604" t="str">
        <f t="shared" si="9"/>
        <v/>
      </c>
    </row>
    <row r="605" spans="11:11">
      <c r="K605" t="str">
        <f t="shared" si="9"/>
        <v/>
      </c>
    </row>
    <row r="606" spans="11:11">
      <c r="K606" t="str">
        <f t="shared" si="9"/>
        <v/>
      </c>
    </row>
    <row r="607" spans="11:11">
      <c r="K607" t="str">
        <f t="shared" si="9"/>
        <v/>
      </c>
    </row>
    <row r="608" spans="11:11">
      <c r="K608" t="str">
        <f t="shared" si="9"/>
        <v/>
      </c>
    </row>
    <row r="609" spans="11:11">
      <c r="K609" t="str">
        <f t="shared" si="9"/>
        <v/>
      </c>
    </row>
    <row r="610" spans="11:11">
      <c r="K610" t="str">
        <f t="shared" si="9"/>
        <v/>
      </c>
    </row>
    <row r="611" spans="11:11">
      <c r="K611" t="str">
        <f t="shared" si="9"/>
        <v/>
      </c>
    </row>
    <row r="612" spans="11:11">
      <c r="K612" t="str">
        <f t="shared" si="9"/>
        <v/>
      </c>
    </row>
    <row r="613" spans="11:11">
      <c r="K613" t="str">
        <f t="shared" si="9"/>
        <v/>
      </c>
    </row>
    <row r="614" spans="11:11">
      <c r="K614" t="str">
        <f t="shared" si="9"/>
        <v/>
      </c>
    </row>
    <row r="615" spans="11:11">
      <c r="K615" t="str">
        <f t="shared" si="9"/>
        <v/>
      </c>
    </row>
    <row r="616" spans="11:11">
      <c r="K616" t="str">
        <f t="shared" si="9"/>
        <v/>
      </c>
    </row>
    <row r="617" spans="11:11">
      <c r="K617" t="str">
        <f t="shared" si="9"/>
        <v/>
      </c>
    </row>
    <row r="618" spans="11:11">
      <c r="K618" t="str">
        <f t="shared" si="9"/>
        <v/>
      </c>
    </row>
    <row r="619" spans="11:11">
      <c r="K619" t="str">
        <f t="shared" si="9"/>
        <v/>
      </c>
    </row>
    <row r="620" spans="11:11">
      <c r="K620" t="str">
        <f t="shared" si="9"/>
        <v/>
      </c>
    </row>
    <row r="621" spans="11:11">
      <c r="K621" t="str">
        <f t="shared" si="9"/>
        <v/>
      </c>
    </row>
    <row r="622" spans="11:11">
      <c r="K622" t="str">
        <f t="shared" si="9"/>
        <v/>
      </c>
    </row>
    <row r="623" spans="11:11">
      <c r="K623" t="str">
        <f t="shared" si="9"/>
        <v/>
      </c>
    </row>
    <row r="624" spans="11:11">
      <c r="K624" t="str">
        <f t="shared" si="9"/>
        <v/>
      </c>
    </row>
    <row r="625" spans="11:11">
      <c r="K625" t="str">
        <f t="shared" si="9"/>
        <v/>
      </c>
    </row>
    <row r="626" spans="11:11">
      <c r="K626" t="str">
        <f t="shared" si="9"/>
        <v/>
      </c>
    </row>
    <row r="627" spans="11:11">
      <c r="K627" t="str">
        <f t="shared" si="9"/>
        <v/>
      </c>
    </row>
    <row r="628" spans="11:11">
      <c r="K628" t="str">
        <f t="shared" si="9"/>
        <v/>
      </c>
    </row>
    <row r="629" spans="11:11">
      <c r="K629" t="str">
        <f t="shared" si="9"/>
        <v/>
      </c>
    </row>
    <row r="630" spans="11:11">
      <c r="K630" t="str">
        <f t="shared" si="9"/>
        <v/>
      </c>
    </row>
    <row r="631" spans="11:11">
      <c r="K631" t="str">
        <f t="shared" si="9"/>
        <v/>
      </c>
    </row>
    <row r="632" spans="11:11">
      <c r="K632" t="str">
        <f t="shared" si="9"/>
        <v/>
      </c>
    </row>
    <row r="633" spans="11:11">
      <c r="K633" t="str">
        <f t="shared" si="9"/>
        <v/>
      </c>
    </row>
    <row r="634" spans="11:11">
      <c r="K634" t="str">
        <f t="shared" si="9"/>
        <v/>
      </c>
    </row>
    <row r="635" spans="11:11">
      <c r="K635" t="str">
        <f t="shared" si="9"/>
        <v/>
      </c>
    </row>
    <row r="636" spans="11:11">
      <c r="K636" t="str">
        <f t="shared" si="9"/>
        <v/>
      </c>
    </row>
    <row r="637" spans="11:11">
      <c r="K637" t="str">
        <f t="shared" si="9"/>
        <v/>
      </c>
    </row>
    <row r="638" spans="11:11">
      <c r="K638" t="str">
        <f t="shared" si="9"/>
        <v/>
      </c>
    </row>
    <row r="639" spans="11:11">
      <c r="K639" t="str">
        <f t="shared" si="9"/>
        <v/>
      </c>
    </row>
    <row r="640" spans="11:11">
      <c r="K640" t="str">
        <f t="shared" si="9"/>
        <v/>
      </c>
    </row>
    <row r="641" spans="11:11">
      <c r="K641" t="str">
        <f t="shared" si="9"/>
        <v/>
      </c>
    </row>
    <row r="642" spans="11:11">
      <c r="K642" t="str">
        <f t="shared" si="9"/>
        <v/>
      </c>
    </row>
    <row r="643" spans="11:11">
      <c r="K643" t="str">
        <f t="shared" ref="K643:K706" si="10">LEFT(A643,10)</f>
        <v/>
      </c>
    </row>
    <row r="644" spans="11:11">
      <c r="K644" t="str">
        <f t="shared" si="10"/>
        <v/>
      </c>
    </row>
    <row r="645" spans="11:11">
      <c r="K645" t="str">
        <f t="shared" si="10"/>
        <v/>
      </c>
    </row>
    <row r="646" spans="11:11">
      <c r="K646" t="str">
        <f t="shared" si="10"/>
        <v/>
      </c>
    </row>
    <row r="647" spans="11:11">
      <c r="K647" t="str">
        <f t="shared" si="10"/>
        <v/>
      </c>
    </row>
    <row r="648" spans="11:11">
      <c r="K648" t="str">
        <f t="shared" si="10"/>
        <v/>
      </c>
    </row>
    <row r="649" spans="11:11">
      <c r="K649" t="str">
        <f t="shared" si="10"/>
        <v/>
      </c>
    </row>
    <row r="650" spans="11:11">
      <c r="K650" t="str">
        <f t="shared" si="10"/>
        <v/>
      </c>
    </row>
    <row r="651" spans="11:11">
      <c r="K651" t="str">
        <f t="shared" si="10"/>
        <v/>
      </c>
    </row>
    <row r="652" spans="11:11">
      <c r="K652" t="str">
        <f t="shared" si="10"/>
        <v/>
      </c>
    </row>
    <row r="653" spans="11:11">
      <c r="K653" t="str">
        <f t="shared" si="10"/>
        <v/>
      </c>
    </row>
    <row r="654" spans="11:11">
      <c r="K654" t="str">
        <f t="shared" si="10"/>
        <v/>
      </c>
    </row>
    <row r="655" spans="11:11">
      <c r="K655" t="str">
        <f t="shared" si="10"/>
        <v/>
      </c>
    </row>
    <row r="656" spans="11:11">
      <c r="K656" t="str">
        <f t="shared" si="10"/>
        <v/>
      </c>
    </row>
    <row r="657" spans="11:11">
      <c r="K657" t="str">
        <f t="shared" si="10"/>
        <v/>
      </c>
    </row>
    <row r="658" spans="11:11">
      <c r="K658" t="str">
        <f t="shared" si="10"/>
        <v/>
      </c>
    </row>
    <row r="659" spans="11:11">
      <c r="K659" t="str">
        <f t="shared" si="10"/>
        <v/>
      </c>
    </row>
    <row r="660" spans="11:11">
      <c r="K660" t="str">
        <f t="shared" si="10"/>
        <v/>
      </c>
    </row>
    <row r="661" spans="11:11">
      <c r="K661" t="str">
        <f t="shared" si="10"/>
        <v/>
      </c>
    </row>
    <row r="662" spans="11:11">
      <c r="K662" t="str">
        <f t="shared" si="10"/>
        <v/>
      </c>
    </row>
    <row r="663" spans="11:11">
      <c r="K663" t="str">
        <f t="shared" si="10"/>
        <v/>
      </c>
    </row>
    <row r="664" spans="11:11">
      <c r="K664" t="str">
        <f t="shared" si="10"/>
        <v/>
      </c>
    </row>
    <row r="665" spans="11:11">
      <c r="K665" t="str">
        <f t="shared" si="10"/>
        <v/>
      </c>
    </row>
    <row r="666" spans="11:11">
      <c r="K666" t="str">
        <f t="shared" si="10"/>
        <v/>
      </c>
    </row>
    <row r="667" spans="11:11">
      <c r="K667" t="str">
        <f t="shared" si="10"/>
        <v/>
      </c>
    </row>
    <row r="668" spans="11:11">
      <c r="K668" t="str">
        <f t="shared" si="10"/>
        <v/>
      </c>
    </row>
    <row r="669" spans="11:11">
      <c r="K669" t="str">
        <f t="shared" si="10"/>
        <v/>
      </c>
    </row>
    <row r="670" spans="11:11">
      <c r="K670" t="str">
        <f t="shared" si="10"/>
        <v/>
      </c>
    </row>
    <row r="671" spans="11:11">
      <c r="K671" t="str">
        <f t="shared" si="10"/>
        <v/>
      </c>
    </row>
    <row r="672" spans="11:11">
      <c r="K672" t="str">
        <f t="shared" si="10"/>
        <v/>
      </c>
    </row>
    <row r="673" spans="11:11">
      <c r="K673" t="str">
        <f t="shared" si="10"/>
        <v/>
      </c>
    </row>
    <row r="674" spans="11:11">
      <c r="K674" t="str">
        <f t="shared" si="10"/>
        <v/>
      </c>
    </row>
    <row r="675" spans="11:11">
      <c r="K675" t="str">
        <f t="shared" si="10"/>
        <v/>
      </c>
    </row>
    <row r="676" spans="11:11">
      <c r="K676" t="str">
        <f t="shared" si="10"/>
        <v/>
      </c>
    </row>
    <row r="677" spans="11:11">
      <c r="K677" t="str">
        <f t="shared" si="10"/>
        <v/>
      </c>
    </row>
    <row r="678" spans="11:11">
      <c r="K678" t="str">
        <f t="shared" si="10"/>
        <v/>
      </c>
    </row>
    <row r="679" spans="11:11">
      <c r="K679" t="str">
        <f t="shared" si="10"/>
        <v/>
      </c>
    </row>
    <row r="680" spans="11:11">
      <c r="K680" t="str">
        <f t="shared" si="10"/>
        <v/>
      </c>
    </row>
    <row r="681" spans="11:11">
      <c r="K681" t="str">
        <f t="shared" si="10"/>
        <v/>
      </c>
    </row>
    <row r="682" spans="11:11">
      <c r="K682" t="str">
        <f t="shared" si="10"/>
        <v/>
      </c>
    </row>
    <row r="683" spans="11:11">
      <c r="K683" t="str">
        <f t="shared" si="10"/>
        <v/>
      </c>
    </row>
    <row r="684" spans="11:11">
      <c r="K684" t="str">
        <f t="shared" si="10"/>
        <v/>
      </c>
    </row>
    <row r="685" spans="11:11">
      <c r="K685" t="str">
        <f t="shared" si="10"/>
        <v/>
      </c>
    </row>
    <row r="686" spans="11:11">
      <c r="K686" t="str">
        <f t="shared" si="10"/>
        <v/>
      </c>
    </row>
    <row r="687" spans="11:11">
      <c r="K687" t="str">
        <f t="shared" si="10"/>
        <v/>
      </c>
    </row>
    <row r="688" spans="11:11">
      <c r="K688" t="str">
        <f t="shared" si="10"/>
        <v/>
      </c>
    </row>
    <row r="689" spans="11:11">
      <c r="K689" t="str">
        <f t="shared" si="10"/>
        <v/>
      </c>
    </row>
    <row r="690" spans="11:11">
      <c r="K690" t="str">
        <f t="shared" si="10"/>
        <v/>
      </c>
    </row>
    <row r="691" spans="11:11">
      <c r="K691" t="str">
        <f t="shared" si="10"/>
        <v/>
      </c>
    </row>
    <row r="692" spans="11:11">
      <c r="K692" t="str">
        <f t="shared" si="10"/>
        <v/>
      </c>
    </row>
    <row r="693" spans="11:11">
      <c r="K693" t="str">
        <f t="shared" si="10"/>
        <v/>
      </c>
    </row>
    <row r="694" spans="11:11">
      <c r="K694" t="str">
        <f t="shared" si="10"/>
        <v/>
      </c>
    </row>
    <row r="695" spans="11:11">
      <c r="K695" t="str">
        <f t="shared" si="10"/>
        <v/>
      </c>
    </row>
    <row r="696" spans="11:11">
      <c r="K696" t="str">
        <f t="shared" si="10"/>
        <v/>
      </c>
    </row>
    <row r="697" spans="11:11">
      <c r="K697" t="str">
        <f t="shared" si="10"/>
        <v/>
      </c>
    </row>
    <row r="698" spans="11:11">
      <c r="K698" t="str">
        <f t="shared" si="10"/>
        <v/>
      </c>
    </row>
    <row r="699" spans="11:11">
      <c r="K699" t="str">
        <f t="shared" si="10"/>
        <v/>
      </c>
    </row>
    <row r="700" spans="11:11">
      <c r="K700" t="str">
        <f t="shared" si="10"/>
        <v/>
      </c>
    </row>
    <row r="701" spans="11:11">
      <c r="K701" t="str">
        <f t="shared" si="10"/>
        <v/>
      </c>
    </row>
    <row r="702" spans="11:11">
      <c r="K702" t="str">
        <f t="shared" si="10"/>
        <v/>
      </c>
    </row>
    <row r="703" spans="11:11">
      <c r="K703" t="str">
        <f t="shared" si="10"/>
        <v/>
      </c>
    </row>
    <row r="704" spans="11:11">
      <c r="K704" t="str">
        <f t="shared" si="10"/>
        <v/>
      </c>
    </row>
    <row r="705" spans="11:11">
      <c r="K705" t="str">
        <f t="shared" si="10"/>
        <v/>
      </c>
    </row>
    <row r="706" spans="11:11">
      <c r="K706" t="str">
        <f t="shared" si="10"/>
        <v/>
      </c>
    </row>
    <row r="707" spans="11:11">
      <c r="K707" t="str">
        <f t="shared" ref="K707:K770" si="11">LEFT(A707,10)</f>
        <v/>
      </c>
    </row>
    <row r="708" spans="11:11">
      <c r="K708" t="str">
        <f t="shared" si="11"/>
        <v/>
      </c>
    </row>
    <row r="709" spans="11:11">
      <c r="K709" t="str">
        <f t="shared" si="11"/>
        <v/>
      </c>
    </row>
    <row r="710" spans="11:11">
      <c r="K710" t="str">
        <f t="shared" si="11"/>
        <v/>
      </c>
    </row>
    <row r="711" spans="11:11">
      <c r="K711" t="str">
        <f t="shared" si="11"/>
        <v/>
      </c>
    </row>
    <row r="712" spans="11:11">
      <c r="K712" t="str">
        <f t="shared" si="11"/>
        <v/>
      </c>
    </row>
    <row r="713" spans="11:11">
      <c r="K713" t="str">
        <f t="shared" si="11"/>
        <v/>
      </c>
    </row>
    <row r="714" spans="11:11">
      <c r="K714" t="str">
        <f t="shared" si="11"/>
        <v/>
      </c>
    </row>
    <row r="715" spans="11:11">
      <c r="K715" t="str">
        <f t="shared" si="11"/>
        <v/>
      </c>
    </row>
    <row r="716" spans="11:11">
      <c r="K716" t="str">
        <f t="shared" si="11"/>
        <v/>
      </c>
    </row>
    <row r="717" spans="11:11">
      <c r="K717" t="str">
        <f t="shared" si="11"/>
        <v/>
      </c>
    </row>
    <row r="718" spans="11:11">
      <c r="K718" t="str">
        <f t="shared" si="11"/>
        <v/>
      </c>
    </row>
    <row r="719" spans="11:11">
      <c r="K719" t="str">
        <f t="shared" si="11"/>
        <v/>
      </c>
    </row>
    <row r="720" spans="11:11">
      <c r="K720" t="str">
        <f t="shared" si="11"/>
        <v/>
      </c>
    </row>
    <row r="721" spans="11:11">
      <c r="K721" t="str">
        <f t="shared" si="11"/>
        <v/>
      </c>
    </row>
    <row r="722" spans="11:11">
      <c r="K722" t="str">
        <f t="shared" si="11"/>
        <v/>
      </c>
    </row>
    <row r="723" spans="11:11">
      <c r="K723" t="str">
        <f t="shared" si="11"/>
        <v/>
      </c>
    </row>
    <row r="724" spans="11:11">
      <c r="K724" t="str">
        <f t="shared" si="11"/>
        <v/>
      </c>
    </row>
    <row r="725" spans="11:11">
      <c r="K725" t="str">
        <f t="shared" si="11"/>
        <v/>
      </c>
    </row>
    <row r="726" spans="11:11">
      <c r="K726" t="str">
        <f t="shared" si="11"/>
        <v/>
      </c>
    </row>
    <row r="727" spans="11:11">
      <c r="K727" t="str">
        <f t="shared" si="11"/>
        <v/>
      </c>
    </row>
    <row r="728" spans="11:11">
      <c r="K728" t="str">
        <f t="shared" si="11"/>
        <v/>
      </c>
    </row>
    <row r="729" spans="11:11">
      <c r="K729" t="str">
        <f t="shared" si="11"/>
        <v/>
      </c>
    </row>
    <row r="730" spans="11:11">
      <c r="K730" t="str">
        <f t="shared" si="11"/>
        <v/>
      </c>
    </row>
    <row r="731" spans="11:11">
      <c r="K731" t="str">
        <f t="shared" si="11"/>
        <v/>
      </c>
    </row>
    <row r="732" spans="11:11">
      <c r="K732" t="str">
        <f t="shared" si="11"/>
        <v/>
      </c>
    </row>
    <row r="733" spans="11:11">
      <c r="K733" t="str">
        <f t="shared" si="11"/>
        <v/>
      </c>
    </row>
    <row r="734" spans="11:11">
      <c r="K734" t="str">
        <f t="shared" si="11"/>
        <v/>
      </c>
    </row>
    <row r="735" spans="11:11">
      <c r="K735" t="str">
        <f t="shared" si="11"/>
        <v/>
      </c>
    </row>
    <row r="736" spans="11:11">
      <c r="K736" t="str">
        <f t="shared" si="11"/>
        <v/>
      </c>
    </row>
    <row r="737" spans="11:11">
      <c r="K737" t="str">
        <f t="shared" si="11"/>
        <v/>
      </c>
    </row>
    <row r="738" spans="11:11">
      <c r="K738" t="str">
        <f t="shared" si="11"/>
        <v/>
      </c>
    </row>
    <row r="739" spans="11:11">
      <c r="K739" t="str">
        <f t="shared" si="11"/>
        <v/>
      </c>
    </row>
    <row r="740" spans="11:11">
      <c r="K740" t="str">
        <f t="shared" si="11"/>
        <v/>
      </c>
    </row>
    <row r="741" spans="11:11">
      <c r="K741" t="str">
        <f t="shared" si="11"/>
        <v/>
      </c>
    </row>
    <row r="742" spans="11:11">
      <c r="K742" t="str">
        <f t="shared" si="11"/>
        <v/>
      </c>
    </row>
    <row r="743" spans="11:11">
      <c r="K743" t="str">
        <f t="shared" si="11"/>
        <v/>
      </c>
    </row>
    <row r="744" spans="11:11">
      <c r="K744" t="str">
        <f t="shared" si="11"/>
        <v/>
      </c>
    </row>
    <row r="745" spans="11:11">
      <c r="K745" t="str">
        <f t="shared" si="11"/>
        <v/>
      </c>
    </row>
    <row r="746" spans="11:11">
      <c r="K746" t="str">
        <f t="shared" si="11"/>
        <v/>
      </c>
    </row>
    <row r="747" spans="11:11">
      <c r="K747" t="str">
        <f t="shared" si="11"/>
        <v/>
      </c>
    </row>
    <row r="748" spans="11:11">
      <c r="K748" t="str">
        <f t="shared" si="11"/>
        <v/>
      </c>
    </row>
    <row r="749" spans="11:11">
      <c r="K749" t="str">
        <f t="shared" si="11"/>
        <v/>
      </c>
    </row>
    <row r="750" spans="11:11">
      <c r="K750" t="str">
        <f t="shared" si="11"/>
        <v/>
      </c>
    </row>
    <row r="751" spans="11:11">
      <c r="K751" t="str">
        <f t="shared" si="11"/>
        <v/>
      </c>
    </row>
    <row r="752" spans="11:11">
      <c r="K752" t="str">
        <f t="shared" si="11"/>
        <v/>
      </c>
    </row>
    <row r="753" spans="11:11">
      <c r="K753" t="str">
        <f t="shared" si="11"/>
        <v/>
      </c>
    </row>
    <row r="754" spans="11:11">
      <c r="K754" t="str">
        <f t="shared" si="11"/>
        <v/>
      </c>
    </row>
    <row r="755" spans="11:11">
      <c r="K755" t="str">
        <f t="shared" si="11"/>
        <v/>
      </c>
    </row>
    <row r="756" spans="11:11">
      <c r="K756" t="str">
        <f t="shared" si="11"/>
        <v/>
      </c>
    </row>
    <row r="757" spans="11:11">
      <c r="K757" t="str">
        <f t="shared" si="11"/>
        <v/>
      </c>
    </row>
    <row r="758" spans="11:11">
      <c r="K758" t="str">
        <f t="shared" si="11"/>
        <v/>
      </c>
    </row>
    <row r="759" spans="11:11">
      <c r="K759" t="str">
        <f t="shared" si="11"/>
        <v/>
      </c>
    </row>
    <row r="760" spans="11:11">
      <c r="K760" t="str">
        <f t="shared" si="11"/>
        <v/>
      </c>
    </row>
    <row r="761" spans="11:11">
      <c r="K761" t="str">
        <f t="shared" si="11"/>
        <v/>
      </c>
    </row>
    <row r="762" spans="11:11">
      <c r="K762" t="str">
        <f t="shared" si="11"/>
        <v/>
      </c>
    </row>
    <row r="763" spans="11:11">
      <c r="K763" t="str">
        <f t="shared" si="11"/>
        <v/>
      </c>
    </row>
    <row r="764" spans="11:11">
      <c r="K764" t="str">
        <f t="shared" si="11"/>
        <v/>
      </c>
    </row>
    <row r="765" spans="11:11">
      <c r="K765" t="str">
        <f t="shared" si="11"/>
        <v/>
      </c>
    </row>
    <row r="766" spans="11:11">
      <c r="K766" t="str">
        <f t="shared" si="11"/>
        <v/>
      </c>
    </row>
    <row r="767" spans="11:11">
      <c r="K767" t="str">
        <f t="shared" si="11"/>
        <v/>
      </c>
    </row>
    <row r="768" spans="11:11">
      <c r="K768" t="str">
        <f t="shared" si="11"/>
        <v/>
      </c>
    </row>
    <row r="769" spans="11:11">
      <c r="K769" t="str">
        <f t="shared" si="11"/>
        <v/>
      </c>
    </row>
    <row r="770" spans="11:11">
      <c r="K770" t="str">
        <f t="shared" si="11"/>
        <v/>
      </c>
    </row>
    <row r="771" spans="11:11">
      <c r="K771" t="str">
        <f t="shared" ref="K771:K834" si="12">LEFT(A771,10)</f>
        <v/>
      </c>
    </row>
    <row r="772" spans="11:11">
      <c r="K772" t="str">
        <f t="shared" si="12"/>
        <v/>
      </c>
    </row>
    <row r="773" spans="11:11">
      <c r="K773" t="str">
        <f t="shared" si="12"/>
        <v/>
      </c>
    </row>
    <row r="774" spans="11:11">
      <c r="K774" t="str">
        <f t="shared" si="12"/>
        <v/>
      </c>
    </row>
    <row r="775" spans="11:11">
      <c r="K775" t="str">
        <f t="shared" si="12"/>
        <v/>
      </c>
    </row>
    <row r="776" spans="11:11">
      <c r="K776" t="str">
        <f t="shared" si="12"/>
        <v/>
      </c>
    </row>
    <row r="777" spans="11:11">
      <c r="K777" t="str">
        <f t="shared" si="12"/>
        <v/>
      </c>
    </row>
    <row r="778" spans="11:11">
      <c r="K778" t="str">
        <f t="shared" si="12"/>
        <v/>
      </c>
    </row>
    <row r="779" spans="11:11">
      <c r="K779" t="str">
        <f t="shared" si="12"/>
        <v/>
      </c>
    </row>
    <row r="780" spans="11:11">
      <c r="K780" t="str">
        <f t="shared" si="12"/>
        <v/>
      </c>
    </row>
    <row r="781" spans="11:11">
      <c r="K781" t="str">
        <f t="shared" si="12"/>
        <v/>
      </c>
    </row>
    <row r="782" spans="11:11">
      <c r="K782" t="str">
        <f t="shared" si="12"/>
        <v/>
      </c>
    </row>
    <row r="783" spans="11:11">
      <c r="K783" t="str">
        <f t="shared" si="12"/>
        <v/>
      </c>
    </row>
    <row r="784" spans="11:11">
      <c r="K784" t="str">
        <f t="shared" si="12"/>
        <v/>
      </c>
    </row>
    <row r="785" spans="11:11">
      <c r="K785" t="str">
        <f t="shared" si="12"/>
        <v/>
      </c>
    </row>
    <row r="786" spans="11:11">
      <c r="K786" t="str">
        <f t="shared" si="12"/>
        <v/>
      </c>
    </row>
    <row r="787" spans="11:11">
      <c r="K787" t="str">
        <f t="shared" si="12"/>
        <v/>
      </c>
    </row>
    <row r="788" spans="11:11">
      <c r="K788" t="str">
        <f t="shared" si="12"/>
        <v/>
      </c>
    </row>
    <row r="789" spans="11:11">
      <c r="K789" t="str">
        <f t="shared" si="12"/>
        <v/>
      </c>
    </row>
    <row r="790" spans="11:11">
      <c r="K790" t="str">
        <f t="shared" si="12"/>
        <v/>
      </c>
    </row>
    <row r="791" spans="11:11">
      <c r="K791" t="str">
        <f t="shared" si="12"/>
        <v/>
      </c>
    </row>
    <row r="792" spans="11:11">
      <c r="K792" t="str">
        <f t="shared" si="12"/>
        <v/>
      </c>
    </row>
    <row r="793" spans="11:11">
      <c r="K793" t="str">
        <f t="shared" si="12"/>
        <v/>
      </c>
    </row>
    <row r="794" spans="11:11">
      <c r="K794" t="str">
        <f t="shared" si="12"/>
        <v/>
      </c>
    </row>
    <row r="795" spans="11:11">
      <c r="K795" t="str">
        <f t="shared" si="12"/>
        <v/>
      </c>
    </row>
    <row r="796" spans="11:11">
      <c r="K796" t="str">
        <f t="shared" si="12"/>
        <v/>
      </c>
    </row>
    <row r="797" spans="11:11">
      <c r="K797" t="str">
        <f t="shared" si="12"/>
        <v/>
      </c>
    </row>
    <row r="798" spans="11:11">
      <c r="K798" t="str">
        <f t="shared" si="12"/>
        <v/>
      </c>
    </row>
    <row r="799" spans="11:11">
      <c r="K799" t="str">
        <f t="shared" si="12"/>
        <v/>
      </c>
    </row>
    <row r="800" spans="11:11">
      <c r="K800" t="str">
        <f t="shared" si="12"/>
        <v/>
      </c>
    </row>
    <row r="801" spans="11:11">
      <c r="K801" t="str">
        <f t="shared" si="12"/>
        <v/>
      </c>
    </row>
    <row r="802" spans="11:11">
      <c r="K802" t="str">
        <f t="shared" si="12"/>
        <v/>
      </c>
    </row>
    <row r="803" spans="11:11">
      <c r="K803" t="str">
        <f t="shared" si="12"/>
        <v/>
      </c>
    </row>
    <row r="804" spans="11:11">
      <c r="K804" t="str">
        <f t="shared" si="12"/>
        <v/>
      </c>
    </row>
    <row r="805" spans="11:11">
      <c r="K805" t="str">
        <f t="shared" si="12"/>
        <v/>
      </c>
    </row>
    <row r="806" spans="11:11">
      <c r="K806" t="str">
        <f t="shared" si="12"/>
        <v/>
      </c>
    </row>
    <row r="807" spans="11:11">
      <c r="K807" t="str">
        <f t="shared" si="12"/>
        <v/>
      </c>
    </row>
    <row r="808" spans="11:11">
      <c r="K808" t="str">
        <f t="shared" si="12"/>
        <v/>
      </c>
    </row>
    <row r="809" spans="11:11">
      <c r="K809" t="str">
        <f t="shared" si="12"/>
        <v/>
      </c>
    </row>
    <row r="810" spans="11:11">
      <c r="K810" t="str">
        <f t="shared" si="12"/>
        <v/>
      </c>
    </row>
    <row r="811" spans="11:11">
      <c r="K811" t="str">
        <f t="shared" si="12"/>
        <v/>
      </c>
    </row>
    <row r="812" spans="11:11">
      <c r="K812" t="str">
        <f t="shared" si="12"/>
        <v/>
      </c>
    </row>
    <row r="813" spans="11:11">
      <c r="K813" t="str">
        <f t="shared" si="12"/>
        <v/>
      </c>
    </row>
    <row r="814" spans="11:11">
      <c r="K814" t="str">
        <f t="shared" si="12"/>
        <v/>
      </c>
    </row>
    <row r="815" spans="11:11">
      <c r="K815" t="str">
        <f t="shared" si="12"/>
        <v/>
      </c>
    </row>
    <row r="816" spans="11:11">
      <c r="K816" t="str">
        <f t="shared" si="12"/>
        <v/>
      </c>
    </row>
    <row r="817" spans="11:11">
      <c r="K817" t="str">
        <f t="shared" si="12"/>
        <v/>
      </c>
    </row>
    <row r="818" spans="11:11">
      <c r="K818" t="str">
        <f t="shared" si="12"/>
        <v/>
      </c>
    </row>
    <row r="819" spans="11:11">
      <c r="K819" t="str">
        <f t="shared" si="12"/>
        <v/>
      </c>
    </row>
    <row r="820" spans="11:11">
      <c r="K820" t="str">
        <f t="shared" si="12"/>
        <v/>
      </c>
    </row>
    <row r="821" spans="11:11">
      <c r="K821" t="str">
        <f t="shared" si="12"/>
        <v/>
      </c>
    </row>
    <row r="822" spans="11:11">
      <c r="K822" t="str">
        <f t="shared" si="12"/>
        <v/>
      </c>
    </row>
    <row r="823" spans="11:11">
      <c r="K823" t="str">
        <f t="shared" si="12"/>
        <v/>
      </c>
    </row>
    <row r="824" spans="11:11">
      <c r="K824" t="str">
        <f t="shared" si="12"/>
        <v/>
      </c>
    </row>
    <row r="825" spans="11:11">
      <c r="K825" t="str">
        <f t="shared" si="12"/>
        <v/>
      </c>
    </row>
    <row r="826" spans="11:11">
      <c r="K826" t="str">
        <f t="shared" si="12"/>
        <v/>
      </c>
    </row>
    <row r="827" spans="11:11">
      <c r="K827" t="str">
        <f t="shared" si="12"/>
        <v/>
      </c>
    </row>
    <row r="828" spans="11:11">
      <c r="K828" t="str">
        <f t="shared" si="12"/>
        <v/>
      </c>
    </row>
    <row r="829" spans="11:11">
      <c r="K829" t="str">
        <f t="shared" si="12"/>
        <v/>
      </c>
    </row>
    <row r="830" spans="11:11">
      <c r="K830" t="str">
        <f t="shared" si="12"/>
        <v/>
      </c>
    </row>
    <row r="831" spans="11:11">
      <c r="K831" t="str">
        <f t="shared" si="12"/>
        <v/>
      </c>
    </row>
    <row r="832" spans="11:11">
      <c r="K832" t="str">
        <f t="shared" si="12"/>
        <v/>
      </c>
    </row>
    <row r="833" spans="11:11">
      <c r="K833" t="str">
        <f t="shared" si="12"/>
        <v/>
      </c>
    </row>
    <row r="834" spans="11:11">
      <c r="K834" t="str">
        <f t="shared" si="12"/>
        <v/>
      </c>
    </row>
    <row r="835" spans="11:11">
      <c r="K835" t="str">
        <f t="shared" ref="K835:K898" si="13">LEFT(A835,10)</f>
        <v/>
      </c>
    </row>
    <row r="836" spans="11:11">
      <c r="K836" t="str">
        <f t="shared" si="13"/>
        <v/>
      </c>
    </row>
    <row r="837" spans="11:11">
      <c r="K837" t="str">
        <f t="shared" si="13"/>
        <v/>
      </c>
    </row>
    <row r="838" spans="11:11">
      <c r="K838" t="str">
        <f t="shared" si="13"/>
        <v/>
      </c>
    </row>
    <row r="839" spans="11:11">
      <c r="K839" t="str">
        <f t="shared" si="13"/>
        <v/>
      </c>
    </row>
    <row r="840" spans="11:11">
      <c r="K840" t="str">
        <f t="shared" si="13"/>
        <v/>
      </c>
    </row>
    <row r="841" spans="11:11">
      <c r="K841" t="str">
        <f t="shared" si="13"/>
        <v/>
      </c>
    </row>
    <row r="842" spans="11:11">
      <c r="K842" t="str">
        <f t="shared" si="13"/>
        <v/>
      </c>
    </row>
    <row r="843" spans="11:11">
      <c r="K843" t="str">
        <f t="shared" si="13"/>
        <v/>
      </c>
    </row>
    <row r="844" spans="11:11">
      <c r="K844" t="str">
        <f t="shared" si="13"/>
        <v/>
      </c>
    </row>
    <row r="845" spans="11:11">
      <c r="K845" t="str">
        <f t="shared" si="13"/>
        <v/>
      </c>
    </row>
    <row r="846" spans="11:11">
      <c r="K846" t="str">
        <f t="shared" si="13"/>
        <v/>
      </c>
    </row>
    <row r="847" spans="11:11">
      <c r="K847" t="str">
        <f t="shared" si="13"/>
        <v/>
      </c>
    </row>
    <row r="848" spans="11:11">
      <c r="K848" t="str">
        <f t="shared" si="13"/>
        <v/>
      </c>
    </row>
    <row r="849" spans="11:11">
      <c r="K849" t="str">
        <f t="shared" si="13"/>
        <v/>
      </c>
    </row>
    <row r="850" spans="11:11">
      <c r="K850" t="str">
        <f t="shared" si="13"/>
        <v/>
      </c>
    </row>
    <row r="851" spans="11:11">
      <c r="K851" t="str">
        <f t="shared" si="13"/>
        <v/>
      </c>
    </row>
    <row r="852" spans="11:11">
      <c r="K852" t="str">
        <f t="shared" si="13"/>
        <v/>
      </c>
    </row>
    <row r="853" spans="11:11">
      <c r="K853" t="str">
        <f t="shared" si="13"/>
        <v/>
      </c>
    </row>
    <row r="854" spans="11:11">
      <c r="K854" t="str">
        <f t="shared" si="13"/>
        <v/>
      </c>
    </row>
    <row r="855" spans="11:11">
      <c r="K855" t="str">
        <f t="shared" si="13"/>
        <v/>
      </c>
    </row>
    <row r="856" spans="11:11">
      <c r="K856" t="str">
        <f t="shared" si="13"/>
        <v/>
      </c>
    </row>
    <row r="857" spans="11:11">
      <c r="K857" t="str">
        <f t="shared" si="13"/>
        <v/>
      </c>
    </row>
    <row r="858" spans="11:11">
      <c r="K858" t="str">
        <f t="shared" si="13"/>
        <v/>
      </c>
    </row>
    <row r="859" spans="11:11">
      <c r="K859" t="str">
        <f t="shared" si="13"/>
        <v/>
      </c>
    </row>
    <row r="860" spans="11:11">
      <c r="K860" t="str">
        <f t="shared" si="13"/>
        <v/>
      </c>
    </row>
    <row r="861" spans="11:11">
      <c r="K861" t="str">
        <f t="shared" si="13"/>
        <v/>
      </c>
    </row>
    <row r="862" spans="11:11">
      <c r="K862" t="str">
        <f t="shared" si="13"/>
        <v/>
      </c>
    </row>
    <row r="863" spans="11:11">
      <c r="K863" t="str">
        <f t="shared" si="13"/>
        <v/>
      </c>
    </row>
    <row r="864" spans="11:11">
      <c r="K864" t="str">
        <f t="shared" si="13"/>
        <v/>
      </c>
    </row>
    <row r="865" spans="11:11">
      <c r="K865" t="str">
        <f t="shared" si="13"/>
        <v/>
      </c>
    </row>
    <row r="866" spans="11:11">
      <c r="K866" t="str">
        <f t="shared" si="13"/>
        <v/>
      </c>
    </row>
    <row r="867" spans="11:11">
      <c r="K867" t="str">
        <f t="shared" si="13"/>
        <v/>
      </c>
    </row>
    <row r="868" spans="11:11">
      <c r="K868" t="str">
        <f t="shared" si="13"/>
        <v/>
      </c>
    </row>
    <row r="869" spans="11:11">
      <c r="K869" t="str">
        <f t="shared" si="13"/>
        <v/>
      </c>
    </row>
    <row r="870" spans="11:11">
      <c r="K870" t="str">
        <f t="shared" si="13"/>
        <v/>
      </c>
    </row>
    <row r="871" spans="11:11">
      <c r="K871" t="str">
        <f t="shared" si="13"/>
        <v/>
      </c>
    </row>
    <row r="872" spans="11:11">
      <c r="K872" t="str">
        <f t="shared" si="13"/>
        <v/>
      </c>
    </row>
    <row r="873" spans="11:11">
      <c r="K873" t="str">
        <f t="shared" si="13"/>
        <v/>
      </c>
    </row>
    <row r="874" spans="11:11">
      <c r="K874" t="str">
        <f t="shared" si="13"/>
        <v/>
      </c>
    </row>
    <row r="875" spans="11:11">
      <c r="K875" t="str">
        <f t="shared" si="13"/>
        <v/>
      </c>
    </row>
    <row r="876" spans="11:11">
      <c r="K876" t="str">
        <f t="shared" si="13"/>
        <v/>
      </c>
    </row>
    <row r="877" spans="11:11">
      <c r="K877" t="str">
        <f t="shared" si="13"/>
        <v/>
      </c>
    </row>
    <row r="878" spans="11:11">
      <c r="K878" t="str">
        <f t="shared" si="13"/>
        <v/>
      </c>
    </row>
    <row r="879" spans="11:11">
      <c r="K879" t="str">
        <f t="shared" si="13"/>
        <v/>
      </c>
    </row>
    <row r="880" spans="11:11">
      <c r="K880" t="str">
        <f t="shared" si="13"/>
        <v/>
      </c>
    </row>
    <row r="881" spans="11:11">
      <c r="K881" t="str">
        <f t="shared" si="13"/>
        <v/>
      </c>
    </row>
    <row r="882" spans="11:11">
      <c r="K882" t="str">
        <f t="shared" si="13"/>
        <v/>
      </c>
    </row>
    <row r="883" spans="11:11">
      <c r="K883" t="str">
        <f t="shared" si="13"/>
        <v/>
      </c>
    </row>
    <row r="884" spans="11:11">
      <c r="K884" t="str">
        <f t="shared" si="13"/>
        <v/>
      </c>
    </row>
    <row r="885" spans="11:11">
      <c r="K885" t="str">
        <f t="shared" si="13"/>
        <v/>
      </c>
    </row>
    <row r="886" spans="11:11">
      <c r="K886" t="str">
        <f t="shared" si="13"/>
        <v/>
      </c>
    </row>
    <row r="887" spans="11:11">
      <c r="K887" t="str">
        <f t="shared" si="13"/>
        <v/>
      </c>
    </row>
    <row r="888" spans="11:11">
      <c r="K888" t="str">
        <f t="shared" si="13"/>
        <v/>
      </c>
    </row>
    <row r="889" spans="11:11">
      <c r="K889" t="str">
        <f t="shared" si="13"/>
        <v/>
      </c>
    </row>
    <row r="890" spans="11:11">
      <c r="K890" t="str">
        <f t="shared" si="13"/>
        <v/>
      </c>
    </row>
    <row r="891" spans="11:11">
      <c r="K891" t="str">
        <f t="shared" si="13"/>
        <v/>
      </c>
    </row>
    <row r="892" spans="11:11">
      <c r="K892" t="str">
        <f t="shared" si="13"/>
        <v/>
      </c>
    </row>
    <row r="893" spans="11:11">
      <c r="K893" t="str">
        <f t="shared" si="13"/>
        <v/>
      </c>
    </row>
    <row r="894" spans="11:11">
      <c r="K894" t="str">
        <f t="shared" si="13"/>
        <v/>
      </c>
    </row>
    <row r="895" spans="11:11">
      <c r="K895" t="str">
        <f t="shared" si="13"/>
        <v/>
      </c>
    </row>
    <row r="896" spans="11:11">
      <c r="K896" t="str">
        <f t="shared" si="13"/>
        <v/>
      </c>
    </row>
    <row r="897" spans="11:11">
      <c r="K897" t="str">
        <f t="shared" si="13"/>
        <v/>
      </c>
    </row>
    <row r="898" spans="11:11">
      <c r="K898" t="str">
        <f t="shared" si="13"/>
        <v/>
      </c>
    </row>
    <row r="899" spans="11:11">
      <c r="K899" t="str">
        <f t="shared" ref="K899:K962" si="14">LEFT(A899,10)</f>
        <v/>
      </c>
    </row>
    <row r="900" spans="11:11">
      <c r="K900" t="str">
        <f t="shared" si="14"/>
        <v/>
      </c>
    </row>
    <row r="901" spans="11:11">
      <c r="K901" t="str">
        <f t="shared" si="14"/>
        <v/>
      </c>
    </row>
    <row r="902" spans="11:11">
      <c r="K902" t="str">
        <f t="shared" si="14"/>
        <v/>
      </c>
    </row>
    <row r="903" spans="11:11">
      <c r="K903" t="str">
        <f t="shared" si="14"/>
        <v/>
      </c>
    </row>
    <row r="904" spans="11:11">
      <c r="K904" t="str">
        <f t="shared" si="14"/>
        <v/>
      </c>
    </row>
    <row r="905" spans="11:11">
      <c r="K905" t="str">
        <f t="shared" si="14"/>
        <v/>
      </c>
    </row>
    <row r="906" spans="11:11">
      <c r="K906" t="str">
        <f t="shared" si="14"/>
        <v/>
      </c>
    </row>
    <row r="907" spans="11:11">
      <c r="K907" t="str">
        <f t="shared" si="14"/>
        <v/>
      </c>
    </row>
    <row r="908" spans="11:11">
      <c r="K908" t="str">
        <f t="shared" si="14"/>
        <v/>
      </c>
    </row>
    <row r="909" spans="11:11">
      <c r="K909" t="str">
        <f t="shared" si="14"/>
        <v/>
      </c>
    </row>
    <row r="910" spans="11:11">
      <c r="K910" t="str">
        <f t="shared" si="14"/>
        <v/>
      </c>
    </row>
    <row r="911" spans="11:11">
      <c r="K911" t="str">
        <f t="shared" si="14"/>
        <v/>
      </c>
    </row>
    <row r="912" spans="11:11">
      <c r="K912" t="str">
        <f t="shared" si="14"/>
        <v/>
      </c>
    </row>
    <row r="913" spans="11:11">
      <c r="K913" t="str">
        <f t="shared" si="14"/>
        <v/>
      </c>
    </row>
    <row r="914" spans="11:11">
      <c r="K914" t="str">
        <f t="shared" si="14"/>
        <v/>
      </c>
    </row>
    <row r="915" spans="11:11">
      <c r="K915" t="str">
        <f t="shared" si="14"/>
        <v/>
      </c>
    </row>
    <row r="916" spans="11:11">
      <c r="K916" t="str">
        <f t="shared" si="14"/>
        <v/>
      </c>
    </row>
    <row r="917" spans="11:11">
      <c r="K917" t="str">
        <f t="shared" si="14"/>
        <v/>
      </c>
    </row>
    <row r="918" spans="11:11">
      <c r="K918" t="str">
        <f t="shared" si="14"/>
        <v/>
      </c>
    </row>
    <row r="919" spans="11:11">
      <c r="K919" t="str">
        <f t="shared" si="14"/>
        <v/>
      </c>
    </row>
    <row r="920" spans="11:11">
      <c r="K920" t="str">
        <f t="shared" si="14"/>
        <v/>
      </c>
    </row>
    <row r="921" spans="11:11">
      <c r="K921" t="str">
        <f t="shared" si="14"/>
        <v/>
      </c>
    </row>
    <row r="922" spans="11:11">
      <c r="K922" t="str">
        <f t="shared" si="14"/>
        <v/>
      </c>
    </row>
    <row r="923" spans="11:11">
      <c r="K923" t="str">
        <f t="shared" si="14"/>
        <v/>
      </c>
    </row>
    <row r="924" spans="11:11">
      <c r="K924" t="str">
        <f t="shared" si="14"/>
        <v/>
      </c>
    </row>
    <row r="925" spans="11:11">
      <c r="K925" t="str">
        <f t="shared" si="14"/>
        <v/>
      </c>
    </row>
    <row r="926" spans="11:11">
      <c r="K926" t="str">
        <f t="shared" si="14"/>
        <v/>
      </c>
    </row>
    <row r="927" spans="11:11">
      <c r="K927" t="str">
        <f t="shared" si="14"/>
        <v/>
      </c>
    </row>
    <row r="928" spans="11:11">
      <c r="K928" t="str">
        <f t="shared" si="14"/>
        <v/>
      </c>
    </row>
    <row r="929" spans="11:11">
      <c r="K929" t="str">
        <f t="shared" si="14"/>
        <v/>
      </c>
    </row>
    <row r="930" spans="11:11">
      <c r="K930" t="str">
        <f t="shared" si="14"/>
        <v/>
      </c>
    </row>
    <row r="931" spans="11:11">
      <c r="K931" t="str">
        <f t="shared" si="14"/>
        <v/>
      </c>
    </row>
    <row r="932" spans="11:11">
      <c r="K932" t="str">
        <f t="shared" si="14"/>
        <v/>
      </c>
    </row>
    <row r="933" spans="11:11">
      <c r="K933" t="str">
        <f t="shared" si="14"/>
        <v/>
      </c>
    </row>
    <row r="934" spans="11:11">
      <c r="K934" t="str">
        <f t="shared" si="14"/>
        <v/>
      </c>
    </row>
    <row r="935" spans="11:11">
      <c r="K935" t="str">
        <f t="shared" si="14"/>
        <v/>
      </c>
    </row>
    <row r="936" spans="11:11">
      <c r="K936" t="str">
        <f t="shared" si="14"/>
        <v/>
      </c>
    </row>
    <row r="937" spans="11:11">
      <c r="K937" t="str">
        <f t="shared" si="14"/>
        <v/>
      </c>
    </row>
    <row r="938" spans="11:11">
      <c r="K938" t="str">
        <f t="shared" si="14"/>
        <v/>
      </c>
    </row>
    <row r="939" spans="11:11">
      <c r="K939" t="str">
        <f t="shared" si="14"/>
        <v/>
      </c>
    </row>
    <row r="940" spans="11:11">
      <c r="K940" t="str">
        <f t="shared" si="14"/>
        <v/>
      </c>
    </row>
    <row r="941" spans="11:11">
      <c r="K941" t="str">
        <f t="shared" si="14"/>
        <v/>
      </c>
    </row>
    <row r="942" spans="11:11">
      <c r="K942" t="str">
        <f t="shared" si="14"/>
        <v/>
      </c>
    </row>
    <row r="943" spans="11:11">
      <c r="K943" t="str">
        <f t="shared" si="14"/>
        <v/>
      </c>
    </row>
    <row r="944" spans="11:11">
      <c r="K944" t="str">
        <f t="shared" si="14"/>
        <v/>
      </c>
    </row>
    <row r="945" spans="11:11">
      <c r="K945" t="str">
        <f t="shared" si="14"/>
        <v/>
      </c>
    </row>
    <row r="946" spans="11:11">
      <c r="K946" t="str">
        <f t="shared" si="14"/>
        <v/>
      </c>
    </row>
    <row r="947" spans="11:11">
      <c r="K947" t="str">
        <f t="shared" si="14"/>
        <v/>
      </c>
    </row>
    <row r="948" spans="11:11">
      <c r="K948" t="str">
        <f t="shared" si="14"/>
        <v/>
      </c>
    </row>
    <row r="949" spans="11:11">
      <c r="K949" t="str">
        <f t="shared" si="14"/>
        <v/>
      </c>
    </row>
    <row r="950" spans="11:11">
      <c r="K950" t="str">
        <f t="shared" si="14"/>
        <v/>
      </c>
    </row>
    <row r="951" spans="11:11">
      <c r="K951" t="str">
        <f t="shared" si="14"/>
        <v/>
      </c>
    </row>
    <row r="952" spans="11:11">
      <c r="K952" t="str">
        <f t="shared" si="14"/>
        <v/>
      </c>
    </row>
    <row r="953" spans="11:11">
      <c r="K953" t="str">
        <f t="shared" si="14"/>
        <v/>
      </c>
    </row>
    <row r="954" spans="11:11">
      <c r="K954" t="str">
        <f t="shared" si="14"/>
        <v/>
      </c>
    </row>
    <row r="955" spans="11:11">
      <c r="K955" t="str">
        <f t="shared" si="14"/>
        <v/>
      </c>
    </row>
    <row r="956" spans="11:11">
      <c r="K956" t="str">
        <f t="shared" si="14"/>
        <v/>
      </c>
    </row>
    <row r="957" spans="11:11">
      <c r="K957" t="str">
        <f t="shared" si="14"/>
        <v/>
      </c>
    </row>
    <row r="958" spans="11:11">
      <c r="K958" t="str">
        <f t="shared" si="14"/>
        <v/>
      </c>
    </row>
    <row r="959" spans="11:11">
      <c r="K959" t="str">
        <f t="shared" si="14"/>
        <v/>
      </c>
    </row>
    <row r="960" spans="11:11">
      <c r="K960" t="str">
        <f t="shared" si="14"/>
        <v/>
      </c>
    </row>
    <row r="961" spans="11:11">
      <c r="K961" t="str">
        <f t="shared" si="14"/>
        <v/>
      </c>
    </row>
    <row r="962" spans="11:11">
      <c r="K962" t="str">
        <f t="shared" si="14"/>
        <v/>
      </c>
    </row>
    <row r="963" spans="11:11">
      <c r="K963" t="str">
        <f t="shared" ref="K963:K1024" si="15">LEFT(A963,10)</f>
        <v/>
      </c>
    </row>
    <row r="964" spans="11:11">
      <c r="K964" t="str">
        <f t="shared" si="15"/>
        <v/>
      </c>
    </row>
    <row r="965" spans="11:11">
      <c r="K965" t="str">
        <f t="shared" si="15"/>
        <v/>
      </c>
    </row>
    <row r="966" spans="11:11">
      <c r="K966" t="str">
        <f t="shared" si="15"/>
        <v/>
      </c>
    </row>
    <row r="967" spans="11:11">
      <c r="K967" t="str">
        <f t="shared" si="15"/>
        <v/>
      </c>
    </row>
    <row r="968" spans="11:11">
      <c r="K968" t="str">
        <f t="shared" si="15"/>
        <v/>
      </c>
    </row>
    <row r="969" spans="11:11">
      <c r="K969" t="str">
        <f t="shared" si="15"/>
        <v/>
      </c>
    </row>
    <row r="970" spans="11:11">
      <c r="K970" t="str">
        <f t="shared" si="15"/>
        <v/>
      </c>
    </row>
    <row r="971" spans="11:11">
      <c r="K971" t="str">
        <f t="shared" si="15"/>
        <v/>
      </c>
    </row>
    <row r="972" spans="11:11">
      <c r="K972" t="str">
        <f t="shared" si="15"/>
        <v/>
      </c>
    </row>
    <row r="973" spans="11:11">
      <c r="K973" t="str">
        <f t="shared" si="15"/>
        <v/>
      </c>
    </row>
    <row r="974" spans="11:11">
      <c r="K974" t="str">
        <f t="shared" si="15"/>
        <v/>
      </c>
    </row>
    <row r="975" spans="11:11">
      <c r="K975" t="str">
        <f t="shared" si="15"/>
        <v/>
      </c>
    </row>
    <row r="976" spans="11:11">
      <c r="K976" t="str">
        <f t="shared" si="15"/>
        <v/>
      </c>
    </row>
    <row r="977" spans="11:11">
      <c r="K977" t="str">
        <f t="shared" si="15"/>
        <v/>
      </c>
    </row>
    <row r="978" spans="11:11">
      <c r="K978" t="str">
        <f t="shared" si="15"/>
        <v/>
      </c>
    </row>
    <row r="979" spans="11:11">
      <c r="K979" t="str">
        <f t="shared" si="15"/>
        <v/>
      </c>
    </row>
    <row r="980" spans="11:11">
      <c r="K980" t="str">
        <f t="shared" si="15"/>
        <v/>
      </c>
    </row>
    <row r="981" spans="11:11">
      <c r="K981" t="str">
        <f t="shared" si="15"/>
        <v/>
      </c>
    </row>
    <row r="982" spans="11:11">
      <c r="K982" t="str">
        <f t="shared" si="15"/>
        <v/>
      </c>
    </row>
    <row r="983" spans="11:11">
      <c r="K983" t="str">
        <f t="shared" si="15"/>
        <v/>
      </c>
    </row>
    <row r="984" spans="11:11">
      <c r="K984" t="str">
        <f t="shared" si="15"/>
        <v/>
      </c>
    </row>
    <row r="985" spans="11:11">
      <c r="K985" t="str">
        <f t="shared" si="15"/>
        <v/>
      </c>
    </row>
    <row r="986" spans="11:11">
      <c r="K986" t="str">
        <f t="shared" si="15"/>
        <v/>
      </c>
    </row>
    <row r="987" spans="11:11">
      <c r="K987" t="str">
        <f t="shared" si="15"/>
        <v/>
      </c>
    </row>
    <row r="988" spans="11:11">
      <c r="K988" t="str">
        <f t="shared" si="15"/>
        <v/>
      </c>
    </row>
    <row r="989" spans="11:11">
      <c r="K989" t="str">
        <f t="shared" si="15"/>
        <v/>
      </c>
    </row>
    <row r="990" spans="11:11">
      <c r="K990" t="str">
        <f t="shared" si="15"/>
        <v/>
      </c>
    </row>
    <row r="991" spans="11:11">
      <c r="K991" t="str">
        <f t="shared" si="15"/>
        <v/>
      </c>
    </row>
    <row r="992" spans="11:11">
      <c r="K992" t="str">
        <f t="shared" si="15"/>
        <v/>
      </c>
    </row>
    <row r="993" spans="11:11">
      <c r="K993" t="str">
        <f t="shared" si="15"/>
        <v/>
      </c>
    </row>
    <row r="994" spans="11:11">
      <c r="K994" t="str">
        <f t="shared" si="15"/>
        <v/>
      </c>
    </row>
    <row r="995" spans="11:11">
      <c r="K995" t="str">
        <f t="shared" si="15"/>
        <v/>
      </c>
    </row>
    <row r="996" spans="11:11">
      <c r="K996" t="str">
        <f t="shared" si="15"/>
        <v/>
      </c>
    </row>
    <row r="997" spans="11:11">
      <c r="K997" t="str">
        <f t="shared" si="15"/>
        <v/>
      </c>
    </row>
    <row r="998" spans="11:11">
      <c r="K998" t="str">
        <f t="shared" si="15"/>
        <v/>
      </c>
    </row>
    <row r="999" spans="11:11">
      <c r="K999" t="str">
        <f t="shared" si="15"/>
        <v/>
      </c>
    </row>
    <row r="1000" spans="11:11">
      <c r="K1000" t="str">
        <f t="shared" si="15"/>
        <v/>
      </c>
    </row>
    <row r="1001" spans="11:11">
      <c r="K1001" t="str">
        <f t="shared" si="15"/>
        <v/>
      </c>
    </row>
    <row r="1002" spans="11:11">
      <c r="K1002" t="str">
        <f t="shared" si="15"/>
        <v/>
      </c>
    </row>
    <row r="1003" spans="11:11">
      <c r="K1003" t="str">
        <f t="shared" si="15"/>
        <v/>
      </c>
    </row>
    <row r="1004" spans="11:11">
      <c r="K1004" t="str">
        <f t="shared" si="15"/>
        <v/>
      </c>
    </row>
    <row r="1005" spans="11:11">
      <c r="K1005" t="str">
        <f t="shared" si="15"/>
        <v/>
      </c>
    </row>
    <row r="1006" spans="11:11">
      <c r="K1006" t="str">
        <f t="shared" si="15"/>
        <v/>
      </c>
    </row>
    <row r="1007" spans="11:11">
      <c r="K1007" t="str">
        <f t="shared" si="15"/>
        <v/>
      </c>
    </row>
    <row r="1008" spans="11:11">
      <c r="K1008" t="str">
        <f t="shared" si="15"/>
        <v/>
      </c>
    </row>
    <row r="1009" spans="11:11">
      <c r="K1009" t="str">
        <f t="shared" si="15"/>
        <v/>
      </c>
    </row>
    <row r="1010" spans="11:11">
      <c r="K1010" t="str">
        <f t="shared" si="15"/>
        <v/>
      </c>
    </row>
    <row r="1011" spans="11:11">
      <c r="K1011" t="str">
        <f t="shared" si="15"/>
        <v/>
      </c>
    </row>
    <row r="1012" spans="11:11">
      <c r="K1012" t="str">
        <f t="shared" si="15"/>
        <v/>
      </c>
    </row>
    <row r="1013" spans="11:11">
      <c r="K1013" t="str">
        <f t="shared" si="15"/>
        <v/>
      </c>
    </row>
    <row r="1014" spans="11:11">
      <c r="K1014" t="str">
        <f t="shared" si="15"/>
        <v/>
      </c>
    </row>
    <row r="1015" spans="11:11">
      <c r="K1015" t="str">
        <f t="shared" si="15"/>
        <v/>
      </c>
    </row>
    <row r="1016" spans="11:11">
      <c r="K1016" t="str">
        <f t="shared" si="15"/>
        <v/>
      </c>
    </row>
    <row r="1017" spans="11:11">
      <c r="K1017" t="str">
        <f t="shared" si="15"/>
        <v/>
      </c>
    </row>
    <row r="1018" spans="11:11">
      <c r="K1018" t="str">
        <f t="shared" si="15"/>
        <v/>
      </c>
    </row>
    <row r="1019" spans="11:11">
      <c r="K1019" t="str">
        <f t="shared" si="15"/>
        <v/>
      </c>
    </row>
    <row r="1020" spans="11:11">
      <c r="K1020" t="str">
        <f t="shared" si="15"/>
        <v/>
      </c>
    </row>
    <row r="1021" spans="11:11">
      <c r="K1021" t="str">
        <f t="shared" si="15"/>
        <v/>
      </c>
    </row>
    <row r="1022" spans="11:11">
      <c r="K1022" t="str">
        <f t="shared" si="15"/>
        <v/>
      </c>
    </row>
    <row r="1023" spans="11:11">
      <c r="K1023" t="str">
        <f t="shared" si="15"/>
        <v/>
      </c>
    </row>
    <row r="1024" spans="11:11">
      <c r="K1024" t="str">
        <f t="shared" si="15"/>
        <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56578-6DA2-4434-9FC4-D223286DD86B}">
  <sheetPr>
    <tabColor theme="1"/>
  </sheetPr>
  <dimension ref="A1:F662"/>
  <sheetViews>
    <sheetView topLeftCell="B1" workbookViewId="0">
      <selection activeCell="C30" sqref="C30"/>
    </sheetView>
  </sheetViews>
  <sheetFormatPr defaultColWidth="9.42578125" defaultRowHeight="15"/>
  <cols>
    <col min="1" max="1" width="65.140625" bestFit="1" customWidth="1"/>
    <col min="2" max="2" width="11.140625" bestFit="1" customWidth="1"/>
    <col min="3" max="3" width="40.5703125" bestFit="1" customWidth="1"/>
    <col min="4" max="4" width="18.42578125" bestFit="1" customWidth="1"/>
    <col min="5" max="5" width="7.140625" bestFit="1" customWidth="1"/>
    <col min="6" max="6" width="20.140625" style="309" bestFit="1" customWidth="1"/>
  </cols>
  <sheetData>
    <row r="1" spans="1:6">
      <c r="A1" s="13" t="s">
        <v>1094</v>
      </c>
      <c r="B1" t="s" vm="1">
        <v>126</v>
      </c>
    </row>
    <row r="3" spans="1:6">
      <c r="A3" s="13" t="s">
        <v>1100</v>
      </c>
      <c r="F3" s="631" t="s">
        <v>1098</v>
      </c>
    </row>
    <row r="4" spans="1:6">
      <c r="A4" s="13" t="s">
        <v>4</v>
      </c>
      <c r="B4" s="13" t="s">
        <v>5</v>
      </c>
      <c r="C4" s="13" t="s">
        <v>6</v>
      </c>
      <c r="D4" s="13" t="s">
        <v>0</v>
      </c>
      <c r="E4" s="13" t="s">
        <v>2349</v>
      </c>
      <c r="F4" s="309" t="s">
        <v>1099</v>
      </c>
    </row>
    <row r="5" spans="1:6">
      <c r="A5" t="s">
        <v>2679</v>
      </c>
      <c r="B5" t="s">
        <v>251</v>
      </c>
      <c r="C5" t="s">
        <v>880</v>
      </c>
      <c r="D5" t="s">
        <v>879</v>
      </c>
      <c r="E5">
        <v>2024</v>
      </c>
      <c r="F5" s="309">
        <v>0.39117078999999999</v>
      </c>
    </row>
    <row r="6" spans="1:6">
      <c r="A6" t="s">
        <v>2679</v>
      </c>
      <c r="B6" t="s">
        <v>251</v>
      </c>
      <c r="C6" t="s">
        <v>880</v>
      </c>
      <c r="D6" t="s">
        <v>879</v>
      </c>
      <c r="E6">
        <v>2025</v>
      </c>
      <c r="F6" s="309">
        <v>0.38759296999999998</v>
      </c>
    </row>
    <row r="7" spans="1:6">
      <c r="A7" t="s">
        <v>2679</v>
      </c>
      <c r="B7" t="s">
        <v>251</v>
      </c>
      <c r="C7" t="s">
        <v>880</v>
      </c>
      <c r="D7" t="s">
        <v>879</v>
      </c>
      <c r="E7">
        <v>2026</v>
      </c>
      <c r="F7" s="309">
        <v>0.38521529999999998</v>
      </c>
    </row>
    <row r="8" spans="1:6">
      <c r="A8" t="s">
        <v>2679</v>
      </c>
      <c r="B8" t="s">
        <v>251</v>
      </c>
      <c r="C8" t="s">
        <v>880</v>
      </c>
      <c r="D8" t="s">
        <v>879</v>
      </c>
      <c r="E8">
        <v>2027</v>
      </c>
      <c r="F8" s="309">
        <v>0.38353773000000002</v>
      </c>
    </row>
    <row r="9" spans="1:6">
      <c r="A9" t="s">
        <v>2679</v>
      </c>
      <c r="B9" t="s">
        <v>251</v>
      </c>
      <c r="C9" t="s">
        <v>881</v>
      </c>
      <c r="D9" t="s">
        <v>693</v>
      </c>
      <c r="E9">
        <v>2024</v>
      </c>
      <c r="F9" s="309">
        <v>0.63224588000000004</v>
      </c>
    </row>
    <row r="10" spans="1:6">
      <c r="A10" t="s">
        <v>2679</v>
      </c>
      <c r="B10" t="s">
        <v>251</v>
      </c>
      <c r="C10" t="s">
        <v>881</v>
      </c>
      <c r="D10" t="s">
        <v>693</v>
      </c>
      <c r="E10">
        <v>2025</v>
      </c>
      <c r="F10" s="309">
        <v>0.66123686000000004</v>
      </c>
    </row>
    <row r="11" spans="1:6">
      <c r="A11" t="s">
        <v>2679</v>
      </c>
      <c r="B11" t="s">
        <v>251</v>
      </c>
      <c r="C11" t="s">
        <v>881</v>
      </c>
      <c r="D11" t="s">
        <v>693</v>
      </c>
      <c r="E11">
        <v>2026</v>
      </c>
      <c r="F11" s="309">
        <v>0.67188272000000004</v>
      </c>
    </row>
    <row r="12" spans="1:6">
      <c r="A12" t="s">
        <v>2679</v>
      </c>
      <c r="B12" t="s">
        <v>251</v>
      </c>
      <c r="C12" t="s">
        <v>881</v>
      </c>
      <c r="D12" t="s">
        <v>693</v>
      </c>
      <c r="E12">
        <v>2027</v>
      </c>
      <c r="F12" s="309">
        <v>0.67694482</v>
      </c>
    </row>
    <row r="13" spans="1:6">
      <c r="A13" t="s">
        <v>2679</v>
      </c>
      <c r="B13" t="s">
        <v>259</v>
      </c>
      <c r="C13" t="s">
        <v>884</v>
      </c>
      <c r="D13" t="s">
        <v>19</v>
      </c>
      <c r="E13">
        <v>2024</v>
      </c>
      <c r="F13" s="309">
        <v>1.1665493300000001</v>
      </c>
    </row>
    <row r="14" spans="1:6">
      <c r="A14" t="s">
        <v>2679</v>
      </c>
      <c r="B14" t="s">
        <v>259</v>
      </c>
      <c r="C14" t="s">
        <v>884</v>
      </c>
      <c r="D14" t="s">
        <v>19</v>
      </c>
      <c r="E14">
        <v>2025</v>
      </c>
      <c r="F14" s="309">
        <v>1.1665493300000001</v>
      </c>
    </row>
    <row r="15" spans="1:6">
      <c r="A15" t="s">
        <v>2679</v>
      </c>
      <c r="B15" t="s">
        <v>259</v>
      </c>
      <c r="C15" t="s">
        <v>884</v>
      </c>
      <c r="D15" t="s">
        <v>19</v>
      </c>
      <c r="E15">
        <v>2026</v>
      </c>
      <c r="F15" s="309">
        <v>1.1665493300000001</v>
      </c>
    </row>
    <row r="16" spans="1:6">
      <c r="A16" t="s">
        <v>2679</v>
      </c>
      <c r="B16" t="s">
        <v>259</v>
      </c>
      <c r="C16" t="s">
        <v>884</v>
      </c>
      <c r="D16" t="s">
        <v>19</v>
      </c>
      <c r="E16">
        <v>2027</v>
      </c>
      <c r="F16" s="309">
        <v>1.1665493300000001</v>
      </c>
    </row>
    <row r="17" spans="1:6">
      <c r="A17" t="s">
        <v>2679</v>
      </c>
      <c r="B17" t="s">
        <v>259</v>
      </c>
      <c r="C17" t="s">
        <v>886</v>
      </c>
      <c r="D17" t="s">
        <v>885</v>
      </c>
      <c r="E17">
        <v>2024</v>
      </c>
      <c r="F17" s="309">
        <v>0.71823782999999997</v>
      </c>
    </row>
    <row r="18" spans="1:6">
      <c r="A18" t="s">
        <v>2679</v>
      </c>
      <c r="B18" t="s">
        <v>259</v>
      </c>
      <c r="C18" t="s">
        <v>886</v>
      </c>
      <c r="D18" t="s">
        <v>885</v>
      </c>
      <c r="E18">
        <v>2025</v>
      </c>
      <c r="F18" s="309">
        <v>0.71823782999999997</v>
      </c>
    </row>
    <row r="19" spans="1:6">
      <c r="A19" t="s">
        <v>2679</v>
      </c>
      <c r="B19" t="s">
        <v>259</v>
      </c>
      <c r="C19" t="s">
        <v>886</v>
      </c>
      <c r="D19" t="s">
        <v>885</v>
      </c>
      <c r="E19">
        <v>2026</v>
      </c>
      <c r="F19" s="309">
        <v>0.71823782999999997</v>
      </c>
    </row>
    <row r="20" spans="1:6">
      <c r="A20" t="s">
        <v>2679</v>
      </c>
      <c r="B20" t="s">
        <v>259</v>
      </c>
      <c r="C20" t="s">
        <v>886</v>
      </c>
      <c r="D20" t="s">
        <v>885</v>
      </c>
      <c r="E20">
        <v>2027</v>
      </c>
      <c r="F20" s="309">
        <v>0.71823782999999997</v>
      </c>
    </row>
    <row r="21" spans="1:6">
      <c r="A21" t="s">
        <v>2679</v>
      </c>
      <c r="B21" t="s">
        <v>265</v>
      </c>
      <c r="C21" t="s">
        <v>962</v>
      </c>
      <c r="D21" t="s">
        <v>20</v>
      </c>
      <c r="E21">
        <v>2024</v>
      </c>
      <c r="F21" s="309">
        <v>0</v>
      </c>
    </row>
    <row r="22" spans="1:6">
      <c r="A22" t="s">
        <v>2679</v>
      </c>
      <c r="B22" t="s">
        <v>265</v>
      </c>
      <c r="C22" t="s">
        <v>962</v>
      </c>
      <c r="D22" t="s">
        <v>20</v>
      </c>
      <c r="E22">
        <v>2025</v>
      </c>
      <c r="F22" s="309">
        <v>0</v>
      </c>
    </row>
    <row r="23" spans="1:6">
      <c r="A23" t="s">
        <v>2679</v>
      </c>
      <c r="B23" t="s">
        <v>265</v>
      </c>
      <c r="C23" t="s">
        <v>962</v>
      </c>
      <c r="D23" t="s">
        <v>20</v>
      </c>
      <c r="E23">
        <v>2026</v>
      </c>
      <c r="F23" s="309">
        <v>0</v>
      </c>
    </row>
    <row r="24" spans="1:6">
      <c r="A24" t="s">
        <v>2679</v>
      </c>
      <c r="B24" t="s">
        <v>265</v>
      </c>
      <c r="C24" t="s">
        <v>962</v>
      </c>
      <c r="D24" t="s">
        <v>20</v>
      </c>
      <c r="E24">
        <v>2027</v>
      </c>
      <c r="F24" s="309">
        <v>0</v>
      </c>
    </row>
    <row r="25" spans="1:6">
      <c r="A25" t="s">
        <v>2679</v>
      </c>
      <c r="B25" t="s">
        <v>265</v>
      </c>
      <c r="C25" t="s">
        <v>2284</v>
      </c>
      <c r="D25" t="s">
        <v>890</v>
      </c>
      <c r="E25">
        <v>2024</v>
      </c>
      <c r="F25" s="309">
        <v>0.20064504999999999</v>
      </c>
    </row>
    <row r="26" spans="1:6">
      <c r="A26" t="s">
        <v>2679</v>
      </c>
      <c r="B26" t="s">
        <v>265</v>
      </c>
      <c r="C26" t="s">
        <v>2284</v>
      </c>
      <c r="D26" t="s">
        <v>890</v>
      </c>
      <c r="E26">
        <v>2025</v>
      </c>
      <c r="F26" s="309">
        <v>0.20573759</v>
      </c>
    </row>
    <row r="27" spans="1:6">
      <c r="A27" t="s">
        <v>2679</v>
      </c>
      <c r="B27" t="s">
        <v>265</v>
      </c>
      <c r="C27" t="s">
        <v>2284</v>
      </c>
      <c r="D27" t="s">
        <v>890</v>
      </c>
      <c r="E27">
        <v>2026</v>
      </c>
      <c r="F27" s="309">
        <v>0.20776766999999999</v>
      </c>
    </row>
    <row r="28" spans="1:6">
      <c r="A28" t="s">
        <v>2679</v>
      </c>
      <c r="B28" t="s">
        <v>265</v>
      </c>
      <c r="C28" t="s">
        <v>2284</v>
      </c>
      <c r="D28" t="s">
        <v>890</v>
      </c>
      <c r="E28">
        <v>2027</v>
      </c>
      <c r="F28" s="309">
        <v>0.20949441999999999</v>
      </c>
    </row>
    <row r="29" spans="1:6">
      <c r="A29" t="s">
        <v>2679</v>
      </c>
      <c r="B29" t="s">
        <v>265</v>
      </c>
      <c r="C29" t="s">
        <v>2287</v>
      </c>
      <c r="D29" t="s">
        <v>891</v>
      </c>
      <c r="E29">
        <v>2024</v>
      </c>
      <c r="F29" s="309">
        <v>0.73515525999999998</v>
      </c>
    </row>
    <row r="30" spans="1:6">
      <c r="A30" t="s">
        <v>2679</v>
      </c>
      <c r="B30" t="s">
        <v>265</v>
      </c>
      <c r="C30" t="s">
        <v>2287</v>
      </c>
      <c r="D30" t="s">
        <v>891</v>
      </c>
      <c r="E30">
        <v>2025</v>
      </c>
      <c r="F30" s="309">
        <v>0.74564668999999995</v>
      </c>
    </row>
    <row r="31" spans="1:6">
      <c r="A31" t="s">
        <v>2679</v>
      </c>
      <c r="B31" t="s">
        <v>265</v>
      </c>
      <c r="C31" t="s">
        <v>2287</v>
      </c>
      <c r="D31" t="s">
        <v>891</v>
      </c>
      <c r="E31">
        <v>2026</v>
      </c>
      <c r="F31" s="309">
        <v>0.75385371000000001</v>
      </c>
    </row>
    <row r="32" spans="1:6">
      <c r="A32" t="s">
        <v>2679</v>
      </c>
      <c r="B32" t="s">
        <v>265</v>
      </c>
      <c r="C32" t="s">
        <v>2287</v>
      </c>
      <c r="D32" t="s">
        <v>891</v>
      </c>
      <c r="E32">
        <v>2027</v>
      </c>
      <c r="F32" s="309">
        <v>0.75841899999999995</v>
      </c>
    </row>
    <row r="33" spans="1:6">
      <c r="A33" t="s">
        <v>2679</v>
      </c>
      <c r="B33" t="s">
        <v>282</v>
      </c>
      <c r="C33" t="s">
        <v>895</v>
      </c>
      <c r="D33" t="s">
        <v>703</v>
      </c>
      <c r="E33">
        <v>2024</v>
      </c>
      <c r="F33" s="309">
        <v>0.56383269000000003</v>
      </c>
    </row>
    <row r="34" spans="1:6">
      <c r="A34" t="s">
        <v>2679</v>
      </c>
      <c r="B34" t="s">
        <v>282</v>
      </c>
      <c r="C34" t="s">
        <v>895</v>
      </c>
      <c r="D34" t="s">
        <v>703</v>
      </c>
      <c r="E34">
        <v>2025</v>
      </c>
      <c r="F34" s="309">
        <v>0.58023716000000003</v>
      </c>
    </row>
    <row r="35" spans="1:6">
      <c r="A35" t="s">
        <v>2679</v>
      </c>
      <c r="B35" t="s">
        <v>282</v>
      </c>
      <c r="C35" t="s">
        <v>895</v>
      </c>
      <c r="D35" t="s">
        <v>703</v>
      </c>
      <c r="E35">
        <v>2026</v>
      </c>
      <c r="F35" s="309">
        <v>0.58730813999999998</v>
      </c>
    </row>
    <row r="36" spans="1:6">
      <c r="A36" t="s">
        <v>2679</v>
      </c>
      <c r="B36" t="s">
        <v>282</v>
      </c>
      <c r="C36" t="s">
        <v>895</v>
      </c>
      <c r="D36" t="s">
        <v>703</v>
      </c>
      <c r="E36">
        <v>2027</v>
      </c>
      <c r="F36" s="309">
        <v>0.59174855000000004</v>
      </c>
    </row>
    <row r="37" spans="1:6">
      <c r="A37" t="s">
        <v>2679</v>
      </c>
      <c r="B37" t="s">
        <v>282</v>
      </c>
      <c r="C37" t="s">
        <v>896</v>
      </c>
      <c r="D37" t="s">
        <v>704</v>
      </c>
      <c r="E37">
        <v>2024</v>
      </c>
      <c r="F37" s="309">
        <v>0</v>
      </c>
    </row>
    <row r="38" spans="1:6">
      <c r="A38" t="s">
        <v>2679</v>
      </c>
      <c r="B38" t="s">
        <v>282</v>
      </c>
      <c r="C38" t="s">
        <v>896</v>
      </c>
      <c r="D38" t="s">
        <v>704</v>
      </c>
      <c r="E38">
        <v>2025</v>
      </c>
      <c r="F38" s="309">
        <v>0</v>
      </c>
    </row>
    <row r="39" spans="1:6">
      <c r="A39" t="s">
        <v>2679</v>
      </c>
      <c r="B39" t="s">
        <v>282</v>
      </c>
      <c r="C39" t="s">
        <v>896</v>
      </c>
      <c r="D39" t="s">
        <v>704</v>
      </c>
      <c r="E39">
        <v>2026</v>
      </c>
      <c r="F39" s="309">
        <v>0.75120809</v>
      </c>
    </row>
    <row r="40" spans="1:6">
      <c r="A40" t="s">
        <v>2679</v>
      </c>
      <c r="B40" t="s">
        <v>282</v>
      </c>
      <c r="C40" t="s">
        <v>896</v>
      </c>
      <c r="D40" t="s">
        <v>704</v>
      </c>
      <c r="E40">
        <v>2027</v>
      </c>
      <c r="F40" s="309">
        <v>0.75688767000000001</v>
      </c>
    </row>
    <row r="41" spans="1:6">
      <c r="A41" t="s">
        <v>2677</v>
      </c>
      <c r="B41" t="s">
        <v>1254</v>
      </c>
      <c r="C41" t="s">
        <v>1276</v>
      </c>
      <c r="D41" t="s">
        <v>1624</v>
      </c>
      <c r="E41">
        <v>2025</v>
      </c>
      <c r="F41" s="309">
        <v>41.58485623</v>
      </c>
    </row>
    <row r="42" spans="1:6">
      <c r="A42" t="s">
        <v>2677</v>
      </c>
      <c r="B42" t="s">
        <v>1254</v>
      </c>
      <c r="C42" t="s">
        <v>1276</v>
      </c>
      <c r="D42" t="s">
        <v>1624</v>
      </c>
      <c r="E42">
        <v>2026</v>
      </c>
      <c r="F42" s="309">
        <v>40.582487409999999</v>
      </c>
    </row>
    <row r="43" spans="1:6">
      <c r="A43" t="s">
        <v>2677</v>
      </c>
      <c r="B43" t="s">
        <v>1254</v>
      </c>
      <c r="C43" t="s">
        <v>1276</v>
      </c>
      <c r="D43" t="s">
        <v>1624</v>
      </c>
      <c r="E43">
        <v>2027</v>
      </c>
      <c r="F43" s="309">
        <v>40.152869070000001</v>
      </c>
    </row>
    <row r="44" spans="1:6">
      <c r="A44" t="s">
        <v>2677</v>
      </c>
      <c r="B44" t="s">
        <v>1255</v>
      </c>
      <c r="C44" t="s">
        <v>1276</v>
      </c>
      <c r="D44" t="s">
        <v>1625</v>
      </c>
      <c r="E44">
        <v>2024</v>
      </c>
      <c r="F44" s="309">
        <v>32.630683519999998</v>
      </c>
    </row>
    <row r="45" spans="1:6">
      <c r="A45" t="s">
        <v>2677</v>
      </c>
      <c r="B45" t="s">
        <v>1255</v>
      </c>
      <c r="C45" t="s">
        <v>1276</v>
      </c>
      <c r="D45" t="s">
        <v>1625</v>
      </c>
      <c r="E45">
        <v>2025</v>
      </c>
      <c r="F45" s="309">
        <v>32.630683519999998</v>
      </c>
    </row>
    <row r="46" spans="1:6">
      <c r="A46" t="s">
        <v>2677</v>
      </c>
      <c r="B46" t="s">
        <v>1255</v>
      </c>
      <c r="C46" t="s">
        <v>1276</v>
      </c>
      <c r="D46" t="s">
        <v>1625</v>
      </c>
      <c r="E46">
        <v>2026</v>
      </c>
      <c r="F46" s="309">
        <v>32.630683519999998</v>
      </c>
    </row>
    <row r="47" spans="1:6">
      <c r="A47" t="s">
        <v>2677</v>
      </c>
      <c r="B47" t="s">
        <v>1255</v>
      </c>
      <c r="C47" t="s">
        <v>1276</v>
      </c>
      <c r="D47" t="s">
        <v>1625</v>
      </c>
      <c r="E47">
        <v>2027</v>
      </c>
      <c r="F47" s="309">
        <v>45.507602990000002</v>
      </c>
    </row>
    <row r="48" spans="1:6">
      <c r="A48" t="s">
        <v>139</v>
      </c>
      <c r="B48" t="s">
        <v>243</v>
      </c>
      <c r="C48" t="s">
        <v>145</v>
      </c>
      <c r="D48" t="s">
        <v>48</v>
      </c>
      <c r="E48">
        <v>2024</v>
      </c>
      <c r="F48" s="309">
        <v>2460.7151281500001</v>
      </c>
    </row>
    <row r="49" spans="1:6">
      <c r="A49" t="s">
        <v>139</v>
      </c>
      <c r="B49" t="s">
        <v>243</v>
      </c>
      <c r="C49" t="s">
        <v>145</v>
      </c>
      <c r="D49" t="s">
        <v>48</v>
      </c>
      <c r="E49">
        <v>2025</v>
      </c>
      <c r="F49" s="309">
        <v>2460.7151281500001</v>
      </c>
    </row>
    <row r="50" spans="1:6">
      <c r="A50" t="s">
        <v>139</v>
      </c>
      <c r="B50" t="s">
        <v>243</v>
      </c>
      <c r="C50" t="s">
        <v>145</v>
      </c>
      <c r="D50" t="s">
        <v>48</v>
      </c>
      <c r="E50">
        <v>2026</v>
      </c>
      <c r="F50" s="309">
        <v>2460.7151281500001</v>
      </c>
    </row>
    <row r="51" spans="1:6">
      <c r="A51" t="s">
        <v>139</v>
      </c>
      <c r="B51" t="s">
        <v>243</v>
      </c>
      <c r="C51" t="s">
        <v>145</v>
      </c>
      <c r="D51" t="s">
        <v>48</v>
      </c>
      <c r="E51">
        <v>2027</v>
      </c>
      <c r="F51" s="309">
        <v>2460.7151281500001</v>
      </c>
    </row>
    <row r="52" spans="1:6">
      <c r="A52" t="s">
        <v>139</v>
      </c>
      <c r="B52" t="s">
        <v>244</v>
      </c>
      <c r="C52" t="s">
        <v>145</v>
      </c>
      <c r="D52" t="s">
        <v>49</v>
      </c>
      <c r="E52">
        <v>2024</v>
      </c>
      <c r="F52" s="309">
        <v>2845.6913095099999</v>
      </c>
    </row>
    <row r="53" spans="1:6">
      <c r="A53" t="s">
        <v>139</v>
      </c>
      <c r="B53" t="s">
        <v>244</v>
      </c>
      <c r="C53" t="s">
        <v>145</v>
      </c>
      <c r="D53" t="s">
        <v>49</v>
      </c>
      <c r="E53">
        <v>2025</v>
      </c>
      <c r="F53" s="309">
        <v>2845.6913095099999</v>
      </c>
    </row>
    <row r="54" spans="1:6">
      <c r="A54" t="s">
        <v>139</v>
      </c>
      <c r="B54" t="s">
        <v>244</v>
      </c>
      <c r="C54" t="s">
        <v>145</v>
      </c>
      <c r="D54" t="s">
        <v>49</v>
      </c>
      <c r="E54">
        <v>2026</v>
      </c>
      <c r="F54" s="309">
        <v>2845.6913095099999</v>
      </c>
    </row>
    <row r="55" spans="1:6">
      <c r="A55" t="s">
        <v>139</v>
      </c>
      <c r="B55" t="s">
        <v>244</v>
      </c>
      <c r="C55" t="s">
        <v>145</v>
      </c>
      <c r="D55" t="s">
        <v>49</v>
      </c>
      <c r="E55">
        <v>2027</v>
      </c>
      <c r="F55" s="309">
        <v>2845.6913095099999</v>
      </c>
    </row>
    <row r="56" spans="1:6">
      <c r="A56" t="s">
        <v>139</v>
      </c>
      <c r="B56" t="s">
        <v>245</v>
      </c>
      <c r="C56" t="s">
        <v>145</v>
      </c>
      <c r="D56" t="s">
        <v>47</v>
      </c>
      <c r="E56">
        <v>2024</v>
      </c>
      <c r="F56" s="309">
        <v>1549.2091622</v>
      </c>
    </row>
    <row r="57" spans="1:6">
      <c r="A57" t="s">
        <v>139</v>
      </c>
      <c r="B57" t="s">
        <v>245</v>
      </c>
      <c r="C57" t="s">
        <v>145</v>
      </c>
      <c r="D57" t="s">
        <v>47</v>
      </c>
      <c r="E57">
        <v>2025</v>
      </c>
      <c r="F57" s="309">
        <v>1549.2091622</v>
      </c>
    </row>
    <row r="58" spans="1:6">
      <c r="A58" t="s">
        <v>139</v>
      </c>
      <c r="B58" t="s">
        <v>245</v>
      </c>
      <c r="C58" t="s">
        <v>145</v>
      </c>
      <c r="D58" t="s">
        <v>47</v>
      </c>
      <c r="E58">
        <v>2026</v>
      </c>
      <c r="F58" s="309">
        <v>1549.2091622</v>
      </c>
    </row>
    <row r="59" spans="1:6">
      <c r="A59" t="s">
        <v>139</v>
      </c>
      <c r="B59" t="s">
        <v>245</v>
      </c>
      <c r="C59" t="s">
        <v>145</v>
      </c>
      <c r="D59" t="s">
        <v>47</v>
      </c>
      <c r="E59">
        <v>2027</v>
      </c>
      <c r="F59" s="309">
        <v>1549.2091622</v>
      </c>
    </row>
    <row r="60" spans="1:6">
      <c r="A60" t="s">
        <v>410</v>
      </c>
      <c r="B60" t="s">
        <v>250</v>
      </c>
      <c r="C60" t="s">
        <v>298</v>
      </c>
      <c r="D60" t="s">
        <v>351</v>
      </c>
      <c r="E60">
        <v>2024</v>
      </c>
      <c r="F60" s="309">
        <v>0</v>
      </c>
    </row>
    <row r="61" spans="1:6">
      <c r="A61" t="s">
        <v>410</v>
      </c>
      <c r="B61" t="s">
        <v>250</v>
      </c>
      <c r="C61" t="s">
        <v>298</v>
      </c>
      <c r="D61" t="s">
        <v>351</v>
      </c>
      <c r="E61">
        <v>2025</v>
      </c>
      <c r="F61" s="309">
        <v>0</v>
      </c>
    </row>
    <row r="62" spans="1:6">
      <c r="A62" t="s">
        <v>410</v>
      </c>
      <c r="B62" t="s">
        <v>250</v>
      </c>
      <c r="C62" t="s">
        <v>298</v>
      </c>
      <c r="D62" t="s">
        <v>351</v>
      </c>
      <c r="E62">
        <v>2026</v>
      </c>
      <c r="F62" s="309">
        <v>0</v>
      </c>
    </row>
    <row r="63" spans="1:6">
      <c r="A63" t="s">
        <v>410</v>
      </c>
      <c r="B63" t="s">
        <v>250</v>
      </c>
      <c r="C63" t="s">
        <v>298</v>
      </c>
      <c r="D63" t="s">
        <v>351</v>
      </c>
      <c r="E63">
        <v>2027</v>
      </c>
      <c r="F63" s="309">
        <v>0</v>
      </c>
    </row>
    <row r="64" spans="1:6">
      <c r="A64" t="s">
        <v>410</v>
      </c>
      <c r="B64" t="s">
        <v>250</v>
      </c>
      <c r="C64" t="s">
        <v>299</v>
      </c>
      <c r="D64" t="s">
        <v>352</v>
      </c>
      <c r="E64">
        <v>2024</v>
      </c>
      <c r="F64" s="309">
        <v>0</v>
      </c>
    </row>
    <row r="65" spans="1:6">
      <c r="A65" t="s">
        <v>410</v>
      </c>
      <c r="B65" t="s">
        <v>250</v>
      </c>
      <c r="C65" t="s">
        <v>299</v>
      </c>
      <c r="D65" t="s">
        <v>352</v>
      </c>
      <c r="E65">
        <v>2025</v>
      </c>
      <c r="F65" s="309">
        <v>0</v>
      </c>
    </row>
    <row r="66" spans="1:6">
      <c r="A66" t="s">
        <v>410</v>
      </c>
      <c r="B66" t="s">
        <v>250</v>
      </c>
      <c r="C66" t="s">
        <v>299</v>
      </c>
      <c r="D66" t="s">
        <v>352</v>
      </c>
      <c r="E66">
        <v>2026</v>
      </c>
      <c r="F66" s="309">
        <v>0</v>
      </c>
    </row>
    <row r="67" spans="1:6">
      <c r="A67" t="s">
        <v>410</v>
      </c>
      <c r="B67" t="s">
        <v>250</v>
      </c>
      <c r="C67" t="s">
        <v>299</v>
      </c>
      <c r="D67" t="s">
        <v>352</v>
      </c>
      <c r="E67">
        <v>2027</v>
      </c>
      <c r="F67" s="309">
        <v>0</v>
      </c>
    </row>
    <row r="68" spans="1:6">
      <c r="A68" t="s">
        <v>410</v>
      </c>
      <c r="B68" t="s">
        <v>250</v>
      </c>
      <c r="C68" t="s">
        <v>300</v>
      </c>
      <c r="D68" t="s">
        <v>353</v>
      </c>
      <c r="E68">
        <v>2024</v>
      </c>
      <c r="F68" s="309">
        <v>0</v>
      </c>
    </row>
    <row r="69" spans="1:6">
      <c r="A69" t="s">
        <v>410</v>
      </c>
      <c r="B69" t="s">
        <v>250</v>
      </c>
      <c r="C69" t="s">
        <v>300</v>
      </c>
      <c r="D69" t="s">
        <v>353</v>
      </c>
      <c r="E69">
        <v>2025</v>
      </c>
      <c r="F69" s="309">
        <v>0</v>
      </c>
    </row>
    <row r="70" spans="1:6">
      <c r="A70" t="s">
        <v>410</v>
      </c>
      <c r="B70" t="s">
        <v>250</v>
      </c>
      <c r="C70" t="s">
        <v>300</v>
      </c>
      <c r="D70" t="s">
        <v>353</v>
      </c>
      <c r="E70">
        <v>2026</v>
      </c>
      <c r="F70" s="309">
        <v>0</v>
      </c>
    </row>
    <row r="71" spans="1:6">
      <c r="A71" t="s">
        <v>410</v>
      </c>
      <c r="B71" t="s">
        <v>250</v>
      </c>
      <c r="C71" t="s">
        <v>300</v>
      </c>
      <c r="D71" t="s">
        <v>353</v>
      </c>
      <c r="E71">
        <v>2027</v>
      </c>
      <c r="F71" s="309">
        <v>0</v>
      </c>
    </row>
    <row r="72" spans="1:6">
      <c r="A72" t="s">
        <v>410</v>
      </c>
      <c r="B72" t="s">
        <v>250</v>
      </c>
      <c r="C72" t="s">
        <v>301</v>
      </c>
      <c r="D72" t="s">
        <v>57</v>
      </c>
      <c r="E72">
        <v>2024</v>
      </c>
      <c r="F72" s="309">
        <v>0</v>
      </c>
    </row>
    <row r="73" spans="1:6">
      <c r="A73" t="s">
        <v>410</v>
      </c>
      <c r="B73" t="s">
        <v>250</v>
      </c>
      <c r="C73" t="s">
        <v>301</v>
      </c>
      <c r="D73" t="s">
        <v>57</v>
      </c>
      <c r="E73">
        <v>2025</v>
      </c>
      <c r="F73" s="309">
        <v>0</v>
      </c>
    </row>
    <row r="74" spans="1:6">
      <c r="A74" t="s">
        <v>410</v>
      </c>
      <c r="B74" t="s">
        <v>250</v>
      </c>
      <c r="C74" t="s">
        <v>301</v>
      </c>
      <c r="D74" t="s">
        <v>57</v>
      </c>
      <c r="E74">
        <v>2026</v>
      </c>
      <c r="F74" s="309">
        <v>0</v>
      </c>
    </row>
    <row r="75" spans="1:6">
      <c r="A75" t="s">
        <v>410</v>
      </c>
      <c r="B75" t="s">
        <v>250</v>
      </c>
      <c r="C75" t="s">
        <v>301</v>
      </c>
      <c r="D75" t="s">
        <v>57</v>
      </c>
      <c r="E75">
        <v>2027</v>
      </c>
      <c r="F75" s="309">
        <v>0</v>
      </c>
    </row>
    <row r="76" spans="1:6">
      <c r="A76" t="s">
        <v>410</v>
      </c>
      <c r="B76" t="s">
        <v>258</v>
      </c>
      <c r="C76" t="s">
        <v>308</v>
      </c>
      <c r="D76" t="s">
        <v>364</v>
      </c>
      <c r="E76">
        <v>2024</v>
      </c>
      <c r="F76" s="309">
        <v>0</v>
      </c>
    </row>
    <row r="77" spans="1:6">
      <c r="A77" t="s">
        <v>410</v>
      </c>
      <c r="B77" t="s">
        <v>258</v>
      </c>
      <c r="C77" t="s">
        <v>308</v>
      </c>
      <c r="D77" t="s">
        <v>364</v>
      </c>
      <c r="E77">
        <v>2025</v>
      </c>
      <c r="F77" s="309">
        <v>0</v>
      </c>
    </row>
    <row r="78" spans="1:6">
      <c r="A78" t="s">
        <v>410</v>
      </c>
      <c r="B78" t="s">
        <v>258</v>
      </c>
      <c r="C78" t="s">
        <v>308</v>
      </c>
      <c r="D78" t="s">
        <v>364</v>
      </c>
      <c r="E78">
        <v>2026</v>
      </c>
      <c r="F78" s="309">
        <v>0</v>
      </c>
    </row>
    <row r="79" spans="1:6">
      <c r="A79" t="s">
        <v>410</v>
      </c>
      <c r="B79" t="s">
        <v>258</v>
      </c>
      <c r="C79" t="s">
        <v>308</v>
      </c>
      <c r="D79" t="s">
        <v>364</v>
      </c>
      <c r="E79">
        <v>2027</v>
      </c>
      <c r="F79" s="309">
        <v>0</v>
      </c>
    </row>
    <row r="80" spans="1:6">
      <c r="A80" t="s">
        <v>410</v>
      </c>
      <c r="B80" t="s">
        <v>258</v>
      </c>
      <c r="C80" t="s">
        <v>309</v>
      </c>
      <c r="D80" t="s">
        <v>365</v>
      </c>
      <c r="E80">
        <v>2024</v>
      </c>
      <c r="F80" s="309">
        <v>0</v>
      </c>
    </row>
    <row r="81" spans="1:6">
      <c r="A81" t="s">
        <v>410</v>
      </c>
      <c r="B81" t="s">
        <v>258</v>
      </c>
      <c r="C81" t="s">
        <v>309</v>
      </c>
      <c r="D81" t="s">
        <v>365</v>
      </c>
      <c r="E81">
        <v>2025</v>
      </c>
      <c r="F81" s="309">
        <v>0</v>
      </c>
    </row>
    <row r="82" spans="1:6">
      <c r="A82" t="s">
        <v>410</v>
      </c>
      <c r="B82" t="s">
        <v>258</v>
      </c>
      <c r="C82" t="s">
        <v>309</v>
      </c>
      <c r="D82" t="s">
        <v>365</v>
      </c>
      <c r="E82">
        <v>2026</v>
      </c>
      <c r="F82" s="309">
        <v>0</v>
      </c>
    </row>
    <row r="83" spans="1:6">
      <c r="A83" t="s">
        <v>410</v>
      </c>
      <c r="B83" t="s">
        <v>258</v>
      </c>
      <c r="C83" t="s">
        <v>309</v>
      </c>
      <c r="D83" t="s">
        <v>365</v>
      </c>
      <c r="E83">
        <v>2027</v>
      </c>
      <c r="F83" s="309">
        <v>0</v>
      </c>
    </row>
    <row r="84" spans="1:6">
      <c r="A84" t="s">
        <v>410</v>
      </c>
      <c r="B84" t="s">
        <v>258</v>
      </c>
      <c r="C84" t="s">
        <v>310</v>
      </c>
      <c r="D84" t="s">
        <v>366</v>
      </c>
      <c r="E84">
        <v>2024</v>
      </c>
      <c r="F84" s="309">
        <v>0</v>
      </c>
    </row>
    <row r="85" spans="1:6">
      <c r="A85" t="s">
        <v>410</v>
      </c>
      <c r="B85" t="s">
        <v>258</v>
      </c>
      <c r="C85" t="s">
        <v>310</v>
      </c>
      <c r="D85" t="s">
        <v>366</v>
      </c>
      <c r="E85">
        <v>2025</v>
      </c>
      <c r="F85" s="309">
        <v>0</v>
      </c>
    </row>
    <row r="86" spans="1:6">
      <c r="A86" t="s">
        <v>410</v>
      </c>
      <c r="B86" t="s">
        <v>258</v>
      </c>
      <c r="C86" t="s">
        <v>310</v>
      </c>
      <c r="D86" t="s">
        <v>366</v>
      </c>
      <c r="E86">
        <v>2026</v>
      </c>
      <c r="F86" s="309">
        <v>0</v>
      </c>
    </row>
    <row r="87" spans="1:6">
      <c r="A87" t="s">
        <v>410</v>
      </c>
      <c r="B87" t="s">
        <v>258</v>
      </c>
      <c r="C87" t="s">
        <v>310</v>
      </c>
      <c r="D87" t="s">
        <v>366</v>
      </c>
      <c r="E87">
        <v>2027</v>
      </c>
      <c r="F87" s="309">
        <v>0</v>
      </c>
    </row>
    <row r="88" spans="1:6">
      <c r="A88" t="s">
        <v>410</v>
      </c>
      <c r="B88" t="s">
        <v>264</v>
      </c>
      <c r="C88" t="s">
        <v>315</v>
      </c>
      <c r="D88" t="s">
        <v>375</v>
      </c>
      <c r="E88">
        <v>2024</v>
      </c>
      <c r="F88" s="309">
        <v>0</v>
      </c>
    </row>
    <row r="89" spans="1:6">
      <c r="A89" t="s">
        <v>410</v>
      </c>
      <c r="B89" t="s">
        <v>264</v>
      </c>
      <c r="C89" t="s">
        <v>315</v>
      </c>
      <c r="D89" t="s">
        <v>375</v>
      </c>
      <c r="E89">
        <v>2025</v>
      </c>
      <c r="F89" s="309">
        <v>0</v>
      </c>
    </row>
    <row r="90" spans="1:6">
      <c r="A90" t="s">
        <v>410</v>
      </c>
      <c r="B90" t="s">
        <v>264</v>
      </c>
      <c r="C90" t="s">
        <v>315</v>
      </c>
      <c r="D90" t="s">
        <v>375</v>
      </c>
      <c r="E90">
        <v>2026</v>
      </c>
      <c r="F90" s="309">
        <v>0</v>
      </c>
    </row>
    <row r="91" spans="1:6">
      <c r="A91" t="s">
        <v>410</v>
      </c>
      <c r="B91" t="s">
        <v>264</v>
      </c>
      <c r="C91" t="s">
        <v>315</v>
      </c>
      <c r="D91" t="s">
        <v>375</v>
      </c>
      <c r="E91">
        <v>2027</v>
      </c>
      <c r="F91" s="309">
        <v>0</v>
      </c>
    </row>
    <row r="92" spans="1:6">
      <c r="A92" t="s">
        <v>410</v>
      </c>
      <c r="B92" t="s">
        <v>264</v>
      </c>
      <c r="C92" t="s">
        <v>965</v>
      </c>
      <c r="D92" t="s">
        <v>376</v>
      </c>
      <c r="E92">
        <v>2024</v>
      </c>
      <c r="F92" s="309">
        <v>0</v>
      </c>
    </row>
    <row r="93" spans="1:6">
      <c r="A93" t="s">
        <v>410</v>
      </c>
      <c r="B93" t="s">
        <v>264</v>
      </c>
      <c r="C93" t="s">
        <v>965</v>
      </c>
      <c r="D93" t="s">
        <v>376</v>
      </c>
      <c r="E93">
        <v>2025</v>
      </c>
      <c r="F93" s="309">
        <v>0</v>
      </c>
    </row>
    <row r="94" spans="1:6">
      <c r="A94" t="s">
        <v>410</v>
      </c>
      <c r="B94" t="s">
        <v>264</v>
      </c>
      <c r="C94" t="s">
        <v>965</v>
      </c>
      <c r="D94" t="s">
        <v>376</v>
      </c>
      <c r="E94">
        <v>2026</v>
      </c>
      <c r="F94" s="309">
        <v>0</v>
      </c>
    </row>
    <row r="95" spans="1:6">
      <c r="A95" t="s">
        <v>410</v>
      </c>
      <c r="B95" t="s">
        <v>264</v>
      </c>
      <c r="C95" t="s">
        <v>965</v>
      </c>
      <c r="D95" t="s">
        <v>376</v>
      </c>
      <c r="E95">
        <v>2027</v>
      </c>
      <c r="F95" s="309">
        <v>0</v>
      </c>
    </row>
    <row r="96" spans="1:6">
      <c r="A96" t="s">
        <v>410</v>
      </c>
      <c r="B96" t="s">
        <v>281</v>
      </c>
      <c r="C96" t="s">
        <v>324</v>
      </c>
      <c r="D96" t="s">
        <v>396</v>
      </c>
      <c r="E96">
        <v>2024</v>
      </c>
      <c r="F96" s="309">
        <v>0</v>
      </c>
    </row>
    <row r="97" spans="1:6">
      <c r="A97" t="s">
        <v>410</v>
      </c>
      <c r="B97" t="s">
        <v>281</v>
      </c>
      <c r="C97" t="s">
        <v>324</v>
      </c>
      <c r="D97" t="s">
        <v>396</v>
      </c>
      <c r="E97">
        <v>2025</v>
      </c>
      <c r="F97" s="309">
        <v>0</v>
      </c>
    </row>
    <row r="98" spans="1:6">
      <c r="A98" t="s">
        <v>410</v>
      </c>
      <c r="B98" t="s">
        <v>281</v>
      </c>
      <c r="C98" t="s">
        <v>324</v>
      </c>
      <c r="D98" t="s">
        <v>396</v>
      </c>
      <c r="E98">
        <v>2026</v>
      </c>
      <c r="F98" s="309">
        <v>0</v>
      </c>
    </row>
    <row r="99" spans="1:6">
      <c r="A99" t="s">
        <v>410</v>
      </c>
      <c r="B99" t="s">
        <v>281</v>
      </c>
      <c r="C99" t="s">
        <v>324</v>
      </c>
      <c r="D99" t="s">
        <v>396</v>
      </c>
      <c r="E99">
        <v>2027</v>
      </c>
      <c r="F99" s="309">
        <v>0</v>
      </c>
    </row>
    <row r="100" spans="1:6">
      <c r="A100" t="s">
        <v>410</v>
      </c>
      <c r="B100" t="s">
        <v>281</v>
      </c>
      <c r="C100" t="s">
        <v>325</v>
      </c>
      <c r="D100" t="s">
        <v>397</v>
      </c>
      <c r="E100">
        <v>2024</v>
      </c>
      <c r="F100" s="309">
        <v>0</v>
      </c>
    </row>
    <row r="101" spans="1:6">
      <c r="A101" t="s">
        <v>410</v>
      </c>
      <c r="B101" t="s">
        <v>281</v>
      </c>
      <c r="C101" t="s">
        <v>325</v>
      </c>
      <c r="D101" t="s">
        <v>397</v>
      </c>
      <c r="E101">
        <v>2025</v>
      </c>
      <c r="F101" s="309">
        <v>0</v>
      </c>
    </row>
    <row r="102" spans="1:6">
      <c r="A102" t="s">
        <v>410</v>
      </c>
      <c r="B102" t="s">
        <v>281</v>
      </c>
      <c r="C102" t="s">
        <v>325</v>
      </c>
      <c r="D102" t="s">
        <v>397</v>
      </c>
      <c r="E102">
        <v>2026</v>
      </c>
      <c r="F102" s="309">
        <v>0</v>
      </c>
    </row>
    <row r="103" spans="1:6">
      <c r="A103" t="s">
        <v>410</v>
      </c>
      <c r="B103" t="s">
        <v>281</v>
      </c>
      <c r="C103" t="s">
        <v>325</v>
      </c>
      <c r="D103" t="s">
        <v>397</v>
      </c>
      <c r="E103">
        <v>2027</v>
      </c>
      <c r="F103" s="309">
        <v>0</v>
      </c>
    </row>
    <row r="104" spans="1:6">
      <c r="A104" t="s">
        <v>410</v>
      </c>
      <c r="B104" t="s">
        <v>281</v>
      </c>
      <c r="C104" t="s">
        <v>326</v>
      </c>
      <c r="D104" t="s">
        <v>398</v>
      </c>
      <c r="E104">
        <v>2024</v>
      </c>
      <c r="F104" s="309">
        <v>0</v>
      </c>
    </row>
    <row r="105" spans="1:6">
      <c r="A105" t="s">
        <v>410</v>
      </c>
      <c r="B105" t="s">
        <v>281</v>
      </c>
      <c r="C105" t="s">
        <v>326</v>
      </c>
      <c r="D105" t="s">
        <v>398</v>
      </c>
      <c r="E105">
        <v>2025</v>
      </c>
      <c r="F105" s="309">
        <v>0</v>
      </c>
    </row>
    <row r="106" spans="1:6">
      <c r="A106" t="s">
        <v>410</v>
      </c>
      <c r="B106" t="s">
        <v>281</v>
      </c>
      <c r="C106" t="s">
        <v>326</v>
      </c>
      <c r="D106" t="s">
        <v>398</v>
      </c>
      <c r="E106">
        <v>2026</v>
      </c>
      <c r="F106" s="309">
        <v>0</v>
      </c>
    </row>
    <row r="107" spans="1:6">
      <c r="A107" t="s">
        <v>410</v>
      </c>
      <c r="B107" t="s">
        <v>281</v>
      </c>
      <c r="C107" t="s">
        <v>326</v>
      </c>
      <c r="D107" t="s">
        <v>398</v>
      </c>
      <c r="E107">
        <v>2027</v>
      </c>
      <c r="F107" s="309">
        <v>0</v>
      </c>
    </row>
    <row r="108" spans="1:6">
      <c r="A108" t="s">
        <v>410</v>
      </c>
      <c r="B108" t="s">
        <v>281</v>
      </c>
      <c r="C108" t="s">
        <v>327</v>
      </c>
      <c r="D108" t="s">
        <v>63</v>
      </c>
      <c r="E108">
        <v>2024</v>
      </c>
      <c r="F108" s="309">
        <v>0</v>
      </c>
    </row>
    <row r="109" spans="1:6">
      <c r="A109" t="s">
        <v>410</v>
      </c>
      <c r="B109" t="s">
        <v>281</v>
      </c>
      <c r="C109" t="s">
        <v>327</v>
      </c>
      <c r="D109" t="s">
        <v>63</v>
      </c>
      <c r="E109">
        <v>2025</v>
      </c>
      <c r="F109" s="309">
        <v>0</v>
      </c>
    </row>
    <row r="110" spans="1:6">
      <c r="A110" t="s">
        <v>410</v>
      </c>
      <c r="B110" t="s">
        <v>281</v>
      </c>
      <c r="C110" t="s">
        <v>327</v>
      </c>
      <c r="D110" t="s">
        <v>63</v>
      </c>
      <c r="E110">
        <v>2026</v>
      </c>
      <c r="F110" s="309">
        <v>0</v>
      </c>
    </row>
    <row r="111" spans="1:6">
      <c r="A111" t="s">
        <v>410</v>
      </c>
      <c r="B111" t="s">
        <v>281</v>
      </c>
      <c r="C111" t="s">
        <v>327</v>
      </c>
      <c r="D111" t="s">
        <v>63</v>
      </c>
      <c r="E111">
        <v>2027</v>
      </c>
      <c r="F111" s="309">
        <v>0</v>
      </c>
    </row>
    <row r="112" spans="1:6">
      <c r="A112" t="s">
        <v>141</v>
      </c>
      <c r="B112" t="s">
        <v>647</v>
      </c>
      <c r="C112" t="s">
        <v>145</v>
      </c>
      <c r="D112" t="s">
        <v>51</v>
      </c>
      <c r="E112">
        <v>2024</v>
      </c>
      <c r="F112" s="309">
        <v>1092.6796759900001</v>
      </c>
    </row>
    <row r="113" spans="1:6">
      <c r="A113" t="s">
        <v>141</v>
      </c>
      <c r="B113" t="s">
        <v>647</v>
      </c>
      <c r="C113" t="s">
        <v>145</v>
      </c>
      <c r="D113" t="s">
        <v>51</v>
      </c>
      <c r="E113">
        <v>2025</v>
      </c>
      <c r="F113" s="309">
        <v>1092.6796759900001</v>
      </c>
    </row>
    <row r="114" spans="1:6">
      <c r="A114" t="s">
        <v>141</v>
      </c>
      <c r="B114" t="s">
        <v>647</v>
      </c>
      <c r="C114" t="s">
        <v>145</v>
      </c>
      <c r="D114" t="s">
        <v>51</v>
      </c>
      <c r="E114">
        <v>2026</v>
      </c>
      <c r="F114" s="309">
        <v>1092.6796759900001</v>
      </c>
    </row>
    <row r="115" spans="1:6">
      <c r="A115" t="s">
        <v>141</v>
      </c>
      <c r="B115" t="s">
        <v>647</v>
      </c>
      <c r="C115" t="s">
        <v>145</v>
      </c>
      <c r="D115" t="s">
        <v>51</v>
      </c>
      <c r="E115">
        <v>2027</v>
      </c>
      <c r="F115" s="309">
        <v>1092.6796759900001</v>
      </c>
    </row>
    <row r="116" spans="1:6">
      <c r="A116" t="s">
        <v>141</v>
      </c>
      <c r="B116" t="s">
        <v>647</v>
      </c>
      <c r="C116" t="s">
        <v>146</v>
      </c>
      <c r="D116" t="s">
        <v>52</v>
      </c>
      <c r="E116">
        <v>2024</v>
      </c>
      <c r="F116" s="309">
        <v>315.55636501999999</v>
      </c>
    </row>
    <row r="117" spans="1:6">
      <c r="A117" t="s">
        <v>141</v>
      </c>
      <c r="B117" t="s">
        <v>647</v>
      </c>
      <c r="C117" t="s">
        <v>146</v>
      </c>
      <c r="D117" t="s">
        <v>52</v>
      </c>
      <c r="E117">
        <v>2025</v>
      </c>
      <c r="F117" s="309">
        <v>315.55636501999999</v>
      </c>
    </row>
    <row r="118" spans="1:6">
      <c r="A118" t="s">
        <v>141</v>
      </c>
      <c r="B118" t="s">
        <v>647</v>
      </c>
      <c r="C118" t="s">
        <v>146</v>
      </c>
      <c r="D118" t="s">
        <v>52</v>
      </c>
      <c r="E118">
        <v>2026</v>
      </c>
      <c r="F118" s="309">
        <v>315.55636501999999</v>
      </c>
    </row>
    <row r="119" spans="1:6">
      <c r="A119" t="s">
        <v>141</v>
      </c>
      <c r="B119" t="s">
        <v>647</v>
      </c>
      <c r="C119" t="s">
        <v>146</v>
      </c>
      <c r="D119" t="s">
        <v>52</v>
      </c>
      <c r="E119">
        <v>2027</v>
      </c>
      <c r="F119" s="309">
        <v>315.55636501999999</v>
      </c>
    </row>
    <row r="120" spans="1:6">
      <c r="A120" t="s">
        <v>141</v>
      </c>
      <c r="B120" t="s">
        <v>647</v>
      </c>
      <c r="C120" t="s">
        <v>660</v>
      </c>
      <c r="D120" t="s">
        <v>630</v>
      </c>
      <c r="E120">
        <v>2024</v>
      </c>
      <c r="F120" s="309">
        <v>219.3759422</v>
      </c>
    </row>
    <row r="121" spans="1:6">
      <c r="A121" t="s">
        <v>141</v>
      </c>
      <c r="B121" t="s">
        <v>647</v>
      </c>
      <c r="C121" t="s">
        <v>660</v>
      </c>
      <c r="D121" t="s">
        <v>630</v>
      </c>
      <c r="E121">
        <v>2025</v>
      </c>
      <c r="F121" s="309">
        <v>219.3759422</v>
      </c>
    </row>
    <row r="122" spans="1:6">
      <c r="A122" t="s">
        <v>141</v>
      </c>
      <c r="B122" t="s">
        <v>647</v>
      </c>
      <c r="C122" t="s">
        <v>660</v>
      </c>
      <c r="D122" t="s">
        <v>630</v>
      </c>
      <c r="E122">
        <v>2026</v>
      </c>
      <c r="F122" s="309">
        <v>219.3759422</v>
      </c>
    </row>
    <row r="123" spans="1:6">
      <c r="A123" t="s">
        <v>141</v>
      </c>
      <c r="B123" t="s">
        <v>647</v>
      </c>
      <c r="C123" t="s">
        <v>660</v>
      </c>
      <c r="D123" t="s">
        <v>630</v>
      </c>
      <c r="E123">
        <v>2027</v>
      </c>
      <c r="F123" s="309">
        <v>219.3759422</v>
      </c>
    </row>
    <row r="124" spans="1:6">
      <c r="A124" t="s">
        <v>141</v>
      </c>
      <c r="B124" t="s">
        <v>647</v>
      </c>
      <c r="C124" t="s">
        <v>661</v>
      </c>
      <c r="D124" t="s">
        <v>631</v>
      </c>
      <c r="E124">
        <v>2024</v>
      </c>
      <c r="F124" s="309">
        <v>199.31897294999999</v>
      </c>
    </row>
    <row r="125" spans="1:6">
      <c r="A125" t="s">
        <v>141</v>
      </c>
      <c r="B125" t="s">
        <v>647</v>
      </c>
      <c r="C125" t="s">
        <v>661</v>
      </c>
      <c r="D125" t="s">
        <v>631</v>
      </c>
      <c r="E125">
        <v>2025</v>
      </c>
      <c r="F125" s="309">
        <v>199.31897294999999</v>
      </c>
    </row>
    <row r="126" spans="1:6">
      <c r="A126" t="s">
        <v>141</v>
      </c>
      <c r="B126" t="s">
        <v>647</v>
      </c>
      <c r="C126" t="s">
        <v>661</v>
      </c>
      <c r="D126" t="s">
        <v>631</v>
      </c>
      <c r="E126">
        <v>2026</v>
      </c>
      <c r="F126" s="309">
        <v>199.31897294999999</v>
      </c>
    </row>
    <row r="127" spans="1:6">
      <c r="A127" t="s">
        <v>141</v>
      </c>
      <c r="B127" t="s">
        <v>647</v>
      </c>
      <c r="C127" t="s">
        <v>661</v>
      </c>
      <c r="D127" t="s">
        <v>631</v>
      </c>
      <c r="E127">
        <v>2027</v>
      </c>
      <c r="F127" s="309">
        <v>199.31897294999999</v>
      </c>
    </row>
    <row r="128" spans="1:6">
      <c r="A128" t="s">
        <v>141</v>
      </c>
      <c r="B128" t="s">
        <v>649</v>
      </c>
      <c r="C128" t="s">
        <v>145</v>
      </c>
      <c r="D128" t="s">
        <v>612</v>
      </c>
      <c r="E128">
        <v>2024</v>
      </c>
      <c r="F128" s="309">
        <v>593.22428059000003</v>
      </c>
    </row>
    <row r="129" spans="1:6">
      <c r="A129" t="s">
        <v>141</v>
      </c>
      <c r="B129" t="s">
        <v>649</v>
      </c>
      <c r="C129" t="s">
        <v>145</v>
      </c>
      <c r="D129" t="s">
        <v>612</v>
      </c>
      <c r="E129">
        <v>2025</v>
      </c>
      <c r="F129" s="309">
        <v>603.45450300000005</v>
      </c>
    </row>
    <row r="130" spans="1:6">
      <c r="A130" t="s">
        <v>141</v>
      </c>
      <c r="B130" t="s">
        <v>649</v>
      </c>
      <c r="C130" t="s">
        <v>145</v>
      </c>
      <c r="D130" t="s">
        <v>612</v>
      </c>
      <c r="E130">
        <v>2026</v>
      </c>
      <c r="F130" s="309">
        <v>611.32780062999996</v>
      </c>
    </row>
    <row r="131" spans="1:6">
      <c r="A131" t="s">
        <v>141</v>
      </c>
      <c r="B131" t="s">
        <v>649</v>
      </c>
      <c r="C131" t="s">
        <v>145</v>
      </c>
      <c r="D131" t="s">
        <v>612</v>
      </c>
      <c r="E131">
        <v>2027</v>
      </c>
      <c r="F131" s="309">
        <v>617.33019775000002</v>
      </c>
    </row>
    <row r="132" spans="1:6">
      <c r="A132" t="s">
        <v>141</v>
      </c>
      <c r="B132" t="s">
        <v>649</v>
      </c>
      <c r="C132" t="s">
        <v>146</v>
      </c>
      <c r="D132" t="s">
        <v>613</v>
      </c>
      <c r="E132">
        <v>2024</v>
      </c>
      <c r="F132" s="309">
        <v>171.31800082000001</v>
      </c>
    </row>
    <row r="133" spans="1:6">
      <c r="A133" t="s">
        <v>141</v>
      </c>
      <c r="B133" t="s">
        <v>649</v>
      </c>
      <c r="C133" t="s">
        <v>146</v>
      </c>
      <c r="D133" t="s">
        <v>613</v>
      </c>
      <c r="E133">
        <v>2025</v>
      </c>
      <c r="F133" s="309">
        <v>174.27239986999999</v>
      </c>
    </row>
    <row r="134" spans="1:6">
      <c r="A134" t="s">
        <v>141</v>
      </c>
      <c r="B134" t="s">
        <v>649</v>
      </c>
      <c r="C134" t="s">
        <v>146</v>
      </c>
      <c r="D134" t="s">
        <v>613</v>
      </c>
      <c r="E134">
        <v>2026</v>
      </c>
      <c r="F134" s="309">
        <v>176.54613959</v>
      </c>
    </row>
    <row r="135" spans="1:6">
      <c r="A135" t="s">
        <v>141</v>
      </c>
      <c r="B135" t="s">
        <v>649</v>
      </c>
      <c r="C135" t="s">
        <v>146</v>
      </c>
      <c r="D135" t="s">
        <v>613</v>
      </c>
      <c r="E135">
        <v>2027</v>
      </c>
      <c r="F135" s="309">
        <v>178.27957954999999</v>
      </c>
    </row>
    <row r="136" spans="1:6">
      <c r="A136" t="s">
        <v>141</v>
      </c>
      <c r="B136" t="s">
        <v>649</v>
      </c>
      <c r="C136" t="s">
        <v>660</v>
      </c>
      <c r="D136" t="s">
        <v>624</v>
      </c>
      <c r="E136">
        <v>2024</v>
      </c>
      <c r="F136" s="309">
        <v>119.10090244</v>
      </c>
    </row>
    <row r="137" spans="1:6">
      <c r="A137" t="s">
        <v>141</v>
      </c>
      <c r="B137" t="s">
        <v>649</v>
      </c>
      <c r="C137" t="s">
        <v>660</v>
      </c>
      <c r="D137" t="s">
        <v>624</v>
      </c>
      <c r="E137">
        <v>2025</v>
      </c>
      <c r="F137" s="309">
        <v>121.15481149999999</v>
      </c>
    </row>
    <row r="138" spans="1:6">
      <c r="A138" t="s">
        <v>141</v>
      </c>
      <c r="B138" t="s">
        <v>649</v>
      </c>
      <c r="C138" t="s">
        <v>660</v>
      </c>
      <c r="D138" t="s">
        <v>624</v>
      </c>
      <c r="E138">
        <v>2026</v>
      </c>
      <c r="F138" s="309">
        <v>122.73552368999999</v>
      </c>
    </row>
    <row r="139" spans="1:6">
      <c r="A139" t="s">
        <v>141</v>
      </c>
      <c r="B139" t="s">
        <v>649</v>
      </c>
      <c r="C139" t="s">
        <v>660</v>
      </c>
      <c r="D139" t="s">
        <v>624</v>
      </c>
      <c r="E139">
        <v>2027</v>
      </c>
      <c r="F139" s="309">
        <v>123.94061751</v>
      </c>
    </row>
    <row r="140" spans="1:6">
      <c r="A140" t="s">
        <v>141</v>
      </c>
      <c r="B140" t="s">
        <v>649</v>
      </c>
      <c r="C140" t="s">
        <v>661</v>
      </c>
      <c r="D140" t="s">
        <v>625</v>
      </c>
      <c r="E140">
        <v>2024</v>
      </c>
      <c r="F140" s="309">
        <v>108.2118181</v>
      </c>
    </row>
    <row r="141" spans="1:6">
      <c r="A141" t="s">
        <v>141</v>
      </c>
      <c r="B141" t="s">
        <v>649</v>
      </c>
      <c r="C141" t="s">
        <v>661</v>
      </c>
      <c r="D141" t="s">
        <v>625</v>
      </c>
      <c r="E141">
        <v>2025</v>
      </c>
      <c r="F141" s="309">
        <v>110.07794361000001</v>
      </c>
    </row>
    <row r="142" spans="1:6">
      <c r="A142" t="s">
        <v>141</v>
      </c>
      <c r="B142" t="s">
        <v>649</v>
      </c>
      <c r="C142" t="s">
        <v>661</v>
      </c>
      <c r="D142" t="s">
        <v>625</v>
      </c>
      <c r="E142">
        <v>2026</v>
      </c>
      <c r="F142" s="309">
        <v>111.51413542</v>
      </c>
    </row>
    <row r="143" spans="1:6">
      <c r="A143" t="s">
        <v>141</v>
      </c>
      <c r="B143" t="s">
        <v>649</v>
      </c>
      <c r="C143" t="s">
        <v>661</v>
      </c>
      <c r="D143" t="s">
        <v>625</v>
      </c>
      <c r="E143">
        <v>2027</v>
      </c>
      <c r="F143" s="309">
        <v>112.60905065999999</v>
      </c>
    </row>
    <row r="144" spans="1:6">
      <c r="A144" t="s">
        <v>141</v>
      </c>
      <c r="B144" t="s">
        <v>648</v>
      </c>
      <c r="C144" t="s">
        <v>145</v>
      </c>
      <c r="D144" t="s">
        <v>53</v>
      </c>
      <c r="E144">
        <v>2024</v>
      </c>
      <c r="F144" s="309">
        <v>1092.6796759900001</v>
      </c>
    </row>
    <row r="145" spans="1:6">
      <c r="A145" t="s">
        <v>141</v>
      </c>
      <c r="B145" t="s">
        <v>648</v>
      </c>
      <c r="C145" t="s">
        <v>145</v>
      </c>
      <c r="D145" t="s">
        <v>53</v>
      </c>
      <c r="E145">
        <v>2025</v>
      </c>
      <c r="F145" s="309">
        <v>1092.6796759900001</v>
      </c>
    </row>
    <row r="146" spans="1:6">
      <c r="A146" t="s">
        <v>141</v>
      </c>
      <c r="B146" t="s">
        <v>648</v>
      </c>
      <c r="C146" t="s">
        <v>145</v>
      </c>
      <c r="D146" t="s">
        <v>53</v>
      </c>
      <c r="E146">
        <v>2026</v>
      </c>
      <c r="F146" s="309">
        <v>1092.6796759900001</v>
      </c>
    </row>
    <row r="147" spans="1:6">
      <c r="A147" t="s">
        <v>141</v>
      </c>
      <c r="B147" t="s">
        <v>648</v>
      </c>
      <c r="C147" t="s">
        <v>145</v>
      </c>
      <c r="D147" t="s">
        <v>53</v>
      </c>
      <c r="E147">
        <v>2027</v>
      </c>
      <c r="F147" s="309">
        <v>1092.6796759900001</v>
      </c>
    </row>
    <row r="148" spans="1:6">
      <c r="A148" t="s">
        <v>141</v>
      </c>
      <c r="B148" t="s">
        <v>648</v>
      </c>
      <c r="C148" t="s">
        <v>146</v>
      </c>
      <c r="D148" t="s">
        <v>54</v>
      </c>
      <c r="E148">
        <v>2024</v>
      </c>
      <c r="F148" s="309">
        <v>315.55636501999999</v>
      </c>
    </row>
    <row r="149" spans="1:6">
      <c r="A149" t="s">
        <v>141</v>
      </c>
      <c r="B149" t="s">
        <v>648</v>
      </c>
      <c r="C149" t="s">
        <v>146</v>
      </c>
      <c r="D149" t="s">
        <v>54</v>
      </c>
      <c r="E149">
        <v>2025</v>
      </c>
      <c r="F149" s="309">
        <v>315.55636501999999</v>
      </c>
    </row>
    <row r="150" spans="1:6">
      <c r="A150" t="s">
        <v>141</v>
      </c>
      <c r="B150" t="s">
        <v>648</v>
      </c>
      <c r="C150" t="s">
        <v>146</v>
      </c>
      <c r="D150" t="s">
        <v>54</v>
      </c>
      <c r="E150">
        <v>2026</v>
      </c>
      <c r="F150" s="309">
        <v>315.55636501999999</v>
      </c>
    </row>
    <row r="151" spans="1:6">
      <c r="A151" t="s">
        <v>141</v>
      </c>
      <c r="B151" t="s">
        <v>648</v>
      </c>
      <c r="C151" t="s">
        <v>146</v>
      </c>
      <c r="D151" t="s">
        <v>54</v>
      </c>
      <c r="E151">
        <v>2027</v>
      </c>
      <c r="F151" s="309">
        <v>315.55636501999999</v>
      </c>
    </row>
    <row r="152" spans="1:6">
      <c r="A152" t="s">
        <v>141</v>
      </c>
      <c r="B152" t="s">
        <v>648</v>
      </c>
      <c r="C152" t="s">
        <v>660</v>
      </c>
      <c r="D152" t="s">
        <v>622</v>
      </c>
      <c r="E152">
        <v>2024</v>
      </c>
      <c r="F152" s="309">
        <v>219.3759422</v>
      </c>
    </row>
    <row r="153" spans="1:6">
      <c r="A153" t="s">
        <v>141</v>
      </c>
      <c r="B153" t="s">
        <v>648</v>
      </c>
      <c r="C153" t="s">
        <v>660</v>
      </c>
      <c r="D153" t="s">
        <v>622</v>
      </c>
      <c r="E153">
        <v>2025</v>
      </c>
      <c r="F153" s="309">
        <v>219.3759422</v>
      </c>
    </row>
    <row r="154" spans="1:6">
      <c r="A154" t="s">
        <v>141</v>
      </c>
      <c r="B154" t="s">
        <v>648</v>
      </c>
      <c r="C154" t="s">
        <v>660</v>
      </c>
      <c r="D154" t="s">
        <v>622</v>
      </c>
      <c r="E154">
        <v>2026</v>
      </c>
      <c r="F154" s="309">
        <v>219.3759422</v>
      </c>
    </row>
    <row r="155" spans="1:6">
      <c r="A155" t="s">
        <v>141</v>
      </c>
      <c r="B155" t="s">
        <v>648</v>
      </c>
      <c r="C155" t="s">
        <v>660</v>
      </c>
      <c r="D155" t="s">
        <v>622</v>
      </c>
      <c r="E155">
        <v>2027</v>
      </c>
      <c r="F155" s="309">
        <v>219.3759422</v>
      </c>
    </row>
    <row r="156" spans="1:6">
      <c r="A156" t="s">
        <v>141</v>
      </c>
      <c r="B156" t="s">
        <v>648</v>
      </c>
      <c r="C156" t="s">
        <v>661</v>
      </c>
      <c r="D156" t="s">
        <v>623</v>
      </c>
      <c r="E156">
        <v>2024</v>
      </c>
      <c r="F156" s="309">
        <v>199.31897294999999</v>
      </c>
    </row>
    <row r="157" spans="1:6">
      <c r="A157" t="s">
        <v>141</v>
      </c>
      <c r="B157" t="s">
        <v>648</v>
      </c>
      <c r="C157" t="s">
        <v>661</v>
      </c>
      <c r="D157" t="s">
        <v>623</v>
      </c>
      <c r="E157">
        <v>2025</v>
      </c>
      <c r="F157" s="309">
        <v>199.31897294999999</v>
      </c>
    </row>
    <row r="158" spans="1:6">
      <c r="A158" t="s">
        <v>141</v>
      </c>
      <c r="B158" t="s">
        <v>648</v>
      </c>
      <c r="C158" t="s">
        <v>661</v>
      </c>
      <c r="D158" t="s">
        <v>623</v>
      </c>
      <c r="E158">
        <v>2026</v>
      </c>
      <c r="F158" s="309">
        <v>199.31897294999999</v>
      </c>
    </row>
    <row r="159" spans="1:6">
      <c r="A159" t="s">
        <v>141</v>
      </c>
      <c r="B159" t="s">
        <v>648</v>
      </c>
      <c r="C159" t="s">
        <v>661</v>
      </c>
      <c r="D159" t="s">
        <v>623</v>
      </c>
      <c r="E159">
        <v>2027</v>
      </c>
      <c r="F159" s="309">
        <v>199.31897294999999</v>
      </c>
    </row>
    <row r="160" spans="1:6">
      <c r="A160" t="s">
        <v>141</v>
      </c>
      <c r="B160" t="s">
        <v>650</v>
      </c>
      <c r="C160" t="s">
        <v>145</v>
      </c>
      <c r="D160" t="s">
        <v>626</v>
      </c>
      <c r="E160">
        <v>2024</v>
      </c>
      <c r="F160" s="309">
        <v>547.14932093000004</v>
      </c>
    </row>
    <row r="161" spans="1:6">
      <c r="A161" t="s">
        <v>141</v>
      </c>
      <c r="B161" t="s">
        <v>650</v>
      </c>
      <c r="C161" t="s">
        <v>145</v>
      </c>
      <c r="D161" t="s">
        <v>626</v>
      </c>
      <c r="E161">
        <v>2025</v>
      </c>
      <c r="F161" s="309">
        <v>568.06541348999997</v>
      </c>
    </row>
    <row r="162" spans="1:6">
      <c r="A162" t="s">
        <v>141</v>
      </c>
      <c r="B162" t="s">
        <v>650</v>
      </c>
      <c r="C162" t="s">
        <v>145</v>
      </c>
      <c r="D162" t="s">
        <v>626</v>
      </c>
      <c r="E162">
        <v>2026</v>
      </c>
      <c r="F162" s="309">
        <v>574.60209123000004</v>
      </c>
    </row>
    <row r="163" spans="1:6">
      <c r="A163" t="s">
        <v>141</v>
      </c>
      <c r="B163" t="s">
        <v>650</v>
      </c>
      <c r="C163" t="s">
        <v>145</v>
      </c>
      <c r="D163" t="s">
        <v>626</v>
      </c>
      <c r="E163">
        <v>2027</v>
      </c>
      <c r="F163" s="309">
        <v>580.37609182999995</v>
      </c>
    </row>
    <row r="164" spans="1:6">
      <c r="A164" t="s">
        <v>141</v>
      </c>
      <c r="B164" t="s">
        <v>650</v>
      </c>
      <c r="C164" t="s">
        <v>146</v>
      </c>
      <c r="D164" t="s">
        <v>627</v>
      </c>
      <c r="E164">
        <v>2024</v>
      </c>
      <c r="F164" s="309">
        <v>158.01195412999999</v>
      </c>
    </row>
    <row r="165" spans="1:6">
      <c r="A165" t="s">
        <v>141</v>
      </c>
      <c r="B165" t="s">
        <v>650</v>
      </c>
      <c r="C165" t="s">
        <v>146</v>
      </c>
      <c r="D165" t="s">
        <v>627</v>
      </c>
      <c r="E165">
        <v>2025</v>
      </c>
      <c r="F165" s="309">
        <v>164.05233931999999</v>
      </c>
    </row>
    <row r="166" spans="1:6">
      <c r="A166" t="s">
        <v>141</v>
      </c>
      <c r="B166" t="s">
        <v>650</v>
      </c>
      <c r="C166" t="s">
        <v>146</v>
      </c>
      <c r="D166" t="s">
        <v>627</v>
      </c>
      <c r="E166">
        <v>2026</v>
      </c>
      <c r="F166" s="309">
        <v>165.94007486999999</v>
      </c>
    </row>
    <row r="167" spans="1:6">
      <c r="A167" t="s">
        <v>141</v>
      </c>
      <c r="B167" t="s">
        <v>650</v>
      </c>
      <c r="C167" t="s">
        <v>146</v>
      </c>
      <c r="D167" t="s">
        <v>627</v>
      </c>
      <c r="E167">
        <v>2027</v>
      </c>
      <c r="F167" s="309">
        <v>167.60755591</v>
      </c>
    </row>
    <row r="168" spans="1:6">
      <c r="A168" t="s">
        <v>141</v>
      </c>
      <c r="B168" t="s">
        <v>650</v>
      </c>
      <c r="C168" t="s">
        <v>660</v>
      </c>
      <c r="D168" t="s">
        <v>628</v>
      </c>
      <c r="E168">
        <v>2024</v>
      </c>
      <c r="F168" s="309">
        <v>109.85048999</v>
      </c>
    </row>
    <row r="169" spans="1:6">
      <c r="A169" t="s">
        <v>141</v>
      </c>
      <c r="B169" t="s">
        <v>650</v>
      </c>
      <c r="C169" t="s">
        <v>660</v>
      </c>
      <c r="D169" t="s">
        <v>628</v>
      </c>
      <c r="E169">
        <v>2025</v>
      </c>
      <c r="F169" s="309">
        <v>114.04978792999999</v>
      </c>
    </row>
    <row r="170" spans="1:6">
      <c r="A170" t="s">
        <v>141</v>
      </c>
      <c r="B170" t="s">
        <v>650</v>
      </c>
      <c r="C170" t="s">
        <v>660</v>
      </c>
      <c r="D170" t="s">
        <v>628</v>
      </c>
      <c r="E170">
        <v>2026</v>
      </c>
      <c r="F170" s="309">
        <v>115.3621486</v>
      </c>
    </row>
    <row r="171" spans="1:6">
      <c r="A171" t="s">
        <v>141</v>
      </c>
      <c r="B171" t="s">
        <v>650</v>
      </c>
      <c r="C171" t="s">
        <v>660</v>
      </c>
      <c r="D171" t="s">
        <v>628</v>
      </c>
      <c r="E171">
        <v>2027</v>
      </c>
      <c r="F171" s="309">
        <v>116.52138753</v>
      </c>
    </row>
    <row r="172" spans="1:6">
      <c r="A172" t="s">
        <v>141</v>
      </c>
      <c r="B172" t="s">
        <v>650</v>
      </c>
      <c r="C172" t="s">
        <v>661</v>
      </c>
      <c r="D172" t="s">
        <v>629</v>
      </c>
      <c r="E172">
        <v>2024</v>
      </c>
      <c r="F172" s="309">
        <v>99.807146680000002</v>
      </c>
    </row>
    <row r="173" spans="1:6">
      <c r="A173" t="s">
        <v>141</v>
      </c>
      <c r="B173" t="s">
        <v>650</v>
      </c>
      <c r="C173" t="s">
        <v>661</v>
      </c>
      <c r="D173" t="s">
        <v>629</v>
      </c>
      <c r="E173">
        <v>2025</v>
      </c>
      <c r="F173" s="309">
        <v>103.62251378000001</v>
      </c>
    </row>
    <row r="174" spans="1:6">
      <c r="A174" t="s">
        <v>141</v>
      </c>
      <c r="B174" t="s">
        <v>650</v>
      </c>
      <c r="C174" t="s">
        <v>661</v>
      </c>
      <c r="D174" t="s">
        <v>629</v>
      </c>
      <c r="E174">
        <v>2026</v>
      </c>
      <c r="F174" s="309">
        <v>104.81488874999999</v>
      </c>
    </row>
    <row r="175" spans="1:6">
      <c r="A175" t="s">
        <v>141</v>
      </c>
      <c r="B175" t="s">
        <v>650</v>
      </c>
      <c r="C175" t="s">
        <v>661</v>
      </c>
      <c r="D175" t="s">
        <v>629</v>
      </c>
      <c r="E175">
        <v>2027</v>
      </c>
      <c r="F175" s="309">
        <v>105.86814149999999</v>
      </c>
    </row>
    <row r="176" spans="1:6">
      <c r="A176" t="s">
        <v>2422</v>
      </c>
      <c r="B176" t="s">
        <v>2423</v>
      </c>
      <c r="C176" t="s">
        <v>2424</v>
      </c>
      <c r="D176" t="s">
        <v>2351</v>
      </c>
      <c r="E176">
        <v>2024</v>
      </c>
      <c r="F176" s="309">
        <v>1.1226593499999999</v>
      </c>
    </row>
    <row r="177" spans="1:6">
      <c r="A177" t="s">
        <v>2422</v>
      </c>
      <c r="B177" t="s">
        <v>2423</v>
      </c>
      <c r="C177" t="s">
        <v>2424</v>
      </c>
      <c r="D177" t="s">
        <v>2351</v>
      </c>
      <c r="E177">
        <v>2025</v>
      </c>
      <c r="F177" s="309">
        <v>1.1226593499999999</v>
      </c>
    </row>
    <row r="178" spans="1:6">
      <c r="A178" t="s">
        <v>2422</v>
      </c>
      <c r="B178" t="s">
        <v>2423</v>
      </c>
      <c r="C178" t="s">
        <v>2424</v>
      </c>
      <c r="D178" t="s">
        <v>2351</v>
      </c>
      <c r="E178">
        <v>2026</v>
      </c>
      <c r="F178" s="309">
        <v>1.1226593499999999</v>
      </c>
    </row>
    <row r="179" spans="1:6">
      <c r="A179" t="s">
        <v>2422</v>
      </c>
      <c r="B179" t="s">
        <v>2423</v>
      </c>
      <c r="C179" t="s">
        <v>2424</v>
      </c>
      <c r="D179" t="s">
        <v>2351</v>
      </c>
      <c r="E179">
        <v>2027</v>
      </c>
      <c r="F179" s="309">
        <v>1.1226593499999999</v>
      </c>
    </row>
    <row r="180" spans="1:6">
      <c r="A180" t="s">
        <v>2422</v>
      </c>
      <c r="B180" t="s">
        <v>2448</v>
      </c>
      <c r="C180" t="s">
        <v>2429</v>
      </c>
      <c r="D180" t="s">
        <v>2452</v>
      </c>
      <c r="E180">
        <v>2024</v>
      </c>
      <c r="F180" s="309">
        <v>1.1226593499999999</v>
      </c>
    </row>
    <row r="181" spans="1:6">
      <c r="A181" t="s">
        <v>2422</v>
      </c>
      <c r="B181" t="s">
        <v>2448</v>
      </c>
      <c r="C181" t="s">
        <v>2429</v>
      </c>
      <c r="D181" t="s">
        <v>2452</v>
      </c>
      <c r="E181">
        <v>2025</v>
      </c>
      <c r="F181" s="309">
        <v>1.1226593499999999</v>
      </c>
    </row>
    <row r="182" spans="1:6">
      <c r="A182" t="s">
        <v>2422</v>
      </c>
      <c r="B182" t="s">
        <v>2448</v>
      </c>
      <c r="C182" t="s">
        <v>2429</v>
      </c>
      <c r="D182" t="s">
        <v>2452</v>
      </c>
      <c r="E182">
        <v>2026</v>
      </c>
      <c r="F182" s="309">
        <v>1.1226593499999999</v>
      </c>
    </row>
    <row r="183" spans="1:6">
      <c r="A183" t="s">
        <v>2422</v>
      </c>
      <c r="B183" t="s">
        <v>2448</v>
      </c>
      <c r="C183" t="s">
        <v>2429</v>
      </c>
      <c r="D183" t="s">
        <v>2452</v>
      </c>
      <c r="E183">
        <v>2027</v>
      </c>
      <c r="F183" s="309">
        <v>1.1226593499999999</v>
      </c>
    </row>
    <row r="184" spans="1:6">
      <c r="A184" t="s">
        <v>2422</v>
      </c>
      <c r="B184" t="s">
        <v>2448</v>
      </c>
      <c r="C184" t="s">
        <v>2440</v>
      </c>
      <c r="D184" t="s">
        <v>2447</v>
      </c>
      <c r="E184">
        <v>2024</v>
      </c>
      <c r="F184" s="309">
        <v>1.1226593499999999</v>
      </c>
    </row>
    <row r="185" spans="1:6">
      <c r="A185" t="s">
        <v>2422</v>
      </c>
      <c r="B185" t="s">
        <v>2448</v>
      </c>
      <c r="C185" t="s">
        <v>2440</v>
      </c>
      <c r="D185" t="s">
        <v>2447</v>
      </c>
      <c r="E185">
        <v>2025</v>
      </c>
      <c r="F185" s="309">
        <v>1.1226593499999999</v>
      </c>
    </row>
    <row r="186" spans="1:6">
      <c r="A186" t="s">
        <v>2422</v>
      </c>
      <c r="B186" t="s">
        <v>2448</v>
      </c>
      <c r="C186" t="s">
        <v>2440</v>
      </c>
      <c r="D186" t="s">
        <v>2447</v>
      </c>
      <c r="E186">
        <v>2026</v>
      </c>
      <c r="F186" s="309">
        <v>1.1226593499999999</v>
      </c>
    </row>
    <row r="187" spans="1:6">
      <c r="A187" t="s">
        <v>2422</v>
      </c>
      <c r="B187" t="s">
        <v>2448</v>
      </c>
      <c r="C187" t="s">
        <v>2440</v>
      </c>
      <c r="D187" t="s">
        <v>2447</v>
      </c>
      <c r="E187">
        <v>2027</v>
      </c>
      <c r="F187" s="309">
        <v>1.1226593499999999</v>
      </c>
    </row>
    <row r="188" spans="1:6">
      <c r="A188" t="s">
        <v>2422</v>
      </c>
      <c r="B188" t="s">
        <v>2434</v>
      </c>
      <c r="C188" t="s">
        <v>2429</v>
      </c>
      <c r="D188" t="s">
        <v>2433</v>
      </c>
      <c r="E188">
        <v>2024</v>
      </c>
      <c r="F188" s="309">
        <v>0</v>
      </c>
    </row>
    <row r="189" spans="1:6">
      <c r="A189" t="s">
        <v>2422</v>
      </c>
      <c r="B189" t="s">
        <v>2434</v>
      </c>
      <c r="C189" t="s">
        <v>2429</v>
      </c>
      <c r="D189" t="s">
        <v>2433</v>
      </c>
      <c r="E189">
        <v>2025</v>
      </c>
      <c r="F189" s="309">
        <v>0</v>
      </c>
    </row>
    <row r="190" spans="1:6">
      <c r="A190" t="s">
        <v>2422</v>
      </c>
      <c r="B190" t="s">
        <v>2434</v>
      </c>
      <c r="C190" t="s">
        <v>2429</v>
      </c>
      <c r="D190" t="s">
        <v>2433</v>
      </c>
      <c r="E190">
        <v>2026</v>
      </c>
      <c r="F190" s="309">
        <v>0</v>
      </c>
    </row>
    <row r="191" spans="1:6">
      <c r="A191" t="s">
        <v>2422</v>
      </c>
      <c r="B191" t="s">
        <v>2434</v>
      </c>
      <c r="C191" t="s">
        <v>2429</v>
      </c>
      <c r="D191" t="s">
        <v>2433</v>
      </c>
      <c r="E191">
        <v>2027</v>
      </c>
      <c r="F191" s="309">
        <v>0</v>
      </c>
    </row>
    <row r="192" spans="1:6">
      <c r="A192" t="s">
        <v>2422</v>
      </c>
      <c r="B192" t="s">
        <v>2439</v>
      </c>
      <c r="C192" t="s">
        <v>2429</v>
      </c>
      <c r="D192" t="s">
        <v>2444</v>
      </c>
      <c r="E192">
        <v>2024</v>
      </c>
      <c r="F192" s="309">
        <v>1.1226593499999999</v>
      </c>
    </row>
    <row r="193" spans="1:6">
      <c r="A193" t="s">
        <v>2422</v>
      </c>
      <c r="B193" t="s">
        <v>2439</v>
      </c>
      <c r="C193" t="s">
        <v>2429</v>
      </c>
      <c r="D193" t="s">
        <v>2444</v>
      </c>
      <c r="E193">
        <v>2025</v>
      </c>
      <c r="F193" s="309">
        <v>1.1226593499999999</v>
      </c>
    </row>
    <row r="194" spans="1:6">
      <c r="A194" t="s">
        <v>2422</v>
      </c>
      <c r="B194" t="s">
        <v>2439</v>
      </c>
      <c r="C194" t="s">
        <v>2429</v>
      </c>
      <c r="D194" t="s">
        <v>2444</v>
      </c>
      <c r="E194">
        <v>2026</v>
      </c>
      <c r="F194" s="309">
        <v>1.1226593499999999</v>
      </c>
    </row>
    <row r="195" spans="1:6">
      <c r="A195" t="s">
        <v>2422</v>
      </c>
      <c r="B195" t="s">
        <v>2439</v>
      </c>
      <c r="C195" t="s">
        <v>2429</v>
      </c>
      <c r="D195" t="s">
        <v>2444</v>
      </c>
      <c r="E195">
        <v>2027</v>
      </c>
      <c r="F195" s="309">
        <v>1.1226593499999999</v>
      </c>
    </row>
    <row r="196" spans="1:6">
      <c r="A196" t="s">
        <v>2422</v>
      </c>
      <c r="B196" t="s">
        <v>2439</v>
      </c>
      <c r="C196" t="s">
        <v>2440</v>
      </c>
      <c r="D196" t="s">
        <v>2438</v>
      </c>
      <c r="E196">
        <v>2024</v>
      </c>
      <c r="F196" s="309">
        <v>1.1226593499999999</v>
      </c>
    </row>
    <row r="197" spans="1:6">
      <c r="A197" t="s">
        <v>2422</v>
      </c>
      <c r="B197" t="s">
        <v>2439</v>
      </c>
      <c r="C197" t="s">
        <v>2440</v>
      </c>
      <c r="D197" t="s">
        <v>2438</v>
      </c>
      <c r="E197">
        <v>2025</v>
      </c>
      <c r="F197" s="309">
        <v>1.1226593499999999</v>
      </c>
    </row>
    <row r="198" spans="1:6">
      <c r="A198" t="s">
        <v>2422</v>
      </c>
      <c r="B198" t="s">
        <v>2439</v>
      </c>
      <c r="C198" t="s">
        <v>2440</v>
      </c>
      <c r="D198" t="s">
        <v>2438</v>
      </c>
      <c r="E198">
        <v>2026</v>
      </c>
      <c r="F198" s="309">
        <v>1.1226593499999999</v>
      </c>
    </row>
    <row r="199" spans="1:6">
      <c r="A199" t="s">
        <v>2422</v>
      </c>
      <c r="B199" t="s">
        <v>2439</v>
      </c>
      <c r="C199" t="s">
        <v>2440</v>
      </c>
      <c r="D199" t="s">
        <v>2438</v>
      </c>
      <c r="E199">
        <v>2027</v>
      </c>
      <c r="F199" s="309">
        <v>1.1226593499999999</v>
      </c>
    </row>
    <row r="200" spans="1:6">
      <c r="A200" t="s">
        <v>2422</v>
      </c>
      <c r="B200" t="s">
        <v>2428</v>
      </c>
      <c r="C200" t="s">
        <v>2429</v>
      </c>
      <c r="D200" t="s">
        <v>2353</v>
      </c>
      <c r="E200">
        <v>2024</v>
      </c>
      <c r="F200" s="309">
        <v>0</v>
      </c>
    </row>
    <row r="201" spans="1:6">
      <c r="A201" t="s">
        <v>2422</v>
      </c>
      <c r="B201" t="s">
        <v>2428</v>
      </c>
      <c r="C201" t="s">
        <v>2429</v>
      </c>
      <c r="D201" t="s">
        <v>2353</v>
      </c>
      <c r="E201">
        <v>2025</v>
      </c>
      <c r="F201" s="309">
        <v>0</v>
      </c>
    </row>
    <row r="202" spans="1:6">
      <c r="A202" t="s">
        <v>2422</v>
      </c>
      <c r="B202" t="s">
        <v>2428</v>
      </c>
      <c r="C202" t="s">
        <v>2429</v>
      </c>
      <c r="D202" t="s">
        <v>2353</v>
      </c>
      <c r="E202">
        <v>2026</v>
      </c>
      <c r="F202" s="309">
        <v>0</v>
      </c>
    </row>
    <row r="203" spans="1:6">
      <c r="A203" t="s">
        <v>2422</v>
      </c>
      <c r="B203" t="s">
        <v>2428</v>
      </c>
      <c r="C203" t="s">
        <v>2429</v>
      </c>
      <c r="D203" t="s">
        <v>2353</v>
      </c>
      <c r="E203">
        <v>2027</v>
      </c>
      <c r="F203" s="309">
        <v>0</v>
      </c>
    </row>
    <row r="204" spans="1:6">
      <c r="A204" t="s">
        <v>132</v>
      </c>
      <c r="B204" t="s">
        <v>132</v>
      </c>
      <c r="C204" t="s">
        <v>288</v>
      </c>
      <c r="D204" t="s">
        <v>26</v>
      </c>
      <c r="E204">
        <v>2024</v>
      </c>
      <c r="F204" s="309">
        <v>7884000</v>
      </c>
    </row>
    <row r="205" spans="1:6">
      <c r="A205" t="s">
        <v>132</v>
      </c>
      <c r="B205" t="s">
        <v>132</v>
      </c>
      <c r="C205" t="s">
        <v>288</v>
      </c>
      <c r="D205" t="s">
        <v>26</v>
      </c>
      <c r="E205">
        <v>2025</v>
      </c>
      <c r="F205" s="309">
        <v>7884000</v>
      </c>
    </row>
    <row r="206" spans="1:6">
      <c r="A206" t="s">
        <v>132</v>
      </c>
      <c r="B206" t="s">
        <v>132</v>
      </c>
      <c r="C206" t="s">
        <v>288</v>
      </c>
      <c r="D206" t="s">
        <v>26</v>
      </c>
      <c r="E206">
        <v>2026</v>
      </c>
      <c r="F206" s="309">
        <v>7884000</v>
      </c>
    </row>
    <row r="207" spans="1:6">
      <c r="A207" t="s">
        <v>132</v>
      </c>
      <c r="B207" t="s">
        <v>132</v>
      </c>
      <c r="C207" t="s">
        <v>288</v>
      </c>
      <c r="D207" t="s">
        <v>26</v>
      </c>
      <c r="E207">
        <v>2027</v>
      </c>
      <c r="F207" s="309">
        <v>7884000</v>
      </c>
    </row>
    <row r="208" spans="1:6">
      <c r="A208" t="s">
        <v>680</v>
      </c>
      <c r="B208" t="s">
        <v>911</v>
      </c>
      <c r="C208" t="s">
        <v>751</v>
      </c>
      <c r="D208" t="s">
        <v>750</v>
      </c>
      <c r="E208">
        <v>2024</v>
      </c>
      <c r="F208" s="309">
        <v>0</v>
      </c>
    </row>
    <row r="209" spans="1:6">
      <c r="A209" t="s">
        <v>680</v>
      </c>
      <c r="B209" t="s">
        <v>911</v>
      </c>
      <c r="C209" t="s">
        <v>751</v>
      </c>
      <c r="D209" t="s">
        <v>750</v>
      </c>
      <c r="E209">
        <v>2025</v>
      </c>
      <c r="F209" s="309">
        <v>0</v>
      </c>
    </row>
    <row r="210" spans="1:6">
      <c r="A210" t="s">
        <v>680</v>
      </c>
      <c r="B210" t="s">
        <v>911</v>
      </c>
      <c r="C210" t="s">
        <v>751</v>
      </c>
      <c r="D210" t="s">
        <v>750</v>
      </c>
      <c r="E210">
        <v>2026</v>
      </c>
      <c r="F210" s="309">
        <v>0</v>
      </c>
    </row>
    <row r="211" spans="1:6">
      <c r="A211" t="s">
        <v>680</v>
      </c>
      <c r="B211" t="s">
        <v>911</v>
      </c>
      <c r="C211" t="s">
        <v>751</v>
      </c>
      <c r="D211" t="s">
        <v>750</v>
      </c>
      <c r="E211">
        <v>2027</v>
      </c>
      <c r="F211" s="309">
        <v>0</v>
      </c>
    </row>
    <row r="212" spans="1:6">
      <c r="A212" t="s">
        <v>680</v>
      </c>
      <c r="B212" t="s">
        <v>911</v>
      </c>
      <c r="C212" t="s">
        <v>1270</v>
      </c>
      <c r="D212" t="s">
        <v>1660</v>
      </c>
      <c r="E212">
        <v>2024</v>
      </c>
      <c r="F212" s="309">
        <v>0</v>
      </c>
    </row>
    <row r="213" spans="1:6">
      <c r="A213" t="s">
        <v>680</v>
      </c>
      <c r="B213" t="s">
        <v>911</v>
      </c>
      <c r="C213" t="s">
        <v>1270</v>
      </c>
      <c r="D213" t="s">
        <v>1660</v>
      </c>
      <c r="E213">
        <v>2025</v>
      </c>
      <c r="F213" s="309">
        <v>0</v>
      </c>
    </row>
    <row r="214" spans="1:6">
      <c r="A214" t="s">
        <v>680</v>
      </c>
      <c r="B214" t="s">
        <v>911</v>
      </c>
      <c r="C214" t="s">
        <v>1270</v>
      </c>
      <c r="D214" t="s">
        <v>1660</v>
      </c>
      <c r="E214">
        <v>2026</v>
      </c>
      <c r="F214" s="309">
        <v>0</v>
      </c>
    </row>
    <row r="215" spans="1:6">
      <c r="A215" t="s">
        <v>680</v>
      </c>
      <c r="B215" t="s">
        <v>911</v>
      </c>
      <c r="C215" t="s">
        <v>1270</v>
      </c>
      <c r="D215" t="s">
        <v>1660</v>
      </c>
      <c r="E215">
        <v>2027</v>
      </c>
      <c r="F215" s="309">
        <v>0</v>
      </c>
    </row>
    <row r="216" spans="1:6">
      <c r="A216" t="s">
        <v>680</v>
      </c>
      <c r="B216" t="s">
        <v>911</v>
      </c>
      <c r="C216" t="s">
        <v>913</v>
      </c>
      <c r="D216" t="s">
        <v>912</v>
      </c>
      <c r="E216">
        <v>2024</v>
      </c>
      <c r="F216" s="309">
        <v>2165.0189599999999</v>
      </c>
    </row>
    <row r="217" spans="1:6">
      <c r="A217" t="s">
        <v>680</v>
      </c>
      <c r="B217" t="s">
        <v>911</v>
      </c>
      <c r="C217" t="s">
        <v>913</v>
      </c>
      <c r="D217" t="s">
        <v>912</v>
      </c>
      <c r="E217">
        <v>2025</v>
      </c>
      <c r="F217" s="309">
        <v>2165.0189599999999</v>
      </c>
    </row>
    <row r="218" spans="1:6">
      <c r="A218" t="s">
        <v>680</v>
      </c>
      <c r="B218" t="s">
        <v>911</v>
      </c>
      <c r="C218" t="s">
        <v>913</v>
      </c>
      <c r="D218" t="s">
        <v>912</v>
      </c>
      <c r="E218">
        <v>2026</v>
      </c>
      <c r="F218" s="309">
        <v>2165.0189599999999</v>
      </c>
    </row>
    <row r="219" spans="1:6">
      <c r="A219" t="s">
        <v>680</v>
      </c>
      <c r="B219" t="s">
        <v>911</v>
      </c>
      <c r="C219" t="s">
        <v>913</v>
      </c>
      <c r="D219" t="s">
        <v>912</v>
      </c>
      <c r="E219">
        <v>2027</v>
      </c>
      <c r="F219" s="309">
        <v>2165.0189599999999</v>
      </c>
    </row>
    <row r="220" spans="1:6">
      <c r="A220" t="s">
        <v>680</v>
      </c>
      <c r="B220" t="s">
        <v>911</v>
      </c>
      <c r="C220" t="s">
        <v>869</v>
      </c>
      <c r="D220" t="s">
        <v>752</v>
      </c>
      <c r="E220">
        <v>2024</v>
      </c>
      <c r="F220" s="309">
        <v>2741.9087571300001</v>
      </c>
    </row>
    <row r="221" spans="1:6">
      <c r="A221" t="s">
        <v>680</v>
      </c>
      <c r="B221" t="s">
        <v>911</v>
      </c>
      <c r="C221" t="s">
        <v>869</v>
      </c>
      <c r="D221" t="s">
        <v>752</v>
      </c>
      <c r="E221">
        <v>2025</v>
      </c>
      <c r="F221" s="309">
        <v>2741.9087571300001</v>
      </c>
    </row>
    <row r="222" spans="1:6">
      <c r="A222" t="s">
        <v>680</v>
      </c>
      <c r="B222" t="s">
        <v>911</v>
      </c>
      <c r="C222" t="s">
        <v>869</v>
      </c>
      <c r="D222" t="s">
        <v>752</v>
      </c>
      <c r="E222">
        <v>2026</v>
      </c>
      <c r="F222" s="309">
        <v>2741.9087571300001</v>
      </c>
    </row>
    <row r="223" spans="1:6">
      <c r="A223" t="s">
        <v>680</v>
      </c>
      <c r="B223" t="s">
        <v>911</v>
      </c>
      <c r="C223" t="s">
        <v>869</v>
      </c>
      <c r="D223" t="s">
        <v>752</v>
      </c>
      <c r="E223">
        <v>2027</v>
      </c>
      <c r="F223" s="309">
        <v>2741.9087571300001</v>
      </c>
    </row>
    <row r="224" spans="1:6">
      <c r="A224" t="s">
        <v>2729</v>
      </c>
      <c r="B224" t="s">
        <v>2312</v>
      </c>
      <c r="C224" t="s">
        <v>2107</v>
      </c>
      <c r="D224" t="s">
        <v>2315</v>
      </c>
      <c r="E224">
        <v>2024</v>
      </c>
      <c r="F224" s="309">
        <v>0</v>
      </c>
    </row>
    <row r="225" spans="1:6">
      <c r="A225" t="s">
        <v>2729</v>
      </c>
      <c r="B225" t="s">
        <v>2312</v>
      </c>
      <c r="C225" t="s">
        <v>2107</v>
      </c>
      <c r="D225" t="s">
        <v>2315</v>
      </c>
      <c r="E225">
        <v>2025</v>
      </c>
      <c r="F225" s="309">
        <v>0</v>
      </c>
    </row>
    <row r="226" spans="1:6">
      <c r="A226" t="s">
        <v>2729</v>
      </c>
      <c r="B226" t="s">
        <v>2312</v>
      </c>
      <c r="C226" t="s">
        <v>2107</v>
      </c>
      <c r="D226" t="s">
        <v>2315</v>
      </c>
      <c r="E226">
        <v>2026</v>
      </c>
      <c r="F226" s="309">
        <v>0</v>
      </c>
    </row>
    <row r="227" spans="1:6">
      <c r="A227" t="s">
        <v>2729</v>
      </c>
      <c r="B227" t="s">
        <v>2312</v>
      </c>
      <c r="C227" t="s">
        <v>2107</v>
      </c>
      <c r="D227" t="s">
        <v>2315</v>
      </c>
      <c r="E227">
        <v>2027</v>
      </c>
      <c r="F227" s="309">
        <v>0</v>
      </c>
    </row>
    <row r="228" spans="1:6">
      <c r="A228" t="s">
        <v>2729</v>
      </c>
      <c r="B228" t="s">
        <v>2301</v>
      </c>
      <c r="C228" t="s">
        <v>2107</v>
      </c>
      <c r="D228" t="s">
        <v>2106</v>
      </c>
      <c r="E228">
        <v>2024</v>
      </c>
      <c r="F228" s="309">
        <v>59.481408909999999</v>
      </c>
    </row>
    <row r="229" spans="1:6">
      <c r="A229" t="s">
        <v>2729</v>
      </c>
      <c r="B229" t="s">
        <v>2301</v>
      </c>
      <c r="C229" t="s">
        <v>2107</v>
      </c>
      <c r="D229" t="s">
        <v>2106</v>
      </c>
      <c r="E229">
        <v>2025</v>
      </c>
      <c r="F229" s="309">
        <v>59.481408909999999</v>
      </c>
    </row>
    <row r="230" spans="1:6">
      <c r="A230" t="s">
        <v>2729</v>
      </c>
      <c r="B230" t="s">
        <v>2301</v>
      </c>
      <c r="C230" t="s">
        <v>2107</v>
      </c>
      <c r="D230" t="s">
        <v>2106</v>
      </c>
      <c r="E230">
        <v>2026</v>
      </c>
      <c r="F230" s="309">
        <v>59.481408909999999</v>
      </c>
    </row>
    <row r="231" spans="1:6">
      <c r="A231" t="s">
        <v>2729</v>
      </c>
      <c r="B231" t="s">
        <v>2301</v>
      </c>
      <c r="C231" t="s">
        <v>2107</v>
      </c>
      <c r="D231" t="s">
        <v>2106</v>
      </c>
      <c r="E231">
        <v>2027</v>
      </c>
      <c r="F231" s="309">
        <v>59.481408909999999</v>
      </c>
    </row>
    <row r="232" spans="1:6">
      <c r="A232" t="s">
        <v>2729</v>
      </c>
      <c r="B232" t="s">
        <v>2319</v>
      </c>
      <c r="C232" t="s">
        <v>2107</v>
      </c>
      <c r="D232" t="s">
        <v>2322</v>
      </c>
      <c r="E232">
        <v>2024</v>
      </c>
      <c r="F232" s="309">
        <v>5851.9214147000002</v>
      </c>
    </row>
    <row r="233" spans="1:6">
      <c r="A233" t="s">
        <v>2729</v>
      </c>
      <c r="B233" t="s">
        <v>2319</v>
      </c>
      <c r="C233" t="s">
        <v>2107</v>
      </c>
      <c r="D233" t="s">
        <v>2322</v>
      </c>
      <c r="E233">
        <v>2025</v>
      </c>
      <c r="F233" s="309">
        <v>5851.9214147000002</v>
      </c>
    </row>
    <row r="234" spans="1:6">
      <c r="A234" t="s">
        <v>2729</v>
      </c>
      <c r="B234" t="s">
        <v>2319</v>
      </c>
      <c r="C234" t="s">
        <v>2107</v>
      </c>
      <c r="D234" t="s">
        <v>2322</v>
      </c>
      <c r="E234">
        <v>2026</v>
      </c>
      <c r="F234" s="309">
        <v>5851.9214147000002</v>
      </c>
    </row>
    <row r="235" spans="1:6">
      <c r="A235" t="s">
        <v>2729</v>
      </c>
      <c r="B235" t="s">
        <v>2319</v>
      </c>
      <c r="C235" t="s">
        <v>2107</v>
      </c>
      <c r="D235" t="s">
        <v>2322</v>
      </c>
      <c r="E235">
        <v>2027</v>
      </c>
      <c r="F235" s="309">
        <v>5851.9214147000002</v>
      </c>
    </row>
    <row r="236" spans="1:6">
      <c r="A236" t="s">
        <v>2729</v>
      </c>
      <c r="B236" t="s">
        <v>2306</v>
      </c>
      <c r="C236" t="s">
        <v>2107</v>
      </c>
      <c r="D236" t="s">
        <v>2110</v>
      </c>
      <c r="E236">
        <v>2024</v>
      </c>
      <c r="F236" s="309">
        <v>59.481408909999999</v>
      </c>
    </row>
    <row r="237" spans="1:6">
      <c r="A237" t="s">
        <v>2729</v>
      </c>
      <c r="B237" t="s">
        <v>2306</v>
      </c>
      <c r="C237" t="s">
        <v>2107</v>
      </c>
      <c r="D237" t="s">
        <v>2110</v>
      </c>
      <c r="E237">
        <v>2025</v>
      </c>
      <c r="F237" s="309">
        <v>59.481408909999999</v>
      </c>
    </row>
    <row r="238" spans="1:6">
      <c r="A238" t="s">
        <v>2729</v>
      </c>
      <c r="B238" t="s">
        <v>2306</v>
      </c>
      <c r="C238" t="s">
        <v>2107</v>
      </c>
      <c r="D238" t="s">
        <v>2110</v>
      </c>
      <c r="E238">
        <v>2026</v>
      </c>
      <c r="F238" s="309">
        <v>59.481408909999999</v>
      </c>
    </row>
    <row r="239" spans="1:6">
      <c r="A239" t="s">
        <v>2729</v>
      </c>
      <c r="B239" t="s">
        <v>2306</v>
      </c>
      <c r="C239" t="s">
        <v>2107</v>
      </c>
      <c r="D239" t="s">
        <v>2110</v>
      </c>
      <c r="E239">
        <v>2027</v>
      </c>
      <c r="F239" s="309">
        <v>59.481408909999999</v>
      </c>
    </row>
    <row r="240" spans="1:6">
      <c r="A240" t="s">
        <v>2729</v>
      </c>
      <c r="B240" t="s">
        <v>1254</v>
      </c>
      <c r="C240" t="s">
        <v>1275</v>
      </c>
      <c r="D240" t="s">
        <v>1586</v>
      </c>
      <c r="E240">
        <v>2025</v>
      </c>
      <c r="F240" s="309">
        <v>58.720546859999999</v>
      </c>
    </row>
    <row r="241" spans="1:6">
      <c r="A241" t="s">
        <v>2729</v>
      </c>
      <c r="B241" t="s">
        <v>1254</v>
      </c>
      <c r="C241" t="s">
        <v>1275</v>
      </c>
      <c r="D241" t="s">
        <v>1586</v>
      </c>
      <c r="E241">
        <v>2026</v>
      </c>
      <c r="F241" s="309">
        <v>57.319778450000001</v>
      </c>
    </row>
    <row r="242" spans="1:6">
      <c r="A242" t="s">
        <v>2729</v>
      </c>
      <c r="B242" t="s">
        <v>1254</v>
      </c>
      <c r="C242" t="s">
        <v>1275</v>
      </c>
      <c r="D242" t="s">
        <v>1586</v>
      </c>
      <c r="E242">
        <v>2027</v>
      </c>
      <c r="F242" s="309">
        <v>56.725847999999999</v>
      </c>
    </row>
    <row r="243" spans="1:6">
      <c r="A243" t="s">
        <v>2729</v>
      </c>
      <c r="B243" t="s">
        <v>1255</v>
      </c>
      <c r="C243" t="s">
        <v>1275</v>
      </c>
      <c r="D243" t="s">
        <v>1587</v>
      </c>
      <c r="E243">
        <v>2024</v>
      </c>
      <c r="F243" s="309">
        <v>32.461487609999999</v>
      </c>
    </row>
    <row r="244" spans="1:6">
      <c r="A244" t="s">
        <v>2729</v>
      </c>
      <c r="B244" t="s">
        <v>1255</v>
      </c>
      <c r="C244" t="s">
        <v>1275</v>
      </c>
      <c r="D244" t="s">
        <v>1587</v>
      </c>
      <c r="E244">
        <v>2025</v>
      </c>
      <c r="F244" s="309">
        <v>32.461487609999999</v>
      </c>
    </row>
    <row r="245" spans="1:6">
      <c r="A245" t="s">
        <v>2729</v>
      </c>
      <c r="B245" t="s">
        <v>1255</v>
      </c>
      <c r="C245" t="s">
        <v>1275</v>
      </c>
      <c r="D245" t="s">
        <v>1587</v>
      </c>
      <c r="E245">
        <v>2026</v>
      </c>
      <c r="F245" s="309">
        <v>32.461487609999999</v>
      </c>
    </row>
    <row r="246" spans="1:6">
      <c r="A246" t="s">
        <v>2729</v>
      </c>
      <c r="B246" t="s">
        <v>1255</v>
      </c>
      <c r="C246" t="s">
        <v>1275</v>
      </c>
      <c r="D246" t="s">
        <v>1587</v>
      </c>
      <c r="E246">
        <v>2027</v>
      </c>
      <c r="F246" s="309">
        <v>45.321378009999997</v>
      </c>
    </row>
    <row r="247" spans="1:6">
      <c r="A247" t="s">
        <v>134</v>
      </c>
      <c r="B247" t="s">
        <v>241</v>
      </c>
      <c r="C247" t="s">
        <v>288</v>
      </c>
      <c r="D247" t="s">
        <v>341</v>
      </c>
      <c r="E247">
        <v>2024</v>
      </c>
      <c r="F247" s="309">
        <v>8760000</v>
      </c>
    </row>
    <row r="248" spans="1:6">
      <c r="A248" t="s">
        <v>134</v>
      </c>
      <c r="B248" t="s">
        <v>241</v>
      </c>
      <c r="C248" t="s">
        <v>288</v>
      </c>
      <c r="D248" t="s">
        <v>341</v>
      </c>
      <c r="E248">
        <v>2025</v>
      </c>
      <c r="F248" s="309">
        <v>8760000</v>
      </c>
    </row>
    <row r="249" spans="1:6">
      <c r="A249" t="s">
        <v>134</v>
      </c>
      <c r="B249" t="s">
        <v>241</v>
      </c>
      <c r="C249" t="s">
        <v>288</v>
      </c>
      <c r="D249" t="s">
        <v>341</v>
      </c>
      <c r="E249">
        <v>2026</v>
      </c>
      <c r="F249" s="309">
        <v>8760000</v>
      </c>
    </row>
    <row r="250" spans="1:6">
      <c r="A250" t="s">
        <v>134</v>
      </c>
      <c r="B250" t="s">
        <v>241</v>
      </c>
      <c r="C250" t="s">
        <v>288</v>
      </c>
      <c r="D250" t="s">
        <v>341</v>
      </c>
      <c r="E250">
        <v>2027</v>
      </c>
      <c r="F250" s="309">
        <v>8760000</v>
      </c>
    </row>
    <row r="251" spans="1:6">
      <c r="A251" t="s">
        <v>134</v>
      </c>
      <c r="B251" t="s">
        <v>254</v>
      </c>
      <c r="C251" t="s">
        <v>288</v>
      </c>
      <c r="D251" t="s">
        <v>362</v>
      </c>
      <c r="E251">
        <v>2024</v>
      </c>
      <c r="F251" s="309">
        <v>8760000</v>
      </c>
    </row>
    <row r="252" spans="1:6">
      <c r="A252" t="s">
        <v>134</v>
      </c>
      <c r="B252" t="s">
        <v>254</v>
      </c>
      <c r="C252" t="s">
        <v>288</v>
      </c>
      <c r="D252" t="s">
        <v>362</v>
      </c>
      <c r="E252">
        <v>2025</v>
      </c>
      <c r="F252" s="309">
        <v>8760000</v>
      </c>
    </row>
    <row r="253" spans="1:6">
      <c r="A253" t="s">
        <v>134</v>
      </c>
      <c r="B253" t="s">
        <v>254</v>
      </c>
      <c r="C253" t="s">
        <v>288</v>
      </c>
      <c r="D253" t="s">
        <v>362</v>
      </c>
      <c r="E253">
        <v>2026</v>
      </c>
      <c r="F253" s="309">
        <v>8760000</v>
      </c>
    </row>
    <row r="254" spans="1:6">
      <c r="A254" t="s">
        <v>134</v>
      </c>
      <c r="B254" t="s">
        <v>254</v>
      </c>
      <c r="C254" t="s">
        <v>288</v>
      </c>
      <c r="D254" t="s">
        <v>362</v>
      </c>
      <c r="E254">
        <v>2027</v>
      </c>
      <c r="F254" s="309">
        <v>8760000</v>
      </c>
    </row>
    <row r="255" spans="1:6">
      <c r="A255" t="s">
        <v>1969</v>
      </c>
      <c r="B255" t="s">
        <v>250</v>
      </c>
      <c r="C255" t="s">
        <v>302</v>
      </c>
      <c r="D255" t="s">
        <v>58</v>
      </c>
      <c r="E255">
        <v>2024</v>
      </c>
      <c r="F255" s="309">
        <v>645.91485203000002</v>
      </c>
    </row>
    <row r="256" spans="1:6">
      <c r="A256" t="s">
        <v>1969</v>
      </c>
      <c r="B256" t="s">
        <v>250</v>
      </c>
      <c r="C256" t="s">
        <v>302</v>
      </c>
      <c r="D256" t="s">
        <v>58</v>
      </c>
      <c r="E256">
        <v>2025</v>
      </c>
      <c r="F256" s="309">
        <v>645.91485203000002</v>
      </c>
    </row>
    <row r="257" spans="1:6">
      <c r="A257" t="s">
        <v>1969</v>
      </c>
      <c r="B257" t="s">
        <v>250</v>
      </c>
      <c r="C257" t="s">
        <v>302</v>
      </c>
      <c r="D257" t="s">
        <v>58</v>
      </c>
      <c r="E257">
        <v>2026</v>
      </c>
      <c r="F257" s="309">
        <v>645.91485203000002</v>
      </c>
    </row>
    <row r="258" spans="1:6">
      <c r="A258" t="s">
        <v>1969</v>
      </c>
      <c r="B258" t="s">
        <v>250</v>
      </c>
      <c r="C258" t="s">
        <v>302</v>
      </c>
      <c r="D258" t="s">
        <v>58</v>
      </c>
      <c r="E258">
        <v>2027</v>
      </c>
      <c r="F258" s="309">
        <v>645.91485203000002</v>
      </c>
    </row>
    <row r="259" spans="1:6">
      <c r="A259" t="s">
        <v>1969</v>
      </c>
      <c r="B259" t="s">
        <v>250</v>
      </c>
      <c r="C259" t="s">
        <v>311</v>
      </c>
      <c r="D259" t="s">
        <v>1611</v>
      </c>
      <c r="E259">
        <v>2024</v>
      </c>
      <c r="F259" s="309">
        <v>0</v>
      </c>
    </row>
    <row r="260" spans="1:6">
      <c r="A260" t="s">
        <v>1969</v>
      </c>
      <c r="B260" t="s">
        <v>250</v>
      </c>
      <c r="C260" t="s">
        <v>311</v>
      </c>
      <c r="D260" t="s">
        <v>1611</v>
      </c>
      <c r="E260">
        <v>2025</v>
      </c>
      <c r="F260" s="309">
        <v>0</v>
      </c>
    </row>
    <row r="261" spans="1:6">
      <c r="A261" t="s">
        <v>1969</v>
      </c>
      <c r="B261" t="s">
        <v>250</v>
      </c>
      <c r="C261" t="s">
        <v>311</v>
      </c>
      <c r="D261" t="s">
        <v>1611</v>
      </c>
      <c r="E261">
        <v>2026</v>
      </c>
      <c r="F261" s="309">
        <v>0</v>
      </c>
    </row>
    <row r="262" spans="1:6">
      <c r="A262" t="s">
        <v>1969</v>
      </c>
      <c r="B262" t="s">
        <v>250</v>
      </c>
      <c r="C262" t="s">
        <v>311</v>
      </c>
      <c r="D262" t="s">
        <v>1611</v>
      </c>
      <c r="E262">
        <v>2027</v>
      </c>
      <c r="F262" s="309">
        <v>299.98098019999998</v>
      </c>
    </row>
    <row r="263" spans="1:6">
      <c r="A263" t="s">
        <v>1969</v>
      </c>
      <c r="B263" t="s">
        <v>250</v>
      </c>
      <c r="C263" t="s">
        <v>695</v>
      </c>
      <c r="D263" t="s">
        <v>1612</v>
      </c>
      <c r="E263">
        <v>2024</v>
      </c>
      <c r="F263" s="309">
        <v>0</v>
      </c>
    </row>
    <row r="264" spans="1:6">
      <c r="A264" t="s">
        <v>1969</v>
      </c>
      <c r="B264" t="s">
        <v>250</v>
      </c>
      <c r="C264" t="s">
        <v>695</v>
      </c>
      <c r="D264" t="s">
        <v>1612</v>
      </c>
      <c r="E264">
        <v>2025</v>
      </c>
      <c r="F264" s="309">
        <v>0</v>
      </c>
    </row>
    <row r="265" spans="1:6">
      <c r="A265" t="s">
        <v>1969</v>
      </c>
      <c r="B265" t="s">
        <v>250</v>
      </c>
      <c r="C265" t="s">
        <v>695</v>
      </c>
      <c r="D265" t="s">
        <v>1612</v>
      </c>
      <c r="E265">
        <v>2026</v>
      </c>
      <c r="F265" s="309">
        <v>0</v>
      </c>
    </row>
    <row r="266" spans="1:6">
      <c r="A266" t="s">
        <v>1969</v>
      </c>
      <c r="B266" t="s">
        <v>250</v>
      </c>
      <c r="C266" t="s">
        <v>695</v>
      </c>
      <c r="D266" t="s">
        <v>1612</v>
      </c>
      <c r="E266">
        <v>2027</v>
      </c>
      <c r="F266" s="309">
        <v>0</v>
      </c>
    </row>
    <row r="267" spans="1:6">
      <c r="A267" t="s">
        <v>1969</v>
      </c>
      <c r="B267" t="s">
        <v>250</v>
      </c>
      <c r="C267" t="s">
        <v>697</v>
      </c>
      <c r="D267" t="s">
        <v>1613</v>
      </c>
      <c r="E267">
        <v>2024</v>
      </c>
      <c r="F267" s="309">
        <v>0</v>
      </c>
    </row>
    <row r="268" spans="1:6">
      <c r="A268" t="s">
        <v>1969</v>
      </c>
      <c r="B268" t="s">
        <v>250</v>
      </c>
      <c r="C268" t="s">
        <v>697</v>
      </c>
      <c r="D268" t="s">
        <v>1613</v>
      </c>
      <c r="E268">
        <v>2025</v>
      </c>
      <c r="F268" s="309">
        <v>0</v>
      </c>
    </row>
    <row r="269" spans="1:6">
      <c r="A269" t="s">
        <v>1969</v>
      </c>
      <c r="B269" t="s">
        <v>250</v>
      </c>
      <c r="C269" t="s">
        <v>697</v>
      </c>
      <c r="D269" t="s">
        <v>1613</v>
      </c>
      <c r="E269">
        <v>2026</v>
      </c>
      <c r="F269" s="309">
        <v>0</v>
      </c>
    </row>
    <row r="270" spans="1:6">
      <c r="A270" t="s">
        <v>1969</v>
      </c>
      <c r="B270" t="s">
        <v>250</v>
      </c>
      <c r="C270" t="s">
        <v>697</v>
      </c>
      <c r="D270" t="s">
        <v>1613</v>
      </c>
      <c r="E270">
        <v>2027</v>
      </c>
      <c r="F270" s="309">
        <v>0</v>
      </c>
    </row>
    <row r="271" spans="1:6">
      <c r="A271" t="s">
        <v>1969</v>
      </c>
      <c r="B271" t="s">
        <v>253</v>
      </c>
      <c r="C271" t="s">
        <v>298</v>
      </c>
      <c r="D271" t="s">
        <v>359</v>
      </c>
      <c r="E271">
        <v>2024</v>
      </c>
      <c r="F271" s="309">
        <v>0</v>
      </c>
    </row>
    <row r="272" spans="1:6">
      <c r="A272" t="s">
        <v>1969</v>
      </c>
      <c r="B272" t="s">
        <v>253</v>
      </c>
      <c r="C272" t="s">
        <v>298</v>
      </c>
      <c r="D272" t="s">
        <v>359</v>
      </c>
      <c r="E272">
        <v>2025</v>
      </c>
      <c r="F272" s="309">
        <v>0</v>
      </c>
    </row>
    <row r="273" spans="1:6">
      <c r="A273" t="s">
        <v>1969</v>
      </c>
      <c r="B273" t="s">
        <v>253</v>
      </c>
      <c r="C273" t="s">
        <v>298</v>
      </c>
      <c r="D273" t="s">
        <v>359</v>
      </c>
      <c r="E273">
        <v>2026</v>
      </c>
      <c r="F273" s="309">
        <v>0</v>
      </c>
    </row>
    <row r="274" spans="1:6">
      <c r="A274" t="s">
        <v>1969</v>
      </c>
      <c r="B274" t="s">
        <v>253</v>
      </c>
      <c r="C274" t="s">
        <v>298</v>
      </c>
      <c r="D274" t="s">
        <v>359</v>
      </c>
      <c r="E274">
        <v>2027</v>
      </c>
      <c r="F274" s="309">
        <v>0</v>
      </c>
    </row>
    <row r="275" spans="1:6">
      <c r="A275" t="s">
        <v>1969</v>
      </c>
      <c r="B275" t="s">
        <v>253</v>
      </c>
      <c r="C275" t="s">
        <v>299</v>
      </c>
      <c r="D275" t="s">
        <v>360</v>
      </c>
      <c r="E275">
        <v>2024</v>
      </c>
      <c r="F275" s="309">
        <v>0</v>
      </c>
    </row>
    <row r="276" spans="1:6">
      <c r="A276" t="s">
        <v>1969</v>
      </c>
      <c r="B276" t="s">
        <v>253</v>
      </c>
      <c r="C276" t="s">
        <v>299</v>
      </c>
      <c r="D276" t="s">
        <v>360</v>
      </c>
      <c r="E276">
        <v>2025</v>
      </c>
      <c r="F276" s="309">
        <v>0</v>
      </c>
    </row>
    <row r="277" spans="1:6">
      <c r="A277" t="s">
        <v>1969</v>
      </c>
      <c r="B277" t="s">
        <v>253</v>
      </c>
      <c r="C277" t="s">
        <v>299</v>
      </c>
      <c r="D277" t="s">
        <v>360</v>
      </c>
      <c r="E277">
        <v>2026</v>
      </c>
      <c r="F277" s="309">
        <v>0</v>
      </c>
    </row>
    <row r="278" spans="1:6">
      <c r="A278" t="s">
        <v>1969</v>
      </c>
      <c r="B278" t="s">
        <v>253</v>
      </c>
      <c r="C278" t="s">
        <v>299</v>
      </c>
      <c r="D278" t="s">
        <v>360</v>
      </c>
      <c r="E278">
        <v>2027</v>
      </c>
      <c r="F278" s="309">
        <v>0</v>
      </c>
    </row>
    <row r="279" spans="1:6">
      <c r="A279" t="s">
        <v>1969</v>
      </c>
      <c r="B279" t="s">
        <v>253</v>
      </c>
      <c r="C279" t="s">
        <v>300</v>
      </c>
      <c r="D279" t="s">
        <v>361</v>
      </c>
      <c r="E279">
        <v>2024</v>
      </c>
      <c r="F279" s="309">
        <v>0</v>
      </c>
    </row>
    <row r="280" spans="1:6">
      <c r="A280" t="s">
        <v>1969</v>
      </c>
      <c r="B280" t="s">
        <v>253</v>
      </c>
      <c r="C280" t="s">
        <v>300</v>
      </c>
      <c r="D280" t="s">
        <v>361</v>
      </c>
      <c r="E280">
        <v>2025</v>
      </c>
      <c r="F280" s="309">
        <v>0</v>
      </c>
    </row>
    <row r="281" spans="1:6">
      <c r="A281" t="s">
        <v>1969</v>
      </c>
      <c r="B281" t="s">
        <v>253</v>
      </c>
      <c r="C281" t="s">
        <v>300</v>
      </c>
      <c r="D281" t="s">
        <v>361</v>
      </c>
      <c r="E281">
        <v>2026</v>
      </c>
      <c r="F281" s="309">
        <v>0</v>
      </c>
    </row>
    <row r="282" spans="1:6">
      <c r="A282" t="s">
        <v>1969</v>
      </c>
      <c r="B282" t="s">
        <v>253</v>
      </c>
      <c r="C282" t="s">
        <v>300</v>
      </c>
      <c r="D282" t="s">
        <v>361</v>
      </c>
      <c r="E282">
        <v>2027</v>
      </c>
      <c r="F282" s="309">
        <v>0</v>
      </c>
    </row>
    <row r="283" spans="1:6">
      <c r="A283" t="s">
        <v>1969</v>
      </c>
      <c r="B283" t="s">
        <v>253</v>
      </c>
      <c r="C283" t="s">
        <v>301</v>
      </c>
      <c r="D283" t="s">
        <v>867</v>
      </c>
      <c r="E283">
        <v>2024</v>
      </c>
      <c r="F283" s="309">
        <v>0</v>
      </c>
    </row>
    <row r="284" spans="1:6">
      <c r="A284" t="s">
        <v>1969</v>
      </c>
      <c r="B284" t="s">
        <v>253</v>
      </c>
      <c r="C284" t="s">
        <v>301</v>
      </c>
      <c r="D284" t="s">
        <v>867</v>
      </c>
      <c r="E284">
        <v>2025</v>
      </c>
      <c r="F284" s="309">
        <v>0</v>
      </c>
    </row>
    <row r="285" spans="1:6">
      <c r="A285" t="s">
        <v>1969</v>
      </c>
      <c r="B285" t="s">
        <v>253</v>
      </c>
      <c r="C285" t="s">
        <v>301</v>
      </c>
      <c r="D285" t="s">
        <v>867</v>
      </c>
      <c r="E285">
        <v>2026</v>
      </c>
      <c r="F285" s="309">
        <v>0</v>
      </c>
    </row>
    <row r="286" spans="1:6">
      <c r="A286" t="s">
        <v>1969</v>
      </c>
      <c r="B286" t="s">
        <v>253</v>
      </c>
      <c r="C286" t="s">
        <v>301</v>
      </c>
      <c r="D286" t="s">
        <v>867</v>
      </c>
      <c r="E286">
        <v>2027</v>
      </c>
      <c r="F286" s="309">
        <v>0</v>
      </c>
    </row>
    <row r="287" spans="1:6">
      <c r="A287" t="s">
        <v>1969</v>
      </c>
      <c r="B287" t="s">
        <v>253</v>
      </c>
      <c r="C287" t="s">
        <v>302</v>
      </c>
      <c r="D287" t="s">
        <v>70</v>
      </c>
      <c r="E287">
        <v>2024</v>
      </c>
      <c r="F287" s="309">
        <v>1041.86170055</v>
      </c>
    </row>
    <row r="288" spans="1:6">
      <c r="A288" t="s">
        <v>1969</v>
      </c>
      <c r="B288" t="s">
        <v>253</v>
      </c>
      <c r="C288" t="s">
        <v>302</v>
      </c>
      <c r="D288" t="s">
        <v>70</v>
      </c>
      <c r="E288">
        <v>2025</v>
      </c>
      <c r="F288" s="309">
        <v>1041.86170055</v>
      </c>
    </row>
    <row r="289" spans="1:6">
      <c r="A289" t="s">
        <v>1969</v>
      </c>
      <c r="B289" t="s">
        <v>253</v>
      </c>
      <c r="C289" t="s">
        <v>302</v>
      </c>
      <c r="D289" t="s">
        <v>70</v>
      </c>
      <c r="E289">
        <v>2026</v>
      </c>
      <c r="F289" s="309">
        <v>1041.86170055</v>
      </c>
    </row>
    <row r="290" spans="1:6">
      <c r="A290" t="s">
        <v>1969</v>
      </c>
      <c r="B290" t="s">
        <v>253</v>
      </c>
      <c r="C290" t="s">
        <v>302</v>
      </c>
      <c r="D290" t="s">
        <v>70</v>
      </c>
      <c r="E290">
        <v>2027</v>
      </c>
      <c r="F290" s="309">
        <v>1041.86170055</v>
      </c>
    </row>
    <row r="291" spans="1:6">
      <c r="A291" t="s">
        <v>1969</v>
      </c>
      <c r="B291" t="s">
        <v>253</v>
      </c>
      <c r="C291" t="s">
        <v>311</v>
      </c>
      <c r="D291" t="s">
        <v>966</v>
      </c>
      <c r="E291">
        <v>2024</v>
      </c>
      <c r="F291" s="309">
        <v>0</v>
      </c>
    </row>
    <row r="292" spans="1:6">
      <c r="A292" t="s">
        <v>1969</v>
      </c>
      <c r="B292" t="s">
        <v>253</v>
      </c>
      <c r="C292" t="s">
        <v>311</v>
      </c>
      <c r="D292" t="s">
        <v>966</v>
      </c>
      <c r="E292">
        <v>2025</v>
      </c>
      <c r="F292" s="309">
        <v>0</v>
      </c>
    </row>
    <row r="293" spans="1:6">
      <c r="A293" t="s">
        <v>1969</v>
      </c>
      <c r="B293" t="s">
        <v>253</v>
      </c>
      <c r="C293" t="s">
        <v>311</v>
      </c>
      <c r="D293" t="s">
        <v>966</v>
      </c>
      <c r="E293">
        <v>2026</v>
      </c>
      <c r="F293" s="309">
        <v>0</v>
      </c>
    </row>
    <row r="294" spans="1:6">
      <c r="A294" t="s">
        <v>1969</v>
      </c>
      <c r="B294" t="s">
        <v>253</v>
      </c>
      <c r="C294" t="s">
        <v>311</v>
      </c>
      <c r="D294" t="s">
        <v>966</v>
      </c>
      <c r="E294">
        <v>2027</v>
      </c>
      <c r="F294" s="309">
        <v>443.7</v>
      </c>
    </row>
    <row r="295" spans="1:6">
      <c r="A295" t="s">
        <v>1969</v>
      </c>
      <c r="B295" t="s">
        <v>258</v>
      </c>
      <c r="C295" t="s">
        <v>302</v>
      </c>
      <c r="D295" t="s">
        <v>59</v>
      </c>
      <c r="E295">
        <v>2024</v>
      </c>
      <c r="F295" s="309">
        <v>853.47449904999996</v>
      </c>
    </row>
    <row r="296" spans="1:6">
      <c r="A296" t="s">
        <v>1969</v>
      </c>
      <c r="B296" t="s">
        <v>258</v>
      </c>
      <c r="C296" t="s">
        <v>302</v>
      </c>
      <c r="D296" t="s">
        <v>59</v>
      </c>
      <c r="E296">
        <v>2025</v>
      </c>
      <c r="F296" s="309">
        <v>853.47449904999996</v>
      </c>
    </row>
    <row r="297" spans="1:6">
      <c r="A297" t="s">
        <v>1969</v>
      </c>
      <c r="B297" t="s">
        <v>258</v>
      </c>
      <c r="C297" t="s">
        <v>302</v>
      </c>
      <c r="D297" t="s">
        <v>59</v>
      </c>
      <c r="E297">
        <v>2026</v>
      </c>
      <c r="F297" s="309">
        <v>853.47449904999996</v>
      </c>
    </row>
    <row r="298" spans="1:6">
      <c r="A298" t="s">
        <v>1969</v>
      </c>
      <c r="B298" t="s">
        <v>258</v>
      </c>
      <c r="C298" t="s">
        <v>302</v>
      </c>
      <c r="D298" t="s">
        <v>59</v>
      </c>
      <c r="E298">
        <v>2027</v>
      </c>
      <c r="F298" s="309">
        <v>853.47449904999996</v>
      </c>
    </row>
    <row r="299" spans="1:6">
      <c r="A299" t="s">
        <v>1969</v>
      </c>
      <c r="B299" t="s">
        <v>258</v>
      </c>
      <c r="C299" t="s">
        <v>311</v>
      </c>
      <c r="D299" t="s">
        <v>60</v>
      </c>
      <c r="E299">
        <v>2024</v>
      </c>
      <c r="F299" s="309">
        <v>301.28945943999997</v>
      </c>
    </row>
    <row r="300" spans="1:6">
      <c r="A300" t="s">
        <v>1969</v>
      </c>
      <c r="B300" t="s">
        <v>258</v>
      </c>
      <c r="C300" t="s">
        <v>311</v>
      </c>
      <c r="D300" t="s">
        <v>60</v>
      </c>
      <c r="E300">
        <v>2025</v>
      </c>
      <c r="F300" s="309">
        <v>301.28945943999997</v>
      </c>
    </row>
    <row r="301" spans="1:6">
      <c r="A301" t="s">
        <v>1969</v>
      </c>
      <c r="B301" t="s">
        <v>258</v>
      </c>
      <c r="C301" t="s">
        <v>311</v>
      </c>
      <c r="D301" t="s">
        <v>60</v>
      </c>
      <c r="E301">
        <v>2026</v>
      </c>
      <c r="F301" s="309">
        <v>301.28945943999997</v>
      </c>
    </row>
    <row r="302" spans="1:6">
      <c r="A302" t="s">
        <v>1969</v>
      </c>
      <c r="B302" t="s">
        <v>258</v>
      </c>
      <c r="C302" t="s">
        <v>311</v>
      </c>
      <c r="D302" t="s">
        <v>60</v>
      </c>
      <c r="E302">
        <v>2027</v>
      </c>
      <c r="F302" s="309">
        <v>301.28945943999997</v>
      </c>
    </row>
    <row r="303" spans="1:6">
      <c r="A303" t="s">
        <v>1969</v>
      </c>
      <c r="B303" t="s">
        <v>258</v>
      </c>
      <c r="C303" t="s">
        <v>695</v>
      </c>
      <c r="D303" t="s">
        <v>1617</v>
      </c>
      <c r="E303">
        <v>2024</v>
      </c>
      <c r="F303" s="309">
        <v>0</v>
      </c>
    </row>
    <row r="304" spans="1:6">
      <c r="A304" t="s">
        <v>1969</v>
      </c>
      <c r="B304" t="s">
        <v>258</v>
      </c>
      <c r="C304" t="s">
        <v>695</v>
      </c>
      <c r="D304" t="s">
        <v>1617</v>
      </c>
      <c r="E304">
        <v>2025</v>
      </c>
      <c r="F304" s="309">
        <v>0</v>
      </c>
    </row>
    <row r="305" spans="1:6">
      <c r="A305" t="s">
        <v>1969</v>
      </c>
      <c r="B305" t="s">
        <v>258</v>
      </c>
      <c r="C305" t="s">
        <v>695</v>
      </c>
      <c r="D305" t="s">
        <v>1617</v>
      </c>
      <c r="E305">
        <v>2026</v>
      </c>
      <c r="F305" s="309">
        <v>723.09470265000004</v>
      </c>
    </row>
    <row r="306" spans="1:6">
      <c r="A306" t="s">
        <v>1969</v>
      </c>
      <c r="B306" t="s">
        <v>258</v>
      </c>
      <c r="C306" t="s">
        <v>695</v>
      </c>
      <c r="D306" t="s">
        <v>1617</v>
      </c>
      <c r="E306">
        <v>2027</v>
      </c>
      <c r="F306" s="309">
        <v>723.09470265000004</v>
      </c>
    </row>
    <row r="307" spans="1:6">
      <c r="A307" t="s">
        <v>1969</v>
      </c>
      <c r="B307" t="s">
        <v>258</v>
      </c>
      <c r="C307" t="s">
        <v>697</v>
      </c>
      <c r="D307" t="s">
        <v>1618</v>
      </c>
      <c r="E307">
        <v>2024</v>
      </c>
      <c r="F307" s="309">
        <v>0</v>
      </c>
    </row>
    <row r="308" spans="1:6">
      <c r="A308" t="s">
        <v>1969</v>
      </c>
      <c r="B308" t="s">
        <v>258</v>
      </c>
      <c r="C308" t="s">
        <v>697</v>
      </c>
      <c r="D308" t="s">
        <v>1618</v>
      </c>
      <c r="E308">
        <v>2025</v>
      </c>
      <c r="F308" s="309">
        <v>0</v>
      </c>
    </row>
    <row r="309" spans="1:6">
      <c r="A309" t="s">
        <v>1969</v>
      </c>
      <c r="B309" t="s">
        <v>258</v>
      </c>
      <c r="C309" t="s">
        <v>697</v>
      </c>
      <c r="D309" t="s">
        <v>1618</v>
      </c>
      <c r="E309">
        <v>2026</v>
      </c>
      <c r="F309" s="309">
        <v>0</v>
      </c>
    </row>
    <row r="310" spans="1:6">
      <c r="A310" t="s">
        <v>1969</v>
      </c>
      <c r="B310" t="s">
        <v>258</v>
      </c>
      <c r="C310" t="s">
        <v>697</v>
      </c>
      <c r="D310" t="s">
        <v>1618</v>
      </c>
      <c r="E310">
        <v>2027</v>
      </c>
      <c r="F310" s="309">
        <v>0</v>
      </c>
    </row>
    <row r="311" spans="1:6">
      <c r="A311" t="s">
        <v>1969</v>
      </c>
      <c r="B311" t="s">
        <v>261</v>
      </c>
      <c r="C311" t="s">
        <v>308</v>
      </c>
      <c r="D311" t="s">
        <v>371</v>
      </c>
      <c r="E311">
        <v>2024</v>
      </c>
      <c r="F311" s="309">
        <v>0</v>
      </c>
    </row>
    <row r="312" spans="1:6">
      <c r="A312" t="s">
        <v>1969</v>
      </c>
      <c r="B312" t="s">
        <v>261</v>
      </c>
      <c r="C312" t="s">
        <v>308</v>
      </c>
      <c r="D312" t="s">
        <v>371</v>
      </c>
      <c r="E312">
        <v>2025</v>
      </c>
      <c r="F312" s="309">
        <v>0</v>
      </c>
    </row>
    <row r="313" spans="1:6">
      <c r="A313" t="s">
        <v>1969</v>
      </c>
      <c r="B313" t="s">
        <v>261</v>
      </c>
      <c r="C313" t="s">
        <v>308</v>
      </c>
      <c r="D313" t="s">
        <v>371</v>
      </c>
      <c r="E313">
        <v>2026</v>
      </c>
      <c r="F313" s="309">
        <v>0</v>
      </c>
    </row>
    <row r="314" spans="1:6">
      <c r="A314" t="s">
        <v>1969</v>
      </c>
      <c r="B314" t="s">
        <v>261</v>
      </c>
      <c r="C314" t="s">
        <v>308</v>
      </c>
      <c r="D314" t="s">
        <v>371</v>
      </c>
      <c r="E314">
        <v>2027</v>
      </c>
      <c r="F314" s="309">
        <v>0</v>
      </c>
    </row>
    <row r="315" spans="1:6">
      <c r="A315" t="s">
        <v>1969</v>
      </c>
      <c r="B315" t="s">
        <v>261</v>
      </c>
      <c r="C315" t="s">
        <v>309</v>
      </c>
      <c r="D315" t="s">
        <v>372</v>
      </c>
      <c r="E315">
        <v>2024</v>
      </c>
      <c r="F315" s="309">
        <v>0</v>
      </c>
    </row>
    <row r="316" spans="1:6">
      <c r="A316" t="s">
        <v>1969</v>
      </c>
      <c r="B316" t="s">
        <v>261</v>
      </c>
      <c r="C316" t="s">
        <v>309</v>
      </c>
      <c r="D316" t="s">
        <v>372</v>
      </c>
      <c r="E316">
        <v>2025</v>
      </c>
      <c r="F316" s="309">
        <v>0</v>
      </c>
    </row>
    <row r="317" spans="1:6">
      <c r="A317" t="s">
        <v>1969</v>
      </c>
      <c r="B317" t="s">
        <v>261</v>
      </c>
      <c r="C317" t="s">
        <v>309</v>
      </c>
      <c r="D317" t="s">
        <v>372</v>
      </c>
      <c r="E317">
        <v>2026</v>
      </c>
      <c r="F317" s="309">
        <v>0</v>
      </c>
    </row>
    <row r="318" spans="1:6">
      <c r="A318" t="s">
        <v>1969</v>
      </c>
      <c r="B318" t="s">
        <v>261</v>
      </c>
      <c r="C318" t="s">
        <v>309</v>
      </c>
      <c r="D318" t="s">
        <v>372</v>
      </c>
      <c r="E318">
        <v>2027</v>
      </c>
      <c r="F318" s="309">
        <v>0</v>
      </c>
    </row>
    <row r="319" spans="1:6">
      <c r="A319" t="s">
        <v>1969</v>
      </c>
      <c r="B319" t="s">
        <v>261</v>
      </c>
      <c r="C319" t="s">
        <v>310</v>
      </c>
      <c r="D319" t="s">
        <v>373</v>
      </c>
      <c r="E319">
        <v>2024</v>
      </c>
      <c r="F319" s="309">
        <v>0</v>
      </c>
    </row>
    <row r="320" spans="1:6">
      <c r="A320" t="s">
        <v>1969</v>
      </c>
      <c r="B320" t="s">
        <v>261</v>
      </c>
      <c r="C320" t="s">
        <v>310</v>
      </c>
      <c r="D320" t="s">
        <v>373</v>
      </c>
      <c r="E320">
        <v>2025</v>
      </c>
      <c r="F320" s="309">
        <v>0</v>
      </c>
    </row>
    <row r="321" spans="1:6">
      <c r="A321" t="s">
        <v>1969</v>
      </c>
      <c r="B321" t="s">
        <v>261</v>
      </c>
      <c r="C321" t="s">
        <v>310</v>
      </c>
      <c r="D321" t="s">
        <v>373</v>
      </c>
      <c r="E321">
        <v>2026</v>
      </c>
      <c r="F321" s="309">
        <v>0</v>
      </c>
    </row>
    <row r="322" spans="1:6">
      <c r="A322" t="s">
        <v>1969</v>
      </c>
      <c r="B322" t="s">
        <v>261</v>
      </c>
      <c r="C322" t="s">
        <v>310</v>
      </c>
      <c r="D322" t="s">
        <v>373</v>
      </c>
      <c r="E322">
        <v>2027</v>
      </c>
      <c r="F322" s="309">
        <v>0</v>
      </c>
    </row>
    <row r="323" spans="1:6">
      <c r="A323" t="s">
        <v>1969</v>
      </c>
      <c r="B323" t="s">
        <v>261</v>
      </c>
      <c r="C323" t="s">
        <v>302</v>
      </c>
      <c r="D323" t="s">
        <v>71</v>
      </c>
      <c r="E323">
        <v>2024</v>
      </c>
      <c r="F323" s="309">
        <v>502.73330859999999</v>
      </c>
    </row>
    <row r="324" spans="1:6">
      <c r="A324" t="s">
        <v>1969</v>
      </c>
      <c r="B324" t="s">
        <v>261</v>
      </c>
      <c r="C324" t="s">
        <v>302</v>
      </c>
      <c r="D324" t="s">
        <v>71</v>
      </c>
      <c r="E324">
        <v>2025</v>
      </c>
      <c r="F324" s="309">
        <v>502.73330859999999</v>
      </c>
    </row>
    <row r="325" spans="1:6">
      <c r="A325" t="s">
        <v>1969</v>
      </c>
      <c r="B325" t="s">
        <v>261</v>
      </c>
      <c r="C325" t="s">
        <v>302</v>
      </c>
      <c r="D325" t="s">
        <v>71</v>
      </c>
      <c r="E325">
        <v>2026</v>
      </c>
      <c r="F325" s="309">
        <v>502.73330859999999</v>
      </c>
    </row>
    <row r="326" spans="1:6">
      <c r="A326" t="s">
        <v>1969</v>
      </c>
      <c r="B326" t="s">
        <v>261</v>
      </c>
      <c r="C326" t="s">
        <v>302</v>
      </c>
      <c r="D326" t="s">
        <v>71</v>
      </c>
      <c r="E326">
        <v>2027</v>
      </c>
      <c r="F326" s="309">
        <v>502.73330859999999</v>
      </c>
    </row>
    <row r="327" spans="1:6">
      <c r="A327" t="s">
        <v>1969</v>
      </c>
      <c r="B327" t="s">
        <v>261</v>
      </c>
      <c r="C327" t="s">
        <v>311</v>
      </c>
      <c r="D327" t="s">
        <v>967</v>
      </c>
      <c r="E327">
        <v>2024</v>
      </c>
      <c r="F327" s="309">
        <v>400.08</v>
      </c>
    </row>
    <row r="328" spans="1:6">
      <c r="A328" t="s">
        <v>1969</v>
      </c>
      <c r="B328" t="s">
        <v>261</v>
      </c>
      <c r="C328" t="s">
        <v>311</v>
      </c>
      <c r="D328" t="s">
        <v>967</v>
      </c>
      <c r="E328">
        <v>2025</v>
      </c>
      <c r="F328" s="309">
        <v>400.08</v>
      </c>
    </row>
    <row r="329" spans="1:6">
      <c r="A329" t="s">
        <v>1969</v>
      </c>
      <c r="B329" t="s">
        <v>261</v>
      </c>
      <c r="C329" t="s">
        <v>311</v>
      </c>
      <c r="D329" t="s">
        <v>967</v>
      </c>
      <c r="E329">
        <v>2026</v>
      </c>
      <c r="F329" s="309">
        <v>400.08</v>
      </c>
    </row>
    <row r="330" spans="1:6">
      <c r="A330" t="s">
        <v>1969</v>
      </c>
      <c r="B330" t="s">
        <v>261</v>
      </c>
      <c r="C330" t="s">
        <v>311</v>
      </c>
      <c r="D330" t="s">
        <v>967</v>
      </c>
      <c r="E330">
        <v>2027</v>
      </c>
      <c r="F330" s="309">
        <v>400.08</v>
      </c>
    </row>
    <row r="331" spans="1:6">
      <c r="A331" t="s">
        <v>1969</v>
      </c>
      <c r="B331" t="s">
        <v>264</v>
      </c>
      <c r="C331" t="s">
        <v>653</v>
      </c>
      <c r="D331" t="s">
        <v>81</v>
      </c>
      <c r="E331">
        <v>2024</v>
      </c>
      <c r="F331" s="309">
        <v>0</v>
      </c>
    </row>
    <row r="332" spans="1:6">
      <c r="A332" t="s">
        <v>1969</v>
      </c>
      <c r="B332" t="s">
        <v>264</v>
      </c>
      <c r="C332" t="s">
        <v>653</v>
      </c>
      <c r="D332" t="s">
        <v>81</v>
      </c>
      <c r="E332">
        <v>2025</v>
      </c>
      <c r="F332" s="309">
        <v>0</v>
      </c>
    </row>
    <row r="333" spans="1:6">
      <c r="A333" t="s">
        <v>1969</v>
      </c>
      <c r="B333" t="s">
        <v>264</v>
      </c>
      <c r="C333" t="s">
        <v>653</v>
      </c>
      <c r="D333" t="s">
        <v>81</v>
      </c>
      <c r="E333">
        <v>2026</v>
      </c>
      <c r="F333" s="309">
        <v>0</v>
      </c>
    </row>
    <row r="334" spans="1:6">
      <c r="A334" t="s">
        <v>1969</v>
      </c>
      <c r="B334" t="s">
        <v>264</v>
      </c>
      <c r="C334" t="s">
        <v>653</v>
      </c>
      <c r="D334" t="s">
        <v>81</v>
      </c>
      <c r="E334">
        <v>2027</v>
      </c>
      <c r="F334" s="309">
        <v>0</v>
      </c>
    </row>
    <row r="335" spans="1:6">
      <c r="A335" t="s">
        <v>1969</v>
      </c>
      <c r="B335" t="s">
        <v>264</v>
      </c>
      <c r="C335" t="s">
        <v>1005</v>
      </c>
      <c r="D335" t="s">
        <v>61</v>
      </c>
      <c r="E335">
        <v>2024</v>
      </c>
      <c r="F335" s="309">
        <v>169.58165966000001</v>
      </c>
    </row>
    <row r="336" spans="1:6">
      <c r="A336" t="s">
        <v>1969</v>
      </c>
      <c r="B336" t="s">
        <v>264</v>
      </c>
      <c r="C336" t="s">
        <v>1005</v>
      </c>
      <c r="D336" t="s">
        <v>61</v>
      </c>
      <c r="E336">
        <v>2025</v>
      </c>
      <c r="F336" s="309">
        <v>169.58165966000001</v>
      </c>
    </row>
    <row r="337" spans="1:6">
      <c r="A337" t="s">
        <v>1969</v>
      </c>
      <c r="B337" t="s">
        <v>264</v>
      </c>
      <c r="C337" t="s">
        <v>1005</v>
      </c>
      <c r="D337" t="s">
        <v>61</v>
      </c>
      <c r="E337">
        <v>2026</v>
      </c>
      <c r="F337" s="309">
        <v>169.58165966000001</v>
      </c>
    </row>
    <row r="338" spans="1:6">
      <c r="A338" t="s">
        <v>1969</v>
      </c>
      <c r="B338" t="s">
        <v>264</v>
      </c>
      <c r="C338" t="s">
        <v>1005</v>
      </c>
      <c r="D338" t="s">
        <v>61</v>
      </c>
      <c r="E338">
        <v>2027</v>
      </c>
      <c r="F338" s="309">
        <v>169.58165966000001</v>
      </c>
    </row>
    <row r="339" spans="1:6">
      <c r="A339" t="s">
        <v>1969</v>
      </c>
      <c r="B339" t="s">
        <v>264</v>
      </c>
      <c r="C339" t="s">
        <v>740</v>
      </c>
      <c r="D339" t="s">
        <v>62</v>
      </c>
      <c r="E339">
        <v>2024</v>
      </c>
      <c r="F339" s="309">
        <v>225.61462945</v>
      </c>
    </row>
    <row r="340" spans="1:6">
      <c r="A340" t="s">
        <v>1969</v>
      </c>
      <c r="B340" t="s">
        <v>264</v>
      </c>
      <c r="C340" t="s">
        <v>740</v>
      </c>
      <c r="D340" t="s">
        <v>62</v>
      </c>
      <c r="E340">
        <v>2025</v>
      </c>
      <c r="F340" s="309">
        <v>225.61462945</v>
      </c>
    </row>
    <row r="341" spans="1:6">
      <c r="A341" t="s">
        <v>1969</v>
      </c>
      <c r="B341" t="s">
        <v>264</v>
      </c>
      <c r="C341" t="s">
        <v>740</v>
      </c>
      <c r="D341" t="s">
        <v>62</v>
      </c>
      <c r="E341">
        <v>2026</v>
      </c>
      <c r="F341" s="309">
        <v>225.61462945</v>
      </c>
    </row>
    <row r="342" spans="1:6">
      <c r="A342" t="s">
        <v>1969</v>
      </c>
      <c r="B342" t="s">
        <v>264</v>
      </c>
      <c r="C342" t="s">
        <v>740</v>
      </c>
      <c r="D342" t="s">
        <v>62</v>
      </c>
      <c r="E342">
        <v>2027</v>
      </c>
      <c r="F342" s="309">
        <v>225.61462945</v>
      </c>
    </row>
    <row r="343" spans="1:6">
      <c r="A343" t="s">
        <v>1969</v>
      </c>
      <c r="B343" t="s">
        <v>264</v>
      </c>
      <c r="C343" t="s">
        <v>1271</v>
      </c>
      <c r="D343" t="s">
        <v>1619</v>
      </c>
      <c r="E343">
        <v>2024</v>
      </c>
      <c r="F343" s="309">
        <v>0</v>
      </c>
    </row>
    <row r="344" spans="1:6">
      <c r="A344" t="s">
        <v>1969</v>
      </c>
      <c r="B344" t="s">
        <v>264</v>
      </c>
      <c r="C344" t="s">
        <v>1271</v>
      </c>
      <c r="D344" t="s">
        <v>1619</v>
      </c>
      <c r="E344">
        <v>2025</v>
      </c>
      <c r="F344" s="309">
        <v>0</v>
      </c>
    </row>
    <row r="345" spans="1:6">
      <c r="A345" t="s">
        <v>1969</v>
      </c>
      <c r="B345" t="s">
        <v>264</v>
      </c>
      <c r="C345" t="s">
        <v>1271</v>
      </c>
      <c r="D345" t="s">
        <v>1619</v>
      </c>
      <c r="E345">
        <v>2026</v>
      </c>
      <c r="F345" s="309">
        <v>0</v>
      </c>
    </row>
    <row r="346" spans="1:6">
      <c r="A346" t="s">
        <v>1969</v>
      </c>
      <c r="B346" t="s">
        <v>264</v>
      </c>
      <c r="C346" t="s">
        <v>1271</v>
      </c>
      <c r="D346" t="s">
        <v>1619</v>
      </c>
      <c r="E346">
        <v>2027</v>
      </c>
      <c r="F346" s="309">
        <v>323.72905168</v>
      </c>
    </row>
    <row r="347" spans="1:6">
      <c r="A347" t="s">
        <v>1969</v>
      </c>
      <c r="B347" t="s">
        <v>264</v>
      </c>
      <c r="C347" t="s">
        <v>1272</v>
      </c>
      <c r="D347" t="s">
        <v>1620</v>
      </c>
      <c r="E347">
        <v>2024</v>
      </c>
      <c r="F347" s="309">
        <v>0</v>
      </c>
    </row>
    <row r="348" spans="1:6">
      <c r="A348" t="s">
        <v>1969</v>
      </c>
      <c r="B348" t="s">
        <v>264</v>
      </c>
      <c r="C348" t="s">
        <v>1272</v>
      </c>
      <c r="D348" t="s">
        <v>1620</v>
      </c>
      <c r="E348">
        <v>2025</v>
      </c>
      <c r="F348" s="309">
        <v>0</v>
      </c>
    </row>
    <row r="349" spans="1:6">
      <c r="A349" t="s">
        <v>1969</v>
      </c>
      <c r="B349" t="s">
        <v>264</v>
      </c>
      <c r="C349" t="s">
        <v>1272</v>
      </c>
      <c r="D349" t="s">
        <v>1620</v>
      </c>
      <c r="E349">
        <v>2026</v>
      </c>
      <c r="F349" s="309">
        <v>0</v>
      </c>
    </row>
    <row r="350" spans="1:6">
      <c r="A350" t="s">
        <v>1969</v>
      </c>
      <c r="B350" t="s">
        <v>264</v>
      </c>
      <c r="C350" t="s">
        <v>1272</v>
      </c>
      <c r="D350" t="s">
        <v>1620</v>
      </c>
      <c r="E350">
        <v>2027</v>
      </c>
      <c r="F350" s="309">
        <v>0</v>
      </c>
    </row>
    <row r="351" spans="1:6">
      <c r="A351" t="s">
        <v>1969</v>
      </c>
      <c r="B351" t="s">
        <v>267</v>
      </c>
      <c r="C351" t="s">
        <v>315</v>
      </c>
      <c r="D351" t="s">
        <v>382</v>
      </c>
      <c r="E351">
        <v>2024</v>
      </c>
      <c r="F351" s="309">
        <v>0</v>
      </c>
    </row>
    <row r="352" spans="1:6">
      <c r="A352" t="s">
        <v>1969</v>
      </c>
      <c r="B352" t="s">
        <v>267</v>
      </c>
      <c r="C352" t="s">
        <v>315</v>
      </c>
      <c r="D352" t="s">
        <v>382</v>
      </c>
      <c r="E352">
        <v>2025</v>
      </c>
      <c r="F352" s="309">
        <v>0</v>
      </c>
    </row>
    <row r="353" spans="1:6">
      <c r="A353" t="s">
        <v>1969</v>
      </c>
      <c r="B353" t="s">
        <v>267</v>
      </c>
      <c r="C353" t="s">
        <v>315</v>
      </c>
      <c r="D353" t="s">
        <v>382</v>
      </c>
      <c r="E353">
        <v>2026</v>
      </c>
      <c r="F353" s="309">
        <v>0</v>
      </c>
    </row>
    <row r="354" spans="1:6">
      <c r="A354" t="s">
        <v>1969</v>
      </c>
      <c r="B354" t="s">
        <v>267</v>
      </c>
      <c r="C354" t="s">
        <v>315</v>
      </c>
      <c r="D354" t="s">
        <v>382</v>
      </c>
      <c r="E354">
        <v>2027</v>
      </c>
      <c r="F354" s="309">
        <v>0</v>
      </c>
    </row>
    <row r="355" spans="1:6">
      <c r="A355" t="s">
        <v>1969</v>
      </c>
      <c r="B355" t="s">
        <v>267</v>
      </c>
      <c r="C355" t="s">
        <v>965</v>
      </c>
      <c r="D355" t="s">
        <v>968</v>
      </c>
      <c r="E355">
        <v>2024</v>
      </c>
      <c r="F355" s="309">
        <v>0</v>
      </c>
    </row>
    <row r="356" spans="1:6">
      <c r="A356" t="s">
        <v>1969</v>
      </c>
      <c r="B356" t="s">
        <v>267</v>
      </c>
      <c r="C356" t="s">
        <v>965</v>
      </c>
      <c r="D356" t="s">
        <v>968</v>
      </c>
      <c r="E356">
        <v>2025</v>
      </c>
      <c r="F356" s="309">
        <v>0</v>
      </c>
    </row>
    <row r="357" spans="1:6">
      <c r="A357" t="s">
        <v>1969</v>
      </c>
      <c r="B357" t="s">
        <v>267</v>
      </c>
      <c r="C357" t="s">
        <v>965</v>
      </c>
      <c r="D357" t="s">
        <v>968</v>
      </c>
      <c r="E357">
        <v>2026</v>
      </c>
      <c r="F357" s="309">
        <v>0</v>
      </c>
    </row>
    <row r="358" spans="1:6">
      <c r="A358" t="s">
        <v>1969</v>
      </c>
      <c r="B358" t="s">
        <v>267</v>
      </c>
      <c r="C358" t="s">
        <v>965</v>
      </c>
      <c r="D358" t="s">
        <v>968</v>
      </c>
      <c r="E358">
        <v>2027</v>
      </c>
      <c r="F358" s="309">
        <v>0</v>
      </c>
    </row>
    <row r="359" spans="1:6">
      <c r="A359" t="s">
        <v>1969</v>
      </c>
      <c r="B359" t="s">
        <v>267</v>
      </c>
      <c r="C359" t="s">
        <v>653</v>
      </c>
      <c r="D359" t="s">
        <v>615</v>
      </c>
      <c r="E359">
        <v>2024</v>
      </c>
      <c r="F359" s="309">
        <v>0</v>
      </c>
    </row>
    <row r="360" spans="1:6">
      <c r="A360" t="s">
        <v>1969</v>
      </c>
      <c r="B360" t="s">
        <v>267</v>
      </c>
      <c r="C360" t="s">
        <v>653</v>
      </c>
      <c r="D360" t="s">
        <v>615</v>
      </c>
      <c r="E360">
        <v>2025</v>
      </c>
      <c r="F360" s="309">
        <v>0</v>
      </c>
    </row>
    <row r="361" spans="1:6">
      <c r="A361" t="s">
        <v>1969</v>
      </c>
      <c r="B361" t="s">
        <v>267</v>
      </c>
      <c r="C361" t="s">
        <v>653</v>
      </c>
      <c r="D361" t="s">
        <v>615</v>
      </c>
      <c r="E361">
        <v>2026</v>
      </c>
      <c r="F361" s="309">
        <v>0</v>
      </c>
    </row>
    <row r="362" spans="1:6">
      <c r="A362" t="s">
        <v>1969</v>
      </c>
      <c r="B362" t="s">
        <v>267</v>
      </c>
      <c r="C362" t="s">
        <v>653</v>
      </c>
      <c r="D362" t="s">
        <v>615</v>
      </c>
      <c r="E362">
        <v>2027</v>
      </c>
      <c r="F362" s="309">
        <v>0</v>
      </c>
    </row>
    <row r="363" spans="1:6">
      <c r="A363" t="s">
        <v>1969</v>
      </c>
      <c r="B363" t="s">
        <v>267</v>
      </c>
      <c r="C363" t="s">
        <v>1005</v>
      </c>
      <c r="D363" t="s">
        <v>866</v>
      </c>
      <c r="E363">
        <v>2024</v>
      </c>
      <c r="F363" s="309">
        <v>310</v>
      </c>
    </row>
    <row r="364" spans="1:6">
      <c r="A364" t="s">
        <v>1969</v>
      </c>
      <c r="B364" t="s">
        <v>267</v>
      </c>
      <c r="C364" t="s">
        <v>1005</v>
      </c>
      <c r="D364" t="s">
        <v>866</v>
      </c>
      <c r="E364">
        <v>2025</v>
      </c>
      <c r="F364" s="309">
        <v>310</v>
      </c>
    </row>
    <row r="365" spans="1:6">
      <c r="A365" t="s">
        <v>1969</v>
      </c>
      <c r="B365" t="s">
        <v>267</v>
      </c>
      <c r="C365" t="s">
        <v>1005</v>
      </c>
      <c r="D365" t="s">
        <v>866</v>
      </c>
      <c r="E365">
        <v>2026</v>
      </c>
      <c r="F365" s="309">
        <v>310</v>
      </c>
    </row>
    <row r="366" spans="1:6">
      <c r="A366" t="s">
        <v>1969</v>
      </c>
      <c r="B366" t="s">
        <v>267</v>
      </c>
      <c r="C366" t="s">
        <v>1005</v>
      </c>
      <c r="D366" t="s">
        <v>866</v>
      </c>
      <c r="E366">
        <v>2027</v>
      </c>
      <c r="F366" s="309">
        <v>310</v>
      </c>
    </row>
    <row r="367" spans="1:6">
      <c r="A367" t="s">
        <v>1969</v>
      </c>
      <c r="B367" t="s">
        <v>267</v>
      </c>
      <c r="C367" t="s">
        <v>740</v>
      </c>
      <c r="D367" t="s">
        <v>971</v>
      </c>
      <c r="E367">
        <v>2024</v>
      </c>
      <c r="F367" s="309">
        <v>195</v>
      </c>
    </row>
    <row r="368" spans="1:6">
      <c r="A368" t="s">
        <v>1969</v>
      </c>
      <c r="B368" t="s">
        <v>267</v>
      </c>
      <c r="C368" t="s">
        <v>740</v>
      </c>
      <c r="D368" t="s">
        <v>971</v>
      </c>
      <c r="E368">
        <v>2025</v>
      </c>
      <c r="F368" s="309">
        <v>195</v>
      </c>
    </row>
    <row r="369" spans="1:6">
      <c r="A369" t="s">
        <v>1969</v>
      </c>
      <c r="B369" t="s">
        <v>267</v>
      </c>
      <c r="C369" t="s">
        <v>740</v>
      </c>
      <c r="D369" t="s">
        <v>971</v>
      </c>
      <c r="E369">
        <v>2026</v>
      </c>
      <c r="F369" s="309">
        <v>195</v>
      </c>
    </row>
    <row r="370" spans="1:6">
      <c r="A370" t="s">
        <v>1969</v>
      </c>
      <c r="B370" t="s">
        <v>267</v>
      </c>
      <c r="C370" t="s">
        <v>740</v>
      </c>
      <c r="D370" t="s">
        <v>971</v>
      </c>
      <c r="E370">
        <v>2027</v>
      </c>
      <c r="F370" s="309">
        <v>195</v>
      </c>
    </row>
    <row r="371" spans="1:6">
      <c r="A371" t="s">
        <v>1969</v>
      </c>
      <c r="B371" t="s">
        <v>281</v>
      </c>
      <c r="C371" t="s">
        <v>328</v>
      </c>
      <c r="D371" t="s">
        <v>64</v>
      </c>
      <c r="E371">
        <v>2024</v>
      </c>
      <c r="F371" s="309">
        <v>0</v>
      </c>
    </row>
    <row r="372" spans="1:6">
      <c r="A372" t="s">
        <v>1969</v>
      </c>
      <c r="B372" t="s">
        <v>281</v>
      </c>
      <c r="C372" t="s">
        <v>328</v>
      </c>
      <c r="D372" t="s">
        <v>64</v>
      </c>
      <c r="E372">
        <v>2025</v>
      </c>
      <c r="F372" s="309">
        <v>0</v>
      </c>
    </row>
    <row r="373" spans="1:6">
      <c r="A373" t="s">
        <v>1969</v>
      </c>
      <c r="B373" t="s">
        <v>281</v>
      </c>
      <c r="C373" t="s">
        <v>328</v>
      </c>
      <c r="D373" t="s">
        <v>64</v>
      </c>
      <c r="E373">
        <v>2026</v>
      </c>
      <c r="F373" s="309">
        <v>0</v>
      </c>
    </row>
    <row r="374" spans="1:6">
      <c r="A374" t="s">
        <v>1969</v>
      </c>
      <c r="B374" t="s">
        <v>281</v>
      </c>
      <c r="C374" t="s">
        <v>328</v>
      </c>
      <c r="D374" t="s">
        <v>64</v>
      </c>
      <c r="E374">
        <v>2027</v>
      </c>
      <c r="F374" s="309">
        <v>0</v>
      </c>
    </row>
    <row r="375" spans="1:6">
      <c r="A375" t="s">
        <v>1969</v>
      </c>
      <c r="B375" t="s">
        <v>281</v>
      </c>
      <c r="C375" t="s">
        <v>705</v>
      </c>
      <c r="D375" t="s">
        <v>399</v>
      </c>
      <c r="E375">
        <v>2024</v>
      </c>
      <c r="F375" s="309">
        <v>1340.965584</v>
      </c>
    </row>
    <row r="376" spans="1:6">
      <c r="A376" t="s">
        <v>1969</v>
      </c>
      <c r="B376" t="s">
        <v>281</v>
      </c>
      <c r="C376" t="s">
        <v>705</v>
      </c>
      <c r="D376" t="s">
        <v>399</v>
      </c>
      <c r="E376">
        <v>2025</v>
      </c>
      <c r="F376" s="309">
        <v>1340.965584</v>
      </c>
    </row>
    <row r="377" spans="1:6">
      <c r="A377" t="s">
        <v>1969</v>
      </c>
      <c r="B377" t="s">
        <v>281</v>
      </c>
      <c r="C377" t="s">
        <v>705</v>
      </c>
      <c r="D377" t="s">
        <v>399</v>
      </c>
      <c r="E377">
        <v>2026</v>
      </c>
      <c r="F377" s="309">
        <v>1481.3987999999999</v>
      </c>
    </row>
    <row r="378" spans="1:6">
      <c r="A378" t="s">
        <v>1969</v>
      </c>
      <c r="B378" t="s">
        <v>281</v>
      </c>
      <c r="C378" t="s">
        <v>705</v>
      </c>
      <c r="D378" t="s">
        <v>399</v>
      </c>
      <c r="E378">
        <v>2027</v>
      </c>
      <c r="F378" s="309">
        <v>1481.3987999999999</v>
      </c>
    </row>
    <row r="379" spans="1:6">
      <c r="A379" t="s">
        <v>1969</v>
      </c>
      <c r="B379" t="s">
        <v>281</v>
      </c>
      <c r="C379" t="s">
        <v>708</v>
      </c>
      <c r="D379" t="s">
        <v>1621</v>
      </c>
      <c r="E379">
        <v>2024</v>
      </c>
      <c r="F379" s="309">
        <v>0</v>
      </c>
    </row>
    <row r="380" spans="1:6">
      <c r="A380" t="s">
        <v>1969</v>
      </c>
      <c r="B380" t="s">
        <v>281</v>
      </c>
      <c r="C380" t="s">
        <v>708</v>
      </c>
      <c r="D380" t="s">
        <v>1621</v>
      </c>
      <c r="E380">
        <v>2025</v>
      </c>
      <c r="F380" s="309">
        <v>0</v>
      </c>
    </row>
    <row r="381" spans="1:6">
      <c r="A381" t="s">
        <v>1969</v>
      </c>
      <c r="B381" t="s">
        <v>281</v>
      </c>
      <c r="C381" t="s">
        <v>708</v>
      </c>
      <c r="D381" t="s">
        <v>1621</v>
      </c>
      <c r="E381">
        <v>2026</v>
      </c>
      <c r="F381" s="309">
        <v>0</v>
      </c>
    </row>
    <row r="382" spans="1:6">
      <c r="A382" t="s">
        <v>1969</v>
      </c>
      <c r="B382" t="s">
        <v>281</v>
      </c>
      <c r="C382" t="s">
        <v>708</v>
      </c>
      <c r="D382" t="s">
        <v>1621</v>
      </c>
      <c r="E382">
        <v>2027</v>
      </c>
      <c r="F382" s="309">
        <v>1274.002968</v>
      </c>
    </row>
    <row r="383" spans="1:6">
      <c r="A383" t="s">
        <v>1969</v>
      </c>
      <c r="B383" t="s">
        <v>281</v>
      </c>
      <c r="C383" t="s">
        <v>709</v>
      </c>
      <c r="D383" t="s">
        <v>1622</v>
      </c>
      <c r="E383">
        <v>2024</v>
      </c>
      <c r="F383" s="309">
        <v>0</v>
      </c>
    </row>
    <row r="384" spans="1:6">
      <c r="A384" t="s">
        <v>1969</v>
      </c>
      <c r="B384" t="s">
        <v>281</v>
      </c>
      <c r="C384" t="s">
        <v>709</v>
      </c>
      <c r="D384" t="s">
        <v>1622</v>
      </c>
      <c r="E384">
        <v>2025</v>
      </c>
      <c r="F384" s="309">
        <v>0</v>
      </c>
    </row>
    <row r="385" spans="1:6">
      <c r="A385" t="s">
        <v>1969</v>
      </c>
      <c r="B385" t="s">
        <v>281</v>
      </c>
      <c r="C385" t="s">
        <v>709</v>
      </c>
      <c r="D385" t="s">
        <v>1622</v>
      </c>
      <c r="E385">
        <v>2026</v>
      </c>
      <c r="F385" s="309">
        <v>0</v>
      </c>
    </row>
    <row r="386" spans="1:6">
      <c r="A386" t="s">
        <v>1969</v>
      </c>
      <c r="B386" t="s">
        <v>281</v>
      </c>
      <c r="C386" t="s">
        <v>709</v>
      </c>
      <c r="D386" t="s">
        <v>1622</v>
      </c>
      <c r="E386">
        <v>2027</v>
      </c>
      <c r="F386" s="309">
        <v>0</v>
      </c>
    </row>
    <row r="387" spans="1:6">
      <c r="A387" t="s">
        <v>1969</v>
      </c>
      <c r="B387" t="s">
        <v>284</v>
      </c>
      <c r="C387" t="s">
        <v>324</v>
      </c>
      <c r="D387" t="s">
        <v>405</v>
      </c>
      <c r="E387">
        <v>2024</v>
      </c>
      <c r="F387" s="309">
        <v>0</v>
      </c>
    </row>
    <row r="388" spans="1:6">
      <c r="A388" t="s">
        <v>1969</v>
      </c>
      <c r="B388" t="s">
        <v>284</v>
      </c>
      <c r="C388" t="s">
        <v>324</v>
      </c>
      <c r="D388" t="s">
        <v>405</v>
      </c>
      <c r="E388">
        <v>2025</v>
      </c>
      <c r="F388" s="309">
        <v>0</v>
      </c>
    </row>
    <row r="389" spans="1:6">
      <c r="A389" t="s">
        <v>1969</v>
      </c>
      <c r="B389" t="s">
        <v>284</v>
      </c>
      <c r="C389" t="s">
        <v>324</v>
      </c>
      <c r="D389" t="s">
        <v>405</v>
      </c>
      <c r="E389">
        <v>2026</v>
      </c>
      <c r="F389" s="309">
        <v>0</v>
      </c>
    </row>
    <row r="390" spans="1:6">
      <c r="A390" t="s">
        <v>1969</v>
      </c>
      <c r="B390" t="s">
        <v>284</v>
      </c>
      <c r="C390" t="s">
        <v>324</v>
      </c>
      <c r="D390" t="s">
        <v>405</v>
      </c>
      <c r="E390">
        <v>2027</v>
      </c>
      <c r="F390" s="309">
        <v>0</v>
      </c>
    </row>
    <row r="391" spans="1:6">
      <c r="A391" t="s">
        <v>1969</v>
      </c>
      <c r="B391" t="s">
        <v>284</v>
      </c>
      <c r="C391" t="s">
        <v>325</v>
      </c>
      <c r="D391" t="s">
        <v>406</v>
      </c>
      <c r="E391">
        <v>2024</v>
      </c>
      <c r="F391" s="309">
        <v>0</v>
      </c>
    </row>
    <row r="392" spans="1:6">
      <c r="A392" t="s">
        <v>1969</v>
      </c>
      <c r="B392" t="s">
        <v>284</v>
      </c>
      <c r="C392" t="s">
        <v>325</v>
      </c>
      <c r="D392" t="s">
        <v>406</v>
      </c>
      <c r="E392">
        <v>2025</v>
      </c>
      <c r="F392" s="309">
        <v>0</v>
      </c>
    </row>
    <row r="393" spans="1:6">
      <c r="A393" t="s">
        <v>1969</v>
      </c>
      <c r="B393" t="s">
        <v>284</v>
      </c>
      <c r="C393" t="s">
        <v>325</v>
      </c>
      <c r="D393" t="s">
        <v>406</v>
      </c>
      <c r="E393">
        <v>2026</v>
      </c>
      <c r="F393" s="309">
        <v>0</v>
      </c>
    </row>
    <row r="394" spans="1:6">
      <c r="A394" t="s">
        <v>1969</v>
      </c>
      <c r="B394" t="s">
        <v>284</v>
      </c>
      <c r="C394" t="s">
        <v>325</v>
      </c>
      <c r="D394" t="s">
        <v>406</v>
      </c>
      <c r="E394">
        <v>2027</v>
      </c>
      <c r="F394" s="309">
        <v>0</v>
      </c>
    </row>
    <row r="395" spans="1:6">
      <c r="A395" t="s">
        <v>1969</v>
      </c>
      <c r="B395" t="s">
        <v>284</v>
      </c>
      <c r="C395" t="s">
        <v>326</v>
      </c>
      <c r="D395" t="s">
        <v>407</v>
      </c>
      <c r="E395">
        <v>2024</v>
      </c>
      <c r="F395" s="309">
        <v>0</v>
      </c>
    </row>
    <row r="396" spans="1:6">
      <c r="A396" t="s">
        <v>1969</v>
      </c>
      <c r="B396" t="s">
        <v>284</v>
      </c>
      <c r="C396" t="s">
        <v>326</v>
      </c>
      <c r="D396" t="s">
        <v>407</v>
      </c>
      <c r="E396">
        <v>2025</v>
      </c>
      <c r="F396" s="309">
        <v>0</v>
      </c>
    </row>
    <row r="397" spans="1:6">
      <c r="A397" t="s">
        <v>1969</v>
      </c>
      <c r="B397" t="s">
        <v>284</v>
      </c>
      <c r="C397" t="s">
        <v>326</v>
      </c>
      <c r="D397" t="s">
        <v>407</v>
      </c>
      <c r="E397">
        <v>2026</v>
      </c>
      <c r="F397" s="309">
        <v>0</v>
      </c>
    </row>
    <row r="398" spans="1:6">
      <c r="A398" t="s">
        <v>1969</v>
      </c>
      <c r="B398" t="s">
        <v>284</v>
      </c>
      <c r="C398" t="s">
        <v>326</v>
      </c>
      <c r="D398" t="s">
        <v>407</v>
      </c>
      <c r="E398">
        <v>2027</v>
      </c>
      <c r="F398" s="309">
        <v>0</v>
      </c>
    </row>
    <row r="399" spans="1:6">
      <c r="A399" t="s">
        <v>1969</v>
      </c>
      <c r="B399" t="s">
        <v>284</v>
      </c>
      <c r="C399" t="s">
        <v>327</v>
      </c>
      <c r="D399" t="s">
        <v>68</v>
      </c>
      <c r="E399">
        <v>2024</v>
      </c>
      <c r="F399" s="309">
        <v>0</v>
      </c>
    </row>
    <row r="400" spans="1:6">
      <c r="A400" t="s">
        <v>1969</v>
      </c>
      <c r="B400" t="s">
        <v>284</v>
      </c>
      <c r="C400" t="s">
        <v>327</v>
      </c>
      <c r="D400" t="s">
        <v>68</v>
      </c>
      <c r="E400">
        <v>2025</v>
      </c>
      <c r="F400" s="309">
        <v>0</v>
      </c>
    </row>
    <row r="401" spans="1:6">
      <c r="A401" t="s">
        <v>1969</v>
      </c>
      <c r="B401" t="s">
        <v>284</v>
      </c>
      <c r="C401" t="s">
        <v>327</v>
      </c>
      <c r="D401" t="s">
        <v>68</v>
      </c>
      <c r="E401">
        <v>2026</v>
      </c>
      <c r="F401" s="309">
        <v>0</v>
      </c>
    </row>
    <row r="402" spans="1:6">
      <c r="A402" t="s">
        <v>1969</v>
      </c>
      <c r="B402" t="s">
        <v>284</v>
      </c>
      <c r="C402" t="s">
        <v>327</v>
      </c>
      <c r="D402" t="s">
        <v>68</v>
      </c>
      <c r="E402">
        <v>2027</v>
      </c>
      <c r="F402" s="309">
        <v>0</v>
      </c>
    </row>
    <row r="403" spans="1:6">
      <c r="A403" t="s">
        <v>1969</v>
      </c>
      <c r="B403" t="s">
        <v>284</v>
      </c>
      <c r="C403" t="s">
        <v>328</v>
      </c>
      <c r="D403" t="s">
        <v>69</v>
      </c>
      <c r="E403">
        <v>2024</v>
      </c>
      <c r="F403" s="309">
        <v>0</v>
      </c>
    </row>
    <row r="404" spans="1:6">
      <c r="A404" t="s">
        <v>1969</v>
      </c>
      <c r="B404" t="s">
        <v>284</v>
      </c>
      <c r="C404" t="s">
        <v>328</v>
      </c>
      <c r="D404" t="s">
        <v>69</v>
      </c>
      <c r="E404">
        <v>2025</v>
      </c>
      <c r="F404" s="309">
        <v>0</v>
      </c>
    </row>
    <row r="405" spans="1:6">
      <c r="A405" t="s">
        <v>1969</v>
      </c>
      <c r="B405" t="s">
        <v>284</v>
      </c>
      <c r="C405" t="s">
        <v>328</v>
      </c>
      <c r="D405" t="s">
        <v>69</v>
      </c>
      <c r="E405">
        <v>2026</v>
      </c>
      <c r="F405" s="309">
        <v>0</v>
      </c>
    </row>
    <row r="406" spans="1:6">
      <c r="A406" t="s">
        <v>1969</v>
      </c>
      <c r="B406" t="s">
        <v>284</v>
      </c>
      <c r="C406" t="s">
        <v>328</v>
      </c>
      <c r="D406" t="s">
        <v>69</v>
      </c>
      <c r="E406">
        <v>2027</v>
      </c>
      <c r="F406" s="309">
        <v>0</v>
      </c>
    </row>
    <row r="407" spans="1:6">
      <c r="A407" t="s">
        <v>1969</v>
      </c>
      <c r="B407" t="s">
        <v>284</v>
      </c>
      <c r="C407" t="s">
        <v>705</v>
      </c>
      <c r="D407" t="s">
        <v>972</v>
      </c>
      <c r="E407">
        <v>2024</v>
      </c>
      <c r="F407" s="309">
        <v>542</v>
      </c>
    </row>
    <row r="408" spans="1:6">
      <c r="A408" t="s">
        <v>1969</v>
      </c>
      <c r="B408" t="s">
        <v>284</v>
      </c>
      <c r="C408" t="s">
        <v>705</v>
      </c>
      <c r="D408" t="s">
        <v>972</v>
      </c>
      <c r="E408">
        <v>2025</v>
      </c>
      <c r="F408" s="309">
        <v>542</v>
      </c>
    </row>
    <row r="409" spans="1:6">
      <c r="A409" t="s">
        <v>1969</v>
      </c>
      <c r="B409" t="s">
        <v>284</v>
      </c>
      <c r="C409" t="s">
        <v>705</v>
      </c>
      <c r="D409" t="s">
        <v>972</v>
      </c>
      <c r="E409">
        <v>2026</v>
      </c>
      <c r="F409" s="309">
        <v>542</v>
      </c>
    </row>
    <row r="410" spans="1:6">
      <c r="A410" t="s">
        <v>1969</v>
      </c>
      <c r="B410" t="s">
        <v>284</v>
      </c>
      <c r="C410" t="s">
        <v>705</v>
      </c>
      <c r="D410" t="s">
        <v>972</v>
      </c>
      <c r="E410">
        <v>2027</v>
      </c>
      <c r="F410" s="309">
        <v>542</v>
      </c>
    </row>
    <row r="411" spans="1:6">
      <c r="A411" t="s">
        <v>142</v>
      </c>
      <c r="B411" t="s">
        <v>236</v>
      </c>
      <c r="C411" t="s">
        <v>987</v>
      </c>
      <c r="D411" t="s">
        <v>334</v>
      </c>
      <c r="E411">
        <v>2024</v>
      </c>
      <c r="F411" s="309">
        <v>0</v>
      </c>
    </row>
    <row r="412" spans="1:6">
      <c r="A412" t="s">
        <v>142</v>
      </c>
      <c r="B412" t="s">
        <v>236</v>
      </c>
      <c r="C412" t="s">
        <v>987</v>
      </c>
      <c r="D412" t="s">
        <v>334</v>
      </c>
      <c r="E412">
        <v>2025</v>
      </c>
      <c r="F412" s="309">
        <v>0</v>
      </c>
    </row>
    <row r="413" spans="1:6">
      <c r="A413" t="s">
        <v>142</v>
      </c>
      <c r="B413" t="s">
        <v>236</v>
      </c>
      <c r="C413" t="s">
        <v>987</v>
      </c>
      <c r="D413" t="s">
        <v>334</v>
      </c>
      <c r="E413">
        <v>2026</v>
      </c>
      <c r="F413" s="309">
        <v>0</v>
      </c>
    </row>
    <row r="414" spans="1:6">
      <c r="A414" t="s">
        <v>142</v>
      </c>
      <c r="B414" t="s">
        <v>236</v>
      </c>
      <c r="C414" t="s">
        <v>987</v>
      </c>
      <c r="D414" t="s">
        <v>334</v>
      </c>
      <c r="E414">
        <v>2027</v>
      </c>
      <c r="F414" s="309">
        <v>0</v>
      </c>
    </row>
    <row r="415" spans="1:6">
      <c r="A415" t="s">
        <v>142</v>
      </c>
      <c r="B415" t="s">
        <v>236</v>
      </c>
      <c r="C415" t="s">
        <v>780</v>
      </c>
      <c r="D415" t="s">
        <v>1093</v>
      </c>
      <c r="E415">
        <v>2024</v>
      </c>
      <c r="F415" s="309">
        <v>0</v>
      </c>
    </row>
    <row r="416" spans="1:6">
      <c r="A416" t="s">
        <v>142</v>
      </c>
      <c r="B416" t="s">
        <v>236</v>
      </c>
      <c r="C416" t="s">
        <v>780</v>
      </c>
      <c r="D416" t="s">
        <v>1093</v>
      </c>
      <c r="E416">
        <v>2025</v>
      </c>
      <c r="F416" s="309">
        <v>0</v>
      </c>
    </row>
    <row r="417" spans="1:6">
      <c r="A417" t="s">
        <v>142</v>
      </c>
      <c r="B417" t="s">
        <v>236</v>
      </c>
      <c r="C417" t="s">
        <v>780</v>
      </c>
      <c r="D417" t="s">
        <v>1093</v>
      </c>
      <c r="E417">
        <v>2026</v>
      </c>
      <c r="F417" s="309">
        <v>0</v>
      </c>
    </row>
    <row r="418" spans="1:6">
      <c r="A418" t="s">
        <v>142</v>
      </c>
      <c r="B418" t="s">
        <v>236</v>
      </c>
      <c r="C418" t="s">
        <v>780</v>
      </c>
      <c r="D418" t="s">
        <v>1093</v>
      </c>
      <c r="E418">
        <v>2027</v>
      </c>
      <c r="F418" s="309">
        <v>0</v>
      </c>
    </row>
    <row r="419" spans="1:6">
      <c r="A419" t="s">
        <v>142</v>
      </c>
      <c r="B419" t="s">
        <v>980</v>
      </c>
      <c r="C419" t="s">
        <v>981</v>
      </c>
      <c r="D419" t="s">
        <v>979</v>
      </c>
      <c r="E419">
        <v>2024</v>
      </c>
      <c r="F419" s="309">
        <v>49.988700289999997</v>
      </c>
    </row>
    <row r="420" spans="1:6">
      <c r="A420" t="s">
        <v>142</v>
      </c>
      <c r="B420" t="s">
        <v>980</v>
      </c>
      <c r="C420" t="s">
        <v>981</v>
      </c>
      <c r="D420" t="s">
        <v>979</v>
      </c>
      <c r="E420">
        <v>2025</v>
      </c>
      <c r="F420" s="309">
        <v>49.988700289999997</v>
      </c>
    </row>
    <row r="421" spans="1:6">
      <c r="A421" t="s">
        <v>142</v>
      </c>
      <c r="B421" t="s">
        <v>980</v>
      </c>
      <c r="C421" t="s">
        <v>981</v>
      </c>
      <c r="D421" t="s">
        <v>979</v>
      </c>
      <c r="E421">
        <v>2026</v>
      </c>
      <c r="F421" s="309">
        <v>49.988700289999997</v>
      </c>
    </row>
    <row r="422" spans="1:6">
      <c r="A422" t="s">
        <v>142</v>
      </c>
      <c r="B422" t="s">
        <v>980</v>
      </c>
      <c r="C422" t="s">
        <v>981</v>
      </c>
      <c r="D422" t="s">
        <v>979</v>
      </c>
      <c r="E422">
        <v>2027</v>
      </c>
      <c r="F422" s="309">
        <v>49.988700289999997</v>
      </c>
    </row>
    <row r="423" spans="1:6">
      <c r="A423" t="s">
        <v>142</v>
      </c>
      <c r="B423" t="s">
        <v>980</v>
      </c>
      <c r="C423" t="s">
        <v>780</v>
      </c>
      <c r="D423" t="s">
        <v>1632</v>
      </c>
      <c r="E423">
        <v>2024</v>
      </c>
      <c r="F423" s="309">
        <v>-43.463047930000002</v>
      </c>
    </row>
    <row r="424" spans="1:6">
      <c r="A424" t="s">
        <v>142</v>
      </c>
      <c r="B424" t="s">
        <v>980</v>
      </c>
      <c r="C424" t="s">
        <v>780</v>
      </c>
      <c r="D424" t="s">
        <v>1632</v>
      </c>
      <c r="E424">
        <v>2025</v>
      </c>
      <c r="F424" s="309">
        <v>-43.463047930000002</v>
      </c>
    </row>
    <row r="425" spans="1:6">
      <c r="A425" t="s">
        <v>142</v>
      </c>
      <c r="B425" t="s">
        <v>980</v>
      </c>
      <c r="C425" t="s">
        <v>780</v>
      </c>
      <c r="D425" t="s">
        <v>1632</v>
      </c>
      <c r="E425">
        <v>2026</v>
      </c>
      <c r="F425" s="309">
        <v>-43.463047930000002</v>
      </c>
    </row>
    <row r="426" spans="1:6">
      <c r="A426" t="s">
        <v>142</v>
      </c>
      <c r="B426" t="s">
        <v>980</v>
      </c>
      <c r="C426" t="s">
        <v>780</v>
      </c>
      <c r="D426" t="s">
        <v>1632</v>
      </c>
      <c r="E426">
        <v>2027</v>
      </c>
      <c r="F426" s="309">
        <v>-43.463047930000002</v>
      </c>
    </row>
    <row r="427" spans="1:6">
      <c r="A427" t="s">
        <v>142</v>
      </c>
      <c r="B427" t="s">
        <v>980</v>
      </c>
      <c r="C427" t="s">
        <v>902</v>
      </c>
      <c r="D427" t="s">
        <v>982</v>
      </c>
      <c r="E427">
        <v>2024</v>
      </c>
      <c r="F427" s="309">
        <v>278.91879939</v>
      </c>
    </row>
    <row r="428" spans="1:6">
      <c r="A428" t="s">
        <v>142</v>
      </c>
      <c r="B428" t="s">
        <v>980</v>
      </c>
      <c r="C428" t="s">
        <v>902</v>
      </c>
      <c r="D428" t="s">
        <v>982</v>
      </c>
      <c r="E428">
        <v>2025</v>
      </c>
      <c r="F428" s="309">
        <v>278.91879939</v>
      </c>
    </row>
    <row r="429" spans="1:6">
      <c r="A429" t="s">
        <v>142</v>
      </c>
      <c r="B429" t="s">
        <v>980</v>
      </c>
      <c r="C429" t="s">
        <v>902</v>
      </c>
      <c r="D429" t="s">
        <v>982</v>
      </c>
      <c r="E429">
        <v>2026</v>
      </c>
      <c r="F429" s="309">
        <v>278.91879939</v>
      </c>
    </row>
    <row r="430" spans="1:6">
      <c r="A430" t="s">
        <v>142</v>
      </c>
      <c r="B430" t="s">
        <v>980</v>
      </c>
      <c r="C430" t="s">
        <v>902</v>
      </c>
      <c r="D430" t="s">
        <v>982</v>
      </c>
      <c r="E430">
        <v>2027</v>
      </c>
      <c r="F430" s="309">
        <v>278.91879939</v>
      </c>
    </row>
    <row r="431" spans="1:6">
      <c r="A431" t="s">
        <v>142</v>
      </c>
      <c r="B431" t="s">
        <v>980</v>
      </c>
      <c r="C431" t="s">
        <v>903</v>
      </c>
      <c r="D431" t="s">
        <v>983</v>
      </c>
      <c r="E431">
        <v>2024</v>
      </c>
      <c r="F431" s="309">
        <v>353.51330304999999</v>
      </c>
    </row>
    <row r="432" spans="1:6">
      <c r="A432" t="s">
        <v>142</v>
      </c>
      <c r="B432" t="s">
        <v>980</v>
      </c>
      <c r="C432" t="s">
        <v>903</v>
      </c>
      <c r="D432" t="s">
        <v>983</v>
      </c>
      <c r="E432">
        <v>2025</v>
      </c>
      <c r="F432" s="309">
        <v>353.51330304999999</v>
      </c>
    </row>
    <row r="433" spans="1:6">
      <c r="A433" t="s">
        <v>142</v>
      </c>
      <c r="B433" t="s">
        <v>980</v>
      </c>
      <c r="C433" t="s">
        <v>903</v>
      </c>
      <c r="D433" t="s">
        <v>983</v>
      </c>
      <c r="E433">
        <v>2026</v>
      </c>
      <c r="F433" s="309">
        <v>353.51330304999999</v>
      </c>
    </row>
    <row r="434" spans="1:6">
      <c r="A434" t="s">
        <v>142</v>
      </c>
      <c r="B434" t="s">
        <v>980</v>
      </c>
      <c r="C434" t="s">
        <v>903</v>
      </c>
      <c r="D434" t="s">
        <v>983</v>
      </c>
      <c r="E434">
        <v>2027</v>
      </c>
      <c r="F434" s="309">
        <v>353.51330304999999</v>
      </c>
    </row>
    <row r="435" spans="1:6">
      <c r="A435" t="s">
        <v>142</v>
      </c>
      <c r="B435" t="s">
        <v>980</v>
      </c>
      <c r="C435" t="s">
        <v>904</v>
      </c>
      <c r="D435" t="s">
        <v>984</v>
      </c>
      <c r="E435">
        <v>2024</v>
      </c>
      <c r="F435" s="309">
        <v>434.87625444000003</v>
      </c>
    </row>
    <row r="436" spans="1:6">
      <c r="A436" t="s">
        <v>142</v>
      </c>
      <c r="B436" t="s">
        <v>980</v>
      </c>
      <c r="C436" t="s">
        <v>904</v>
      </c>
      <c r="D436" t="s">
        <v>984</v>
      </c>
      <c r="E436">
        <v>2025</v>
      </c>
      <c r="F436" s="309">
        <v>434.87625444000003</v>
      </c>
    </row>
    <row r="437" spans="1:6">
      <c r="A437" t="s">
        <v>142</v>
      </c>
      <c r="B437" t="s">
        <v>980</v>
      </c>
      <c r="C437" t="s">
        <v>904</v>
      </c>
      <c r="D437" t="s">
        <v>984</v>
      </c>
      <c r="E437">
        <v>2026</v>
      </c>
      <c r="F437" s="309">
        <v>434.87625444000003</v>
      </c>
    </row>
    <row r="438" spans="1:6">
      <c r="A438" t="s">
        <v>142</v>
      </c>
      <c r="B438" t="s">
        <v>980</v>
      </c>
      <c r="C438" t="s">
        <v>904</v>
      </c>
      <c r="D438" t="s">
        <v>984</v>
      </c>
      <c r="E438">
        <v>2027</v>
      </c>
      <c r="F438" s="309">
        <v>434.87625444000003</v>
      </c>
    </row>
    <row r="439" spans="1:6">
      <c r="A439" t="s">
        <v>142</v>
      </c>
      <c r="B439" t="s">
        <v>980</v>
      </c>
      <c r="C439" t="s">
        <v>905</v>
      </c>
      <c r="D439" t="s">
        <v>985</v>
      </c>
      <c r="E439">
        <v>2024</v>
      </c>
      <c r="F439" s="309">
        <v>476.10976527000003</v>
      </c>
    </row>
    <row r="440" spans="1:6">
      <c r="A440" t="s">
        <v>142</v>
      </c>
      <c r="B440" t="s">
        <v>980</v>
      </c>
      <c r="C440" t="s">
        <v>905</v>
      </c>
      <c r="D440" t="s">
        <v>985</v>
      </c>
      <c r="E440">
        <v>2025</v>
      </c>
      <c r="F440" s="309">
        <v>476.10976527000003</v>
      </c>
    </row>
    <row r="441" spans="1:6">
      <c r="A441" t="s">
        <v>142</v>
      </c>
      <c r="B441" t="s">
        <v>980</v>
      </c>
      <c r="C441" t="s">
        <v>905</v>
      </c>
      <c r="D441" t="s">
        <v>985</v>
      </c>
      <c r="E441">
        <v>2026</v>
      </c>
      <c r="F441" s="309">
        <v>476.10976527000003</v>
      </c>
    </row>
    <row r="442" spans="1:6">
      <c r="A442" t="s">
        <v>142</v>
      </c>
      <c r="B442" t="s">
        <v>980</v>
      </c>
      <c r="C442" t="s">
        <v>905</v>
      </c>
      <c r="D442" t="s">
        <v>985</v>
      </c>
      <c r="E442">
        <v>2027</v>
      </c>
      <c r="F442" s="309">
        <v>476.10976527000003</v>
      </c>
    </row>
    <row r="443" spans="1:6">
      <c r="A443" t="s">
        <v>142</v>
      </c>
      <c r="B443" t="s">
        <v>980</v>
      </c>
      <c r="C443" t="s">
        <v>906</v>
      </c>
      <c r="D443" t="s">
        <v>986</v>
      </c>
      <c r="E443">
        <v>2024</v>
      </c>
      <c r="F443" s="309">
        <v>508.35301883</v>
      </c>
    </row>
    <row r="444" spans="1:6">
      <c r="A444" t="s">
        <v>142</v>
      </c>
      <c r="B444" t="s">
        <v>980</v>
      </c>
      <c r="C444" t="s">
        <v>906</v>
      </c>
      <c r="D444" t="s">
        <v>986</v>
      </c>
      <c r="E444">
        <v>2025</v>
      </c>
      <c r="F444" s="309">
        <v>508.35301883</v>
      </c>
    </row>
    <row r="445" spans="1:6">
      <c r="A445" t="s">
        <v>142</v>
      </c>
      <c r="B445" t="s">
        <v>980</v>
      </c>
      <c r="C445" t="s">
        <v>906</v>
      </c>
      <c r="D445" t="s">
        <v>986</v>
      </c>
      <c r="E445">
        <v>2026</v>
      </c>
      <c r="F445" s="309">
        <v>508.35301883</v>
      </c>
    </row>
    <row r="446" spans="1:6">
      <c r="A446" t="s">
        <v>142</v>
      </c>
      <c r="B446" t="s">
        <v>980</v>
      </c>
      <c r="C446" t="s">
        <v>906</v>
      </c>
      <c r="D446" t="s">
        <v>986</v>
      </c>
      <c r="E446">
        <v>2027</v>
      </c>
      <c r="F446" s="309">
        <v>508.35301883</v>
      </c>
    </row>
    <row r="447" spans="1:6">
      <c r="A447" t="s">
        <v>142</v>
      </c>
      <c r="B447" t="s">
        <v>144</v>
      </c>
      <c r="C447" t="s">
        <v>743</v>
      </c>
      <c r="D447" t="s">
        <v>93</v>
      </c>
      <c r="E447">
        <v>2024</v>
      </c>
      <c r="F447" s="309">
        <v>120</v>
      </c>
    </row>
    <row r="448" spans="1:6">
      <c r="A448" t="s">
        <v>142</v>
      </c>
      <c r="B448" t="s">
        <v>144</v>
      </c>
      <c r="C448" t="s">
        <v>743</v>
      </c>
      <c r="D448" t="s">
        <v>93</v>
      </c>
      <c r="E448">
        <v>2025</v>
      </c>
      <c r="F448" s="309">
        <v>120</v>
      </c>
    </row>
    <row r="449" spans="1:6">
      <c r="A449" t="s">
        <v>142</v>
      </c>
      <c r="B449" t="s">
        <v>144</v>
      </c>
      <c r="C449" t="s">
        <v>743</v>
      </c>
      <c r="D449" t="s">
        <v>93</v>
      </c>
      <c r="E449">
        <v>2026</v>
      </c>
      <c r="F449" s="309">
        <v>120</v>
      </c>
    </row>
    <row r="450" spans="1:6">
      <c r="A450" t="s">
        <v>142</v>
      </c>
      <c r="B450" t="s">
        <v>144</v>
      </c>
      <c r="C450" t="s">
        <v>743</v>
      </c>
      <c r="D450" t="s">
        <v>93</v>
      </c>
      <c r="E450">
        <v>2027</v>
      </c>
      <c r="F450" s="309">
        <v>120</v>
      </c>
    </row>
    <row r="451" spans="1:6">
      <c r="A451" t="s">
        <v>142</v>
      </c>
      <c r="B451" t="s">
        <v>144</v>
      </c>
      <c r="C451" t="s">
        <v>1006</v>
      </c>
      <c r="D451" t="s">
        <v>94</v>
      </c>
      <c r="E451">
        <v>2024</v>
      </c>
      <c r="F451" s="309">
        <v>120</v>
      </c>
    </row>
    <row r="452" spans="1:6">
      <c r="A452" t="s">
        <v>142</v>
      </c>
      <c r="B452" t="s">
        <v>144</v>
      </c>
      <c r="C452" t="s">
        <v>1006</v>
      </c>
      <c r="D452" t="s">
        <v>94</v>
      </c>
      <c r="E452">
        <v>2025</v>
      </c>
      <c r="F452" s="309">
        <v>120</v>
      </c>
    </row>
    <row r="453" spans="1:6">
      <c r="A453" t="s">
        <v>142</v>
      </c>
      <c r="B453" t="s">
        <v>144</v>
      </c>
      <c r="C453" t="s">
        <v>1006</v>
      </c>
      <c r="D453" t="s">
        <v>94</v>
      </c>
      <c r="E453">
        <v>2026</v>
      </c>
      <c r="F453" s="309">
        <v>120</v>
      </c>
    </row>
    <row r="454" spans="1:6">
      <c r="A454" t="s">
        <v>142</v>
      </c>
      <c r="B454" t="s">
        <v>144</v>
      </c>
      <c r="C454" t="s">
        <v>1006</v>
      </c>
      <c r="D454" t="s">
        <v>94</v>
      </c>
      <c r="E454">
        <v>2027</v>
      </c>
      <c r="F454" s="309">
        <v>120</v>
      </c>
    </row>
    <row r="455" spans="1:6">
      <c r="A455" t="s">
        <v>142</v>
      </c>
      <c r="B455" t="s">
        <v>144</v>
      </c>
      <c r="C455" t="s">
        <v>1007</v>
      </c>
      <c r="D455" t="s">
        <v>95</v>
      </c>
      <c r="E455">
        <v>2024</v>
      </c>
      <c r="F455" s="309">
        <v>0</v>
      </c>
    </row>
    <row r="456" spans="1:6">
      <c r="A456" t="s">
        <v>142</v>
      </c>
      <c r="B456" t="s">
        <v>144</v>
      </c>
      <c r="C456" t="s">
        <v>1007</v>
      </c>
      <c r="D456" t="s">
        <v>95</v>
      </c>
      <c r="E456">
        <v>2025</v>
      </c>
      <c r="F456" s="309">
        <v>0</v>
      </c>
    </row>
    <row r="457" spans="1:6">
      <c r="A457" t="s">
        <v>142</v>
      </c>
      <c r="B457" t="s">
        <v>144</v>
      </c>
      <c r="C457" t="s">
        <v>1007</v>
      </c>
      <c r="D457" t="s">
        <v>95</v>
      </c>
      <c r="E457">
        <v>2026</v>
      </c>
      <c r="F457" s="309">
        <v>0</v>
      </c>
    </row>
    <row r="458" spans="1:6">
      <c r="A458" t="s">
        <v>142</v>
      </c>
      <c r="B458" t="s">
        <v>144</v>
      </c>
      <c r="C458" t="s">
        <v>1007</v>
      </c>
      <c r="D458" t="s">
        <v>95</v>
      </c>
      <c r="E458">
        <v>2027</v>
      </c>
      <c r="F458" s="309">
        <v>0</v>
      </c>
    </row>
    <row r="459" spans="1:6">
      <c r="A459" t="s">
        <v>142</v>
      </c>
      <c r="B459" t="s">
        <v>144</v>
      </c>
      <c r="C459" t="s">
        <v>780</v>
      </c>
      <c r="D459" t="s">
        <v>127</v>
      </c>
      <c r="E459">
        <v>2024</v>
      </c>
      <c r="F459" s="309">
        <v>120</v>
      </c>
    </row>
    <row r="460" spans="1:6">
      <c r="A460" t="s">
        <v>142</v>
      </c>
      <c r="B460" t="s">
        <v>144</v>
      </c>
      <c r="C460" t="s">
        <v>780</v>
      </c>
      <c r="D460" t="s">
        <v>127</v>
      </c>
      <c r="E460">
        <v>2025</v>
      </c>
      <c r="F460" s="309">
        <v>120</v>
      </c>
    </row>
    <row r="461" spans="1:6">
      <c r="A461" t="s">
        <v>142</v>
      </c>
      <c r="B461" t="s">
        <v>144</v>
      </c>
      <c r="C461" t="s">
        <v>780</v>
      </c>
      <c r="D461" t="s">
        <v>127</v>
      </c>
      <c r="E461">
        <v>2026</v>
      </c>
      <c r="F461" s="309">
        <v>120</v>
      </c>
    </row>
    <row r="462" spans="1:6">
      <c r="A462" t="s">
        <v>142</v>
      </c>
      <c r="B462" t="s">
        <v>144</v>
      </c>
      <c r="C462" t="s">
        <v>780</v>
      </c>
      <c r="D462" t="s">
        <v>127</v>
      </c>
      <c r="E462">
        <v>2027</v>
      </c>
      <c r="F462" s="309">
        <v>120</v>
      </c>
    </row>
    <row r="463" spans="1:6">
      <c r="A463" t="s">
        <v>142</v>
      </c>
      <c r="B463" t="s">
        <v>240</v>
      </c>
      <c r="C463" t="s">
        <v>743</v>
      </c>
      <c r="D463" t="s">
        <v>230</v>
      </c>
      <c r="E463">
        <v>2024</v>
      </c>
      <c r="F463" s="309">
        <v>-47</v>
      </c>
    </row>
    <row r="464" spans="1:6">
      <c r="A464" t="s">
        <v>142</v>
      </c>
      <c r="B464" t="s">
        <v>240</v>
      </c>
      <c r="C464" t="s">
        <v>743</v>
      </c>
      <c r="D464" t="s">
        <v>230</v>
      </c>
      <c r="E464">
        <v>2025</v>
      </c>
      <c r="F464" s="309">
        <v>-47</v>
      </c>
    </row>
    <row r="465" spans="1:6">
      <c r="A465" t="s">
        <v>142</v>
      </c>
      <c r="B465" t="s">
        <v>240</v>
      </c>
      <c r="C465" t="s">
        <v>743</v>
      </c>
      <c r="D465" t="s">
        <v>230</v>
      </c>
      <c r="E465">
        <v>2026</v>
      </c>
      <c r="F465" s="309">
        <v>-47</v>
      </c>
    </row>
    <row r="466" spans="1:6">
      <c r="A466" t="s">
        <v>142</v>
      </c>
      <c r="B466" t="s">
        <v>240</v>
      </c>
      <c r="C466" t="s">
        <v>743</v>
      </c>
      <c r="D466" t="s">
        <v>230</v>
      </c>
      <c r="E466">
        <v>2027</v>
      </c>
      <c r="F466" s="309">
        <v>-47</v>
      </c>
    </row>
    <row r="467" spans="1:6">
      <c r="A467" t="s">
        <v>142</v>
      </c>
      <c r="B467" t="s">
        <v>240</v>
      </c>
      <c r="C467" t="s">
        <v>909</v>
      </c>
      <c r="D467" t="s">
        <v>231</v>
      </c>
      <c r="E467">
        <v>2024</v>
      </c>
      <c r="F467" s="309">
        <v>0</v>
      </c>
    </row>
    <row r="468" spans="1:6">
      <c r="A468" t="s">
        <v>142</v>
      </c>
      <c r="B468" t="s">
        <v>240</v>
      </c>
      <c r="C468" t="s">
        <v>909</v>
      </c>
      <c r="D468" t="s">
        <v>231</v>
      </c>
      <c r="E468">
        <v>2025</v>
      </c>
      <c r="F468" s="309">
        <v>0</v>
      </c>
    </row>
    <row r="469" spans="1:6">
      <c r="A469" t="s">
        <v>142</v>
      </c>
      <c r="B469" t="s">
        <v>240</v>
      </c>
      <c r="C469" t="s">
        <v>909</v>
      </c>
      <c r="D469" t="s">
        <v>231</v>
      </c>
      <c r="E469">
        <v>2026</v>
      </c>
      <c r="F469" s="309">
        <v>0</v>
      </c>
    </row>
    <row r="470" spans="1:6">
      <c r="A470" t="s">
        <v>142</v>
      </c>
      <c r="B470" t="s">
        <v>240</v>
      </c>
      <c r="C470" t="s">
        <v>909</v>
      </c>
      <c r="D470" t="s">
        <v>231</v>
      </c>
      <c r="E470">
        <v>2027</v>
      </c>
      <c r="F470" s="309">
        <v>0</v>
      </c>
    </row>
    <row r="471" spans="1:6">
      <c r="A471" t="s">
        <v>142</v>
      </c>
      <c r="B471" t="s">
        <v>240</v>
      </c>
      <c r="C471" t="s">
        <v>908</v>
      </c>
      <c r="D471" t="s">
        <v>229</v>
      </c>
      <c r="E471">
        <v>2024</v>
      </c>
      <c r="F471" s="309">
        <v>-47</v>
      </c>
    </row>
    <row r="472" spans="1:6">
      <c r="A472" t="s">
        <v>142</v>
      </c>
      <c r="B472" t="s">
        <v>240</v>
      </c>
      <c r="C472" t="s">
        <v>908</v>
      </c>
      <c r="D472" t="s">
        <v>229</v>
      </c>
      <c r="E472">
        <v>2025</v>
      </c>
      <c r="F472" s="309">
        <v>-47</v>
      </c>
    </row>
    <row r="473" spans="1:6">
      <c r="A473" t="s">
        <v>142</v>
      </c>
      <c r="B473" t="s">
        <v>240</v>
      </c>
      <c r="C473" t="s">
        <v>908</v>
      </c>
      <c r="D473" t="s">
        <v>229</v>
      </c>
      <c r="E473">
        <v>2026</v>
      </c>
      <c r="F473" s="309">
        <v>-47</v>
      </c>
    </row>
    <row r="474" spans="1:6">
      <c r="A474" t="s">
        <v>142</v>
      </c>
      <c r="B474" t="s">
        <v>240</v>
      </c>
      <c r="C474" t="s">
        <v>908</v>
      </c>
      <c r="D474" t="s">
        <v>229</v>
      </c>
      <c r="E474">
        <v>2027</v>
      </c>
      <c r="F474" s="309">
        <v>-47</v>
      </c>
    </row>
    <row r="475" spans="1:6">
      <c r="A475" t="s">
        <v>142</v>
      </c>
      <c r="B475" t="s">
        <v>240</v>
      </c>
      <c r="C475" t="s">
        <v>780</v>
      </c>
      <c r="D475" t="s">
        <v>1235</v>
      </c>
      <c r="E475">
        <v>2024</v>
      </c>
      <c r="F475" s="309">
        <v>-47</v>
      </c>
    </row>
    <row r="476" spans="1:6">
      <c r="A476" t="s">
        <v>142</v>
      </c>
      <c r="B476" t="s">
        <v>240</v>
      </c>
      <c r="C476" t="s">
        <v>780</v>
      </c>
      <c r="D476" t="s">
        <v>1235</v>
      </c>
      <c r="E476">
        <v>2025</v>
      </c>
      <c r="F476" s="309">
        <v>-47</v>
      </c>
    </row>
    <row r="477" spans="1:6">
      <c r="A477" t="s">
        <v>142</v>
      </c>
      <c r="B477" t="s">
        <v>240</v>
      </c>
      <c r="C477" t="s">
        <v>780</v>
      </c>
      <c r="D477" t="s">
        <v>1235</v>
      </c>
      <c r="E477">
        <v>2026</v>
      </c>
      <c r="F477" s="309">
        <v>-47</v>
      </c>
    </row>
    <row r="478" spans="1:6">
      <c r="A478" t="s">
        <v>142</v>
      </c>
      <c r="B478" t="s">
        <v>240</v>
      </c>
      <c r="C478" t="s">
        <v>780</v>
      </c>
      <c r="D478" t="s">
        <v>1235</v>
      </c>
      <c r="E478">
        <v>2027</v>
      </c>
      <c r="F478" s="309">
        <v>-47</v>
      </c>
    </row>
    <row r="479" spans="1:6">
      <c r="A479" t="s">
        <v>142</v>
      </c>
      <c r="B479" t="s">
        <v>749</v>
      </c>
      <c r="C479" t="s">
        <v>865</v>
      </c>
      <c r="D479" t="s">
        <v>103</v>
      </c>
      <c r="E479">
        <v>2024</v>
      </c>
      <c r="F479" s="309">
        <v>0</v>
      </c>
    </row>
    <row r="480" spans="1:6">
      <c r="A480" t="s">
        <v>142</v>
      </c>
      <c r="B480" t="s">
        <v>749</v>
      </c>
      <c r="C480" t="s">
        <v>865</v>
      </c>
      <c r="D480" t="s">
        <v>103</v>
      </c>
      <c r="E480">
        <v>2025</v>
      </c>
      <c r="F480" s="309">
        <v>0</v>
      </c>
    </row>
    <row r="481" spans="1:6">
      <c r="A481" t="s">
        <v>142</v>
      </c>
      <c r="B481" t="s">
        <v>749</v>
      </c>
      <c r="C481" t="s">
        <v>865</v>
      </c>
      <c r="D481" t="s">
        <v>103</v>
      </c>
      <c r="E481">
        <v>2026</v>
      </c>
      <c r="F481" s="309">
        <v>0</v>
      </c>
    </row>
    <row r="482" spans="1:6">
      <c r="A482" t="s">
        <v>142</v>
      </c>
      <c r="B482" t="s">
        <v>749</v>
      </c>
      <c r="C482" t="s">
        <v>865</v>
      </c>
      <c r="D482" t="s">
        <v>103</v>
      </c>
      <c r="E482">
        <v>2027</v>
      </c>
      <c r="F482" s="309">
        <v>0</v>
      </c>
    </row>
    <row r="483" spans="1:6">
      <c r="A483" t="s">
        <v>142</v>
      </c>
      <c r="B483" t="s">
        <v>749</v>
      </c>
      <c r="C483" t="s">
        <v>854</v>
      </c>
      <c r="D483" t="s">
        <v>104</v>
      </c>
      <c r="E483">
        <v>2024</v>
      </c>
      <c r="F483" s="309">
        <v>0</v>
      </c>
    </row>
    <row r="484" spans="1:6">
      <c r="A484" t="s">
        <v>142</v>
      </c>
      <c r="B484" t="s">
        <v>749</v>
      </c>
      <c r="C484" t="s">
        <v>854</v>
      </c>
      <c r="D484" t="s">
        <v>104</v>
      </c>
      <c r="E484">
        <v>2025</v>
      </c>
      <c r="F484" s="309">
        <v>0</v>
      </c>
    </row>
    <row r="485" spans="1:6">
      <c r="A485" t="s">
        <v>142</v>
      </c>
      <c r="B485" t="s">
        <v>749</v>
      </c>
      <c r="C485" t="s">
        <v>854</v>
      </c>
      <c r="D485" t="s">
        <v>104</v>
      </c>
      <c r="E485">
        <v>2026</v>
      </c>
      <c r="F485" s="309">
        <v>0</v>
      </c>
    </row>
    <row r="486" spans="1:6">
      <c r="A486" t="s">
        <v>142</v>
      </c>
      <c r="B486" t="s">
        <v>749</v>
      </c>
      <c r="C486" t="s">
        <v>854</v>
      </c>
      <c r="D486" t="s">
        <v>104</v>
      </c>
      <c r="E486">
        <v>2027</v>
      </c>
      <c r="F486" s="309">
        <v>0</v>
      </c>
    </row>
    <row r="487" spans="1:6">
      <c r="A487" t="s">
        <v>142</v>
      </c>
      <c r="B487" t="s">
        <v>749</v>
      </c>
      <c r="C487" t="s">
        <v>780</v>
      </c>
      <c r="D487" t="s">
        <v>102</v>
      </c>
      <c r="E487">
        <v>2024</v>
      </c>
      <c r="F487" s="309">
        <v>0</v>
      </c>
    </row>
    <row r="488" spans="1:6">
      <c r="A488" t="s">
        <v>142</v>
      </c>
      <c r="B488" t="s">
        <v>749</v>
      </c>
      <c r="C488" t="s">
        <v>780</v>
      </c>
      <c r="D488" t="s">
        <v>102</v>
      </c>
      <c r="E488">
        <v>2025</v>
      </c>
      <c r="F488" s="309">
        <v>0</v>
      </c>
    </row>
    <row r="489" spans="1:6">
      <c r="A489" t="s">
        <v>142</v>
      </c>
      <c r="B489" t="s">
        <v>749</v>
      </c>
      <c r="C489" t="s">
        <v>780</v>
      </c>
      <c r="D489" t="s">
        <v>102</v>
      </c>
      <c r="E489">
        <v>2026</v>
      </c>
      <c r="F489" s="309">
        <v>0</v>
      </c>
    </row>
    <row r="490" spans="1:6">
      <c r="A490" t="s">
        <v>142</v>
      </c>
      <c r="B490" t="s">
        <v>749</v>
      </c>
      <c r="C490" t="s">
        <v>780</v>
      </c>
      <c r="D490" t="s">
        <v>102</v>
      </c>
      <c r="E490">
        <v>2027</v>
      </c>
      <c r="F490" s="309">
        <v>0</v>
      </c>
    </row>
    <row r="491" spans="1:6">
      <c r="A491" t="s">
        <v>142</v>
      </c>
      <c r="B491" t="s">
        <v>741</v>
      </c>
      <c r="C491" t="s">
        <v>865</v>
      </c>
      <c r="D491" t="s">
        <v>110</v>
      </c>
      <c r="E491">
        <v>2024</v>
      </c>
      <c r="F491" s="309">
        <v>0</v>
      </c>
    </row>
    <row r="492" spans="1:6">
      <c r="A492" t="s">
        <v>142</v>
      </c>
      <c r="B492" t="s">
        <v>741</v>
      </c>
      <c r="C492" t="s">
        <v>865</v>
      </c>
      <c r="D492" t="s">
        <v>110</v>
      </c>
      <c r="E492">
        <v>2025</v>
      </c>
      <c r="F492" s="309">
        <v>0</v>
      </c>
    </row>
    <row r="493" spans="1:6">
      <c r="A493" t="s">
        <v>142</v>
      </c>
      <c r="B493" t="s">
        <v>741</v>
      </c>
      <c r="C493" t="s">
        <v>865</v>
      </c>
      <c r="D493" t="s">
        <v>110</v>
      </c>
      <c r="E493">
        <v>2026</v>
      </c>
      <c r="F493" s="309">
        <v>0</v>
      </c>
    </row>
    <row r="494" spans="1:6">
      <c r="A494" t="s">
        <v>142</v>
      </c>
      <c r="B494" t="s">
        <v>741</v>
      </c>
      <c r="C494" t="s">
        <v>865</v>
      </c>
      <c r="D494" t="s">
        <v>110</v>
      </c>
      <c r="E494">
        <v>2027</v>
      </c>
      <c r="F494" s="309">
        <v>0</v>
      </c>
    </row>
    <row r="495" spans="1:6">
      <c r="A495" t="s">
        <v>142</v>
      </c>
      <c r="B495" t="s">
        <v>741</v>
      </c>
      <c r="C495" t="s">
        <v>854</v>
      </c>
      <c r="D495" t="s">
        <v>342</v>
      </c>
      <c r="E495">
        <v>2024</v>
      </c>
      <c r="F495" s="309">
        <v>0</v>
      </c>
    </row>
    <row r="496" spans="1:6">
      <c r="A496" t="s">
        <v>142</v>
      </c>
      <c r="B496" t="s">
        <v>741</v>
      </c>
      <c r="C496" t="s">
        <v>854</v>
      </c>
      <c r="D496" t="s">
        <v>342</v>
      </c>
      <c r="E496">
        <v>2025</v>
      </c>
      <c r="F496" s="309">
        <v>0</v>
      </c>
    </row>
    <row r="497" spans="1:6">
      <c r="A497" t="s">
        <v>142</v>
      </c>
      <c r="B497" t="s">
        <v>741</v>
      </c>
      <c r="C497" t="s">
        <v>854</v>
      </c>
      <c r="D497" t="s">
        <v>342</v>
      </c>
      <c r="E497">
        <v>2026</v>
      </c>
      <c r="F497" s="309">
        <v>0</v>
      </c>
    </row>
    <row r="498" spans="1:6">
      <c r="A498" t="s">
        <v>142</v>
      </c>
      <c r="B498" t="s">
        <v>741</v>
      </c>
      <c r="C498" t="s">
        <v>854</v>
      </c>
      <c r="D498" t="s">
        <v>342</v>
      </c>
      <c r="E498">
        <v>2027</v>
      </c>
      <c r="F498" s="309">
        <v>0</v>
      </c>
    </row>
    <row r="499" spans="1:6">
      <c r="A499" t="s">
        <v>142</v>
      </c>
      <c r="B499" t="s">
        <v>741</v>
      </c>
      <c r="C499" t="s">
        <v>780</v>
      </c>
      <c r="D499" t="s">
        <v>111</v>
      </c>
      <c r="E499">
        <v>2024</v>
      </c>
      <c r="F499" s="309">
        <v>0</v>
      </c>
    </row>
    <row r="500" spans="1:6">
      <c r="A500" t="s">
        <v>142</v>
      </c>
      <c r="B500" t="s">
        <v>741</v>
      </c>
      <c r="C500" t="s">
        <v>780</v>
      </c>
      <c r="D500" t="s">
        <v>111</v>
      </c>
      <c r="E500">
        <v>2025</v>
      </c>
      <c r="F500" s="309">
        <v>0</v>
      </c>
    </row>
    <row r="501" spans="1:6">
      <c r="A501" t="s">
        <v>142</v>
      </c>
      <c r="B501" t="s">
        <v>741</v>
      </c>
      <c r="C501" t="s">
        <v>780</v>
      </c>
      <c r="D501" t="s">
        <v>111</v>
      </c>
      <c r="E501">
        <v>2026</v>
      </c>
      <c r="F501" s="309">
        <v>0</v>
      </c>
    </row>
    <row r="502" spans="1:6">
      <c r="A502" t="s">
        <v>142</v>
      </c>
      <c r="B502" t="s">
        <v>741</v>
      </c>
      <c r="C502" t="s">
        <v>780</v>
      </c>
      <c r="D502" t="s">
        <v>111</v>
      </c>
      <c r="E502">
        <v>2027</v>
      </c>
      <c r="F502" s="309">
        <v>0</v>
      </c>
    </row>
    <row r="503" spans="1:6">
      <c r="A503" t="s">
        <v>142</v>
      </c>
      <c r="B503" t="s">
        <v>748</v>
      </c>
      <c r="C503" t="s">
        <v>865</v>
      </c>
      <c r="D503" t="s">
        <v>112</v>
      </c>
      <c r="E503">
        <v>2024</v>
      </c>
      <c r="F503" s="309">
        <v>0</v>
      </c>
    </row>
    <row r="504" spans="1:6">
      <c r="A504" t="s">
        <v>142</v>
      </c>
      <c r="B504" t="s">
        <v>748</v>
      </c>
      <c r="C504" t="s">
        <v>865</v>
      </c>
      <c r="D504" t="s">
        <v>112</v>
      </c>
      <c r="E504">
        <v>2025</v>
      </c>
      <c r="F504" s="309">
        <v>0</v>
      </c>
    </row>
    <row r="505" spans="1:6">
      <c r="A505" t="s">
        <v>142</v>
      </c>
      <c r="B505" t="s">
        <v>748</v>
      </c>
      <c r="C505" t="s">
        <v>865</v>
      </c>
      <c r="D505" t="s">
        <v>112</v>
      </c>
      <c r="E505">
        <v>2026</v>
      </c>
      <c r="F505" s="309">
        <v>0</v>
      </c>
    </row>
    <row r="506" spans="1:6">
      <c r="A506" t="s">
        <v>142</v>
      </c>
      <c r="B506" t="s">
        <v>748</v>
      </c>
      <c r="C506" t="s">
        <v>865</v>
      </c>
      <c r="D506" t="s">
        <v>112</v>
      </c>
      <c r="E506">
        <v>2027</v>
      </c>
      <c r="F506" s="309">
        <v>0</v>
      </c>
    </row>
    <row r="507" spans="1:6">
      <c r="A507" t="s">
        <v>142</v>
      </c>
      <c r="B507" t="s">
        <v>748</v>
      </c>
      <c r="C507" t="s">
        <v>854</v>
      </c>
      <c r="D507" t="s">
        <v>988</v>
      </c>
      <c r="E507">
        <v>2024</v>
      </c>
      <c r="F507" s="309">
        <v>0</v>
      </c>
    </row>
    <row r="508" spans="1:6">
      <c r="A508" t="s">
        <v>142</v>
      </c>
      <c r="B508" t="s">
        <v>748</v>
      </c>
      <c r="C508" t="s">
        <v>854</v>
      </c>
      <c r="D508" t="s">
        <v>988</v>
      </c>
      <c r="E508">
        <v>2025</v>
      </c>
      <c r="F508" s="309">
        <v>0</v>
      </c>
    </row>
    <row r="509" spans="1:6">
      <c r="A509" t="s">
        <v>142</v>
      </c>
      <c r="B509" t="s">
        <v>748</v>
      </c>
      <c r="C509" t="s">
        <v>854</v>
      </c>
      <c r="D509" t="s">
        <v>988</v>
      </c>
      <c r="E509">
        <v>2026</v>
      </c>
      <c r="F509" s="309">
        <v>0</v>
      </c>
    </row>
    <row r="510" spans="1:6">
      <c r="A510" t="s">
        <v>142</v>
      </c>
      <c r="B510" t="s">
        <v>748</v>
      </c>
      <c r="C510" t="s">
        <v>854</v>
      </c>
      <c r="D510" t="s">
        <v>988</v>
      </c>
      <c r="E510">
        <v>2027</v>
      </c>
      <c r="F510" s="309">
        <v>0</v>
      </c>
    </row>
    <row r="511" spans="1:6">
      <c r="A511" t="s">
        <v>142</v>
      </c>
      <c r="B511" t="s">
        <v>748</v>
      </c>
      <c r="C511" t="s">
        <v>780</v>
      </c>
      <c r="D511" t="s">
        <v>1652</v>
      </c>
      <c r="E511">
        <v>2024</v>
      </c>
      <c r="F511" s="309">
        <v>0</v>
      </c>
    </row>
    <row r="512" spans="1:6">
      <c r="A512" t="s">
        <v>142</v>
      </c>
      <c r="B512" t="s">
        <v>748</v>
      </c>
      <c r="C512" t="s">
        <v>780</v>
      </c>
      <c r="D512" t="s">
        <v>1652</v>
      </c>
      <c r="E512">
        <v>2025</v>
      </c>
      <c r="F512" s="309">
        <v>0</v>
      </c>
    </row>
    <row r="513" spans="1:6">
      <c r="A513" t="s">
        <v>142</v>
      </c>
      <c r="B513" t="s">
        <v>748</v>
      </c>
      <c r="C513" t="s">
        <v>780</v>
      </c>
      <c r="D513" t="s">
        <v>1652</v>
      </c>
      <c r="E513">
        <v>2026</v>
      </c>
      <c r="F513" s="309">
        <v>0</v>
      </c>
    </row>
    <row r="514" spans="1:6">
      <c r="A514" t="s">
        <v>142</v>
      </c>
      <c r="B514" t="s">
        <v>748</v>
      </c>
      <c r="C514" t="s">
        <v>780</v>
      </c>
      <c r="D514" t="s">
        <v>1652</v>
      </c>
      <c r="E514">
        <v>2027</v>
      </c>
      <c r="F514" s="309">
        <v>0</v>
      </c>
    </row>
    <row r="515" spans="1:6">
      <c r="A515" t="s">
        <v>142</v>
      </c>
      <c r="B515" t="s">
        <v>748</v>
      </c>
      <c r="C515" t="s">
        <v>286</v>
      </c>
      <c r="D515" t="s">
        <v>395</v>
      </c>
      <c r="E515">
        <v>2024</v>
      </c>
      <c r="F515" s="309">
        <v>0</v>
      </c>
    </row>
    <row r="516" spans="1:6">
      <c r="A516" t="s">
        <v>142</v>
      </c>
      <c r="B516" t="s">
        <v>748</v>
      </c>
      <c r="C516" t="s">
        <v>286</v>
      </c>
      <c r="D516" t="s">
        <v>395</v>
      </c>
      <c r="E516">
        <v>2025</v>
      </c>
      <c r="F516" s="309">
        <v>0</v>
      </c>
    </row>
    <row r="517" spans="1:6">
      <c r="A517" t="s">
        <v>142</v>
      </c>
      <c r="B517" t="s">
        <v>748</v>
      </c>
      <c r="C517" t="s">
        <v>286</v>
      </c>
      <c r="D517" t="s">
        <v>395</v>
      </c>
      <c r="E517">
        <v>2026</v>
      </c>
      <c r="F517" s="309">
        <v>0</v>
      </c>
    </row>
    <row r="518" spans="1:6">
      <c r="A518" t="s">
        <v>142</v>
      </c>
      <c r="B518" t="s">
        <v>748</v>
      </c>
      <c r="C518" t="s">
        <v>286</v>
      </c>
      <c r="D518" t="s">
        <v>395</v>
      </c>
      <c r="E518">
        <v>2027</v>
      </c>
      <c r="F518" s="309">
        <v>0</v>
      </c>
    </row>
    <row r="519" spans="1:6">
      <c r="A519" t="s">
        <v>142</v>
      </c>
      <c r="B519" t="s">
        <v>270</v>
      </c>
      <c r="C519" t="s">
        <v>151</v>
      </c>
      <c r="D519" t="s">
        <v>389</v>
      </c>
      <c r="E519">
        <v>2024</v>
      </c>
      <c r="F519" s="309">
        <v>82.752831939999993</v>
      </c>
    </row>
    <row r="520" spans="1:6">
      <c r="A520" t="s">
        <v>142</v>
      </c>
      <c r="B520" t="s">
        <v>270</v>
      </c>
      <c r="C520" t="s">
        <v>151</v>
      </c>
      <c r="D520" t="s">
        <v>389</v>
      </c>
      <c r="E520">
        <v>2025</v>
      </c>
      <c r="F520" s="309">
        <v>82.752831939999993</v>
      </c>
    </row>
    <row r="521" spans="1:6">
      <c r="A521" t="s">
        <v>142</v>
      </c>
      <c r="B521" t="s">
        <v>270</v>
      </c>
      <c r="C521" t="s">
        <v>151</v>
      </c>
      <c r="D521" t="s">
        <v>389</v>
      </c>
      <c r="E521">
        <v>2026</v>
      </c>
      <c r="F521" s="309">
        <v>82.752831939999993</v>
      </c>
    </row>
    <row r="522" spans="1:6">
      <c r="A522" t="s">
        <v>142</v>
      </c>
      <c r="B522" t="s">
        <v>270</v>
      </c>
      <c r="C522" t="s">
        <v>151</v>
      </c>
      <c r="D522" t="s">
        <v>389</v>
      </c>
      <c r="E522">
        <v>2027</v>
      </c>
      <c r="F522" s="309">
        <v>82.752831939999993</v>
      </c>
    </row>
    <row r="523" spans="1:6">
      <c r="A523" t="s">
        <v>142</v>
      </c>
      <c r="B523" t="s">
        <v>270</v>
      </c>
      <c r="C523" t="s">
        <v>865</v>
      </c>
      <c r="D523" t="s">
        <v>388</v>
      </c>
      <c r="E523">
        <v>2024</v>
      </c>
      <c r="F523" s="309">
        <v>-57.396518149999999</v>
      </c>
    </row>
    <row r="524" spans="1:6">
      <c r="A524" t="s">
        <v>142</v>
      </c>
      <c r="B524" t="s">
        <v>270</v>
      </c>
      <c r="C524" t="s">
        <v>865</v>
      </c>
      <c r="D524" t="s">
        <v>388</v>
      </c>
      <c r="E524">
        <v>2025</v>
      </c>
      <c r="F524" s="309">
        <v>-57.396518149999999</v>
      </c>
    </row>
    <row r="525" spans="1:6">
      <c r="A525" t="s">
        <v>142</v>
      </c>
      <c r="B525" t="s">
        <v>270</v>
      </c>
      <c r="C525" t="s">
        <v>865</v>
      </c>
      <c r="D525" t="s">
        <v>388</v>
      </c>
      <c r="E525">
        <v>2026</v>
      </c>
      <c r="F525" s="309">
        <v>-57.396518149999999</v>
      </c>
    </row>
    <row r="526" spans="1:6">
      <c r="A526" t="s">
        <v>142</v>
      </c>
      <c r="B526" t="s">
        <v>270</v>
      </c>
      <c r="C526" t="s">
        <v>865</v>
      </c>
      <c r="D526" t="s">
        <v>388</v>
      </c>
      <c r="E526">
        <v>2027</v>
      </c>
      <c r="F526" s="309">
        <v>-57.396518149999999</v>
      </c>
    </row>
    <row r="527" spans="1:6">
      <c r="A527" t="s">
        <v>142</v>
      </c>
      <c r="B527" t="s">
        <v>270</v>
      </c>
      <c r="C527" t="s">
        <v>780</v>
      </c>
      <c r="D527" t="s">
        <v>1628</v>
      </c>
      <c r="E527">
        <v>2024</v>
      </c>
      <c r="F527" s="309">
        <v>-47.624891839999997</v>
      </c>
    </row>
    <row r="528" spans="1:6">
      <c r="A528" t="s">
        <v>142</v>
      </c>
      <c r="B528" t="s">
        <v>270</v>
      </c>
      <c r="C528" t="s">
        <v>780</v>
      </c>
      <c r="D528" t="s">
        <v>1628</v>
      </c>
      <c r="E528">
        <v>2025</v>
      </c>
      <c r="F528" s="309">
        <v>-47.624891839999997</v>
      </c>
    </row>
    <row r="529" spans="1:6">
      <c r="A529" t="s">
        <v>142</v>
      </c>
      <c r="B529" t="s">
        <v>270</v>
      </c>
      <c r="C529" t="s">
        <v>780</v>
      </c>
      <c r="D529" t="s">
        <v>1628</v>
      </c>
      <c r="E529">
        <v>2026</v>
      </c>
      <c r="F529" s="309">
        <v>-47.624891839999997</v>
      </c>
    </row>
    <row r="530" spans="1:6">
      <c r="A530" t="s">
        <v>142</v>
      </c>
      <c r="B530" t="s">
        <v>270</v>
      </c>
      <c r="C530" t="s">
        <v>780</v>
      </c>
      <c r="D530" t="s">
        <v>1628</v>
      </c>
      <c r="E530">
        <v>2027</v>
      </c>
      <c r="F530" s="309">
        <v>-47.624891839999997</v>
      </c>
    </row>
    <row r="531" spans="1:6">
      <c r="A531" t="s">
        <v>142</v>
      </c>
      <c r="B531" t="s">
        <v>271</v>
      </c>
      <c r="C531" t="s">
        <v>2346</v>
      </c>
      <c r="D531" t="s">
        <v>91</v>
      </c>
      <c r="E531">
        <v>2024</v>
      </c>
      <c r="F531" s="309">
        <v>7.9217568399999996</v>
      </c>
    </row>
    <row r="532" spans="1:6">
      <c r="A532" t="s">
        <v>142</v>
      </c>
      <c r="B532" t="s">
        <v>271</v>
      </c>
      <c r="C532" t="s">
        <v>2346</v>
      </c>
      <c r="D532" t="s">
        <v>91</v>
      </c>
      <c r="E532">
        <v>2025</v>
      </c>
      <c r="F532" s="309">
        <v>7.9217568399999996</v>
      </c>
    </row>
    <row r="533" spans="1:6">
      <c r="A533" t="s">
        <v>142</v>
      </c>
      <c r="B533" t="s">
        <v>271</v>
      </c>
      <c r="C533" t="s">
        <v>2346</v>
      </c>
      <c r="D533" t="s">
        <v>91</v>
      </c>
      <c r="E533">
        <v>2026</v>
      </c>
      <c r="F533" s="309">
        <v>7.9217568399999996</v>
      </c>
    </row>
    <row r="534" spans="1:6">
      <c r="A534" t="s">
        <v>142</v>
      </c>
      <c r="B534" t="s">
        <v>271</v>
      </c>
      <c r="C534" t="s">
        <v>2346</v>
      </c>
      <c r="D534" t="s">
        <v>91</v>
      </c>
      <c r="E534">
        <v>2027</v>
      </c>
      <c r="F534" s="309">
        <v>7.9217568399999996</v>
      </c>
    </row>
    <row r="535" spans="1:6">
      <c r="A535" t="s">
        <v>142</v>
      </c>
      <c r="B535" t="s">
        <v>271</v>
      </c>
      <c r="C535" t="s">
        <v>780</v>
      </c>
      <c r="D535" t="s">
        <v>1653</v>
      </c>
      <c r="E535">
        <v>2024</v>
      </c>
      <c r="F535" s="309">
        <v>-2.1726093299999998</v>
      </c>
    </row>
    <row r="536" spans="1:6">
      <c r="A536" t="s">
        <v>142</v>
      </c>
      <c r="B536" t="s">
        <v>271</v>
      </c>
      <c r="C536" t="s">
        <v>780</v>
      </c>
      <c r="D536" t="s">
        <v>1653</v>
      </c>
      <c r="E536">
        <v>2025</v>
      </c>
      <c r="F536" s="309">
        <v>-2.1726093299999998</v>
      </c>
    </row>
    <row r="537" spans="1:6">
      <c r="A537" t="s">
        <v>142</v>
      </c>
      <c r="B537" t="s">
        <v>271</v>
      </c>
      <c r="C537" t="s">
        <v>780</v>
      </c>
      <c r="D537" t="s">
        <v>1653</v>
      </c>
      <c r="E537">
        <v>2026</v>
      </c>
      <c r="F537" s="309">
        <v>-2.1726093299999998</v>
      </c>
    </row>
    <row r="538" spans="1:6">
      <c r="A538" t="s">
        <v>142</v>
      </c>
      <c r="B538" t="s">
        <v>271</v>
      </c>
      <c r="C538" t="s">
        <v>780</v>
      </c>
      <c r="D538" t="s">
        <v>1653</v>
      </c>
      <c r="E538">
        <v>2027</v>
      </c>
      <c r="F538" s="309">
        <v>-2.1726093299999998</v>
      </c>
    </row>
    <row r="539" spans="1:6">
      <c r="A539" t="s">
        <v>142</v>
      </c>
      <c r="B539" t="s">
        <v>271</v>
      </c>
      <c r="C539" t="s">
        <v>286</v>
      </c>
      <c r="D539" t="s">
        <v>92</v>
      </c>
      <c r="E539">
        <v>2024</v>
      </c>
      <c r="F539" s="309">
        <v>0</v>
      </c>
    </row>
    <row r="540" spans="1:6">
      <c r="A540" t="s">
        <v>142</v>
      </c>
      <c r="B540" t="s">
        <v>271</v>
      </c>
      <c r="C540" t="s">
        <v>286</v>
      </c>
      <c r="D540" t="s">
        <v>92</v>
      </c>
      <c r="E540">
        <v>2025</v>
      </c>
      <c r="F540" s="309">
        <v>0</v>
      </c>
    </row>
    <row r="541" spans="1:6">
      <c r="A541" t="s">
        <v>142</v>
      </c>
      <c r="B541" t="s">
        <v>271</v>
      </c>
      <c r="C541" t="s">
        <v>286</v>
      </c>
      <c r="D541" t="s">
        <v>92</v>
      </c>
      <c r="E541">
        <v>2026</v>
      </c>
      <c r="F541" s="309">
        <v>0</v>
      </c>
    </row>
    <row r="542" spans="1:6">
      <c r="A542" t="s">
        <v>142</v>
      </c>
      <c r="B542" t="s">
        <v>271</v>
      </c>
      <c r="C542" t="s">
        <v>286</v>
      </c>
      <c r="D542" t="s">
        <v>92</v>
      </c>
      <c r="E542">
        <v>2027</v>
      </c>
      <c r="F542" s="309">
        <v>0</v>
      </c>
    </row>
    <row r="543" spans="1:6">
      <c r="A543" t="s">
        <v>142</v>
      </c>
      <c r="B543" t="s">
        <v>272</v>
      </c>
      <c r="C543" t="s">
        <v>151</v>
      </c>
      <c r="D543" t="s">
        <v>391</v>
      </c>
      <c r="E543">
        <v>2024</v>
      </c>
      <c r="F543" s="309">
        <v>215.36866434999999</v>
      </c>
    </row>
    <row r="544" spans="1:6">
      <c r="A544" t="s">
        <v>142</v>
      </c>
      <c r="B544" t="s">
        <v>272</v>
      </c>
      <c r="C544" t="s">
        <v>151</v>
      </c>
      <c r="D544" t="s">
        <v>391</v>
      </c>
      <c r="E544">
        <v>2025</v>
      </c>
      <c r="F544" s="309">
        <v>215.36866434999999</v>
      </c>
    </row>
    <row r="545" spans="1:6">
      <c r="A545" t="s">
        <v>142</v>
      </c>
      <c r="B545" t="s">
        <v>272</v>
      </c>
      <c r="C545" t="s">
        <v>151</v>
      </c>
      <c r="D545" t="s">
        <v>391</v>
      </c>
      <c r="E545">
        <v>2026</v>
      </c>
      <c r="F545" s="309">
        <v>215.36866434999999</v>
      </c>
    </row>
    <row r="546" spans="1:6">
      <c r="A546" t="s">
        <v>142</v>
      </c>
      <c r="B546" t="s">
        <v>272</v>
      </c>
      <c r="C546" t="s">
        <v>151</v>
      </c>
      <c r="D546" t="s">
        <v>391</v>
      </c>
      <c r="E546">
        <v>2027</v>
      </c>
      <c r="F546" s="309">
        <v>215.36866434999999</v>
      </c>
    </row>
    <row r="547" spans="1:6">
      <c r="A547" t="s">
        <v>142</v>
      </c>
      <c r="B547" t="s">
        <v>272</v>
      </c>
      <c r="C547" t="s">
        <v>865</v>
      </c>
      <c r="D547" t="s">
        <v>390</v>
      </c>
      <c r="E547">
        <v>2024</v>
      </c>
      <c r="F547" s="309">
        <v>38.618393009999998</v>
      </c>
    </row>
    <row r="548" spans="1:6">
      <c r="A548" t="s">
        <v>142</v>
      </c>
      <c r="B548" t="s">
        <v>272</v>
      </c>
      <c r="C548" t="s">
        <v>865</v>
      </c>
      <c r="D548" t="s">
        <v>390</v>
      </c>
      <c r="E548">
        <v>2025</v>
      </c>
      <c r="F548" s="309">
        <v>38.618393009999998</v>
      </c>
    </row>
    <row r="549" spans="1:6">
      <c r="A549" t="s">
        <v>142</v>
      </c>
      <c r="B549" t="s">
        <v>272</v>
      </c>
      <c r="C549" t="s">
        <v>865</v>
      </c>
      <c r="D549" t="s">
        <v>390</v>
      </c>
      <c r="E549">
        <v>2026</v>
      </c>
      <c r="F549" s="309">
        <v>38.618393009999998</v>
      </c>
    </row>
    <row r="550" spans="1:6">
      <c r="A550" t="s">
        <v>142</v>
      </c>
      <c r="B550" t="s">
        <v>272</v>
      </c>
      <c r="C550" t="s">
        <v>865</v>
      </c>
      <c r="D550" t="s">
        <v>390</v>
      </c>
      <c r="E550">
        <v>2027</v>
      </c>
      <c r="F550" s="309">
        <v>38.618393009999998</v>
      </c>
    </row>
    <row r="551" spans="1:6">
      <c r="A551" t="s">
        <v>142</v>
      </c>
      <c r="B551" t="s">
        <v>272</v>
      </c>
      <c r="C551" t="s">
        <v>780</v>
      </c>
      <c r="D551" t="s">
        <v>1630</v>
      </c>
      <c r="E551">
        <v>2024</v>
      </c>
      <c r="F551" s="309">
        <v>-16.54640925</v>
      </c>
    </row>
    <row r="552" spans="1:6">
      <c r="A552" t="s">
        <v>142</v>
      </c>
      <c r="B552" t="s">
        <v>272</v>
      </c>
      <c r="C552" t="s">
        <v>780</v>
      </c>
      <c r="D552" t="s">
        <v>1630</v>
      </c>
      <c r="E552">
        <v>2025</v>
      </c>
      <c r="F552" s="309">
        <v>-16.54640925</v>
      </c>
    </row>
    <row r="553" spans="1:6">
      <c r="A553" t="s">
        <v>142</v>
      </c>
      <c r="B553" t="s">
        <v>272</v>
      </c>
      <c r="C553" t="s">
        <v>780</v>
      </c>
      <c r="D553" t="s">
        <v>1630</v>
      </c>
      <c r="E553">
        <v>2026</v>
      </c>
      <c r="F553" s="309">
        <v>-16.54640925</v>
      </c>
    </row>
    <row r="554" spans="1:6">
      <c r="A554" t="s">
        <v>142</v>
      </c>
      <c r="B554" t="s">
        <v>272</v>
      </c>
      <c r="C554" t="s">
        <v>780</v>
      </c>
      <c r="D554" t="s">
        <v>1630</v>
      </c>
      <c r="E554">
        <v>2027</v>
      </c>
      <c r="F554" s="309">
        <v>-16.54640925</v>
      </c>
    </row>
    <row r="555" spans="1:6">
      <c r="A555" t="s">
        <v>142</v>
      </c>
      <c r="B555" t="s">
        <v>439</v>
      </c>
      <c r="C555" t="s">
        <v>151</v>
      </c>
      <c r="D555" t="s">
        <v>910</v>
      </c>
      <c r="E555">
        <v>2024</v>
      </c>
      <c r="F555" s="309">
        <v>30.12849697</v>
      </c>
    </row>
    <row r="556" spans="1:6">
      <c r="A556" t="s">
        <v>142</v>
      </c>
      <c r="B556" t="s">
        <v>439</v>
      </c>
      <c r="C556" t="s">
        <v>151</v>
      </c>
      <c r="D556" t="s">
        <v>910</v>
      </c>
      <c r="E556">
        <v>2025</v>
      </c>
      <c r="F556" s="309">
        <v>30.12849697</v>
      </c>
    </row>
    <row r="557" spans="1:6">
      <c r="A557" t="s">
        <v>142</v>
      </c>
      <c r="B557" t="s">
        <v>439</v>
      </c>
      <c r="C557" t="s">
        <v>151</v>
      </c>
      <c r="D557" t="s">
        <v>910</v>
      </c>
      <c r="E557">
        <v>2026</v>
      </c>
      <c r="F557" s="309">
        <v>30.12849697</v>
      </c>
    </row>
    <row r="558" spans="1:6">
      <c r="A558" t="s">
        <v>142</v>
      </c>
      <c r="B558" t="s">
        <v>439</v>
      </c>
      <c r="C558" t="s">
        <v>151</v>
      </c>
      <c r="D558" t="s">
        <v>910</v>
      </c>
      <c r="E558">
        <v>2027</v>
      </c>
      <c r="F558" s="309">
        <v>30.12849697</v>
      </c>
    </row>
    <row r="559" spans="1:6">
      <c r="A559" t="s">
        <v>142</v>
      </c>
      <c r="B559" t="s">
        <v>439</v>
      </c>
      <c r="C559" t="s">
        <v>744</v>
      </c>
      <c r="D559" t="s">
        <v>116</v>
      </c>
      <c r="E559">
        <v>2024</v>
      </c>
      <c r="F559" s="309">
        <v>4.7424239899999998</v>
      </c>
    </row>
    <row r="560" spans="1:6">
      <c r="A560" t="s">
        <v>142</v>
      </c>
      <c r="B560" t="s">
        <v>439</v>
      </c>
      <c r="C560" t="s">
        <v>744</v>
      </c>
      <c r="D560" t="s">
        <v>116</v>
      </c>
      <c r="E560">
        <v>2025</v>
      </c>
      <c r="F560" s="309">
        <v>4.7424239899999998</v>
      </c>
    </row>
    <row r="561" spans="1:6">
      <c r="A561" t="s">
        <v>142</v>
      </c>
      <c r="B561" t="s">
        <v>439</v>
      </c>
      <c r="C561" t="s">
        <v>744</v>
      </c>
      <c r="D561" t="s">
        <v>116</v>
      </c>
      <c r="E561">
        <v>2026</v>
      </c>
      <c r="F561" s="309">
        <v>4.7424239899999998</v>
      </c>
    </row>
    <row r="562" spans="1:6">
      <c r="A562" t="s">
        <v>142</v>
      </c>
      <c r="B562" t="s">
        <v>439</v>
      </c>
      <c r="C562" t="s">
        <v>744</v>
      </c>
      <c r="D562" t="s">
        <v>116</v>
      </c>
      <c r="E562">
        <v>2027</v>
      </c>
      <c r="F562" s="309">
        <v>4.7424239899999998</v>
      </c>
    </row>
    <row r="563" spans="1:6">
      <c r="A563" t="s">
        <v>142</v>
      </c>
      <c r="B563" t="s">
        <v>439</v>
      </c>
      <c r="C563" t="s">
        <v>780</v>
      </c>
      <c r="D563" t="s">
        <v>1649</v>
      </c>
      <c r="E563">
        <v>2024</v>
      </c>
      <c r="F563" s="309">
        <v>-6.1185155399999998</v>
      </c>
    </row>
    <row r="564" spans="1:6">
      <c r="A564" t="s">
        <v>142</v>
      </c>
      <c r="B564" t="s">
        <v>439</v>
      </c>
      <c r="C564" t="s">
        <v>780</v>
      </c>
      <c r="D564" t="s">
        <v>1649</v>
      </c>
      <c r="E564">
        <v>2025</v>
      </c>
      <c r="F564" s="309">
        <v>-6.1185155399999998</v>
      </c>
    </row>
    <row r="565" spans="1:6">
      <c r="A565" t="s">
        <v>142</v>
      </c>
      <c r="B565" t="s">
        <v>439</v>
      </c>
      <c r="C565" t="s">
        <v>780</v>
      </c>
      <c r="D565" t="s">
        <v>1649</v>
      </c>
      <c r="E565">
        <v>2026</v>
      </c>
      <c r="F565" s="309">
        <v>-6.1185155399999998</v>
      </c>
    </row>
    <row r="566" spans="1:6">
      <c r="A566" t="s">
        <v>142</v>
      </c>
      <c r="B566" t="s">
        <v>439</v>
      </c>
      <c r="C566" t="s">
        <v>780</v>
      </c>
      <c r="D566" t="s">
        <v>1649</v>
      </c>
      <c r="E566">
        <v>2027</v>
      </c>
      <c r="F566" s="309">
        <v>-6.1185155399999998</v>
      </c>
    </row>
    <row r="567" spans="1:6">
      <c r="A567" t="s">
        <v>142</v>
      </c>
      <c r="B567" t="s">
        <v>2095</v>
      </c>
      <c r="C567" t="s">
        <v>2096</v>
      </c>
      <c r="D567" t="s">
        <v>82</v>
      </c>
      <c r="E567">
        <v>2024</v>
      </c>
      <c r="F567" s="309">
        <v>66.850502989999995</v>
      </c>
    </row>
    <row r="568" spans="1:6">
      <c r="A568" t="s">
        <v>142</v>
      </c>
      <c r="B568" t="s">
        <v>2095</v>
      </c>
      <c r="C568" t="s">
        <v>2096</v>
      </c>
      <c r="D568" t="s">
        <v>82</v>
      </c>
      <c r="E568">
        <v>2025</v>
      </c>
      <c r="F568" s="309">
        <v>67.670604659999995</v>
      </c>
    </row>
    <row r="569" spans="1:6">
      <c r="A569" t="s">
        <v>142</v>
      </c>
      <c r="B569" t="s">
        <v>2095</v>
      </c>
      <c r="C569" t="s">
        <v>2096</v>
      </c>
      <c r="D569" t="s">
        <v>82</v>
      </c>
      <c r="E569">
        <v>2026</v>
      </c>
      <c r="F569" s="309">
        <v>69.089932660000002</v>
      </c>
    </row>
    <row r="570" spans="1:6">
      <c r="A570" t="s">
        <v>142</v>
      </c>
      <c r="B570" t="s">
        <v>2095</v>
      </c>
      <c r="C570" t="s">
        <v>2096</v>
      </c>
      <c r="D570" t="s">
        <v>82</v>
      </c>
      <c r="E570">
        <v>2027</v>
      </c>
      <c r="F570" s="309">
        <v>70.507425409999996</v>
      </c>
    </row>
    <row r="571" spans="1:6">
      <c r="A571" t="s">
        <v>142</v>
      </c>
      <c r="B571" t="s">
        <v>2102</v>
      </c>
      <c r="C571" t="s">
        <v>2096</v>
      </c>
      <c r="D571" t="s">
        <v>2101</v>
      </c>
      <c r="E571">
        <v>2024</v>
      </c>
      <c r="F571" s="309">
        <v>0</v>
      </c>
    </row>
    <row r="572" spans="1:6">
      <c r="A572" t="s">
        <v>142</v>
      </c>
      <c r="B572" t="s">
        <v>2102</v>
      </c>
      <c r="C572" t="s">
        <v>2096</v>
      </c>
      <c r="D572" t="s">
        <v>2101</v>
      </c>
      <c r="E572">
        <v>2025</v>
      </c>
      <c r="F572" s="309">
        <v>0</v>
      </c>
    </row>
    <row r="573" spans="1:6">
      <c r="A573" t="s">
        <v>142</v>
      </c>
      <c r="B573" t="s">
        <v>2102</v>
      </c>
      <c r="C573" t="s">
        <v>2096</v>
      </c>
      <c r="D573" t="s">
        <v>2101</v>
      </c>
      <c r="E573">
        <v>2026</v>
      </c>
      <c r="F573" s="309">
        <v>0</v>
      </c>
    </row>
    <row r="574" spans="1:6">
      <c r="A574" t="s">
        <v>142</v>
      </c>
      <c r="B574" t="s">
        <v>2102</v>
      </c>
      <c r="C574" t="s">
        <v>2096</v>
      </c>
      <c r="D574" t="s">
        <v>2101</v>
      </c>
      <c r="E574">
        <v>2027</v>
      </c>
      <c r="F574" s="309">
        <v>0</v>
      </c>
    </row>
    <row r="575" spans="1:6">
      <c r="A575" t="s">
        <v>844</v>
      </c>
      <c r="B575" t="s">
        <v>1950</v>
      </c>
      <c r="C575" t="s">
        <v>145</v>
      </c>
      <c r="D575" t="s">
        <v>2339</v>
      </c>
      <c r="E575">
        <v>2024</v>
      </c>
      <c r="F575" s="309">
        <v>8760000</v>
      </c>
    </row>
    <row r="576" spans="1:6">
      <c r="A576" t="s">
        <v>844</v>
      </c>
      <c r="B576" t="s">
        <v>1950</v>
      </c>
      <c r="C576" t="s">
        <v>145</v>
      </c>
      <c r="D576" t="s">
        <v>2339</v>
      </c>
      <c r="E576">
        <v>2025</v>
      </c>
      <c r="F576" s="309">
        <v>8760000</v>
      </c>
    </row>
    <row r="577" spans="1:6">
      <c r="A577" t="s">
        <v>844</v>
      </c>
      <c r="B577" t="s">
        <v>1950</v>
      </c>
      <c r="C577" t="s">
        <v>145</v>
      </c>
      <c r="D577" t="s">
        <v>2339</v>
      </c>
      <c r="E577">
        <v>2026</v>
      </c>
      <c r="F577" s="309">
        <v>8760000</v>
      </c>
    </row>
    <row r="578" spans="1:6">
      <c r="A578" t="s">
        <v>844</v>
      </c>
      <c r="B578" t="s">
        <v>1950</v>
      </c>
      <c r="C578" t="s">
        <v>145</v>
      </c>
      <c r="D578" t="s">
        <v>2339</v>
      </c>
      <c r="E578">
        <v>2027</v>
      </c>
      <c r="F578" s="309">
        <v>8760000</v>
      </c>
    </row>
    <row r="579" spans="1:6">
      <c r="A579" t="s">
        <v>1101</v>
      </c>
      <c r="B579" t="s">
        <v>1013</v>
      </c>
      <c r="C579" t="s">
        <v>288</v>
      </c>
      <c r="D579" t="s">
        <v>1001</v>
      </c>
      <c r="E579">
        <v>2024</v>
      </c>
      <c r="F579" s="309">
        <v>762.70538210999996</v>
      </c>
    </row>
    <row r="580" spans="1:6">
      <c r="A580" t="s">
        <v>1101</v>
      </c>
      <c r="B580" t="s">
        <v>1013</v>
      </c>
      <c r="C580" t="s">
        <v>288</v>
      </c>
      <c r="D580" t="s">
        <v>1001</v>
      </c>
      <c r="E580">
        <v>2025</v>
      </c>
      <c r="F580" s="309">
        <v>762.70538210999996</v>
      </c>
    </row>
    <row r="581" spans="1:6">
      <c r="A581" t="s">
        <v>1101</v>
      </c>
      <c r="B581" t="s">
        <v>1013</v>
      </c>
      <c r="C581" t="s">
        <v>288</v>
      </c>
      <c r="D581" t="s">
        <v>1001</v>
      </c>
      <c r="E581">
        <v>2026</v>
      </c>
      <c r="F581" s="309">
        <v>762.70538210999996</v>
      </c>
    </row>
    <row r="582" spans="1:6">
      <c r="A582" t="s">
        <v>1101</v>
      </c>
      <c r="B582" t="s">
        <v>1013</v>
      </c>
      <c r="C582" t="s">
        <v>288</v>
      </c>
      <c r="D582" t="s">
        <v>1001</v>
      </c>
      <c r="E582">
        <v>2027</v>
      </c>
      <c r="F582" s="309">
        <v>762.70538210999996</v>
      </c>
    </row>
    <row r="583" spans="1:6">
      <c r="A583" t="s">
        <v>1101</v>
      </c>
      <c r="B583" t="s">
        <v>1011</v>
      </c>
      <c r="C583" t="s">
        <v>145</v>
      </c>
      <c r="D583" t="s">
        <v>998</v>
      </c>
      <c r="E583">
        <v>2024</v>
      </c>
      <c r="F583" s="309">
        <v>35.318576919999998</v>
      </c>
    </row>
    <row r="584" spans="1:6">
      <c r="A584" t="s">
        <v>1101</v>
      </c>
      <c r="B584" t="s">
        <v>1011</v>
      </c>
      <c r="C584" t="s">
        <v>145</v>
      </c>
      <c r="D584" t="s">
        <v>998</v>
      </c>
      <c r="E584">
        <v>2025</v>
      </c>
      <c r="F584" s="309">
        <v>35.318576919999998</v>
      </c>
    </row>
    <row r="585" spans="1:6">
      <c r="A585" t="s">
        <v>1101</v>
      </c>
      <c r="B585" t="s">
        <v>1011</v>
      </c>
      <c r="C585" t="s">
        <v>145</v>
      </c>
      <c r="D585" t="s">
        <v>998</v>
      </c>
      <c r="E585">
        <v>2026</v>
      </c>
      <c r="F585" s="309">
        <v>35.318576919999998</v>
      </c>
    </row>
    <row r="586" spans="1:6">
      <c r="A586" t="s">
        <v>1101</v>
      </c>
      <c r="B586" t="s">
        <v>1011</v>
      </c>
      <c r="C586" t="s">
        <v>145</v>
      </c>
      <c r="D586" t="s">
        <v>998</v>
      </c>
      <c r="E586">
        <v>2027</v>
      </c>
      <c r="F586" s="309">
        <v>35.318576919999998</v>
      </c>
    </row>
    <row r="587" spans="1:6">
      <c r="A587" t="s">
        <v>1101</v>
      </c>
      <c r="B587" t="s">
        <v>1011</v>
      </c>
      <c r="C587" t="s">
        <v>146</v>
      </c>
      <c r="D587" t="s">
        <v>999</v>
      </c>
      <c r="E587">
        <v>2024</v>
      </c>
      <c r="F587" s="309">
        <v>3938.2112293999999</v>
      </c>
    </row>
    <row r="588" spans="1:6">
      <c r="A588" t="s">
        <v>1101</v>
      </c>
      <c r="B588" t="s">
        <v>1011</v>
      </c>
      <c r="C588" t="s">
        <v>146</v>
      </c>
      <c r="D588" t="s">
        <v>999</v>
      </c>
      <c r="E588">
        <v>2025</v>
      </c>
      <c r="F588" s="309">
        <v>3938.2112293999999</v>
      </c>
    </row>
    <row r="589" spans="1:6">
      <c r="A589" t="s">
        <v>1101</v>
      </c>
      <c r="B589" t="s">
        <v>1011</v>
      </c>
      <c r="C589" t="s">
        <v>146</v>
      </c>
      <c r="D589" t="s">
        <v>999</v>
      </c>
      <c r="E589">
        <v>2026</v>
      </c>
      <c r="F589" s="309">
        <v>3938.2112293999999</v>
      </c>
    </row>
    <row r="590" spans="1:6">
      <c r="A590" t="s">
        <v>1101</v>
      </c>
      <c r="B590" t="s">
        <v>1011</v>
      </c>
      <c r="C590" t="s">
        <v>146</v>
      </c>
      <c r="D590" t="s">
        <v>999</v>
      </c>
      <c r="E590">
        <v>2027</v>
      </c>
      <c r="F590" s="309">
        <v>3938.2112293999999</v>
      </c>
    </row>
    <row r="591" spans="1:6">
      <c r="A591" t="s">
        <v>1101</v>
      </c>
      <c r="B591" t="s">
        <v>1011</v>
      </c>
      <c r="C591" t="s">
        <v>660</v>
      </c>
      <c r="D591" t="s">
        <v>1000</v>
      </c>
      <c r="E591">
        <v>2024</v>
      </c>
      <c r="F591" s="309">
        <v>6601.4629462499997</v>
      </c>
    </row>
    <row r="592" spans="1:6">
      <c r="A592" t="s">
        <v>1101</v>
      </c>
      <c r="B592" t="s">
        <v>1011</v>
      </c>
      <c r="C592" t="s">
        <v>660</v>
      </c>
      <c r="D592" t="s">
        <v>1000</v>
      </c>
      <c r="E592">
        <v>2025</v>
      </c>
      <c r="F592" s="309">
        <v>6601.4629462499997</v>
      </c>
    </row>
    <row r="593" spans="1:6">
      <c r="A593" t="s">
        <v>1101</v>
      </c>
      <c r="B593" t="s">
        <v>1011</v>
      </c>
      <c r="C593" t="s">
        <v>660</v>
      </c>
      <c r="D593" t="s">
        <v>1000</v>
      </c>
      <c r="E593">
        <v>2026</v>
      </c>
      <c r="F593" s="309">
        <v>6601.4629462499997</v>
      </c>
    </row>
    <row r="594" spans="1:6">
      <c r="A594" t="s">
        <v>1101</v>
      </c>
      <c r="B594" t="s">
        <v>1011</v>
      </c>
      <c r="C594" t="s">
        <v>660</v>
      </c>
      <c r="D594" t="s">
        <v>1000</v>
      </c>
      <c r="E594">
        <v>2027</v>
      </c>
      <c r="F594" s="309">
        <v>6601.4629462499997</v>
      </c>
    </row>
    <row r="595" spans="1:6">
      <c r="A595" t="s">
        <v>1101</v>
      </c>
      <c r="B595" t="s">
        <v>1009</v>
      </c>
      <c r="C595" t="s">
        <v>145</v>
      </c>
      <c r="D595" t="s">
        <v>993</v>
      </c>
      <c r="E595">
        <v>2024</v>
      </c>
      <c r="F595" s="309">
        <v>367.68671258000001</v>
      </c>
    </row>
    <row r="596" spans="1:6">
      <c r="A596" t="s">
        <v>1101</v>
      </c>
      <c r="B596" t="s">
        <v>1009</v>
      </c>
      <c r="C596" t="s">
        <v>145</v>
      </c>
      <c r="D596" t="s">
        <v>993</v>
      </c>
      <c r="E596">
        <v>2025</v>
      </c>
      <c r="F596" s="309">
        <v>367.68671258000001</v>
      </c>
    </row>
    <row r="597" spans="1:6">
      <c r="A597" t="s">
        <v>1101</v>
      </c>
      <c r="B597" t="s">
        <v>1009</v>
      </c>
      <c r="C597" t="s">
        <v>145</v>
      </c>
      <c r="D597" t="s">
        <v>993</v>
      </c>
      <c r="E597">
        <v>2026</v>
      </c>
      <c r="F597" s="309">
        <v>367.68671258000001</v>
      </c>
    </row>
    <row r="598" spans="1:6">
      <c r="A598" t="s">
        <v>1101</v>
      </c>
      <c r="B598" t="s">
        <v>1009</v>
      </c>
      <c r="C598" t="s">
        <v>145</v>
      </c>
      <c r="D598" t="s">
        <v>993</v>
      </c>
      <c r="E598">
        <v>2027</v>
      </c>
      <c r="F598" s="309">
        <v>367.68671258000001</v>
      </c>
    </row>
    <row r="599" spans="1:6">
      <c r="A599" t="s">
        <v>1101</v>
      </c>
      <c r="B599" t="s">
        <v>1009</v>
      </c>
      <c r="C599" t="s">
        <v>146</v>
      </c>
      <c r="D599" t="s">
        <v>994</v>
      </c>
      <c r="E599">
        <v>2024</v>
      </c>
      <c r="F599" s="309">
        <v>1359.82529903</v>
      </c>
    </row>
    <row r="600" spans="1:6">
      <c r="A600" t="s">
        <v>1101</v>
      </c>
      <c r="B600" t="s">
        <v>1009</v>
      </c>
      <c r="C600" t="s">
        <v>146</v>
      </c>
      <c r="D600" t="s">
        <v>994</v>
      </c>
      <c r="E600">
        <v>2025</v>
      </c>
      <c r="F600" s="309">
        <v>1359.82529903</v>
      </c>
    </row>
    <row r="601" spans="1:6">
      <c r="A601" t="s">
        <v>1101</v>
      </c>
      <c r="B601" t="s">
        <v>1009</v>
      </c>
      <c r="C601" t="s">
        <v>146</v>
      </c>
      <c r="D601" t="s">
        <v>994</v>
      </c>
      <c r="E601">
        <v>2026</v>
      </c>
      <c r="F601" s="309">
        <v>1359.82529903</v>
      </c>
    </row>
    <row r="602" spans="1:6">
      <c r="A602" t="s">
        <v>1101</v>
      </c>
      <c r="B602" t="s">
        <v>1009</v>
      </c>
      <c r="C602" t="s">
        <v>146</v>
      </c>
      <c r="D602" t="s">
        <v>994</v>
      </c>
      <c r="E602">
        <v>2027</v>
      </c>
      <c r="F602" s="309">
        <v>1359.82529903</v>
      </c>
    </row>
    <row r="603" spans="1:6">
      <c r="A603" t="s">
        <v>1101</v>
      </c>
      <c r="B603" t="s">
        <v>1092</v>
      </c>
      <c r="C603" t="s">
        <v>145</v>
      </c>
      <c r="D603" t="s">
        <v>1002</v>
      </c>
      <c r="E603">
        <v>2024</v>
      </c>
      <c r="F603" s="309">
        <v>832.03513528999997</v>
      </c>
    </row>
    <row r="604" spans="1:6">
      <c r="A604" t="s">
        <v>1101</v>
      </c>
      <c r="B604" t="s">
        <v>1092</v>
      </c>
      <c r="C604" t="s">
        <v>145</v>
      </c>
      <c r="D604" t="s">
        <v>1002</v>
      </c>
      <c r="E604">
        <v>2025</v>
      </c>
      <c r="F604" s="309">
        <v>832.03513528999997</v>
      </c>
    </row>
    <row r="605" spans="1:6">
      <c r="A605" t="s">
        <v>1101</v>
      </c>
      <c r="B605" t="s">
        <v>1092</v>
      </c>
      <c r="C605" t="s">
        <v>145</v>
      </c>
      <c r="D605" t="s">
        <v>1002</v>
      </c>
      <c r="E605">
        <v>2026</v>
      </c>
      <c r="F605" s="309">
        <v>832.03513528999997</v>
      </c>
    </row>
    <row r="606" spans="1:6">
      <c r="A606" t="s">
        <v>1101</v>
      </c>
      <c r="B606" t="s">
        <v>1092</v>
      </c>
      <c r="C606" t="s">
        <v>145</v>
      </c>
      <c r="D606" t="s">
        <v>1002</v>
      </c>
      <c r="E606">
        <v>2027</v>
      </c>
      <c r="F606" s="309">
        <v>832.03513528999997</v>
      </c>
    </row>
    <row r="607" spans="1:6">
      <c r="A607" t="s">
        <v>1101</v>
      </c>
      <c r="B607" t="s">
        <v>1092</v>
      </c>
      <c r="C607" t="s">
        <v>146</v>
      </c>
      <c r="D607" t="s">
        <v>1003</v>
      </c>
      <c r="E607">
        <v>2024</v>
      </c>
      <c r="F607" s="309">
        <v>1675.00583671</v>
      </c>
    </row>
    <row r="608" spans="1:6">
      <c r="A608" t="s">
        <v>1101</v>
      </c>
      <c r="B608" t="s">
        <v>1092</v>
      </c>
      <c r="C608" t="s">
        <v>146</v>
      </c>
      <c r="D608" t="s">
        <v>1003</v>
      </c>
      <c r="E608">
        <v>2025</v>
      </c>
      <c r="F608" s="309">
        <v>1675.00583671</v>
      </c>
    </row>
    <row r="609" spans="1:6">
      <c r="A609" t="s">
        <v>1101</v>
      </c>
      <c r="B609" t="s">
        <v>1092</v>
      </c>
      <c r="C609" t="s">
        <v>146</v>
      </c>
      <c r="D609" t="s">
        <v>1003</v>
      </c>
      <c r="E609">
        <v>2026</v>
      </c>
      <c r="F609" s="309">
        <v>1675.00583671</v>
      </c>
    </row>
    <row r="610" spans="1:6">
      <c r="A610" t="s">
        <v>1101</v>
      </c>
      <c r="B610" t="s">
        <v>1092</v>
      </c>
      <c r="C610" t="s">
        <v>146</v>
      </c>
      <c r="D610" t="s">
        <v>1003</v>
      </c>
      <c r="E610">
        <v>2027</v>
      </c>
      <c r="F610" s="309">
        <v>1675.00583671</v>
      </c>
    </row>
    <row r="611" spans="1:6">
      <c r="A611" t="s">
        <v>1101</v>
      </c>
      <c r="B611" t="s">
        <v>1010</v>
      </c>
      <c r="C611" t="s">
        <v>145</v>
      </c>
      <c r="D611" t="s">
        <v>995</v>
      </c>
      <c r="E611">
        <v>2024</v>
      </c>
      <c r="F611" s="309">
        <v>86.457957070000006</v>
      </c>
    </row>
    <row r="612" spans="1:6">
      <c r="A612" t="s">
        <v>1101</v>
      </c>
      <c r="B612" t="s">
        <v>1010</v>
      </c>
      <c r="C612" t="s">
        <v>145</v>
      </c>
      <c r="D612" t="s">
        <v>995</v>
      </c>
      <c r="E612">
        <v>2025</v>
      </c>
      <c r="F612" s="309">
        <v>86.457957070000006</v>
      </c>
    </row>
    <row r="613" spans="1:6">
      <c r="A613" t="s">
        <v>1101</v>
      </c>
      <c r="B613" t="s">
        <v>1010</v>
      </c>
      <c r="C613" t="s">
        <v>145</v>
      </c>
      <c r="D613" t="s">
        <v>995</v>
      </c>
      <c r="E613">
        <v>2026</v>
      </c>
      <c r="F613" s="309">
        <v>86.457957070000006</v>
      </c>
    </row>
    <row r="614" spans="1:6">
      <c r="A614" t="s">
        <v>1101</v>
      </c>
      <c r="B614" t="s">
        <v>1010</v>
      </c>
      <c r="C614" t="s">
        <v>145</v>
      </c>
      <c r="D614" t="s">
        <v>995</v>
      </c>
      <c r="E614">
        <v>2027</v>
      </c>
      <c r="F614" s="309">
        <v>86.457957070000006</v>
      </c>
    </row>
    <row r="615" spans="1:6">
      <c r="A615" t="s">
        <v>1101</v>
      </c>
      <c r="B615" t="s">
        <v>1010</v>
      </c>
      <c r="C615" t="s">
        <v>146</v>
      </c>
      <c r="D615" t="s">
        <v>996</v>
      </c>
      <c r="E615">
        <v>2024</v>
      </c>
      <c r="F615" s="309">
        <v>683.99400856</v>
      </c>
    </row>
    <row r="616" spans="1:6">
      <c r="A616" t="s">
        <v>1101</v>
      </c>
      <c r="B616" t="s">
        <v>1010</v>
      </c>
      <c r="C616" t="s">
        <v>146</v>
      </c>
      <c r="D616" t="s">
        <v>996</v>
      </c>
      <c r="E616">
        <v>2025</v>
      </c>
      <c r="F616" s="309">
        <v>683.99400856</v>
      </c>
    </row>
    <row r="617" spans="1:6">
      <c r="A617" t="s">
        <v>1101</v>
      </c>
      <c r="B617" t="s">
        <v>1010</v>
      </c>
      <c r="C617" t="s">
        <v>146</v>
      </c>
      <c r="D617" t="s">
        <v>996</v>
      </c>
      <c r="E617">
        <v>2026</v>
      </c>
      <c r="F617" s="309">
        <v>683.99400856</v>
      </c>
    </row>
    <row r="618" spans="1:6">
      <c r="A618" t="s">
        <v>1101</v>
      </c>
      <c r="B618" t="s">
        <v>1010</v>
      </c>
      <c r="C618" t="s">
        <v>146</v>
      </c>
      <c r="D618" t="s">
        <v>996</v>
      </c>
      <c r="E618">
        <v>2027</v>
      </c>
      <c r="F618" s="309">
        <v>683.99400856</v>
      </c>
    </row>
    <row r="619" spans="1:6">
      <c r="A619" t="s">
        <v>1101</v>
      </c>
      <c r="B619" t="s">
        <v>1010</v>
      </c>
      <c r="C619" t="s">
        <v>660</v>
      </c>
      <c r="D619" t="s">
        <v>997</v>
      </c>
      <c r="E619">
        <v>2024</v>
      </c>
      <c r="F619" s="309">
        <v>918.90977250000003</v>
      </c>
    </row>
    <row r="620" spans="1:6">
      <c r="A620" t="s">
        <v>1101</v>
      </c>
      <c r="B620" t="s">
        <v>1010</v>
      </c>
      <c r="C620" t="s">
        <v>660</v>
      </c>
      <c r="D620" t="s">
        <v>997</v>
      </c>
      <c r="E620">
        <v>2025</v>
      </c>
      <c r="F620" s="309">
        <v>918.90977250000003</v>
      </c>
    </row>
    <row r="621" spans="1:6">
      <c r="A621" t="s">
        <v>1101</v>
      </c>
      <c r="B621" t="s">
        <v>1010</v>
      </c>
      <c r="C621" t="s">
        <v>660</v>
      </c>
      <c r="D621" t="s">
        <v>997</v>
      </c>
      <c r="E621">
        <v>2026</v>
      </c>
      <c r="F621" s="309">
        <v>918.90977250000003</v>
      </c>
    </row>
    <row r="622" spans="1:6">
      <c r="A622" t="s">
        <v>1101</v>
      </c>
      <c r="B622" t="s">
        <v>1010</v>
      </c>
      <c r="C622" t="s">
        <v>660</v>
      </c>
      <c r="D622" t="s">
        <v>997</v>
      </c>
      <c r="E622">
        <v>2027</v>
      </c>
      <c r="F622" s="309">
        <v>918.90977250000003</v>
      </c>
    </row>
    <row r="623" spans="1:6">
      <c r="A623" t="s">
        <v>1101</v>
      </c>
      <c r="B623" t="s">
        <v>1008</v>
      </c>
      <c r="C623" t="s">
        <v>145</v>
      </c>
      <c r="D623" t="s">
        <v>991</v>
      </c>
      <c r="E623">
        <v>2024</v>
      </c>
      <c r="F623" s="309">
        <v>88.399914150000001</v>
      </c>
    </row>
    <row r="624" spans="1:6">
      <c r="A624" t="s">
        <v>1101</v>
      </c>
      <c r="B624" t="s">
        <v>1008</v>
      </c>
      <c r="C624" t="s">
        <v>145</v>
      </c>
      <c r="D624" t="s">
        <v>991</v>
      </c>
      <c r="E624">
        <v>2025</v>
      </c>
      <c r="F624" s="309">
        <v>88.399914150000001</v>
      </c>
    </row>
    <row r="625" spans="1:6">
      <c r="A625" t="s">
        <v>1101</v>
      </c>
      <c r="B625" t="s">
        <v>1008</v>
      </c>
      <c r="C625" t="s">
        <v>145</v>
      </c>
      <c r="D625" t="s">
        <v>991</v>
      </c>
      <c r="E625">
        <v>2026</v>
      </c>
      <c r="F625" s="309">
        <v>88.399914150000001</v>
      </c>
    </row>
    <row r="626" spans="1:6">
      <c r="A626" t="s">
        <v>1101</v>
      </c>
      <c r="B626" t="s">
        <v>1008</v>
      </c>
      <c r="C626" t="s">
        <v>145</v>
      </c>
      <c r="D626" t="s">
        <v>991</v>
      </c>
      <c r="E626">
        <v>2027</v>
      </c>
      <c r="F626" s="309">
        <v>88.399914150000001</v>
      </c>
    </row>
    <row r="627" spans="1:6">
      <c r="A627" t="s">
        <v>1101</v>
      </c>
      <c r="B627" t="s">
        <v>1008</v>
      </c>
      <c r="C627" t="s">
        <v>146</v>
      </c>
      <c r="D627" t="s">
        <v>992</v>
      </c>
      <c r="E627">
        <v>2024</v>
      </c>
      <c r="F627" s="309">
        <v>165.18819289999999</v>
      </c>
    </row>
    <row r="628" spans="1:6">
      <c r="A628" t="s">
        <v>1101</v>
      </c>
      <c r="B628" t="s">
        <v>1008</v>
      </c>
      <c r="C628" t="s">
        <v>146</v>
      </c>
      <c r="D628" t="s">
        <v>992</v>
      </c>
      <c r="E628">
        <v>2025</v>
      </c>
      <c r="F628" s="309">
        <v>165.18819289999999</v>
      </c>
    </row>
    <row r="629" spans="1:6">
      <c r="A629" t="s">
        <v>1101</v>
      </c>
      <c r="B629" t="s">
        <v>1008</v>
      </c>
      <c r="C629" t="s">
        <v>146</v>
      </c>
      <c r="D629" t="s">
        <v>992</v>
      </c>
      <c r="E629">
        <v>2026</v>
      </c>
      <c r="F629" s="309">
        <v>165.18819289999999</v>
      </c>
    </row>
    <row r="630" spans="1:6">
      <c r="A630" t="s">
        <v>1101</v>
      </c>
      <c r="B630" t="s">
        <v>1008</v>
      </c>
      <c r="C630" t="s">
        <v>146</v>
      </c>
      <c r="D630" t="s">
        <v>992</v>
      </c>
      <c r="E630">
        <v>2027</v>
      </c>
      <c r="F630" s="309">
        <v>165.18819289999999</v>
      </c>
    </row>
    <row r="631" spans="1:6">
      <c r="F631"/>
    </row>
    <row r="632" spans="1:6">
      <c r="F632"/>
    </row>
    <row r="633" spans="1:6">
      <c r="F633"/>
    </row>
    <row r="634" spans="1:6">
      <c r="F634"/>
    </row>
    <row r="635" spans="1:6">
      <c r="F635"/>
    </row>
    <row r="636" spans="1:6">
      <c r="F636"/>
    </row>
    <row r="637" spans="1:6">
      <c r="F637"/>
    </row>
    <row r="638" spans="1:6">
      <c r="F638"/>
    </row>
    <row r="639" spans="1:6">
      <c r="F639"/>
    </row>
    <row r="640" spans="1: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F4834-3611-4786-8571-C78BA54FA7F2}">
  <sheetPr>
    <tabColor theme="1"/>
  </sheetPr>
  <dimension ref="A1:N563"/>
  <sheetViews>
    <sheetView topLeftCell="F1" workbookViewId="0">
      <selection activeCell="M1" sqref="M1"/>
    </sheetView>
  </sheetViews>
  <sheetFormatPr defaultRowHeight="15"/>
  <cols>
    <col min="1" max="1" width="30.85546875" bestFit="1" customWidth="1"/>
    <col min="2" max="2" width="15.5703125" bestFit="1" customWidth="1"/>
    <col min="3" max="3" width="6.85546875" bestFit="1" customWidth="1"/>
    <col min="4" max="4" width="15" bestFit="1" customWidth="1"/>
    <col min="5" max="5" width="17.42578125" style="389" bestFit="1" customWidth="1"/>
    <col min="6" max="6" width="13.28515625" style="389" bestFit="1" customWidth="1"/>
    <col min="7" max="7" width="12.5703125" style="389" bestFit="1" customWidth="1"/>
    <col min="8" max="8" width="13.42578125" style="389" bestFit="1" customWidth="1"/>
    <col min="9" max="9" width="13.42578125" bestFit="1" customWidth="1"/>
    <col min="10" max="11" width="24.5703125" bestFit="1" customWidth="1"/>
    <col min="12" max="12" width="30.5703125" bestFit="1" customWidth="1"/>
    <col min="13" max="13" width="11" bestFit="1" customWidth="1"/>
    <col min="14" max="14" width="11.5703125" bestFit="1" customWidth="1"/>
  </cols>
  <sheetData>
    <row r="1" spans="1:14">
      <c r="A1" s="13" t="s">
        <v>2062</v>
      </c>
      <c r="E1" s="644" t="s">
        <v>1995</v>
      </c>
      <c r="F1" s="643"/>
      <c r="G1" s="643"/>
      <c r="H1" s="643"/>
      <c r="L1" s="13" t="s">
        <v>2749</v>
      </c>
      <c r="M1" t="s">
        <v>207</v>
      </c>
      <c r="N1" t="s">
        <v>445</v>
      </c>
    </row>
    <row r="2" spans="1:14">
      <c r="A2" s="13" t="s">
        <v>1992</v>
      </c>
      <c r="B2" s="13" t="s">
        <v>1993</v>
      </c>
      <c r="C2" s="13" t="s">
        <v>8</v>
      </c>
      <c r="D2" s="13" t="s">
        <v>14</v>
      </c>
      <c r="E2" s="643" t="s">
        <v>1105</v>
      </c>
      <c r="F2" s="643" t="s">
        <v>1106</v>
      </c>
      <c r="G2" s="643" t="s">
        <v>1107</v>
      </c>
      <c r="H2" s="643" t="s">
        <v>1108</v>
      </c>
      <c r="L2" s="1383" t="s">
        <v>2750</v>
      </c>
      <c r="M2" s="643">
        <v>7.2762142803872762E-2</v>
      </c>
      <c r="N2" s="643">
        <v>7.5384812552869232E-2</v>
      </c>
    </row>
    <row r="3" spans="1:14">
      <c r="A3" t="s">
        <v>576</v>
      </c>
      <c r="B3" t="s">
        <v>1994</v>
      </c>
      <c r="C3" t="s">
        <v>2063</v>
      </c>
      <c r="D3">
        <v>3.95E-2</v>
      </c>
      <c r="E3" s="643">
        <v>1.1849999999999999E-2</v>
      </c>
      <c r="F3" s="643">
        <v>0</v>
      </c>
      <c r="G3" s="643">
        <v>0</v>
      </c>
      <c r="H3" s="643">
        <v>2.7650000000000001E-2</v>
      </c>
      <c r="J3" t="str">
        <f>A3&amp;C3</f>
        <v>Avista Utilities1997</v>
      </c>
      <c r="L3" s="1383" t="s">
        <v>2751</v>
      </c>
      <c r="M3" s="643">
        <v>3.4487002386806243E-2</v>
      </c>
      <c r="N3" s="643">
        <v>5.3992747556195819E-2</v>
      </c>
    </row>
    <row r="4" spans="1:14">
      <c r="A4" t="s">
        <v>576</v>
      </c>
      <c r="B4" t="s">
        <v>1994</v>
      </c>
      <c r="C4" t="s">
        <v>2064</v>
      </c>
      <c r="D4">
        <v>3.95E-2</v>
      </c>
      <c r="E4" s="643">
        <v>1.1849999999999999E-2</v>
      </c>
      <c r="F4" s="643">
        <v>0</v>
      </c>
      <c r="G4" s="643">
        <v>0</v>
      </c>
      <c r="H4" s="643">
        <v>2.7650000000000001E-2</v>
      </c>
      <c r="J4" t="str">
        <f t="shared" ref="J4:J67" si="0">A4&amp;C4</f>
        <v>Avista Utilities1998</v>
      </c>
      <c r="L4" s="1383" t="s">
        <v>2752</v>
      </c>
      <c r="M4" s="643">
        <v>0.323180071748433</v>
      </c>
      <c r="N4" s="643">
        <v>0.29584330172057355</v>
      </c>
    </row>
    <row r="5" spans="1:14">
      <c r="A5" t="s">
        <v>576</v>
      </c>
      <c r="B5" t="s">
        <v>1994</v>
      </c>
      <c r="C5" t="s">
        <v>2065</v>
      </c>
      <c r="D5">
        <v>3.95E-2</v>
      </c>
      <c r="E5" s="643">
        <v>1.1849999999999999E-2</v>
      </c>
      <c r="F5" s="643">
        <v>0</v>
      </c>
      <c r="G5" s="643">
        <v>0</v>
      </c>
      <c r="H5" s="643">
        <v>2.7650000000000001E-2</v>
      </c>
      <c r="J5" t="str">
        <f t="shared" si="0"/>
        <v>Avista Utilities1999</v>
      </c>
      <c r="L5" s="1383" t="s">
        <v>2748</v>
      </c>
      <c r="M5" s="643">
        <v>0.14347640564637068</v>
      </c>
      <c r="N5" s="643">
        <v>0.1417402872765462</v>
      </c>
    </row>
    <row r="6" spans="1:14">
      <c r="A6" t="s">
        <v>576</v>
      </c>
      <c r="B6" t="s">
        <v>1994</v>
      </c>
      <c r="C6" t="s">
        <v>2066</v>
      </c>
      <c r="D6">
        <v>3.95E-2</v>
      </c>
      <c r="E6" s="643">
        <v>1.1849999999999999E-2</v>
      </c>
      <c r="F6" s="643">
        <v>0</v>
      </c>
      <c r="G6" s="643">
        <v>0</v>
      </c>
      <c r="H6" s="643">
        <v>2.7650000000000001E-2</v>
      </c>
      <c r="J6" t="str">
        <f t="shared" si="0"/>
        <v>Avista Utilities2000</v>
      </c>
    </row>
    <row r="7" spans="1:14">
      <c r="A7" t="s">
        <v>576</v>
      </c>
      <c r="B7" t="s">
        <v>1994</v>
      </c>
      <c r="C7" t="s">
        <v>2067</v>
      </c>
      <c r="D7">
        <v>3.95E-2</v>
      </c>
      <c r="E7" s="643">
        <v>1.1849999999999999E-2</v>
      </c>
      <c r="F7" s="643">
        <v>0</v>
      </c>
      <c r="G7" s="643">
        <v>0</v>
      </c>
      <c r="H7" s="643">
        <v>2.7650000000000001E-2</v>
      </c>
      <c r="J7" t="str">
        <f t="shared" si="0"/>
        <v>Avista Utilities2001</v>
      </c>
    </row>
    <row r="8" spans="1:14">
      <c r="A8" t="s">
        <v>576</v>
      </c>
      <c r="B8" t="s">
        <v>1994</v>
      </c>
      <c r="C8" t="s">
        <v>2068</v>
      </c>
      <c r="D8">
        <v>3.95E-2</v>
      </c>
      <c r="E8" s="643">
        <v>1.1849999999999999E-2</v>
      </c>
      <c r="F8" s="643">
        <v>0</v>
      </c>
      <c r="G8" s="643">
        <v>0</v>
      </c>
      <c r="H8" s="643">
        <v>2.7650000000000001E-2</v>
      </c>
      <c r="J8" t="str">
        <f t="shared" si="0"/>
        <v>Avista Utilities2002</v>
      </c>
    </row>
    <row r="9" spans="1:14">
      <c r="A9" t="s">
        <v>576</v>
      </c>
      <c r="B9" t="s">
        <v>1994</v>
      </c>
      <c r="C9" t="s">
        <v>2069</v>
      </c>
      <c r="D9">
        <v>3.95E-2</v>
      </c>
      <c r="E9" s="643">
        <v>1.1849999999999999E-2</v>
      </c>
      <c r="F9" s="643">
        <v>0</v>
      </c>
      <c r="G9" s="643">
        <v>0</v>
      </c>
      <c r="H9" s="643">
        <v>2.7650000000000001E-2</v>
      </c>
      <c r="J9" t="str">
        <f t="shared" si="0"/>
        <v>Avista Utilities2003</v>
      </c>
    </row>
    <row r="10" spans="1:14">
      <c r="A10" t="s">
        <v>576</v>
      </c>
      <c r="B10" t="s">
        <v>1994</v>
      </c>
      <c r="C10" t="s">
        <v>2070</v>
      </c>
      <c r="D10">
        <v>3.95E-2</v>
      </c>
      <c r="E10" s="643">
        <v>1.1849999999999999E-2</v>
      </c>
      <c r="F10" s="643">
        <v>0</v>
      </c>
      <c r="G10" s="643">
        <v>0</v>
      </c>
      <c r="H10" s="643">
        <v>2.7650000000000001E-2</v>
      </c>
      <c r="J10" t="str">
        <f t="shared" si="0"/>
        <v>Avista Utilities2004</v>
      </c>
    </row>
    <row r="11" spans="1:14">
      <c r="A11" t="s">
        <v>576</v>
      </c>
      <c r="B11" t="s">
        <v>1994</v>
      </c>
      <c r="C11" t="s">
        <v>2071</v>
      </c>
      <c r="D11">
        <v>3.95E-2</v>
      </c>
      <c r="E11" s="643">
        <v>1.1849999999999999E-2</v>
      </c>
      <c r="F11" s="643">
        <v>0</v>
      </c>
      <c r="G11" s="643">
        <v>0</v>
      </c>
      <c r="H11" s="643">
        <v>2.7650000000000001E-2</v>
      </c>
      <c r="J11" t="str">
        <f t="shared" si="0"/>
        <v>Avista Utilities2005</v>
      </c>
    </row>
    <row r="12" spans="1:14">
      <c r="A12" t="s">
        <v>576</v>
      </c>
      <c r="B12" t="s">
        <v>1994</v>
      </c>
      <c r="C12" t="s">
        <v>2072</v>
      </c>
      <c r="D12">
        <v>3.95E-2</v>
      </c>
      <c r="E12" s="643">
        <v>1.1849999999999999E-2</v>
      </c>
      <c r="F12" s="643">
        <v>0</v>
      </c>
      <c r="G12" s="643">
        <v>0</v>
      </c>
      <c r="H12" s="643">
        <v>2.7650000000000001E-2</v>
      </c>
      <c r="J12" t="str">
        <f t="shared" si="0"/>
        <v>Avista Utilities2006</v>
      </c>
    </row>
    <row r="13" spans="1:14">
      <c r="A13" t="s">
        <v>576</v>
      </c>
      <c r="B13" t="s">
        <v>1994</v>
      </c>
      <c r="C13" t="s">
        <v>2073</v>
      </c>
      <c r="D13">
        <v>3.95E-2</v>
      </c>
      <c r="E13" s="643">
        <v>1.1849999999999999E-2</v>
      </c>
      <c r="F13" s="643">
        <v>0</v>
      </c>
      <c r="G13" s="643">
        <v>0</v>
      </c>
      <c r="H13" s="643">
        <v>2.7650000000000001E-2</v>
      </c>
      <c r="J13" t="str">
        <f t="shared" si="0"/>
        <v>Avista Utilities2007</v>
      </c>
    </row>
    <row r="14" spans="1:14">
      <c r="A14" t="s">
        <v>576</v>
      </c>
      <c r="B14" t="s">
        <v>1994</v>
      </c>
      <c r="C14" t="s">
        <v>2074</v>
      </c>
      <c r="D14">
        <v>3.95E-2</v>
      </c>
      <c r="E14" s="643">
        <v>1.1849999999999999E-2</v>
      </c>
      <c r="F14" s="643">
        <v>0</v>
      </c>
      <c r="G14" s="643">
        <v>0</v>
      </c>
      <c r="H14" s="643">
        <v>2.7650000000000001E-2</v>
      </c>
      <c r="J14" t="str">
        <f t="shared" si="0"/>
        <v>Avista Utilities2008</v>
      </c>
    </row>
    <row r="15" spans="1:14">
      <c r="A15" t="s">
        <v>576</v>
      </c>
      <c r="B15" t="s">
        <v>1994</v>
      </c>
      <c r="C15" t="s">
        <v>2075</v>
      </c>
      <c r="D15">
        <v>3.95E-2</v>
      </c>
      <c r="E15" s="643">
        <v>1.1849999999999999E-2</v>
      </c>
      <c r="F15" s="643">
        <v>0</v>
      </c>
      <c r="G15" s="643">
        <v>0</v>
      </c>
      <c r="H15" s="643">
        <v>2.7650000000000001E-2</v>
      </c>
      <c r="J15" t="str">
        <f t="shared" si="0"/>
        <v>Avista Utilities2009</v>
      </c>
    </row>
    <row r="16" spans="1:14">
      <c r="A16" t="s">
        <v>576</v>
      </c>
      <c r="B16" t="s">
        <v>1994</v>
      </c>
      <c r="C16" t="s">
        <v>2076</v>
      </c>
      <c r="D16">
        <v>5.62E-2</v>
      </c>
      <c r="E16" s="643">
        <v>1.686E-2</v>
      </c>
      <c r="F16" s="643">
        <v>0</v>
      </c>
      <c r="G16" s="643">
        <v>0</v>
      </c>
      <c r="H16" s="643">
        <v>3.934E-2</v>
      </c>
      <c r="J16" t="str">
        <f t="shared" si="0"/>
        <v>Avista Utilities2010</v>
      </c>
    </row>
    <row r="17" spans="1:10">
      <c r="A17" t="s">
        <v>576</v>
      </c>
      <c r="B17" t="s">
        <v>1994</v>
      </c>
      <c r="C17" t="s">
        <v>2077</v>
      </c>
      <c r="D17">
        <v>5.62E-2</v>
      </c>
      <c r="E17" s="643">
        <v>1.686E-2</v>
      </c>
      <c r="F17" s="643">
        <v>0</v>
      </c>
      <c r="G17" s="643">
        <v>0</v>
      </c>
      <c r="H17" s="643">
        <v>3.934E-2</v>
      </c>
      <c r="J17" t="str">
        <f t="shared" si="0"/>
        <v>Avista Utilities2011</v>
      </c>
    </row>
    <row r="18" spans="1:10">
      <c r="A18" t="s">
        <v>576</v>
      </c>
      <c r="B18" t="s">
        <v>1994</v>
      </c>
      <c r="C18" t="s">
        <v>2078</v>
      </c>
      <c r="D18">
        <v>5.5599999999999997E-2</v>
      </c>
      <c r="E18" s="643">
        <v>1.668E-2</v>
      </c>
      <c r="F18" s="643">
        <v>0</v>
      </c>
      <c r="G18" s="643">
        <v>0</v>
      </c>
      <c r="H18" s="643">
        <v>3.8920000000000003E-2</v>
      </c>
      <c r="J18" t="str">
        <f t="shared" si="0"/>
        <v>Avista Utilities2012</v>
      </c>
    </row>
    <row r="19" spans="1:10">
      <c r="A19" t="s">
        <v>576</v>
      </c>
      <c r="B19" t="s">
        <v>1994</v>
      </c>
      <c r="C19" t="s">
        <v>2079</v>
      </c>
      <c r="D19">
        <v>5.5599999999999997E-2</v>
      </c>
      <c r="E19" s="643">
        <v>1.668E-2</v>
      </c>
      <c r="F19" s="643">
        <v>0</v>
      </c>
      <c r="G19" s="643">
        <v>0</v>
      </c>
      <c r="H19" s="643">
        <v>3.8920000000000003E-2</v>
      </c>
      <c r="J19" t="str">
        <f t="shared" si="0"/>
        <v>Avista Utilities2013</v>
      </c>
    </row>
    <row r="20" spans="1:10">
      <c r="A20" t="s">
        <v>576</v>
      </c>
      <c r="B20" t="s">
        <v>1994</v>
      </c>
      <c r="C20" t="s">
        <v>2080</v>
      </c>
      <c r="D20">
        <v>5.5599999999999997E-2</v>
      </c>
      <c r="E20" s="643">
        <v>1.668E-2</v>
      </c>
      <c r="F20" s="643">
        <v>0</v>
      </c>
      <c r="G20" s="643">
        <v>0</v>
      </c>
      <c r="H20" s="643">
        <v>3.8920000000000003E-2</v>
      </c>
      <c r="J20" t="str">
        <f t="shared" si="0"/>
        <v>Avista Utilities2014</v>
      </c>
    </row>
    <row r="21" spans="1:10">
      <c r="A21" t="s">
        <v>576</v>
      </c>
      <c r="B21" t="s">
        <v>1994</v>
      </c>
      <c r="C21" t="s">
        <v>2081</v>
      </c>
      <c r="D21">
        <v>5.7500000000000002E-2</v>
      </c>
      <c r="E21" s="643">
        <v>1.7250000000000001E-2</v>
      </c>
      <c r="F21" s="643">
        <v>0</v>
      </c>
      <c r="G21" s="643">
        <v>0</v>
      </c>
      <c r="H21" s="643">
        <v>4.0250000000000001E-2</v>
      </c>
      <c r="J21" t="str">
        <f t="shared" si="0"/>
        <v>Avista Utilities2015</v>
      </c>
    </row>
    <row r="22" spans="1:10">
      <c r="A22" t="s">
        <v>576</v>
      </c>
      <c r="B22" t="s">
        <v>1994</v>
      </c>
      <c r="C22" t="s">
        <v>2082</v>
      </c>
      <c r="D22">
        <v>5.7500000000000002E-2</v>
      </c>
      <c r="E22" s="643">
        <v>1.7250000000000001E-2</v>
      </c>
      <c r="F22" s="643">
        <v>0</v>
      </c>
      <c r="G22" s="643">
        <v>0</v>
      </c>
      <c r="H22" s="643">
        <v>4.0250000000000001E-2</v>
      </c>
      <c r="J22" t="str">
        <f t="shared" si="0"/>
        <v>Avista Utilities2016</v>
      </c>
    </row>
    <row r="23" spans="1:10">
      <c r="A23" t="s">
        <v>576</v>
      </c>
      <c r="B23" t="s">
        <v>1994</v>
      </c>
      <c r="C23" t="s">
        <v>2083</v>
      </c>
      <c r="D23">
        <v>5.7700000000000001E-2</v>
      </c>
      <c r="E23" s="643">
        <v>1.7309999999999999E-2</v>
      </c>
      <c r="F23" s="643">
        <v>0</v>
      </c>
      <c r="G23" s="643">
        <v>0</v>
      </c>
      <c r="H23" s="643">
        <v>4.0390000000000002E-2</v>
      </c>
      <c r="J23" t="str">
        <f t="shared" si="0"/>
        <v>Avista Utilities2017</v>
      </c>
    </row>
    <row r="24" spans="1:10">
      <c r="A24" t="s">
        <v>576</v>
      </c>
      <c r="B24" t="s">
        <v>1994</v>
      </c>
      <c r="C24" t="s">
        <v>234</v>
      </c>
      <c r="D24">
        <v>5.7700000000000001E-2</v>
      </c>
      <c r="E24" s="643">
        <v>1.7309999999999999E-2</v>
      </c>
      <c r="F24" s="643">
        <v>0</v>
      </c>
      <c r="G24" s="643">
        <v>0</v>
      </c>
      <c r="H24" s="643">
        <v>4.0390000000000002E-2</v>
      </c>
      <c r="J24" t="str">
        <f t="shared" si="0"/>
        <v>Avista Utilities2018</v>
      </c>
    </row>
    <row r="25" spans="1:10">
      <c r="A25" t="s">
        <v>576</v>
      </c>
      <c r="B25" t="s">
        <v>1994</v>
      </c>
      <c r="C25" t="s">
        <v>235</v>
      </c>
      <c r="D25">
        <v>5.7700000000000001E-2</v>
      </c>
      <c r="E25" s="643">
        <v>1.7309999999999999E-2</v>
      </c>
      <c r="F25" s="643">
        <v>0</v>
      </c>
      <c r="G25" s="643">
        <v>0</v>
      </c>
      <c r="H25" s="643">
        <v>4.0390000000000002E-2</v>
      </c>
      <c r="J25" t="str">
        <f t="shared" si="0"/>
        <v>Avista Utilities2019</v>
      </c>
    </row>
    <row r="26" spans="1:10">
      <c r="A26" t="s">
        <v>576</v>
      </c>
      <c r="B26" t="s">
        <v>1994</v>
      </c>
      <c r="C26" t="s">
        <v>2084</v>
      </c>
      <c r="D26">
        <v>5.6498E-2</v>
      </c>
      <c r="E26" s="643">
        <v>1.6948999999999999E-2</v>
      </c>
      <c r="F26" s="643">
        <v>0</v>
      </c>
      <c r="G26" s="643">
        <v>0</v>
      </c>
      <c r="H26" s="643">
        <v>3.9549000000000001E-2</v>
      </c>
      <c r="J26" t="str">
        <f t="shared" si="0"/>
        <v>Avista Utilities2020</v>
      </c>
    </row>
    <row r="27" spans="1:10">
      <c r="A27" t="s">
        <v>576</v>
      </c>
      <c r="B27" t="s">
        <v>1994</v>
      </c>
      <c r="C27" t="s">
        <v>2085</v>
      </c>
      <c r="D27">
        <v>5.6498E-2</v>
      </c>
      <c r="E27" s="643">
        <v>1.6948999999999999E-2</v>
      </c>
      <c r="F27" s="643">
        <v>0</v>
      </c>
      <c r="G27" s="643">
        <v>0</v>
      </c>
      <c r="H27" s="643">
        <v>3.9549000000000001E-2</v>
      </c>
      <c r="J27" t="str">
        <f t="shared" si="0"/>
        <v>Avista Utilities2021</v>
      </c>
    </row>
    <row r="28" spans="1:10">
      <c r="A28" t="s">
        <v>576</v>
      </c>
      <c r="B28" t="s">
        <v>1994</v>
      </c>
      <c r="C28" t="s">
        <v>1103</v>
      </c>
      <c r="D28">
        <v>5.6498E-2</v>
      </c>
      <c r="E28" s="643">
        <v>1.6948999999999999E-2</v>
      </c>
      <c r="F28" s="643">
        <v>0</v>
      </c>
      <c r="G28" s="643">
        <v>0</v>
      </c>
      <c r="H28" s="643">
        <v>3.9549000000000001E-2</v>
      </c>
      <c r="J28" t="str">
        <f t="shared" si="0"/>
        <v>Avista Utilities2022</v>
      </c>
    </row>
    <row r="29" spans="1:10">
      <c r="A29" t="s">
        <v>576</v>
      </c>
      <c r="B29" t="s">
        <v>1994</v>
      </c>
      <c r="C29" t="s">
        <v>1104</v>
      </c>
      <c r="D29">
        <v>5.6498E-2</v>
      </c>
      <c r="E29" s="643">
        <v>1.6948999999999999E-2</v>
      </c>
      <c r="F29" s="643">
        <v>0</v>
      </c>
      <c r="G29" s="643">
        <v>0</v>
      </c>
      <c r="H29" s="643">
        <v>3.9549000000000001E-2</v>
      </c>
      <c r="J29" t="str">
        <f t="shared" si="0"/>
        <v>Avista Utilities2023</v>
      </c>
    </row>
    <row r="30" spans="1:10">
      <c r="A30" t="s">
        <v>576</v>
      </c>
      <c r="B30" t="s">
        <v>1994</v>
      </c>
      <c r="C30" t="s">
        <v>1996</v>
      </c>
      <c r="D30">
        <v>5.6498E-2</v>
      </c>
      <c r="E30" s="643">
        <v>1.6948999999999999E-2</v>
      </c>
      <c r="F30" s="643">
        <v>0</v>
      </c>
      <c r="G30" s="643">
        <v>0</v>
      </c>
      <c r="H30" s="643">
        <v>3.9549000000000001E-2</v>
      </c>
      <c r="J30" t="str">
        <f t="shared" si="0"/>
        <v>Avista Utilities2024</v>
      </c>
    </row>
    <row r="31" spans="1:10">
      <c r="A31" t="s">
        <v>576</v>
      </c>
      <c r="B31" t="s">
        <v>1994</v>
      </c>
      <c r="C31" t="s">
        <v>2016</v>
      </c>
      <c r="D31">
        <v>5.6498E-2</v>
      </c>
      <c r="E31" s="643">
        <v>1.6948999999999999E-2</v>
      </c>
      <c r="F31" s="643">
        <v>0</v>
      </c>
      <c r="G31" s="643">
        <v>0</v>
      </c>
      <c r="H31" s="643">
        <v>3.9549000000000001E-2</v>
      </c>
      <c r="J31" t="str">
        <f t="shared" si="0"/>
        <v>Avista Utilities2025</v>
      </c>
    </row>
    <row r="32" spans="1:10">
      <c r="A32" t="s">
        <v>576</v>
      </c>
      <c r="B32" t="s">
        <v>1994</v>
      </c>
      <c r="C32" t="s">
        <v>2585</v>
      </c>
      <c r="D32">
        <v>5.6498E-2</v>
      </c>
      <c r="E32" s="643">
        <v>1.6948999999999999E-2</v>
      </c>
      <c r="F32" s="643">
        <v>0</v>
      </c>
      <c r="G32" s="643">
        <v>0</v>
      </c>
      <c r="H32" s="643">
        <v>3.9549000000000001E-2</v>
      </c>
      <c r="J32" t="str">
        <f t="shared" si="0"/>
        <v>Avista Utilities2026</v>
      </c>
    </row>
    <row r="33" spans="1:10">
      <c r="A33" t="s">
        <v>576</v>
      </c>
      <c r="B33" t="s">
        <v>1994</v>
      </c>
      <c r="C33" t="s">
        <v>2586</v>
      </c>
      <c r="D33">
        <v>5.6498E-2</v>
      </c>
      <c r="E33" s="643">
        <v>1.6948999999999999E-2</v>
      </c>
      <c r="F33" s="643">
        <v>0</v>
      </c>
      <c r="G33" s="643">
        <v>0</v>
      </c>
      <c r="H33" s="643">
        <v>3.9549000000000001E-2</v>
      </c>
      <c r="J33" t="str">
        <f t="shared" si="0"/>
        <v>Avista Utilities2027</v>
      </c>
    </row>
    <row r="34" spans="1:10">
      <c r="A34" t="s">
        <v>576</v>
      </c>
      <c r="B34" t="s">
        <v>1994</v>
      </c>
      <c r="C34" t="s">
        <v>2587</v>
      </c>
      <c r="D34">
        <v>5.6498E-2</v>
      </c>
      <c r="E34" s="643">
        <v>1.6948999999999999E-2</v>
      </c>
      <c r="F34" s="643">
        <v>0</v>
      </c>
      <c r="G34" s="643">
        <v>0</v>
      </c>
      <c r="H34" s="643">
        <v>3.9549000000000001E-2</v>
      </c>
      <c r="J34" t="str">
        <f t="shared" si="0"/>
        <v>Avista Utilities2028</v>
      </c>
    </row>
    <row r="35" spans="1:10">
      <c r="A35" t="s">
        <v>576</v>
      </c>
      <c r="B35" t="s">
        <v>1994</v>
      </c>
      <c r="C35" t="s">
        <v>2588</v>
      </c>
      <c r="D35">
        <v>5.6498E-2</v>
      </c>
      <c r="E35" s="643">
        <v>1.6948999999999999E-2</v>
      </c>
      <c r="F35" s="643">
        <v>0</v>
      </c>
      <c r="G35" s="643">
        <v>0</v>
      </c>
      <c r="H35" s="643">
        <v>3.9549000000000001E-2</v>
      </c>
      <c r="J35" t="str">
        <f t="shared" si="0"/>
        <v>Avista Utilities2029</v>
      </c>
    </row>
    <row r="36" spans="1:10">
      <c r="A36" t="s">
        <v>600</v>
      </c>
      <c r="B36" t="s">
        <v>1994</v>
      </c>
      <c r="C36" t="s">
        <v>2063</v>
      </c>
      <c r="D36">
        <v>2.5600000000000001E-2</v>
      </c>
      <c r="E36" s="643">
        <v>0</v>
      </c>
      <c r="F36" s="643">
        <v>0</v>
      </c>
      <c r="G36" s="643">
        <v>0</v>
      </c>
      <c r="H36" s="643">
        <v>2.5600000000000001E-2</v>
      </c>
      <c r="J36" t="str">
        <f t="shared" si="0"/>
        <v>Pacific Power1997</v>
      </c>
    </row>
    <row r="37" spans="1:10">
      <c r="A37" t="s">
        <v>600</v>
      </c>
      <c r="B37" t="s">
        <v>1994</v>
      </c>
      <c r="C37" t="s">
        <v>2064</v>
      </c>
      <c r="D37">
        <v>2.5600000000000001E-2</v>
      </c>
      <c r="E37" s="643">
        <v>0</v>
      </c>
      <c r="F37" s="643">
        <v>0</v>
      </c>
      <c r="G37" s="643">
        <v>0</v>
      </c>
      <c r="H37" s="643">
        <v>2.5600000000000001E-2</v>
      </c>
      <c r="J37" t="str">
        <f t="shared" si="0"/>
        <v>Pacific Power1998</v>
      </c>
    </row>
    <row r="38" spans="1:10">
      <c r="A38" t="s">
        <v>600</v>
      </c>
      <c r="B38" t="s">
        <v>1994</v>
      </c>
      <c r="C38" t="s">
        <v>2065</v>
      </c>
      <c r="D38">
        <v>2.5600000000000001E-2</v>
      </c>
      <c r="E38" s="643">
        <v>0</v>
      </c>
      <c r="F38" s="643">
        <v>0</v>
      </c>
      <c r="G38" s="643">
        <v>0</v>
      </c>
      <c r="H38" s="643">
        <v>2.5600000000000001E-2</v>
      </c>
      <c r="J38" t="str">
        <f t="shared" si="0"/>
        <v>Pacific Power1999</v>
      </c>
    </row>
    <row r="39" spans="1:10">
      <c r="A39" t="s">
        <v>600</v>
      </c>
      <c r="B39" t="s">
        <v>1994</v>
      </c>
      <c r="C39" t="s">
        <v>2066</v>
      </c>
      <c r="D39">
        <v>2.5600000000000001E-2</v>
      </c>
      <c r="E39" s="643">
        <v>0</v>
      </c>
      <c r="F39" s="643">
        <v>0</v>
      </c>
      <c r="G39" s="643">
        <v>0</v>
      </c>
      <c r="H39" s="643">
        <v>2.5600000000000001E-2</v>
      </c>
      <c r="J39" t="str">
        <f t="shared" si="0"/>
        <v>Pacific Power2000</v>
      </c>
    </row>
    <row r="40" spans="1:10">
      <c r="A40" t="s">
        <v>600</v>
      </c>
      <c r="B40" t="s">
        <v>1994</v>
      </c>
      <c r="C40" t="s">
        <v>2067</v>
      </c>
      <c r="D40">
        <v>2.5600000000000001E-2</v>
      </c>
      <c r="E40" s="643">
        <v>0</v>
      </c>
      <c r="F40" s="643">
        <v>0</v>
      </c>
      <c r="G40" s="643">
        <v>0</v>
      </c>
      <c r="H40" s="643">
        <v>2.5600000000000001E-2</v>
      </c>
      <c r="J40" t="str">
        <f t="shared" si="0"/>
        <v>Pacific Power2001</v>
      </c>
    </row>
    <row r="41" spans="1:10">
      <c r="A41" t="s">
        <v>600</v>
      </c>
      <c r="B41" t="s">
        <v>1994</v>
      </c>
      <c r="C41" t="s">
        <v>2068</v>
      </c>
      <c r="D41">
        <v>2.5600000000000001E-2</v>
      </c>
      <c r="E41" s="643">
        <v>0</v>
      </c>
      <c r="F41" s="643">
        <v>0</v>
      </c>
      <c r="G41" s="643">
        <v>0</v>
      </c>
      <c r="H41" s="643">
        <v>2.5600000000000001E-2</v>
      </c>
      <c r="J41" t="str">
        <f t="shared" si="0"/>
        <v>Pacific Power2002</v>
      </c>
    </row>
    <row r="42" spans="1:10">
      <c r="A42" t="s">
        <v>600</v>
      </c>
      <c r="B42" t="s">
        <v>1994</v>
      </c>
      <c r="C42" t="s">
        <v>2069</v>
      </c>
      <c r="D42">
        <v>2.5600000000000001E-2</v>
      </c>
      <c r="E42" s="643">
        <v>0</v>
      </c>
      <c r="F42" s="643">
        <v>0</v>
      </c>
      <c r="G42" s="643">
        <v>0</v>
      </c>
      <c r="H42" s="643">
        <v>2.5600000000000001E-2</v>
      </c>
      <c r="J42" t="str">
        <f t="shared" si="0"/>
        <v>Pacific Power2003</v>
      </c>
    </row>
    <row r="43" spans="1:10">
      <c r="A43" t="s">
        <v>600</v>
      </c>
      <c r="B43" t="s">
        <v>1994</v>
      </c>
      <c r="C43" t="s">
        <v>2070</v>
      </c>
      <c r="D43">
        <v>2.5600000000000001E-2</v>
      </c>
      <c r="E43" s="643">
        <v>0</v>
      </c>
      <c r="F43" s="643">
        <v>0</v>
      </c>
      <c r="G43" s="643">
        <v>0</v>
      </c>
      <c r="H43" s="643">
        <v>2.5600000000000001E-2</v>
      </c>
      <c r="J43" t="str">
        <f t="shared" si="0"/>
        <v>Pacific Power2004</v>
      </c>
    </row>
    <row r="44" spans="1:10">
      <c r="A44" t="s">
        <v>600</v>
      </c>
      <c r="B44" t="s">
        <v>1994</v>
      </c>
      <c r="C44" t="s">
        <v>2071</v>
      </c>
      <c r="D44">
        <v>2.5600000000000001E-2</v>
      </c>
      <c r="E44" s="643">
        <v>0</v>
      </c>
      <c r="F44" s="643">
        <v>0</v>
      </c>
      <c r="G44" s="643">
        <v>0</v>
      </c>
      <c r="H44" s="643">
        <v>2.5600000000000001E-2</v>
      </c>
      <c r="J44" t="str">
        <f t="shared" si="0"/>
        <v>Pacific Power2005</v>
      </c>
    </row>
    <row r="45" spans="1:10">
      <c r="A45" t="s">
        <v>600</v>
      </c>
      <c r="B45" t="s">
        <v>1994</v>
      </c>
      <c r="C45" t="s">
        <v>2072</v>
      </c>
      <c r="D45">
        <v>2.5600000000000001E-2</v>
      </c>
      <c r="E45" s="643">
        <v>0</v>
      </c>
      <c r="F45" s="643">
        <v>0</v>
      </c>
      <c r="G45" s="643">
        <v>0</v>
      </c>
      <c r="H45" s="643">
        <v>2.5600000000000001E-2</v>
      </c>
      <c r="J45" t="str">
        <f t="shared" si="0"/>
        <v>Pacific Power2006</v>
      </c>
    </row>
    <row r="46" spans="1:10">
      <c r="A46" t="s">
        <v>600</v>
      </c>
      <c r="B46" t="s">
        <v>1994</v>
      </c>
      <c r="C46" t="s">
        <v>2073</v>
      </c>
      <c r="D46">
        <v>2.5600000000000001E-2</v>
      </c>
      <c r="E46" s="643">
        <v>0</v>
      </c>
      <c r="F46" s="643">
        <v>0</v>
      </c>
      <c r="G46" s="643">
        <v>0</v>
      </c>
      <c r="H46" s="643">
        <v>2.5600000000000001E-2</v>
      </c>
      <c r="J46" t="str">
        <f t="shared" si="0"/>
        <v>Pacific Power2007</v>
      </c>
    </row>
    <row r="47" spans="1:10">
      <c r="A47" t="s">
        <v>600</v>
      </c>
      <c r="B47" t="s">
        <v>1994</v>
      </c>
      <c r="C47" t="s">
        <v>2074</v>
      </c>
      <c r="D47">
        <v>2.5600000000000001E-2</v>
      </c>
      <c r="E47" s="643">
        <v>0</v>
      </c>
      <c r="F47" s="643">
        <v>0</v>
      </c>
      <c r="G47" s="643">
        <v>0</v>
      </c>
      <c r="H47" s="643">
        <v>2.5600000000000001E-2</v>
      </c>
      <c r="J47" t="str">
        <f t="shared" si="0"/>
        <v>Pacific Power2008</v>
      </c>
    </row>
    <row r="48" spans="1:10">
      <c r="A48" t="s">
        <v>600</v>
      </c>
      <c r="B48" t="s">
        <v>1994</v>
      </c>
      <c r="C48" t="s">
        <v>2075</v>
      </c>
      <c r="D48">
        <v>2.5600000000000001E-2</v>
      </c>
      <c r="E48" s="643">
        <v>0</v>
      </c>
      <c r="F48" s="643">
        <v>0</v>
      </c>
      <c r="G48" s="643">
        <v>0</v>
      </c>
      <c r="H48" s="643">
        <v>2.5600000000000001E-2</v>
      </c>
      <c r="J48" t="str">
        <f t="shared" si="0"/>
        <v>Pacific Power2009</v>
      </c>
    </row>
    <row r="49" spans="1:10">
      <c r="A49" t="s">
        <v>600</v>
      </c>
      <c r="B49" t="s">
        <v>1994</v>
      </c>
      <c r="C49" t="s">
        <v>2076</v>
      </c>
      <c r="D49">
        <v>3.04E-2</v>
      </c>
      <c r="E49" s="643">
        <v>0</v>
      </c>
      <c r="F49" s="643">
        <v>0</v>
      </c>
      <c r="G49" s="643">
        <v>0</v>
      </c>
      <c r="H49" s="643">
        <v>3.04E-2</v>
      </c>
      <c r="J49" t="str">
        <f t="shared" si="0"/>
        <v>Pacific Power2010</v>
      </c>
    </row>
    <row r="50" spans="1:10">
      <c r="A50" t="s">
        <v>600</v>
      </c>
      <c r="B50" t="s">
        <v>1994</v>
      </c>
      <c r="C50" t="s">
        <v>2077</v>
      </c>
      <c r="D50">
        <v>3.04E-2</v>
      </c>
      <c r="E50" s="643">
        <v>0</v>
      </c>
      <c r="F50" s="643">
        <v>0</v>
      </c>
      <c r="G50" s="643">
        <v>0</v>
      </c>
      <c r="H50" s="643">
        <v>3.04E-2</v>
      </c>
      <c r="J50" t="str">
        <f t="shared" si="0"/>
        <v>Pacific Power2011</v>
      </c>
    </row>
    <row r="51" spans="1:10">
      <c r="A51" t="s">
        <v>600</v>
      </c>
      <c r="B51" t="s">
        <v>1994</v>
      </c>
      <c r="C51" t="s">
        <v>2078</v>
      </c>
      <c r="D51">
        <v>3.0099999999999998E-2</v>
      </c>
      <c r="E51" s="643">
        <v>0</v>
      </c>
      <c r="F51" s="643">
        <v>0</v>
      </c>
      <c r="G51" s="643">
        <v>0</v>
      </c>
      <c r="H51" s="643">
        <v>3.0099999999999998E-2</v>
      </c>
      <c r="J51" t="str">
        <f t="shared" si="0"/>
        <v>Pacific Power2012</v>
      </c>
    </row>
    <row r="52" spans="1:10">
      <c r="A52" t="s">
        <v>600</v>
      </c>
      <c r="B52" t="s">
        <v>1994</v>
      </c>
      <c r="C52" t="s">
        <v>2079</v>
      </c>
      <c r="D52">
        <v>3.0099999999999998E-2</v>
      </c>
      <c r="E52" s="643">
        <v>0</v>
      </c>
      <c r="F52" s="643">
        <v>0</v>
      </c>
      <c r="G52" s="643">
        <v>0</v>
      </c>
      <c r="H52" s="643">
        <v>3.0099999999999998E-2</v>
      </c>
      <c r="J52" t="str">
        <f t="shared" si="0"/>
        <v>Pacific Power2013</v>
      </c>
    </row>
    <row r="53" spans="1:10">
      <c r="A53" t="s">
        <v>600</v>
      </c>
      <c r="B53" t="s">
        <v>1994</v>
      </c>
      <c r="C53" t="s">
        <v>2080</v>
      </c>
      <c r="D53">
        <v>3.0099999999999998E-2</v>
      </c>
      <c r="E53" s="643">
        <v>0</v>
      </c>
      <c r="F53" s="643">
        <v>0</v>
      </c>
      <c r="G53" s="643">
        <v>0</v>
      </c>
      <c r="H53" s="643">
        <v>3.0099999999999998E-2</v>
      </c>
      <c r="J53" t="str">
        <f t="shared" si="0"/>
        <v>Pacific Power2014</v>
      </c>
    </row>
    <row r="54" spans="1:10">
      <c r="A54" t="s">
        <v>600</v>
      </c>
      <c r="B54" t="s">
        <v>1994</v>
      </c>
      <c r="C54" t="s">
        <v>2081</v>
      </c>
      <c r="D54">
        <v>2.5399999999999999E-2</v>
      </c>
      <c r="E54" s="643">
        <v>0</v>
      </c>
      <c r="F54" s="643">
        <v>0</v>
      </c>
      <c r="G54" s="643">
        <v>0</v>
      </c>
      <c r="H54" s="643">
        <v>2.5399999999999999E-2</v>
      </c>
      <c r="J54" t="str">
        <f t="shared" si="0"/>
        <v>Pacific Power2015</v>
      </c>
    </row>
    <row r="55" spans="1:10">
      <c r="A55" t="s">
        <v>600</v>
      </c>
      <c r="B55" t="s">
        <v>1994</v>
      </c>
      <c r="C55" t="s">
        <v>2082</v>
      </c>
      <c r="D55">
        <v>2.5399999999999999E-2</v>
      </c>
      <c r="E55" s="643">
        <v>0</v>
      </c>
      <c r="F55" s="643">
        <v>0</v>
      </c>
      <c r="G55" s="643">
        <v>0</v>
      </c>
      <c r="H55" s="643">
        <v>2.5399999999999999E-2</v>
      </c>
      <c r="J55" t="str">
        <f t="shared" si="0"/>
        <v>Pacific Power2016</v>
      </c>
    </row>
    <row r="56" spans="1:10">
      <c r="A56" t="s">
        <v>600</v>
      </c>
      <c r="B56" t="s">
        <v>1994</v>
      </c>
      <c r="C56" t="s">
        <v>2083</v>
      </c>
      <c r="D56">
        <v>2.5499999999999998E-2</v>
      </c>
      <c r="E56" s="643">
        <v>0</v>
      </c>
      <c r="F56" s="643">
        <v>0</v>
      </c>
      <c r="G56" s="643">
        <v>0</v>
      </c>
      <c r="H56" s="643">
        <v>2.5499999999999998E-2</v>
      </c>
      <c r="J56" t="str">
        <f t="shared" si="0"/>
        <v>Pacific Power2017</v>
      </c>
    </row>
    <row r="57" spans="1:10">
      <c r="A57" t="s">
        <v>600</v>
      </c>
      <c r="B57" t="s">
        <v>1994</v>
      </c>
      <c r="C57" t="s">
        <v>234</v>
      </c>
      <c r="D57">
        <v>2.5499999999999998E-2</v>
      </c>
      <c r="E57" s="643">
        <v>0</v>
      </c>
      <c r="F57" s="643">
        <v>0</v>
      </c>
      <c r="G57" s="643">
        <v>0</v>
      </c>
      <c r="H57" s="643">
        <v>2.5499999999999998E-2</v>
      </c>
      <c r="J57" t="str">
        <f t="shared" si="0"/>
        <v>Pacific Power2018</v>
      </c>
    </row>
    <row r="58" spans="1:10">
      <c r="A58" t="s">
        <v>600</v>
      </c>
      <c r="B58" t="s">
        <v>1994</v>
      </c>
      <c r="C58" t="s">
        <v>235</v>
      </c>
      <c r="D58">
        <v>2.5499999999999998E-2</v>
      </c>
      <c r="E58" s="643">
        <v>0</v>
      </c>
      <c r="F58" s="643">
        <v>0</v>
      </c>
      <c r="G58" s="643">
        <v>0</v>
      </c>
      <c r="H58" s="643">
        <v>2.5499999999999998E-2</v>
      </c>
      <c r="J58" t="str">
        <f t="shared" si="0"/>
        <v>Pacific Power2019</v>
      </c>
    </row>
    <row r="59" spans="1:10">
      <c r="A59" t="s">
        <v>600</v>
      </c>
      <c r="B59" t="s">
        <v>1994</v>
      </c>
      <c r="C59" t="s">
        <v>2084</v>
      </c>
      <c r="D59">
        <v>2.5529E-2</v>
      </c>
      <c r="E59" s="643">
        <v>0</v>
      </c>
      <c r="F59" s="643">
        <v>0</v>
      </c>
      <c r="G59" s="643">
        <v>0</v>
      </c>
      <c r="H59" s="643">
        <v>2.5529E-2</v>
      </c>
      <c r="J59" t="str">
        <f t="shared" si="0"/>
        <v>Pacific Power2020</v>
      </c>
    </row>
    <row r="60" spans="1:10">
      <c r="A60" t="s">
        <v>600</v>
      </c>
      <c r="B60" t="s">
        <v>1994</v>
      </c>
      <c r="C60" t="s">
        <v>2085</v>
      </c>
      <c r="D60">
        <v>2.5529E-2</v>
      </c>
      <c r="E60" s="643">
        <v>0</v>
      </c>
      <c r="F60" s="643">
        <v>0</v>
      </c>
      <c r="G60" s="643">
        <v>0</v>
      </c>
      <c r="H60" s="643">
        <v>2.5529E-2</v>
      </c>
      <c r="J60" t="str">
        <f t="shared" si="0"/>
        <v>Pacific Power2021</v>
      </c>
    </row>
    <row r="61" spans="1:10">
      <c r="A61" t="s">
        <v>600</v>
      </c>
      <c r="B61" t="s">
        <v>1994</v>
      </c>
      <c r="C61" t="s">
        <v>1103</v>
      </c>
      <c r="D61">
        <v>2.5529E-2</v>
      </c>
      <c r="E61" s="643">
        <v>0</v>
      </c>
      <c r="F61" s="643">
        <v>0</v>
      </c>
      <c r="G61" s="643">
        <v>0</v>
      </c>
      <c r="H61" s="643">
        <v>2.5529E-2</v>
      </c>
      <c r="J61" t="str">
        <f t="shared" si="0"/>
        <v>Pacific Power2022</v>
      </c>
    </row>
    <row r="62" spans="1:10">
      <c r="A62" t="s">
        <v>600</v>
      </c>
      <c r="B62" t="s">
        <v>1994</v>
      </c>
      <c r="C62" t="s">
        <v>1104</v>
      </c>
      <c r="D62">
        <v>2.5529E-2</v>
      </c>
      <c r="E62" s="643">
        <v>0</v>
      </c>
      <c r="F62" s="643">
        <v>0</v>
      </c>
      <c r="G62" s="643">
        <v>0</v>
      </c>
      <c r="H62" s="643">
        <v>2.5529E-2</v>
      </c>
      <c r="J62" t="str">
        <f t="shared" si="0"/>
        <v>Pacific Power2023</v>
      </c>
    </row>
    <row r="63" spans="1:10">
      <c r="A63" t="s">
        <v>600</v>
      </c>
      <c r="B63" t="s">
        <v>1994</v>
      </c>
      <c r="C63" t="s">
        <v>1996</v>
      </c>
      <c r="D63">
        <v>2.5529E-2</v>
      </c>
      <c r="E63" s="643">
        <v>0</v>
      </c>
      <c r="F63" s="643">
        <v>0</v>
      </c>
      <c r="G63" s="643">
        <v>0</v>
      </c>
      <c r="H63" s="643">
        <v>2.5529E-2</v>
      </c>
      <c r="J63" t="str">
        <f t="shared" si="0"/>
        <v>Pacific Power2024</v>
      </c>
    </row>
    <row r="64" spans="1:10">
      <c r="A64" t="s">
        <v>600</v>
      </c>
      <c r="B64" t="s">
        <v>1994</v>
      </c>
      <c r="C64" t="s">
        <v>2016</v>
      </c>
      <c r="D64">
        <v>2.5529E-2</v>
      </c>
      <c r="E64" s="643">
        <v>0</v>
      </c>
      <c r="F64" s="643">
        <v>0</v>
      </c>
      <c r="G64" s="643">
        <v>0</v>
      </c>
      <c r="H64" s="643">
        <v>2.5529E-2</v>
      </c>
      <c r="J64" t="str">
        <f t="shared" si="0"/>
        <v>Pacific Power2025</v>
      </c>
    </row>
    <row r="65" spans="1:10">
      <c r="A65" t="s">
        <v>600</v>
      </c>
      <c r="B65" t="s">
        <v>1994</v>
      </c>
      <c r="C65" t="s">
        <v>2585</v>
      </c>
      <c r="D65">
        <v>2.5529E-2</v>
      </c>
      <c r="E65" s="643">
        <v>0</v>
      </c>
      <c r="F65" s="643">
        <v>0</v>
      </c>
      <c r="G65" s="643">
        <v>0</v>
      </c>
      <c r="H65" s="643">
        <v>2.5529E-2</v>
      </c>
      <c r="J65" t="str">
        <f t="shared" si="0"/>
        <v>Pacific Power2026</v>
      </c>
    </row>
    <row r="66" spans="1:10">
      <c r="A66" t="s">
        <v>600</v>
      </c>
      <c r="B66" t="s">
        <v>1994</v>
      </c>
      <c r="C66" t="s">
        <v>2586</v>
      </c>
      <c r="D66">
        <v>2.5529E-2</v>
      </c>
      <c r="E66" s="643">
        <v>0</v>
      </c>
      <c r="F66" s="643">
        <v>0</v>
      </c>
      <c r="G66" s="643">
        <v>0</v>
      </c>
      <c r="H66" s="643">
        <v>2.5529E-2</v>
      </c>
      <c r="J66" t="str">
        <f t="shared" si="0"/>
        <v>Pacific Power2027</v>
      </c>
    </row>
    <row r="67" spans="1:10">
      <c r="A67" t="s">
        <v>600</v>
      </c>
      <c r="B67" t="s">
        <v>1994</v>
      </c>
      <c r="C67" t="s">
        <v>2587</v>
      </c>
      <c r="D67">
        <v>2.5529E-2</v>
      </c>
      <c r="E67" s="643">
        <v>0</v>
      </c>
      <c r="F67" s="643">
        <v>0</v>
      </c>
      <c r="G67" s="643">
        <v>0</v>
      </c>
      <c r="H67" s="643">
        <v>2.5529E-2</v>
      </c>
      <c r="J67" t="str">
        <f t="shared" si="0"/>
        <v>Pacific Power2028</v>
      </c>
    </row>
    <row r="68" spans="1:10">
      <c r="A68" t="s">
        <v>600</v>
      </c>
      <c r="B68" t="s">
        <v>1994</v>
      </c>
      <c r="C68" t="s">
        <v>2588</v>
      </c>
      <c r="D68">
        <v>2.5529E-2</v>
      </c>
      <c r="E68" s="643">
        <v>0</v>
      </c>
      <c r="F68" s="643">
        <v>0</v>
      </c>
      <c r="G68" s="643">
        <v>0</v>
      </c>
      <c r="H68" s="643">
        <v>2.5529E-2</v>
      </c>
      <c r="J68" t="str">
        <f t="shared" ref="J68:J131" si="1">A68&amp;C68</f>
        <v>Pacific Power2029</v>
      </c>
    </row>
    <row r="69" spans="1:10">
      <c r="A69" t="s">
        <v>601</v>
      </c>
      <c r="B69" t="s">
        <v>1994</v>
      </c>
      <c r="C69" t="s">
        <v>2063</v>
      </c>
      <c r="D69">
        <v>0.1037</v>
      </c>
      <c r="E69" s="643">
        <v>0</v>
      </c>
      <c r="F69" s="643">
        <v>0</v>
      </c>
      <c r="G69" s="643">
        <v>0</v>
      </c>
      <c r="H69" s="643">
        <v>0.1037</v>
      </c>
      <c r="J69" t="str">
        <f t="shared" si="1"/>
        <v>Puget Sound Energy1997</v>
      </c>
    </row>
    <row r="70" spans="1:10">
      <c r="A70" t="s">
        <v>601</v>
      </c>
      <c r="B70" t="s">
        <v>1994</v>
      </c>
      <c r="C70" t="s">
        <v>2064</v>
      </c>
      <c r="D70">
        <v>0.1037</v>
      </c>
      <c r="E70" s="643">
        <v>0</v>
      </c>
      <c r="F70" s="643">
        <v>0</v>
      </c>
      <c r="G70" s="643">
        <v>0</v>
      </c>
      <c r="H70" s="643">
        <v>0.1037</v>
      </c>
      <c r="J70" t="str">
        <f t="shared" si="1"/>
        <v>Puget Sound Energy1998</v>
      </c>
    </row>
    <row r="71" spans="1:10">
      <c r="A71" t="s">
        <v>601</v>
      </c>
      <c r="B71" t="s">
        <v>1994</v>
      </c>
      <c r="C71" t="s">
        <v>2065</v>
      </c>
      <c r="D71">
        <v>0.1037</v>
      </c>
      <c r="E71" s="643">
        <v>0</v>
      </c>
      <c r="F71" s="643">
        <v>0</v>
      </c>
      <c r="G71" s="643">
        <v>0</v>
      </c>
      <c r="H71" s="643">
        <v>0.1037</v>
      </c>
      <c r="J71" t="str">
        <f t="shared" si="1"/>
        <v>Puget Sound Energy1999</v>
      </c>
    </row>
    <row r="72" spans="1:10">
      <c r="A72" t="s">
        <v>601</v>
      </c>
      <c r="B72" t="s">
        <v>1994</v>
      </c>
      <c r="C72" t="s">
        <v>2066</v>
      </c>
      <c r="D72">
        <v>0.1037</v>
      </c>
      <c r="E72" s="643">
        <v>0</v>
      </c>
      <c r="F72" s="643">
        <v>0</v>
      </c>
      <c r="G72" s="643">
        <v>0</v>
      </c>
      <c r="H72" s="643">
        <v>0.1037</v>
      </c>
      <c r="J72" t="str">
        <f t="shared" si="1"/>
        <v>Puget Sound Energy2000</v>
      </c>
    </row>
    <row r="73" spans="1:10">
      <c r="A73" t="s">
        <v>601</v>
      </c>
      <c r="B73" t="s">
        <v>1994</v>
      </c>
      <c r="C73" t="s">
        <v>2067</v>
      </c>
      <c r="D73">
        <v>0.1037</v>
      </c>
      <c r="E73" s="643">
        <v>0</v>
      </c>
      <c r="F73" s="643">
        <v>0</v>
      </c>
      <c r="G73" s="643">
        <v>0</v>
      </c>
      <c r="H73" s="643">
        <v>0.1037</v>
      </c>
      <c r="J73" t="str">
        <f t="shared" si="1"/>
        <v>Puget Sound Energy2001</v>
      </c>
    </row>
    <row r="74" spans="1:10">
      <c r="A74" t="s">
        <v>601</v>
      </c>
      <c r="B74" t="s">
        <v>1994</v>
      </c>
      <c r="C74" t="s">
        <v>2068</v>
      </c>
      <c r="D74">
        <v>0.1037</v>
      </c>
      <c r="E74" s="643">
        <v>0</v>
      </c>
      <c r="F74" s="643">
        <v>0</v>
      </c>
      <c r="G74" s="643">
        <v>0</v>
      </c>
      <c r="H74" s="643">
        <v>0.1037</v>
      </c>
      <c r="J74" t="str">
        <f t="shared" si="1"/>
        <v>Puget Sound Energy2002</v>
      </c>
    </row>
    <row r="75" spans="1:10">
      <c r="A75" t="s">
        <v>601</v>
      </c>
      <c r="B75" t="s">
        <v>1994</v>
      </c>
      <c r="C75" t="s">
        <v>2069</v>
      </c>
      <c r="D75">
        <v>0.1037</v>
      </c>
      <c r="E75" s="643">
        <v>0</v>
      </c>
      <c r="F75" s="643">
        <v>0</v>
      </c>
      <c r="G75" s="643">
        <v>0</v>
      </c>
      <c r="H75" s="643">
        <v>0.1037</v>
      </c>
      <c r="J75" t="str">
        <f t="shared" si="1"/>
        <v>Puget Sound Energy2003</v>
      </c>
    </row>
    <row r="76" spans="1:10">
      <c r="A76" t="s">
        <v>601</v>
      </c>
      <c r="B76" t="s">
        <v>1994</v>
      </c>
      <c r="C76" t="s">
        <v>2070</v>
      </c>
      <c r="D76">
        <v>0.1037</v>
      </c>
      <c r="E76" s="643">
        <v>0</v>
      </c>
      <c r="F76" s="643">
        <v>0</v>
      </c>
      <c r="G76" s="643">
        <v>0</v>
      </c>
      <c r="H76" s="643">
        <v>0.1037</v>
      </c>
      <c r="J76" t="str">
        <f t="shared" si="1"/>
        <v>Puget Sound Energy2004</v>
      </c>
    </row>
    <row r="77" spans="1:10">
      <c r="A77" t="s">
        <v>601</v>
      </c>
      <c r="B77" t="s">
        <v>1994</v>
      </c>
      <c r="C77" t="s">
        <v>2071</v>
      </c>
      <c r="D77">
        <v>0.1037</v>
      </c>
      <c r="E77" s="643">
        <v>0</v>
      </c>
      <c r="F77" s="643">
        <v>0</v>
      </c>
      <c r="G77" s="643">
        <v>0</v>
      </c>
      <c r="H77" s="643">
        <v>0.1037</v>
      </c>
      <c r="J77" t="str">
        <f t="shared" si="1"/>
        <v>Puget Sound Energy2005</v>
      </c>
    </row>
    <row r="78" spans="1:10">
      <c r="A78" t="s">
        <v>601</v>
      </c>
      <c r="B78" t="s">
        <v>1994</v>
      </c>
      <c r="C78" t="s">
        <v>2072</v>
      </c>
      <c r="D78">
        <v>0.1037</v>
      </c>
      <c r="E78" s="643">
        <v>0</v>
      </c>
      <c r="F78" s="643">
        <v>0</v>
      </c>
      <c r="G78" s="643">
        <v>0</v>
      </c>
      <c r="H78" s="643">
        <v>0.1037</v>
      </c>
      <c r="J78" t="str">
        <f t="shared" si="1"/>
        <v>Puget Sound Energy2006</v>
      </c>
    </row>
    <row r="79" spans="1:10">
      <c r="A79" t="s">
        <v>601</v>
      </c>
      <c r="B79" t="s">
        <v>1994</v>
      </c>
      <c r="C79" t="s">
        <v>2073</v>
      </c>
      <c r="D79">
        <v>0.1037</v>
      </c>
      <c r="E79" s="643">
        <v>0</v>
      </c>
      <c r="F79" s="643">
        <v>0</v>
      </c>
      <c r="G79" s="643">
        <v>0</v>
      </c>
      <c r="H79" s="643">
        <v>0.1037</v>
      </c>
      <c r="J79" t="str">
        <f t="shared" si="1"/>
        <v>Puget Sound Energy2007</v>
      </c>
    </row>
    <row r="80" spans="1:10">
      <c r="A80" t="s">
        <v>601</v>
      </c>
      <c r="B80" t="s">
        <v>1994</v>
      </c>
      <c r="C80" t="s">
        <v>2074</v>
      </c>
      <c r="D80">
        <v>0.1037</v>
      </c>
      <c r="E80" s="643">
        <v>0</v>
      </c>
      <c r="F80" s="643">
        <v>0</v>
      </c>
      <c r="G80" s="643">
        <v>0</v>
      </c>
      <c r="H80" s="643">
        <v>0.1037</v>
      </c>
      <c r="J80" t="str">
        <f t="shared" si="1"/>
        <v>Puget Sound Energy2008</v>
      </c>
    </row>
    <row r="81" spans="1:10">
      <c r="A81" t="s">
        <v>601</v>
      </c>
      <c r="B81" t="s">
        <v>1994</v>
      </c>
      <c r="C81" t="s">
        <v>2075</v>
      </c>
      <c r="D81">
        <v>0.1037</v>
      </c>
      <c r="E81" s="643">
        <v>0</v>
      </c>
      <c r="F81" s="643">
        <v>0</v>
      </c>
      <c r="G81" s="643">
        <v>0</v>
      </c>
      <c r="H81" s="643">
        <v>0.1037</v>
      </c>
      <c r="J81" t="str">
        <f t="shared" si="1"/>
        <v>Puget Sound Energy2009</v>
      </c>
    </row>
    <row r="82" spans="1:10">
      <c r="A82" t="s">
        <v>601</v>
      </c>
      <c r="B82" t="s">
        <v>1994</v>
      </c>
      <c r="C82" t="s">
        <v>2076</v>
      </c>
      <c r="D82">
        <v>0.13930000000000001</v>
      </c>
      <c r="E82" s="643">
        <v>0</v>
      </c>
      <c r="F82" s="643">
        <v>0</v>
      </c>
      <c r="G82" s="643">
        <v>0</v>
      </c>
      <c r="H82" s="643">
        <v>0.13930000000000001</v>
      </c>
      <c r="J82" t="str">
        <f t="shared" si="1"/>
        <v>Puget Sound Energy2010</v>
      </c>
    </row>
    <row r="83" spans="1:10">
      <c r="A83" t="s">
        <v>601</v>
      </c>
      <c r="B83" t="s">
        <v>1994</v>
      </c>
      <c r="C83" t="s">
        <v>2077</v>
      </c>
      <c r="D83">
        <v>0.13930000000000001</v>
      </c>
      <c r="E83" s="643">
        <v>0</v>
      </c>
      <c r="F83" s="643">
        <v>0</v>
      </c>
      <c r="G83" s="643">
        <v>0</v>
      </c>
      <c r="H83" s="643">
        <v>0.13930000000000001</v>
      </c>
      <c r="J83" t="str">
        <f t="shared" si="1"/>
        <v>Puget Sound Energy2011</v>
      </c>
    </row>
    <row r="84" spans="1:10">
      <c r="A84" t="s">
        <v>601</v>
      </c>
      <c r="B84" t="s">
        <v>1994</v>
      </c>
      <c r="C84" t="s">
        <v>2078</v>
      </c>
      <c r="D84">
        <v>0.13800000000000001</v>
      </c>
      <c r="E84" s="643">
        <v>0</v>
      </c>
      <c r="F84" s="643">
        <v>0</v>
      </c>
      <c r="G84" s="643">
        <v>0</v>
      </c>
      <c r="H84" s="643">
        <v>0.13800000000000001</v>
      </c>
      <c r="J84" t="str">
        <f t="shared" si="1"/>
        <v>Puget Sound Energy2012</v>
      </c>
    </row>
    <row r="85" spans="1:10">
      <c r="A85" t="s">
        <v>601</v>
      </c>
      <c r="B85" t="s">
        <v>1994</v>
      </c>
      <c r="C85" t="s">
        <v>2079</v>
      </c>
      <c r="D85">
        <v>0.13800000000000001</v>
      </c>
      <c r="E85" s="643">
        <v>0</v>
      </c>
      <c r="F85" s="643">
        <v>0</v>
      </c>
      <c r="G85" s="643">
        <v>0</v>
      </c>
      <c r="H85" s="643">
        <v>0.13800000000000001</v>
      </c>
      <c r="J85" t="str">
        <f t="shared" si="1"/>
        <v>Puget Sound Energy2013</v>
      </c>
    </row>
    <row r="86" spans="1:10">
      <c r="A86" t="s">
        <v>601</v>
      </c>
      <c r="B86" t="s">
        <v>1994</v>
      </c>
      <c r="C86" t="s">
        <v>2080</v>
      </c>
      <c r="D86">
        <v>0.13800000000000001</v>
      </c>
      <c r="E86" s="643">
        <v>0</v>
      </c>
      <c r="F86" s="643">
        <v>0</v>
      </c>
      <c r="G86" s="643">
        <v>0</v>
      </c>
      <c r="H86" s="643">
        <v>0.13800000000000001</v>
      </c>
      <c r="J86" t="str">
        <f t="shared" si="1"/>
        <v>Puget Sound Energy2014</v>
      </c>
    </row>
    <row r="87" spans="1:10">
      <c r="A87" t="s">
        <v>601</v>
      </c>
      <c r="B87" t="s">
        <v>1994</v>
      </c>
      <c r="C87" t="s">
        <v>2081</v>
      </c>
      <c r="D87">
        <v>0.14149999999999999</v>
      </c>
      <c r="E87" s="643">
        <v>0</v>
      </c>
      <c r="F87" s="643">
        <v>0</v>
      </c>
      <c r="G87" s="643">
        <v>0</v>
      </c>
      <c r="H87" s="643">
        <v>0.14149999999999999</v>
      </c>
      <c r="J87" t="str">
        <f t="shared" si="1"/>
        <v>Puget Sound Energy2015</v>
      </c>
    </row>
    <row r="88" spans="1:10">
      <c r="A88" t="s">
        <v>601</v>
      </c>
      <c r="B88" t="s">
        <v>1994</v>
      </c>
      <c r="C88" t="s">
        <v>2082</v>
      </c>
      <c r="D88">
        <v>0.14149999999999999</v>
      </c>
      <c r="E88" s="643">
        <v>0</v>
      </c>
      <c r="F88" s="643">
        <v>0</v>
      </c>
      <c r="G88" s="643">
        <v>0</v>
      </c>
      <c r="H88" s="643">
        <v>0.14149999999999999</v>
      </c>
      <c r="J88" t="str">
        <f t="shared" si="1"/>
        <v>Puget Sound Energy2016</v>
      </c>
    </row>
    <row r="89" spans="1:10">
      <c r="A89" t="s">
        <v>601</v>
      </c>
      <c r="B89" t="s">
        <v>1994</v>
      </c>
      <c r="C89" t="s">
        <v>2083</v>
      </c>
      <c r="D89">
        <v>0.14199999999999999</v>
      </c>
      <c r="E89" s="643">
        <v>0</v>
      </c>
      <c r="F89" s="643">
        <v>0</v>
      </c>
      <c r="G89" s="643">
        <v>0</v>
      </c>
      <c r="H89" s="643">
        <v>0.14199999999999999</v>
      </c>
      <c r="J89" t="str">
        <f t="shared" si="1"/>
        <v>Puget Sound Energy2017</v>
      </c>
    </row>
    <row r="90" spans="1:10">
      <c r="A90" t="s">
        <v>601</v>
      </c>
      <c r="B90" t="s">
        <v>1994</v>
      </c>
      <c r="C90" t="s">
        <v>234</v>
      </c>
      <c r="D90">
        <v>0.14199999999999999</v>
      </c>
      <c r="E90" s="643">
        <v>0</v>
      </c>
      <c r="F90" s="643">
        <v>0</v>
      </c>
      <c r="G90" s="643">
        <v>0</v>
      </c>
      <c r="H90" s="643">
        <v>0.14199999999999999</v>
      </c>
      <c r="J90" t="str">
        <f t="shared" si="1"/>
        <v>Puget Sound Energy2018</v>
      </c>
    </row>
    <row r="91" spans="1:10">
      <c r="A91" t="s">
        <v>601</v>
      </c>
      <c r="B91" t="s">
        <v>1994</v>
      </c>
      <c r="C91" t="s">
        <v>235</v>
      </c>
      <c r="D91">
        <v>0.14199999999999999</v>
      </c>
      <c r="E91" s="643">
        <v>0</v>
      </c>
      <c r="F91" s="643">
        <v>0</v>
      </c>
      <c r="G91" s="643">
        <v>0</v>
      </c>
      <c r="H91" s="643">
        <v>0.14199999999999999</v>
      </c>
      <c r="J91" t="str">
        <f t="shared" si="1"/>
        <v>Puget Sound Energy2019</v>
      </c>
    </row>
    <row r="92" spans="1:10">
      <c r="A92" t="s">
        <v>601</v>
      </c>
      <c r="B92" t="s">
        <v>1994</v>
      </c>
      <c r="C92" t="s">
        <v>2084</v>
      </c>
      <c r="D92">
        <v>0.13985600000000001</v>
      </c>
      <c r="E92" s="643">
        <v>0</v>
      </c>
      <c r="F92" s="643">
        <v>0</v>
      </c>
      <c r="G92" s="643">
        <v>0</v>
      </c>
      <c r="H92" s="643">
        <v>0.13985600000000001</v>
      </c>
      <c r="J92" t="str">
        <f t="shared" si="1"/>
        <v>Puget Sound Energy2020</v>
      </c>
    </row>
    <row r="93" spans="1:10">
      <c r="A93" t="s">
        <v>601</v>
      </c>
      <c r="B93" t="s">
        <v>1994</v>
      </c>
      <c r="C93" t="s">
        <v>2085</v>
      </c>
      <c r="D93">
        <v>0.13985600000000001</v>
      </c>
      <c r="E93" s="643">
        <v>0</v>
      </c>
      <c r="F93" s="643">
        <v>0</v>
      </c>
      <c r="G93" s="643">
        <v>0</v>
      </c>
      <c r="H93" s="643">
        <v>0.13985600000000001</v>
      </c>
      <c r="J93" t="str">
        <f t="shared" si="1"/>
        <v>Puget Sound Energy2021</v>
      </c>
    </row>
    <row r="94" spans="1:10">
      <c r="A94" t="s">
        <v>601</v>
      </c>
      <c r="B94" t="s">
        <v>1994</v>
      </c>
      <c r="C94" t="s">
        <v>1103</v>
      </c>
      <c r="D94">
        <v>0.13985600000000001</v>
      </c>
      <c r="E94" s="643">
        <v>0</v>
      </c>
      <c r="F94" s="643">
        <v>0</v>
      </c>
      <c r="G94" s="643">
        <v>0</v>
      </c>
      <c r="H94" s="643">
        <v>0.13985600000000001</v>
      </c>
      <c r="J94" t="str">
        <f t="shared" si="1"/>
        <v>Puget Sound Energy2022</v>
      </c>
    </row>
    <row r="95" spans="1:10">
      <c r="A95" t="s">
        <v>601</v>
      </c>
      <c r="B95" t="s">
        <v>1994</v>
      </c>
      <c r="C95" t="s">
        <v>1104</v>
      </c>
      <c r="D95">
        <v>0.13985600000000001</v>
      </c>
      <c r="E95" s="643">
        <v>0</v>
      </c>
      <c r="F95" s="643">
        <v>0</v>
      </c>
      <c r="G95" s="643">
        <v>0</v>
      </c>
      <c r="H95" s="643">
        <v>0.13985600000000001</v>
      </c>
      <c r="J95" t="str">
        <f t="shared" si="1"/>
        <v>Puget Sound Energy2023</v>
      </c>
    </row>
    <row r="96" spans="1:10">
      <c r="A96" t="s">
        <v>601</v>
      </c>
      <c r="B96" t="s">
        <v>1994</v>
      </c>
      <c r="C96" t="s">
        <v>1996</v>
      </c>
      <c r="D96">
        <v>0.13985600000000001</v>
      </c>
      <c r="E96" s="643">
        <v>0</v>
      </c>
      <c r="F96" s="643">
        <v>0</v>
      </c>
      <c r="G96" s="643">
        <v>0</v>
      </c>
      <c r="H96" s="643">
        <v>0.13985600000000001</v>
      </c>
      <c r="J96" t="str">
        <f t="shared" si="1"/>
        <v>Puget Sound Energy2024</v>
      </c>
    </row>
    <row r="97" spans="1:10">
      <c r="A97" t="s">
        <v>601</v>
      </c>
      <c r="B97" t="s">
        <v>1994</v>
      </c>
      <c r="C97" t="s">
        <v>2016</v>
      </c>
      <c r="D97">
        <v>0.13985600000000001</v>
      </c>
      <c r="E97" s="643">
        <v>0</v>
      </c>
      <c r="F97" s="643">
        <v>0</v>
      </c>
      <c r="G97" s="643">
        <v>0</v>
      </c>
      <c r="H97" s="643">
        <v>0.13985600000000001</v>
      </c>
      <c r="J97" t="str">
        <f t="shared" si="1"/>
        <v>Puget Sound Energy2025</v>
      </c>
    </row>
    <row r="98" spans="1:10">
      <c r="A98" t="s">
        <v>601</v>
      </c>
      <c r="B98" t="s">
        <v>1994</v>
      </c>
      <c r="C98" t="s">
        <v>2585</v>
      </c>
      <c r="D98">
        <v>0.13985600000000001</v>
      </c>
      <c r="E98" s="643">
        <v>0</v>
      </c>
      <c r="F98" s="643">
        <v>0</v>
      </c>
      <c r="G98" s="643">
        <v>0</v>
      </c>
      <c r="H98" s="643">
        <v>0.13985600000000001</v>
      </c>
      <c r="J98" t="str">
        <f t="shared" si="1"/>
        <v>Puget Sound Energy2026</v>
      </c>
    </row>
    <row r="99" spans="1:10">
      <c r="A99" t="s">
        <v>601</v>
      </c>
      <c r="B99" t="s">
        <v>1994</v>
      </c>
      <c r="C99" t="s">
        <v>2586</v>
      </c>
      <c r="D99">
        <v>0.13985600000000001</v>
      </c>
      <c r="E99" s="643">
        <v>0</v>
      </c>
      <c r="F99" s="643">
        <v>0</v>
      </c>
      <c r="G99" s="643">
        <v>0</v>
      </c>
      <c r="H99" s="643">
        <v>0.13985600000000001</v>
      </c>
      <c r="J99" t="str">
        <f t="shared" si="1"/>
        <v>Puget Sound Energy2027</v>
      </c>
    </row>
    <row r="100" spans="1:10">
      <c r="A100" t="s">
        <v>601</v>
      </c>
      <c r="B100" t="s">
        <v>1994</v>
      </c>
      <c r="C100" t="s">
        <v>2587</v>
      </c>
      <c r="D100">
        <v>0.13985600000000001</v>
      </c>
      <c r="E100" s="643">
        <v>0</v>
      </c>
      <c r="F100" s="643">
        <v>0</v>
      </c>
      <c r="G100" s="643">
        <v>0</v>
      </c>
      <c r="H100" s="643">
        <v>0.13985600000000001</v>
      </c>
      <c r="J100" t="str">
        <f t="shared" si="1"/>
        <v>Puget Sound Energy2028</v>
      </c>
    </row>
    <row r="101" spans="1:10">
      <c r="A101" t="s">
        <v>601</v>
      </c>
      <c r="B101" t="s">
        <v>1994</v>
      </c>
      <c r="C101" t="s">
        <v>2588</v>
      </c>
      <c r="D101">
        <v>0.13985600000000001</v>
      </c>
      <c r="E101" s="643">
        <v>0</v>
      </c>
      <c r="F101" s="643">
        <v>0</v>
      </c>
      <c r="G101" s="643">
        <v>0</v>
      </c>
      <c r="H101" s="643">
        <v>0.13985600000000001</v>
      </c>
      <c r="J101" t="str">
        <f t="shared" si="1"/>
        <v>Puget Sound Energy2029</v>
      </c>
    </row>
    <row r="102" spans="1:10">
      <c r="E102"/>
      <c r="F102"/>
      <c r="G102"/>
      <c r="H102"/>
      <c r="J102" t="str">
        <f t="shared" si="1"/>
        <v/>
      </c>
    </row>
    <row r="103" spans="1:10">
      <c r="E103"/>
      <c r="F103"/>
      <c r="G103"/>
      <c r="H103"/>
      <c r="J103" t="str">
        <f t="shared" si="1"/>
        <v/>
      </c>
    </row>
    <row r="104" spans="1:10">
      <c r="E104"/>
      <c r="F104"/>
      <c r="G104"/>
      <c r="H104"/>
      <c r="J104" t="str">
        <f t="shared" si="1"/>
        <v/>
      </c>
    </row>
    <row r="105" spans="1:10">
      <c r="E105"/>
      <c r="F105"/>
      <c r="G105"/>
      <c r="H105"/>
      <c r="J105" t="str">
        <f t="shared" si="1"/>
        <v/>
      </c>
    </row>
    <row r="106" spans="1:10">
      <c r="E106"/>
      <c r="F106"/>
      <c r="G106"/>
      <c r="H106"/>
      <c r="J106" t="str">
        <f t="shared" si="1"/>
        <v/>
      </c>
    </row>
    <row r="107" spans="1:10">
      <c r="E107"/>
      <c r="F107"/>
      <c r="G107"/>
      <c r="H107"/>
      <c r="J107" t="str">
        <f t="shared" si="1"/>
        <v/>
      </c>
    </row>
    <row r="108" spans="1:10">
      <c r="E108"/>
      <c r="F108"/>
      <c r="G108"/>
      <c r="H108"/>
      <c r="J108" t="str">
        <f t="shared" si="1"/>
        <v/>
      </c>
    </row>
    <row r="109" spans="1:10">
      <c r="E109"/>
      <c r="F109"/>
      <c r="G109"/>
      <c r="H109"/>
      <c r="J109" t="str">
        <f t="shared" si="1"/>
        <v/>
      </c>
    </row>
    <row r="110" spans="1:10">
      <c r="E110"/>
      <c r="F110"/>
      <c r="G110"/>
      <c r="H110"/>
      <c r="J110" t="str">
        <f t="shared" si="1"/>
        <v/>
      </c>
    </row>
    <row r="111" spans="1:10">
      <c r="E111"/>
      <c r="F111"/>
      <c r="G111"/>
      <c r="H111"/>
      <c r="J111" t="str">
        <f t="shared" si="1"/>
        <v/>
      </c>
    </row>
    <row r="112" spans="1:10">
      <c r="E112"/>
      <c r="F112"/>
      <c r="G112"/>
      <c r="H112"/>
      <c r="J112" t="str">
        <f t="shared" si="1"/>
        <v/>
      </c>
    </row>
    <row r="113" spans="5:10">
      <c r="E113"/>
      <c r="F113"/>
      <c r="G113"/>
      <c r="H113"/>
      <c r="J113" t="str">
        <f t="shared" si="1"/>
        <v/>
      </c>
    </row>
    <row r="114" spans="5:10">
      <c r="E114"/>
      <c r="F114"/>
      <c r="G114"/>
      <c r="H114"/>
      <c r="J114" t="str">
        <f t="shared" si="1"/>
        <v/>
      </c>
    </row>
    <row r="115" spans="5:10">
      <c r="E115"/>
      <c r="F115"/>
      <c r="G115"/>
      <c r="H115"/>
      <c r="J115" t="str">
        <f t="shared" si="1"/>
        <v/>
      </c>
    </row>
    <row r="116" spans="5:10">
      <c r="E116"/>
      <c r="F116"/>
      <c r="G116"/>
      <c r="H116"/>
      <c r="J116" t="str">
        <f t="shared" si="1"/>
        <v/>
      </c>
    </row>
    <row r="117" spans="5:10">
      <c r="E117"/>
      <c r="F117"/>
      <c r="G117"/>
      <c r="H117"/>
      <c r="J117" t="str">
        <f t="shared" si="1"/>
        <v/>
      </c>
    </row>
    <row r="118" spans="5:10">
      <c r="E118"/>
      <c r="F118"/>
      <c r="G118"/>
      <c r="H118"/>
      <c r="J118" t="str">
        <f t="shared" si="1"/>
        <v/>
      </c>
    </row>
    <row r="119" spans="5:10">
      <c r="E119"/>
      <c r="F119"/>
      <c r="G119"/>
      <c r="H119"/>
      <c r="J119" t="str">
        <f t="shared" si="1"/>
        <v/>
      </c>
    </row>
    <row r="120" spans="5:10">
      <c r="E120"/>
      <c r="F120"/>
      <c r="G120"/>
      <c r="H120"/>
      <c r="J120" t="str">
        <f t="shared" si="1"/>
        <v/>
      </c>
    </row>
    <row r="121" spans="5:10">
      <c r="E121"/>
      <c r="F121"/>
      <c r="G121"/>
      <c r="H121"/>
      <c r="J121" t="str">
        <f t="shared" si="1"/>
        <v/>
      </c>
    </row>
    <row r="122" spans="5:10">
      <c r="E122"/>
      <c r="F122"/>
      <c r="G122"/>
      <c r="H122"/>
      <c r="J122" t="str">
        <f t="shared" si="1"/>
        <v/>
      </c>
    </row>
    <row r="123" spans="5:10">
      <c r="E123"/>
      <c r="F123"/>
      <c r="G123"/>
      <c r="H123"/>
      <c r="J123" t="str">
        <f t="shared" si="1"/>
        <v/>
      </c>
    </row>
    <row r="124" spans="5:10">
      <c r="E124"/>
      <c r="F124"/>
      <c r="G124"/>
      <c r="H124"/>
      <c r="J124" t="str">
        <f t="shared" si="1"/>
        <v/>
      </c>
    </row>
    <row r="125" spans="5:10">
      <c r="E125"/>
      <c r="F125"/>
      <c r="G125"/>
      <c r="H125"/>
      <c r="J125" t="str">
        <f t="shared" si="1"/>
        <v/>
      </c>
    </row>
    <row r="126" spans="5:10">
      <c r="E126"/>
      <c r="F126"/>
      <c r="G126"/>
      <c r="H126"/>
      <c r="J126" t="str">
        <f t="shared" si="1"/>
        <v/>
      </c>
    </row>
    <row r="127" spans="5:10">
      <c r="E127"/>
      <c r="F127"/>
      <c r="G127"/>
      <c r="H127"/>
      <c r="J127" t="str">
        <f t="shared" si="1"/>
        <v/>
      </c>
    </row>
    <row r="128" spans="5:10">
      <c r="E128"/>
      <c r="F128"/>
      <c r="G128"/>
      <c r="H128"/>
      <c r="J128" t="str">
        <f t="shared" si="1"/>
        <v/>
      </c>
    </row>
    <row r="129" spans="5:10">
      <c r="E129"/>
      <c r="F129"/>
      <c r="G129"/>
      <c r="H129"/>
      <c r="J129" t="str">
        <f t="shared" si="1"/>
        <v/>
      </c>
    </row>
    <row r="130" spans="5:10">
      <c r="E130"/>
      <c r="F130"/>
      <c r="G130"/>
      <c r="H130"/>
      <c r="J130" t="str">
        <f t="shared" si="1"/>
        <v/>
      </c>
    </row>
    <row r="131" spans="5:10">
      <c r="E131"/>
      <c r="F131"/>
      <c r="G131"/>
      <c r="H131"/>
      <c r="J131" t="str">
        <f t="shared" si="1"/>
        <v/>
      </c>
    </row>
    <row r="132" spans="5:10">
      <c r="E132"/>
      <c r="F132"/>
      <c r="G132"/>
      <c r="H132"/>
      <c r="J132" t="str">
        <f t="shared" ref="J132:J195" si="2">A132&amp;C132</f>
        <v/>
      </c>
    </row>
    <row r="133" spans="5:10">
      <c r="E133"/>
      <c r="F133"/>
      <c r="G133"/>
      <c r="H133"/>
      <c r="J133" t="str">
        <f t="shared" si="2"/>
        <v/>
      </c>
    </row>
    <row r="134" spans="5:10">
      <c r="E134"/>
      <c r="F134"/>
      <c r="G134"/>
      <c r="H134"/>
      <c r="J134" t="str">
        <f t="shared" si="2"/>
        <v/>
      </c>
    </row>
    <row r="135" spans="5:10">
      <c r="E135"/>
      <c r="F135"/>
      <c r="G135"/>
      <c r="H135"/>
      <c r="J135" t="str">
        <f t="shared" si="2"/>
        <v/>
      </c>
    </row>
    <row r="136" spans="5:10">
      <c r="E136"/>
      <c r="F136"/>
      <c r="G136"/>
      <c r="H136"/>
      <c r="J136" t="str">
        <f t="shared" si="2"/>
        <v/>
      </c>
    </row>
    <row r="137" spans="5:10">
      <c r="E137"/>
      <c r="F137"/>
      <c r="G137"/>
      <c r="H137"/>
      <c r="J137" t="str">
        <f t="shared" si="2"/>
        <v/>
      </c>
    </row>
    <row r="138" spans="5:10">
      <c r="E138"/>
      <c r="F138"/>
      <c r="G138"/>
      <c r="H138"/>
      <c r="J138" t="str">
        <f t="shared" si="2"/>
        <v/>
      </c>
    </row>
    <row r="139" spans="5:10">
      <c r="E139"/>
      <c r="F139"/>
      <c r="G139"/>
      <c r="H139"/>
      <c r="J139" t="str">
        <f t="shared" si="2"/>
        <v/>
      </c>
    </row>
    <row r="140" spans="5:10">
      <c r="E140"/>
      <c r="F140"/>
      <c r="G140"/>
      <c r="H140"/>
      <c r="J140" t="str">
        <f t="shared" si="2"/>
        <v/>
      </c>
    </row>
    <row r="141" spans="5:10">
      <c r="E141"/>
      <c r="F141"/>
      <c r="G141"/>
      <c r="H141"/>
      <c r="J141" t="str">
        <f t="shared" si="2"/>
        <v/>
      </c>
    </row>
    <row r="142" spans="5:10">
      <c r="E142"/>
      <c r="F142"/>
      <c r="G142"/>
      <c r="H142"/>
      <c r="J142" t="str">
        <f t="shared" si="2"/>
        <v/>
      </c>
    </row>
    <row r="143" spans="5:10">
      <c r="E143"/>
      <c r="F143"/>
      <c r="G143"/>
      <c r="H143"/>
      <c r="J143" t="str">
        <f t="shared" si="2"/>
        <v/>
      </c>
    </row>
    <row r="144" spans="5:10">
      <c r="E144"/>
      <c r="F144"/>
      <c r="G144"/>
      <c r="H144"/>
      <c r="J144" t="str">
        <f t="shared" si="2"/>
        <v/>
      </c>
    </row>
    <row r="145" spans="5:10">
      <c r="E145"/>
      <c r="F145"/>
      <c r="G145"/>
      <c r="H145"/>
      <c r="J145" t="str">
        <f t="shared" si="2"/>
        <v/>
      </c>
    </row>
    <row r="146" spans="5:10">
      <c r="E146"/>
      <c r="F146"/>
      <c r="G146"/>
      <c r="H146"/>
      <c r="J146" t="str">
        <f t="shared" si="2"/>
        <v/>
      </c>
    </row>
    <row r="147" spans="5:10">
      <c r="E147"/>
      <c r="F147"/>
      <c r="G147"/>
      <c r="H147"/>
      <c r="J147" t="str">
        <f t="shared" si="2"/>
        <v/>
      </c>
    </row>
    <row r="148" spans="5:10">
      <c r="E148"/>
      <c r="F148"/>
      <c r="G148"/>
      <c r="H148"/>
      <c r="J148" t="str">
        <f t="shared" si="2"/>
        <v/>
      </c>
    </row>
    <row r="149" spans="5:10">
      <c r="E149"/>
      <c r="F149"/>
      <c r="G149"/>
      <c r="H149"/>
      <c r="J149" t="str">
        <f t="shared" si="2"/>
        <v/>
      </c>
    </row>
    <row r="150" spans="5:10">
      <c r="E150"/>
      <c r="F150"/>
      <c r="G150"/>
      <c r="H150"/>
      <c r="J150" t="str">
        <f t="shared" si="2"/>
        <v/>
      </c>
    </row>
    <row r="151" spans="5:10">
      <c r="E151"/>
      <c r="F151"/>
      <c r="G151"/>
      <c r="H151"/>
      <c r="J151" t="str">
        <f t="shared" si="2"/>
        <v/>
      </c>
    </row>
    <row r="152" spans="5:10">
      <c r="E152"/>
      <c r="F152"/>
      <c r="G152"/>
      <c r="H152"/>
      <c r="J152" t="str">
        <f t="shared" si="2"/>
        <v/>
      </c>
    </row>
    <row r="153" spans="5:10">
      <c r="E153"/>
      <c r="F153"/>
      <c r="G153"/>
      <c r="H153"/>
      <c r="J153" t="str">
        <f t="shared" si="2"/>
        <v/>
      </c>
    </row>
    <row r="154" spans="5:10">
      <c r="E154"/>
      <c r="F154"/>
      <c r="G154"/>
      <c r="H154"/>
      <c r="J154" t="str">
        <f t="shared" si="2"/>
        <v/>
      </c>
    </row>
    <row r="155" spans="5:10">
      <c r="E155"/>
      <c r="F155"/>
      <c r="G155"/>
      <c r="H155"/>
      <c r="J155" t="str">
        <f t="shared" si="2"/>
        <v/>
      </c>
    </row>
    <row r="156" spans="5:10">
      <c r="E156"/>
      <c r="F156"/>
      <c r="G156"/>
      <c r="H156"/>
      <c r="J156" t="str">
        <f t="shared" si="2"/>
        <v/>
      </c>
    </row>
    <row r="157" spans="5:10">
      <c r="E157"/>
      <c r="F157"/>
      <c r="G157"/>
      <c r="H157"/>
      <c r="J157" t="str">
        <f t="shared" si="2"/>
        <v/>
      </c>
    </row>
    <row r="158" spans="5:10">
      <c r="E158"/>
      <c r="F158"/>
      <c r="G158"/>
      <c r="H158"/>
      <c r="J158" t="str">
        <f t="shared" si="2"/>
        <v/>
      </c>
    </row>
    <row r="159" spans="5:10">
      <c r="E159"/>
      <c r="F159"/>
      <c r="G159"/>
      <c r="H159"/>
      <c r="J159" t="str">
        <f t="shared" si="2"/>
        <v/>
      </c>
    </row>
    <row r="160" spans="5:10">
      <c r="E160"/>
      <c r="F160"/>
      <c r="G160"/>
      <c r="H160"/>
      <c r="J160" t="str">
        <f t="shared" si="2"/>
        <v/>
      </c>
    </row>
    <row r="161" spans="5:10">
      <c r="E161"/>
      <c r="F161"/>
      <c r="G161"/>
      <c r="H161"/>
      <c r="J161" t="str">
        <f t="shared" si="2"/>
        <v/>
      </c>
    </row>
    <row r="162" spans="5:10">
      <c r="E162"/>
      <c r="F162"/>
      <c r="G162"/>
      <c r="H162"/>
      <c r="J162" t="str">
        <f t="shared" si="2"/>
        <v/>
      </c>
    </row>
    <row r="163" spans="5:10">
      <c r="E163"/>
      <c r="F163"/>
      <c r="G163"/>
      <c r="H163"/>
      <c r="J163" t="str">
        <f t="shared" si="2"/>
        <v/>
      </c>
    </row>
    <row r="164" spans="5:10">
      <c r="E164"/>
      <c r="F164"/>
      <c r="G164"/>
      <c r="H164"/>
      <c r="J164" t="str">
        <f t="shared" si="2"/>
        <v/>
      </c>
    </row>
    <row r="165" spans="5:10">
      <c r="E165"/>
      <c r="F165"/>
      <c r="G165"/>
      <c r="H165"/>
      <c r="J165" t="str">
        <f t="shared" si="2"/>
        <v/>
      </c>
    </row>
    <row r="166" spans="5:10">
      <c r="E166"/>
      <c r="F166"/>
      <c r="G166"/>
      <c r="H166"/>
      <c r="J166" t="str">
        <f t="shared" si="2"/>
        <v/>
      </c>
    </row>
    <row r="167" spans="5:10">
      <c r="E167"/>
      <c r="F167"/>
      <c r="G167"/>
      <c r="H167"/>
      <c r="J167" t="str">
        <f t="shared" si="2"/>
        <v/>
      </c>
    </row>
    <row r="168" spans="5:10">
      <c r="E168"/>
      <c r="F168"/>
      <c r="G168"/>
      <c r="H168"/>
      <c r="J168" t="str">
        <f t="shared" si="2"/>
        <v/>
      </c>
    </row>
    <row r="169" spans="5:10">
      <c r="E169"/>
      <c r="F169"/>
      <c r="G169"/>
      <c r="H169"/>
      <c r="J169" t="str">
        <f t="shared" si="2"/>
        <v/>
      </c>
    </row>
    <row r="170" spans="5:10">
      <c r="E170"/>
      <c r="F170"/>
      <c r="G170"/>
      <c r="H170"/>
      <c r="J170" t="str">
        <f t="shared" si="2"/>
        <v/>
      </c>
    </row>
    <row r="171" spans="5:10">
      <c r="E171"/>
      <c r="F171"/>
      <c r="G171"/>
      <c r="H171"/>
      <c r="J171" t="str">
        <f t="shared" si="2"/>
        <v/>
      </c>
    </row>
    <row r="172" spans="5:10">
      <c r="E172"/>
      <c r="F172"/>
      <c r="G172"/>
      <c r="H172"/>
      <c r="J172" t="str">
        <f t="shared" si="2"/>
        <v/>
      </c>
    </row>
    <row r="173" spans="5:10">
      <c r="E173"/>
      <c r="F173"/>
      <c r="G173"/>
      <c r="H173"/>
      <c r="J173" t="str">
        <f t="shared" si="2"/>
        <v/>
      </c>
    </row>
    <row r="174" spans="5:10">
      <c r="E174"/>
      <c r="F174"/>
      <c r="G174"/>
      <c r="H174"/>
      <c r="J174" t="str">
        <f t="shared" si="2"/>
        <v/>
      </c>
    </row>
    <row r="175" spans="5:10">
      <c r="E175"/>
      <c r="F175"/>
      <c r="G175"/>
      <c r="H175"/>
      <c r="J175" t="str">
        <f t="shared" si="2"/>
        <v/>
      </c>
    </row>
    <row r="176" spans="5:10">
      <c r="E176"/>
      <c r="F176"/>
      <c r="G176"/>
      <c r="H176"/>
      <c r="J176" t="str">
        <f t="shared" si="2"/>
        <v/>
      </c>
    </row>
    <row r="177" spans="5:10">
      <c r="E177"/>
      <c r="F177"/>
      <c r="G177"/>
      <c r="H177"/>
      <c r="J177" t="str">
        <f t="shared" si="2"/>
        <v/>
      </c>
    </row>
    <row r="178" spans="5:10">
      <c r="E178"/>
      <c r="F178"/>
      <c r="G178"/>
      <c r="H178"/>
      <c r="J178" t="str">
        <f t="shared" si="2"/>
        <v/>
      </c>
    </row>
    <row r="179" spans="5:10">
      <c r="E179"/>
      <c r="F179"/>
      <c r="G179"/>
      <c r="H179"/>
      <c r="J179" t="str">
        <f t="shared" si="2"/>
        <v/>
      </c>
    </row>
    <row r="180" spans="5:10">
      <c r="E180"/>
      <c r="F180"/>
      <c r="G180"/>
      <c r="H180"/>
      <c r="J180" t="str">
        <f t="shared" si="2"/>
        <v/>
      </c>
    </row>
    <row r="181" spans="5:10">
      <c r="E181"/>
      <c r="F181"/>
      <c r="G181"/>
      <c r="H181"/>
      <c r="J181" t="str">
        <f t="shared" si="2"/>
        <v/>
      </c>
    </row>
    <row r="182" spans="5:10">
      <c r="E182"/>
      <c r="F182"/>
      <c r="G182"/>
      <c r="H182"/>
      <c r="J182" t="str">
        <f t="shared" si="2"/>
        <v/>
      </c>
    </row>
    <row r="183" spans="5:10">
      <c r="E183"/>
      <c r="F183"/>
      <c r="G183"/>
      <c r="H183"/>
      <c r="J183" t="str">
        <f t="shared" si="2"/>
        <v/>
      </c>
    </row>
    <row r="184" spans="5:10">
      <c r="E184"/>
      <c r="F184"/>
      <c r="G184"/>
      <c r="H184"/>
      <c r="J184" t="str">
        <f t="shared" si="2"/>
        <v/>
      </c>
    </row>
    <row r="185" spans="5:10">
      <c r="E185"/>
      <c r="F185"/>
      <c r="G185"/>
      <c r="H185"/>
      <c r="J185" t="str">
        <f t="shared" si="2"/>
        <v/>
      </c>
    </row>
    <row r="186" spans="5:10">
      <c r="E186"/>
      <c r="F186"/>
      <c r="G186"/>
      <c r="H186"/>
      <c r="J186" t="str">
        <f t="shared" si="2"/>
        <v/>
      </c>
    </row>
    <row r="187" spans="5:10">
      <c r="E187"/>
      <c r="F187"/>
      <c r="G187"/>
      <c r="H187"/>
      <c r="J187" t="str">
        <f t="shared" si="2"/>
        <v/>
      </c>
    </row>
    <row r="188" spans="5:10">
      <c r="E188"/>
      <c r="F188"/>
      <c r="G188"/>
      <c r="H188"/>
      <c r="J188" t="str">
        <f t="shared" si="2"/>
        <v/>
      </c>
    </row>
    <row r="189" spans="5:10">
      <c r="E189"/>
      <c r="F189"/>
      <c r="G189"/>
      <c r="H189"/>
      <c r="J189" t="str">
        <f t="shared" si="2"/>
        <v/>
      </c>
    </row>
    <row r="190" spans="5:10">
      <c r="E190"/>
      <c r="F190"/>
      <c r="G190"/>
      <c r="H190"/>
      <c r="J190" t="str">
        <f t="shared" si="2"/>
        <v/>
      </c>
    </row>
    <row r="191" spans="5:10">
      <c r="E191"/>
      <c r="F191"/>
      <c r="G191"/>
      <c r="H191"/>
      <c r="J191" t="str">
        <f t="shared" si="2"/>
        <v/>
      </c>
    </row>
    <row r="192" spans="5:10">
      <c r="E192"/>
      <c r="F192"/>
      <c r="G192"/>
      <c r="H192"/>
      <c r="J192" t="str">
        <f t="shared" si="2"/>
        <v/>
      </c>
    </row>
    <row r="193" spans="5:10">
      <c r="E193"/>
      <c r="F193"/>
      <c r="G193"/>
      <c r="H193"/>
      <c r="J193" t="str">
        <f t="shared" si="2"/>
        <v/>
      </c>
    </row>
    <row r="194" spans="5:10">
      <c r="E194"/>
      <c r="F194"/>
      <c r="G194"/>
      <c r="H194"/>
      <c r="J194" t="str">
        <f t="shared" si="2"/>
        <v/>
      </c>
    </row>
    <row r="195" spans="5:10">
      <c r="E195"/>
      <c r="F195"/>
      <c r="G195"/>
      <c r="H195"/>
      <c r="J195" t="str">
        <f t="shared" si="2"/>
        <v/>
      </c>
    </row>
    <row r="196" spans="5:10">
      <c r="E196"/>
      <c r="F196"/>
      <c r="G196"/>
      <c r="H196"/>
      <c r="J196" t="str">
        <f t="shared" ref="J196:J259" si="3">A196&amp;C196</f>
        <v/>
      </c>
    </row>
    <row r="197" spans="5:10">
      <c r="E197"/>
      <c r="F197"/>
      <c r="G197"/>
      <c r="H197"/>
      <c r="J197" t="str">
        <f t="shared" si="3"/>
        <v/>
      </c>
    </row>
    <row r="198" spans="5:10">
      <c r="E198"/>
      <c r="F198"/>
      <c r="G198"/>
      <c r="H198"/>
      <c r="J198" t="str">
        <f t="shared" si="3"/>
        <v/>
      </c>
    </row>
    <row r="199" spans="5:10">
      <c r="E199"/>
      <c r="F199"/>
      <c r="G199"/>
      <c r="H199"/>
      <c r="J199" t="str">
        <f t="shared" si="3"/>
        <v/>
      </c>
    </row>
    <row r="200" spans="5:10">
      <c r="E200"/>
      <c r="F200"/>
      <c r="G200"/>
      <c r="H200"/>
      <c r="J200" t="str">
        <f t="shared" si="3"/>
        <v/>
      </c>
    </row>
    <row r="201" spans="5:10">
      <c r="E201"/>
      <c r="F201"/>
      <c r="G201"/>
      <c r="H201"/>
      <c r="J201" t="str">
        <f t="shared" si="3"/>
        <v/>
      </c>
    </row>
    <row r="202" spans="5:10">
      <c r="E202"/>
      <c r="F202"/>
      <c r="G202"/>
      <c r="H202"/>
      <c r="J202" t="str">
        <f t="shared" si="3"/>
        <v/>
      </c>
    </row>
    <row r="203" spans="5:10">
      <c r="E203"/>
      <c r="F203"/>
      <c r="G203"/>
      <c r="H203"/>
      <c r="J203" t="str">
        <f t="shared" si="3"/>
        <v/>
      </c>
    </row>
    <row r="204" spans="5:10">
      <c r="E204"/>
      <c r="F204"/>
      <c r="G204"/>
      <c r="H204"/>
      <c r="J204" t="str">
        <f t="shared" si="3"/>
        <v/>
      </c>
    </row>
    <row r="205" spans="5:10">
      <c r="E205"/>
      <c r="F205"/>
      <c r="G205"/>
      <c r="H205"/>
      <c r="J205" t="str">
        <f t="shared" si="3"/>
        <v/>
      </c>
    </row>
    <row r="206" spans="5:10">
      <c r="E206"/>
      <c r="F206"/>
      <c r="G206"/>
      <c r="H206"/>
      <c r="J206" t="str">
        <f t="shared" si="3"/>
        <v/>
      </c>
    </row>
    <row r="207" spans="5:10">
      <c r="E207"/>
      <c r="F207"/>
      <c r="G207"/>
      <c r="H207"/>
      <c r="J207" t="str">
        <f t="shared" si="3"/>
        <v/>
      </c>
    </row>
    <row r="208" spans="5:10">
      <c r="E208"/>
      <c r="F208"/>
      <c r="G208"/>
      <c r="H208"/>
      <c r="J208" t="str">
        <f t="shared" si="3"/>
        <v/>
      </c>
    </row>
    <row r="209" spans="5:10">
      <c r="E209"/>
      <c r="F209"/>
      <c r="G209"/>
      <c r="H209"/>
      <c r="J209" t="str">
        <f t="shared" si="3"/>
        <v/>
      </c>
    </row>
    <row r="210" spans="5:10">
      <c r="E210"/>
      <c r="F210"/>
      <c r="G210"/>
      <c r="H210"/>
      <c r="J210" t="str">
        <f t="shared" si="3"/>
        <v/>
      </c>
    </row>
    <row r="211" spans="5:10">
      <c r="E211"/>
      <c r="F211"/>
      <c r="G211"/>
      <c r="H211"/>
      <c r="J211" t="str">
        <f t="shared" si="3"/>
        <v/>
      </c>
    </row>
    <row r="212" spans="5:10">
      <c r="E212"/>
      <c r="F212"/>
      <c r="G212"/>
      <c r="H212"/>
      <c r="J212" t="str">
        <f t="shared" si="3"/>
        <v/>
      </c>
    </row>
    <row r="213" spans="5:10">
      <c r="E213"/>
      <c r="F213"/>
      <c r="G213"/>
      <c r="H213"/>
      <c r="J213" t="str">
        <f t="shared" si="3"/>
        <v/>
      </c>
    </row>
    <row r="214" spans="5:10">
      <c r="E214"/>
      <c r="F214"/>
      <c r="G214"/>
      <c r="H214"/>
      <c r="J214" t="str">
        <f t="shared" si="3"/>
        <v/>
      </c>
    </row>
    <row r="215" spans="5:10">
      <c r="E215"/>
      <c r="F215"/>
      <c r="G215"/>
      <c r="H215"/>
      <c r="J215" t="str">
        <f t="shared" si="3"/>
        <v/>
      </c>
    </row>
    <row r="216" spans="5:10">
      <c r="E216"/>
      <c r="F216"/>
      <c r="G216"/>
      <c r="H216"/>
      <c r="J216" t="str">
        <f t="shared" si="3"/>
        <v/>
      </c>
    </row>
    <row r="217" spans="5:10">
      <c r="E217"/>
      <c r="F217"/>
      <c r="G217"/>
      <c r="H217"/>
      <c r="J217" t="str">
        <f t="shared" si="3"/>
        <v/>
      </c>
    </row>
    <row r="218" spans="5:10">
      <c r="E218"/>
      <c r="F218"/>
      <c r="G218"/>
      <c r="H218"/>
      <c r="J218" t="str">
        <f t="shared" si="3"/>
        <v/>
      </c>
    </row>
    <row r="219" spans="5:10">
      <c r="E219"/>
      <c r="F219"/>
      <c r="G219"/>
      <c r="H219"/>
      <c r="J219" t="str">
        <f t="shared" si="3"/>
        <v/>
      </c>
    </row>
    <row r="220" spans="5:10">
      <c r="E220"/>
      <c r="F220"/>
      <c r="G220"/>
      <c r="H220"/>
      <c r="J220" t="str">
        <f t="shared" si="3"/>
        <v/>
      </c>
    </row>
    <row r="221" spans="5:10">
      <c r="E221"/>
      <c r="F221"/>
      <c r="G221"/>
      <c r="H221"/>
      <c r="J221" t="str">
        <f t="shared" si="3"/>
        <v/>
      </c>
    </row>
    <row r="222" spans="5:10">
      <c r="E222"/>
      <c r="F222"/>
      <c r="G222"/>
      <c r="H222"/>
      <c r="J222" t="str">
        <f t="shared" si="3"/>
        <v/>
      </c>
    </row>
    <row r="223" spans="5:10">
      <c r="E223"/>
      <c r="F223"/>
      <c r="G223"/>
      <c r="H223"/>
      <c r="J223" t="str">
        <f t="shared" si="3"/>
        <v/>
      </c>
    </row>
    <row r="224" spans="5:10">
      <c r="E224"/>
      <c r="F224"/>
      <c r="G224"/>
      <c r="H224"/>
      <c r="J224" t="str">
        <f t="shared" si="3"/>
        <v/>
      </c>
    </row>
    <row r="225" spans="5:10">
      <c r="E225"/>
      <c r="F225"/>
      <c r="G225"/>
      <c r="H225"/>
      <c r="J225" t="str">
        <f t="shared" si="3"/>
        <v/>
      </c>
    </row>
    <row r="226" spans="5:10">
      <c r="E226"/>
      <c r="F226"/>
      <c r="G226"/>
      <c r="H226"/>
      <c r="J226" t="str">
        <f t="shared" si="3"/>
        <v/>
      </c>
    </row>
    <row r="227" spans="5:10">
      <c r="E227"/>
      <c r="F227"/>
      <c r="G227"/>
      <c r="H227"/>
      <c r="J227" t="str">
        <f t="shared" si="3"/>
        <v/>
      </c>
    </row>
    <row r="228" spans="5:10">
      <c r="E228"/>
      <c r="F228"/>
      <c r="G228"/>
      <c r="H228"/>
      <c r="J228" t="str">
        <f t="shared" si="3"/>
        <v/>
      </c>
    </row>
    <row r="229" spans="5:10">
      <c r="E229"/>
      <c r="F229"/>
      <c r="G229"/>
      <c r="H229"/>
      <c r="J229" t="str">
        <f t="shared" si="3"/>
        <v/>
      </c>
    </row>
    <row r="230" spans="5:10">
      <c r="E230"/>
      <c r="F230"/>
      <c r="G230"/>
      <c r="H230"/>
      <c r="J230" t="str">
        <f t="shared" si="3"/>
        <v/>
      </c>
    </row>
    <row r="231" spans="5:10">
      <c r="E231"/>
      <c r="F231"/>
      <c r="G231"/>
      <c r="H231"/>
      <c r="J231" t="str">
        <f t="shared" si="3"/>
        <v/>
      </c>
    </row>
    <row r="232" spans="5:10">
      <c r="E232"/>
      <c r="F232"/>
      <c r="G232"/>
      <c r="H232"/>
      <c r="J232" t="str">
        <f t="shared" si="3"/>
        <v/>
      </c>
    </row>
    <row r="233" spans="5:10">
      <c r="E233"/>
      <c r="F233"/>
      <c r="G233"/>
      <c r="H233"/>
      <c r="J233" t="str">
        <f t="shared" si="3"/>
        <v/>
      </c>
    </row>
    <row r="234" spans="5:10">
      <c r="E234"/>
      <c r="F234"/>
      <c r="G234"/>
      <c r="H234"/>
      <c r="J234" t="str">
        <f t="shared" si="3"/>
        <v/>
      </c>
    </row>
    <row r="235" spans="5:10">
      <c r="E235"/>
      <c r="F235"/>
      <c r="G235"/>
      <c r="H235"/>
      <c r="J235" t="str">
        <f t="shared" si="3"/>
        <v/>
      </c>
    </row>
    <row r="236" spans="5:10">
      <c r="E236"/>
      <c r="F236"/>
      <c r="G236"/>
      <c r="H236"/>
      <c r="J236" t="str">
        <f t="shared" si="3"/>
        <v/>
      </c>
    </row>
    <row r="237" spans="5:10">
      <c r="E237"/>
      <c r="F237"/>
      <c r="G237"/>
      <c r="H237"/>
      <c r="J237" t="str">
        <f t="shared" si="3"/>
        <v/>
      </c>
    </row>
    <row r="238" spans="5:10">
      <c r="E238"/>
      <c r="F238"/>
      <c r="G238"/>
      <c r="H238"/>
      <c r="J238" t="str">
        <f t="shared" si="3"/>
        <v/>
      </c>
    </row>
    <row r="239" spans="5:10">
      <c r="E239"/>
      <c r="F239"/>
      <c r="G239"/>
      <c r="H239"/>
      <c r="J239" t="str">
        <f t="shared" si="3"/>
        <v/>
      </c>
    </row>
    <row r="240" spans="5:10">
      <c r="E240"/>
      <c r="F240"/>
      <c r="G240"/>
      <c r="H240"/>
      <c r="J240" t="str">
        <f t="shared" si="3"/>
        <v/>
      </c>
    </row>
    <row r="241" spans="5:10">
      <c r="E241"/>
      <c r="F241"/>
      <c r="G241"/>
      <c r="H241"/>
      <c r="J241" t="str">
        <f t="shared" si="3"/>
        <v/>
      </c>
    </row>
    <row r="242" spans="5:10">
      <c r="E242"/>
      <c r="F242"/>
      <c r="G242"/>
      <c r="H242"/>
      <c r="J242" t="str">
        <f t="shared" si="3"/>
        <v/>
      </c>
    </row>
    <row r="243" spans="5:10">
      <c r="E243"/>
      <c r="F243"/>
      <c r="G243"/>
      <c r="H243"/>
      <c r="J243" t="str">
        <f t="shared" si="3"/>
        <v/>
      </c>
    </row>
    <row r="244" spans="5:10">
      <c r="E244"/>
      <c r="F244"/>
      <c r="G244"/>
      <c r="H244"/>
      <c r="J244" t="str">
        <f t="shared" si="3"/>
        <v/>
      </c>
    </row>
    <row r="245" spans="5:10">
      <c r="E245"/>
      <c r="F245"/>
      <c r="G245"/>
      <c r="H245"/>
      <c r="J245" t="str">
        <f t="shared" si="3"/>
        <v/>
      </c>
    </row>
    <row r="246" spans="5:10">
      <c r="E246"/>
      <c r="F246"/>
      <c r="G246"/>
      <c r="H246"/>
      <c r="J246" t="str">
        <f t="shared" si="3"/>
        <v/>
      </c>
    </row>
    <row r="247" spans="5:10">
      <c r="E247"/>
      <c r="F247"/>
      <c r="G247"/>
      <c r="H247"/>
      <c r="J247" t="str">
        <f t="shared" si="3"/>
        <v/>
      </c>
    </row>
    <row r="248" spans="5:10">
      <c r="E248"/>
      <c r="F248"/>
      <c r="G248"/>
      <c r="H248"/>
      <c r="J248" t="str">
        <f t="shared" si="3"/>
        <v/>
      </c>
    </row>
    <row r="249" spans="5:10">
      <c r="E249"/>
      <c r="F249"/>
      <c r="G249"/>
      <c r="H249"/>
      <c r="J249" t="str">
        <f t="shared" si="3"/>
        <v/>
      </c>
    </row>
    <row r="250" spans="5:10">
      <c r="E250"/>
      <c r="F250"/>
      <c r="G250"/>
      <c r="H250"/>
      <c r="J250" t="str">
        <f t="shared" si="3"/>
        <v/>
      </c>
    </row>
    <row r="251" spans="5:10">
      <c r="E251"/>
      <c r="F251"/>
      <c r="G251"/>
      <c r="H251"/>
      <c r="J251" t="str">
        <f t="shared" si="3"/>
        <v/>
      </c>
    </row>
    <row r="252" spans="5:10">
      <c r="E252"/>
      <c r="F252"/>
      <c r="G252"/>
      <c r="H252"/>
      <c r="J252" t="str">
        <f t="shared" si="3"/>
        <v/>
      </c>
    </row>
    <row r="253" spans="5:10">
      <c r="E253"/>
      <c r="F253"/>
      <c r="G253"/>
      <c r="H253"/>
      <c r="J253" t="str">
        <f t="shared" si="3"/>
        <v/>
      </c>
    </row>
    <row r="254" spans="5:10">
      <c r="E254"/>
      <c r="F254"/>
      <c r="G254"/>
      <c r="H254"/>
      <c r="J254" t="str">
        <f t="shared" si="3"/>
        <v/>
      </c>
    </row>
    <row r="255" spans="5:10">
      <c r="E255"/>
      <c r="F255"/>
      <c r="G255"/>
      <c r="H255"/>
      <c r="J255" t="str">
        <f t="shared" si="3"/>
        <v/>
      </c>
    </row>
    <row r="256" spans="5:10">
      <c r="E256"/>
      <c r="F256"/>
      <c r="G256"/>
      <c r="H256"/>
      <c r="J256" t="str">
        <f t="shared" si="3"/>
        <v/>
      </c>
    </row>
    <row r="257" spans="5:10">
      <c r="E257"/>
      <c r="F257"/>
      <c r="G257"/>
      <c r="H257"/>
      <c r="J257" t="str">
        <f t="shared" si="3"/>
        <v/>
      </c>
    </row>
    <row r="258" spans="5:10">
      <c r="E258"/>
      <c r="F258"/>
      <c r="G258"/>
      <c r="H258"/>
      <c r="J258" t="str">
        <f t="shared" si="3"/>
        <v/>
      </c>
    </row>
    <row r="259" spans="5:10">
      <c r="E259"/>
      <c r="F259"/>
      <c r="G259"/>
      <c r="H259"/>
      <c r="J259" t="str">
        <f t="shared" si="3"/>
        <v/>
      </c>
    </row>
    <row r="260" spans="5:10">
      <c r="E260"/>
      <c r="F260"/>
      <c r="G260"/>
      <c r="H260"/>
      <c r="J260" t="str">
        <f t="shared" ref="J260:J323" si="4">A260&amp;C260</f>
        <v/>
      </c>
    </row>
    <row r="261" spans="5:10">
      <c r="E261"/>
      <c r="F261"/>
      <c r="G261"/>
      <c r="H261"/>
      <c r="J261" t="str">
        <f t="shared" si="4"/>
        <v/>
      </c>
    </row>
    <row r="262" spans="5:10">
      <c r="E262"/>
      <c r="F262"/>
      <c r="G262"/>
      <c r="H262"/>
      <c r="J262" t="str">
        <f t="shared" si="4"/>
        <v/>
      </c>
    </row>
    <row r="263" spans="5:10">
      <c r="E263"/>
      <c r="F263"/>
      <c r="G263"/>
      <c r="H263"/>
      <c r="J263" t="str">
        <f t="shared" si="4"/>
        <v/>
      </c>
    </row>
    <row r="264" spans="5:10">
      <c r="E264"/>
      <c r="F264"/>
      <c r="G264"/>
      <c r="H264"/>
      <c r="J264" t="str">
        <f t="shared" si="4"/>
        <v/>
      </c>
    </row>
    <row r="265" spans="5:10">
      <c r="E265"/>
      <c r="F265"/>
      <c r="G265"/>
      <c r="H265"/>
      <c r="J265" t="str">
        <f t="shared" si="4"/>
        <v/>
      </c>
    </row>
    <row r="266" spans="5:10">
      <c r="E266"/>
      <c r="F266"/>
      <c r="G266"/>
      <c r="H266"/>
      <c r="J266" t="str">
        <f t="shared" si="4"/>
        <v/>
      </c>
    </row>
    <row r="267" spans="5:10">
      <c r="E267"/>
      <c r="F267"/>
      <c r="G267"/>
      <c r="H267"/>
      <c r="J267" t="str">
        <f t="shared" si="4"/>
        <v/>
      </c>
    </row>
    <row r="268" spans="5:10">
      <c r="E268"/>
      <c r="F268"/>
      <c r="G268"/>
      <c r="H268"/>
      <c r="J268" t="str">
        <f t="shared" si="4"/>
        <v/>
      </c>
    </row>
    <row r="269" spans="5:10">
      <c r="E269"/>
      <c r="F269"/>
      <c r="G269"/>
      <c r="H269"/>
      <c r="J269" t="str">
        <f t="shared" si="4"/>
        <v/>
      </c>
    </row>
    <row r="270" spans="5:10">
      <c r="E270"/>
      <c r="F270"/>
      <c r="G270"/>
      <c r="H270"/>
      <c r="J270" t="str">
        <f t="shared" si="4"/>
        <v/>
      </c>
    </row>
    <row r="271" spans="5:10">
      <c r="E271"/>
      <c r="F271"/>
      <c r="G271"/>
      <c r="H271"/>
      <c r="J271" t="str">
        <f t="shared" si="4"/>
        <v/>
      </c>
    </row>
    <row r="272" spans="5:10">
      <c r="E272"/>
      <c r="F272"/>
      <c r="G272"/>
      <c r="H272"/>
      <c r="J272" t="str">
        <f t="shared" si="4"/>
        <v/>
      </c>
    </row>
    <row r="273" spans="5:10">
      <c r="E273"/>
      <c r="F273"/>
      <c r="G273"/>
      <c r="H273"/>
      <c r="J273" t="str">
        <f t="shared" si="4"/>
        <v/>
      </c>
    </row>
    <row r="274" spans="5:10">
      <c r="E274"/>
      <c r="F274"/>
      <c r="G274"/>
      <c r="H274"/>
      <c r="J274" t="str">
        <f t="shared" si="4"/>
        <v/>
      </c>
    </row>
    <row r="275" spans="5:10">
      <c r="E275"/>
      <c r="F275"/>
      <c r="G275"/>
      <c r="H275"/>
      <c r="J275" t="str">
        <f t="shared" si="4"/>
        <v/>
      </c>
    </row>
    <row r="276" spans="5:10">
      <c r="E276"/>
      <c r="F276"/>
      <c r="G276"/>
      <c r="H276"/>
      <c r="J276" t="str">
        <f t="shared" si="4"/>
        <v/>
      </c>
    </row>
    <row r="277" spans="5:10">
      <c r="E277"/>
      <c r="F277"/>
      <c r="G277"/>
      <c r="H277"/>
      <c r="J277" t="str">
        <f t="shared" si="4"/>
        <v/>
      </c>
    </row>
    <row r="278" spans="5:10">
      <c r="E278"/>
      <c r="F278"/>
      <c r="G278"/>
      <c r="H278"/>
      <c r="J278" t="str">
        <f t="shared" si="4"/>
        <v/>
      </c>
    </row>
    <row r="279" spans="5:10">
      <c r="E279"/>
      <c r="F279"/>
      <c r="G279"/>
      <c r="H279"/>
      <c r="J279" t="str">
        <f t="shared" si="4"/>
        <v/>
      </c>
    </row>
    <row r="280" spans="5:10">
      <c r="E280"/>
      <c r="F280"/>
      <c r="G280"/>
      <c r="H280"/>
      <c r="J280" t="str">
        <f t="shared" si="4"/>
        <v/>
      </c>
    </row>
    <row r="281" spans="5:10">
      <c r="E281"/>
      <c r="F281"/>
      <c r="G281"/>
      <c r="H281"/>
      <c r="J281" t="str">
        <f t="shared" si="4"/>
        <v/>
      </c>
    </row>
    <row r="282" spans="5:10">
      <c r="E282"/>
      <c r="F282"/>
      <c r="G282"/>
      <c r="H282"/>
      <c r="J282" t="str">
        <f t="shared" si="4"/>
        <v/>
      </c>
    </row>
    <row r="283" spans="5:10">
      <c r="E283"/>
      <c r="F283"/>
      <c r="G283"/>
      <c r="H283"/>
      <c r="J283" t="str">
        <f t="shared" si="4"/>
        <v/>
      </c>
    </row>
    <row r="284" spans="5:10">
      <c r="E284"/>
      <c r="F284"/>
      <c r="G284"/>
      <c r="H284"/>
      <c r="J284" t="str">
        <f t="shared" si="4"/>
        <v/>
      </c>
    </row>
    <row r="285" spans="5:10">
      <c r="E285"/>
      <c r="F285"/>
      <c r="G285"/>
      <c r="H285"/>
      <c r="J285" t="str">
        <f t="shared" si="4"/>
        <v/>
      </c>
    </row>
    <row r="286" spans="5:10">
      <c r="E286"/>
      <c r="F286"/>
      <c r="G286"/>
      <c r="H286"/>
      <c r="J286" t="str">
        <f t="shared" si="4"/>
        <v/>
      </c>
    </row>
    <row r="287" spans="5:10">
      <c r="E287"/>
      <c r="F287"/>
      <c r="G287"/>
      <c r="H287"/>
      <c r="J287" t="str">
        <f t="shared" si="4"/>
        <v/>
      </c>
    </row>
    <row r="288" spans="5:10">
      <c r="E288"/>
      <c r="F288"/>
      <c r="G288"/>
      <c r="H288"/>
      <c r="J288" t="str">
        <f t="shared" si="4"/>
        <v/>
      </c>
    </row>
    <row r="289" spans="5:10">
      <c r="E289"/>
      <c r="F289"/>
      <c r="G289"/>
      <c r="H289"/>
      <c r="J289" t="str">
        <f t="shared" si="4"/>
        <v/>
      </c>
    </row>
    <row r="290" spans="5:10">
      <c r="E290"/>
      <c r="F290"/>
      <c r="G290"/>
      <c r="H290"/>
      <c r="J290" t="str">
        <f t="shared" si="4"/>
        <v/>
      </c>
    </row>
    <row r="291" spans="5:10">
      <c r="E291"/>
      <c r="F291"/>
      <c r="G291"/>
      <c r="H291"/>
      <c r="J291" t="str">
        <f t="shared" si="4"/>
        <v/>
      </c>
    </row>
    <row r="292" spans="5:10">
      <c r="E292"/>
      <c r="F292"/>
      <c r="G292"/>
      <c r="H292"/>
      <c r="J292" t="str">
        <f t="shared" si="4"/>
        <v/>
      </c>
    </row>
    <row r="293" spans="5:10">
      <c r="E293"/>
      <c r="F293"/>
      <c r="G293"/>
      <c r="H293"/>
      <c r="J293" t="str">
        <f t="shared" si="4"/>
        <v/>
      </c>
    </row>
    <row r="294" spans="5:10">
      <c r="E294"/>
      <c r="F294"/>
      <c r="G294"/>
      <c r="H294"/>
      <c r="J294" t="str">
        <f t="shared" si="4"/>
        <v/>
      </c>
    </row>
    <row r="295" spans="5:10">
      <c r="E295"/>
      <c r="F295"/>
      <c r="G295"/>
      <c r="H295"/>
      <c r="J295" t="str">
        <f t="shared" si="4"/>
        <v/>
      </c>
    </row>
    <row r="296" spans="5:10">
      <c r="E296"/>
      <c r="F296"/>
      <c r="G296"/>
      <c r="H296"/>
      <c r="J296" t="str">
        <f t="shared" si="4"/>
        <v/>
      </c>
    </row>
    <row r="297" spans="5:10">
      <c r="E297"/>
      <c r="F297"/>
      <c r="G297"/>
      <c r="H297"/>
      <c r="J297" t="str">
        <f t="shared" si="4"/>
        <v/>
      </c>
    </row>
    <row r="298" spans="5:10">
      <c r="E298"/>
      <c r="F298"/>
      <c r="G298"/>
      <c r="H298"/>
      <c r="J298" t="str">
        <f t="shared" si="4"/>
        <v/>
      </c>
    </row>
    <row r="299" spans="5:10">
      <c r="E299"/>
      <c r="F299"/>
      <c r="G299"/>
      <c r="H299"/>
      <c r="J299" t="str">
        <f t="shared" si="4"/>
        <v/>
      </c>
    </row>
    <row r="300" spans="5:10">
      <c r="E300"/>
      <c r="F300"/>
      <c r="G300"/>
      <c r="H300"/>
      <c r="J300" t="str">
        <f t="shared" si="4"/>
        <v/>
      </c>
    </row>
    <row r="301" spans="5:10">
      <c r="E301"/>
      <c r="F301"/>
      <c r="G301"/>
      <c r="H301"/>
      <c r="J301" t="str">
        <f t="shared" si="4"/>
        <v/>
      </c>
    </row>
    <row r="302" spans="5:10">
      <c r="E302"/>
      <c r="F302"/>
      <c r="G302"/>
      <c r="H302"/>
      <c r="J302" t="str">
        <f t="shared" si="4"/>
        <v/>
      </c>
    </row>
    <row r="303" spans="5:10">
      <c r="E303"/>
      <c r="F303"/>
      <c r="G303"/>
      <c r="H303"/>
      <c r="J303" t="str">
        <f t="shared" si="4"/>
        <v/>
      </c>
    </row>
    <row r="304" spans="5:10">
      <c r="E304"/>
      <c r="F304"/>
      <c r="G304"/>
      <c r="H304"/>
      <c r="J304" t="str">
        <f t="shared" si="4"/>
        <v/>
      </c>
    </row>
    <row r="305" spans="5:10">
      <c r="E305"/>
      <c r="F305"/>
      <c r="G305"/>
      <c r="H305"/>
      <c r="J305" t="str">
        <f t="shared" si="4"/>
        <v/>
      </c>
    </row>
    <row r="306" spans="5:10">
      <c r="E306"/>
      <c r="F306"/>
      <c r="G306"/>
      <c r="H306"/>
      <c r="J306" t="str">
        <f t="shared" si="4"/>
        <v/>
      </c>
    </row>
    <row r="307" spans="5:10">
      <c r="E307"/>
      <c r="F307"/>
      <c r="G307"/>
      <c r="H307"/>
      <c r="J307" t="str">
        <f t="shared" si="4"/>
        <v/>
      </c>
    </row>
    <row r="308" spans="5:10">
      <c r="E308"/>
      <c r="F308"/>
      <c r="G308"/>
      <c r="H308"/>
      <c r="J308" t="str">
        <f t="shared" si="4"/>
        <v/>
      </c>
    </row>
    <row r="309" spans="5:10">
      <c r="E309"/>
      <c r="F309"/>
      <c r="G309"/>
      <c r="H309"/>
      <c r="J309" t="str">
        <f t="shared" si="4"/>
        <v/>
      </c>
    </row>
    <row r="310" spans="5:10">
      <c r="E310"/>
      <c r="F310"/>
      <c r="G310"/>
      <c r="H310"/>
      <c r="J310" t="str">
        <f t="shared" si="4"/>
        <v/>
      </c>
    </row>
    <row r="311" spans="5:10">
      <c r="E311"/>
      <c r="F311"/>
      <c r="G311"/>
      <c r="H311"/>
      <c r="J311" t="str">
        <f t="shared" si="4"/>
        <v/>
      </c>
    </row>
    <row r="312" spans="5:10">
      <c r="E312"/>
      <c r="F312"/>
      <c r="G312"/>
      <c r="H312"/>
      <c r="J312" t="str">
        <f t="shared" si="4"/>
        <v/>
      </c>
    </row>
    <row r="313" spans="5:10">
      <c r="E313"/>
      <c r="F313"/>
      <c r="G313"/>
      <c r="H313"/>
      <c r="J313" t="str">
        <f t="shared" si="4"/>
        <v/>
      </c>
    </row>
    <row r="314" spans="5:10">
      <c r="E314"/>
      <c r="F314"/>
      <c r="G314"/>
      <c r="H314"/>
      <c r="J314" t="str">
        <f t="shared" si="4"/>
        <v/>
      </c>
    </row>
    <row r="315" spans="5:10">
      <c r="E315"/>
      <c r="F315"/>
      <c r="G315"/>
      <c r="H315"/>
      <c r="J315" t="str">
        <f t="shared" si="4"/>
        <v/>
      </c>
    </row>
    <row r="316" spans="5:10">
      <c r="E316"/>
      <c r="F316"/>
      <c r="G316"/>
      <c r="H316"/>
      <c r="J316" t="str">
        <f t="shared" si="4"/>
        <v/>
      </c>
    </row>
    <row r="317" spans="5:10">
      <c r="E317"/>
      <c r="F317"/>
      <c r="G317"/>
      <c r="H317"/>
      <c r="J317" t="str">
        <f t="shared" si="4"/>
        <v/>
      </c>
    </row>
    <row r="318" spans="5:10">
      <c r="E318"/>
      <c r="F318"/>
      <c r="G318"/>
      <c r="H318"/>
      <c r="J318" t="str">
        <f t="shared" si="4"/>
        <v/>
      </c>
    </row>
    <row r="319" spans="5:10">
      <c r="E319"/>
      <c r="F319"/>
      <c r="G319"/>
      <c r="H319"/>
      <c r="J319" t="str">
        <f t="shared" si="4"/>
        <v/>
      </c>
    </row>
    <row r="320" spans="5:10">
      <c r="E320"/>
      <c r="F320"/>
      <c r="G320"/>
      <c r="H320"/>
      <c r="J320" t="str">
        <f t="shared" si="4"/>
        <v/>
      </c>
    </row>
    <row r="321" spans="5:10">
      <c r="E321"/>
      <c r="F321"/>
      <c r="G321"/>
      <c r="H321"/>
      <c r="J321" t="str">
        <f t="shared" si="4"/>
        <v/>
      </c>
    </row>
    <row r="322" spans="5:10">
      <c r="E322"/>
      <c r="F322"/>
      <c r="G322"/>
      <c r="H322"/>
      <c r="J322" t="str">
        <f t="shared" si="4"/>
        <v/>
      </c>
    </row>
    <row r="323" spans="5:10">
      <c r="E323"/>
      <c r="F323"/>
      <c r="G323"/>
      <c r="H323"/>
      <c r="J323" t="str">
        <f t="shared" si="4"/>
        <v/>
      </c>
    </row>
    <row r="324" spans="5:10">
      <c r="E324"/>
      <c r="F324"/>
      <c r="G324"/>
      <c r="H324"/>
      <c r="J324" t="str">
        <f t="shared" ref="J324:J387" si="5">A324&amp;C324</f>
        <v/>
      </c>
    </row>
    <row r="325" spans="5:10">
      <c r="E325"/>
      <c r="F325"/>
      <c r="G325"/>
      <c r="H325"/>
      <c r="J325" t="str">
        <f t="shared" si="5"/>
        <v/>
      </c>
    </row>
    <row r="326" spans="5:10">
      <c r="E326"/>
      <c r="F326"/>
      <c r="G326"/>
      <c r="H326"/>
      <c r="J326" t="str">
        <f t="shared" si="5"/>
        <v/>
      </c>
    </row>
    <row r="327" spans="5:10">
      <c r="E327"/>
      <c r="F327"/>
      <c r="G327"/>
      <c r="H327"/>
      <c r="J327" t="str">
        <f t="shared" si="5"/>
        <v/>
      </c>
    </row>
    <row r="328" spans="5:10">
      <c r="E328"/>
      <c r="F328"/>
      <c r="G328"/>
      <c r="H328"/>
      <c r="J328" t="str">
        <f t="shared" si="5"/>
        <v/>
      </c>
    </row>
    <row r="329" spans="5:10">
      <c r="E329"/>
      <c r="F329"/>
      <c r="G329"/>
      <c r="H329"/>
      <c r="J329" t="str">
        <f t="shared" si="5"/>
        <v/>
      </c>
    </row>
    <row r="330" spans="5:10">
      <c r="E330"/>
      <c r="F330"/>
      <c r="G330"/>
      <c r="H330"/>
      <c r="J330" t="str">
        <f t="shared" si="5"/>
        <v/>
      </c>
    </row>
    <row r="331" spans="5:10">
      <c r="E331"/>
      <c r="F331"/>
      <c r="G331"/>
      <c r="H331"/>
      <c r="J331" t="str">
        <f t="shared" si="5"/>
        <v/>
      </c>
    </row>
    <row r="332" spans="5:10">
      <c r="E332"/>
      <c r="F332"/>
      <c r="G332"/>
      <c r="H332"/>
      <c r="J332" t="str">
        <f t="shared" si="5"/>
        <v/>
      </c>
    </row>
    <row r="333" spans="5:10">
      <c r="E333"/>
      <c r="F333"/>
      <c r="G333"/>
      <c r="H333"/>
      <c r="J333" t="str">
        <f t="shared" si="5"/>
        <v/>
      </c>
    </row>
    <row r="334" spans="5:10">
      <c r="E334"/>
      <c r="F334"/>
      <c r="G334"/>
      <c r="H334"/>
      <c r="J334" t="str">
        <f t="shared" si="5"/>
        <v/>
      </c>
    </row>
    <row r="335" spans="5:10">
      <c r="E335"/>
      <c r="F335"/>
      <c r="G335"/>
      <c r="H335"/>
      <c r="J335" t="str">
        <f t="shared" si="5"/>
        <v/>
      </c>
    </row>
    <row r="336" spans="5:10">
      <c r="E336"/>
      <c r="F336"/>
      <c r="G336"/>
      <c r="H336"/>
      <c r="J336" t="str">
        <f t="shared" si="5"/>
        <v/>
      </c>
    </row>
    <row r="337" spans="5:10">
      <c r="E337"/>
      <c r="F337"/>
      <c r="G337"/>
      <c r="H337"/>
      <c r="J337" t="str">
        <f t="shared" si="5"/>
        <v/>
      </c>
    </row>
    <row r="338" spans="5:10">
      <c r="E338"/>
      <c r="F338"/>
      <c r="G338"/>
      <c r="H338"/>
      <c r="J338" t="str">
        <f t="shared" si="5"/>
        <v/>
      </c>
    </row>
    <row r="339" spans="5:10">
      <c r="E339"/>
      <c r="F339"/>
      <c r="G339"/>
      <c r="H339"/>
      <c r="J339" t="str">
        <f t="shared" si="5"/>
        <v/>
      </c>
    </row>
    <row r="340" spans="5:10">
      <c r="E340"/>
      <c r="F340"/>
      <c r="G340"/>
      <c r="H340"/>
      <c r="J340" t="str">
        <f t="shared" si="5"/>
        <v/>
      </c>
    </row>
    <row r="341" spans="5:10">
      <c r="E341"/>
      <c r="F341"/>
      <c r="G341"/>
      <c r="H341"/>
      <c r="J341" t="str">
        <f t="shared" si="5"/>
        <v/>
      </c>
    </row>
    <row r="342" spans="5:10">
      <c r="E342"/>
      <c r="F342"/>
      <c r="G342"/>
      <c r="H342"/>
      <c r="J342" t="str">
        <f t="shared" si="5"/>
        <v/>
      </c>
    </row>
    <row r="343" spans="5:10">
      <c r="E343"/>
      <c r="F343"/>
      <c r="G343"/>
      <c r="H343"/>
      <c r="J343" t="str">
        <f t="shared" si="5"/>
        <v/>
      </c>
    </row>
    <row r="344" spans="5:10">
      <c r="E344"/>
      <c r="F344"/>
      <c r="G344"/>
      <c r="H344"/>
      <c r="J344" t="str">
        <f t="shared" si="5"/>
        <v/>
      </c>
    </row>
    <row r="345" spans="5:10">
      <c r="E345"/>
      <c r="F345"/>
      <c r="G345"/>
      <c r="H345"/>
      <c r="J345" t="str">
        <f t="shared" si="5"/>
        <v/>
      </c>
    </row>
    <row r="346" spans="5:10">
      <c r="E346"/>
      <c r="F346"/>
      <c r="G346"/>
      <c r="H346"/>
      <c r="J346" t="str">
        <f t="shared" si="5"/>
        <v/>
      </c>
    </row>
    <row r="347" spans="5:10">
      <c r="E347"/>
      <c r="F347"/>
      <c r="G347"/>
      <c r="H347"/>
      <c r="J347" t="str">
        <f t="shared" si="5"/>
        <v/>
      </c>
    </row>
    <row r="348" spans="5:10">
      <c r="E348"/>
      <c r="F348"/>
      <c r="G348"/>
      <c r="H348"/>
      <c r="J348" t="str">
        <f t="shared" si="5"/>
        <v/>
      </c>
    </row>
    <row r="349" spans="5:10">
      <c r="E349"/>
      <c r="F349"/>
      <c r="G349"/>
      <c r="H349"/>
      <c r="J349" t="str">
        <f t="shared" si="5"/>
        <v/>
      </c>
    </row>
    <row r="350" spans="5:10">
      <c r="E350"/>
      <c r="F350"/>
      <c r="G350"/>
      <c r="H350"/>
      <c r="J350" t="str">
        <f t="shared" si="5"/>
        <v/>
      </c>
    </row>
    <row r="351" spans="5:10">
      <c r="E351"/>
      <c r="F351"/>
      <c r="G351"/>
      <c r="H351"/>
      <c r="J351" t="str">
        <f t="shared" si="5"/>
        <v/>
      </c>
    </row>
    <row r="352" spans="5:10">
      <c r="E352"/>
      <c r="F352"/>
      <c r="G352"/>
      <c r="H352"/>
      <c r="J352" t="str">
        <f t="shared" si="5"/>
        <v/>
      </c>
    </row>
    <row r="353" spans="5:10">
      <c r="E353"/>
      <c r="F353"/>
      <c r="G353"/>
      <c r="H353"/>
      <c r="J353" t="str">
        <f t="shared" si="5"/>
        <v/>
      </c>
    </row>
    <row r="354" spans="5:10">
      <c r="E354"/>
      <c r="F354"/>
      <c r="G354"/>
      <c r="H354"/>
      <c r="J354" t="str">
        <f t="shared" si="5"/>
        <v/>
      </c>
    </row>
    <row r="355" spans="5:10">
      <c r="E355"/>
      <c r="F355"/>
      <c r="G355"/>
      <c r="H355"/>
      <c r="J355" t="str">
        <f t="shared" si="5"/>
        <v/>
      </c>
    </row>
    <row r="356" spans="5:10">
      <c r="E356"/>
      <c r="F356"/>
      <c r="G356"/>
      <c r="H356"/>
      <c r="J356" t="str">
        <f t="shared" si="5"/>
        <v/>
      </c>
    </row>
    <row r="357" spans="5:10">
      <c r="E357"/>
      <c r="F357"/>
      <c r="G357"/>
      <c r="H357"/>
      <c r="J357" t="str">
        <f t="shared" si="5"/>
        <v/>
      </c>
    </row>
    <row r="358" spans="5:10">
      <c r="E358"/>
      <c r="F358"/>
      <c r="G358"/>
      <c r="H358"/>
      <c r="J358" t="str">
        <f t="shared" si="5"/>
        <v/>
      </c>
    </row>
    <row r="359" spans="5:10">
      <c r="E359"/>
      <c r="F359"/>
      <c r="G359"/>
      <c r="H359"/>
      <c r="J359" t="str">
        <f t="shared" si="5"/>
        <v/>
      </c>
    </row>
    <row r="360" spans="5:10">
      <c r="E360"/>
      <c r="F360"/>
      <c r="G360"/>
      <c r="H360"/>
      <c r="J360" t="str">
        <f t="shared" si="5"/>
        <v/>
      </c>
    </row>
    <row r="361" spans="5:10">
      <c r="E361"/>
      <c r="F361"/>
      <c r="G361"/>
      <c r="H361"/>
      <c r="J361" t="str">
        <f t="shared" si="5"/>
        <v/>
      </c>
    </row>
    <row r="362" spans="5:10">
      <c r="E362"/>
      <c r="F362"/>
      <c r="G362"/>
      <c r="H362"/>
      <c r="J362" t="str">
        <f t="shared" si="5"/>
        <v/>
      </c>
    </row>
    <row r="363" spans="5:10">
      <c r="E363"/>
      <c r="F363"/>
      <c r="G363"/>
      <c r="H363"/>
      <c r="J363" t="str">
        <f t="shared" si="5"/>
        <v/>
      </c>
    </row>
    <row r="364" spans="5:10">
      <c r="E364"/>
      <c r="F364"/>
      <c r="G364"/>
      <c r="H364"/>
      <c r="J364" t="str">
        <f t="shared" si="5"/>
        <v/>
      </c>
    </row>
    <row r="365" spans="5:10">
      <c r="E365"/>
      <c r="F365"/>
      <c r="G365"/>
      <c r="H365"/>
      <c r="J365" t="str">
        <f t="shared" si="5"/>
        <v/>
      </c>
    </row>
    <row r="366" spans="5:10">
      <c r="E366"/>
      <c r="F366"/>
      <c r="G366"/>
      <c r="H366"/>
      <c r="J366" t="str">
        <f t="shared" si="5"/>
        <v/>
      </c>
    </row>
    <row r="367" spans="5:10">
      <c r="E367"/>
      <c r="F367"/>
      <c r="G367"/>
      <c r="H367"/>
      <c r="J367" t="str">
        <f t="shared" si="5"/>
        <v/>
      </c>
    </row>
    <row r="368" spans="5:10">
      <c r="E368"/>
      <c r="F368"/>
      <c r="G368"/>
      <c r="H368"/>
      <c r="J368" t="str">
        <f t="shared" si="5"/>
        <v/>
      </c>
    </row>
    <row r="369" spans="5:10">
      <c r="E369"/>
      <c r="F369"/>
      <c r="G369"/>
      <c r="H369"/>
      <c r="J369" t="str">
        <f t="shared" si="5"/>
        <v/>
      </c>
    </row>
    <row r="370" spans="5:10">
      <c r="E370"/>
      <c r="F370"/>
      <c r="G370"/>
      <c r="H370"/>
      <c r="J370" t="str">
        <f t="shared" si="5"/>
        <v/>
      </c>
    </row>
    <row r="371" spans="5:10">
      <c r="E371"/>
      <c r="F371"/>
      <c r="G371"/>
      <c r="H371"/>
      <c r="J371" t="str">
        <f t="shared" si="5"/>
        <v/>
      </c>
    </row>
    <row r="372" spans="5:10">
      <c r="E372"/>
      <c r="F372"/>
      <c r="G372"/>
      <c r="H372"/>
      <c r="J372" t="str">
        <f t="shared" si="5"/>
        <v/>
      </c>
    </row>
    <row r="373" spans="5:10">
      <c r="E373"/>
      <c r="F373"/>
      <c r="G373"/>
      <c r="H373"/>
      <c r="J373" t="str">
        <f t="shared" si="5"/>
        <v/>
      </c>
    </row>
    <row r="374" spans="5:10">
      <c r="E374"/>
      <c r="F374"/>
      <c r="G374"/>
      <c r="H374"/>
      <c r="J374" t="str">
        <f t="shared" si="5"/>
        <v/>
      </c>
    </row>
    <row r="375" spans="5:10">
      <c r="E375"/>
      <c r="F375"/>
      <c r="G375"/>
      <c r="H375"/>
      <c r="J375" t="str">
        <f t="shared" si="5"/>
        <v/>
      </c>
    </row>
    <row r="376" spans="5:10">
      <c r="E376"/>
      <c r="F376"/>
      <c r="G376"/>
      <c r="H376"/>
      <c r="J376" t="str">
        <f t="shared" si="5"/>
        <v/>
      </c>
    </row>
    <row r="377" spans="5:10">
      <c r="E377"/>
      <c r="F377"/>
      <c r="G377"/>
      <c r="H377"/>
      <c r="J377" t="str">
        <f t="shared" si="5"/>
        <v/>
      </c>
    </row>
    <row r="378" spans="5:10">
      <c r="E378"/>
      <c r="F378"/>
      <c r="G378"/>
      <c r="H378"/>
      <c r="J378" t="str">
        <f t="shared" si="5"/>
        <v/>
      </c>
    </row>
    <row r="379" spans="5:10">
      <c r="E379"/>
      <c r="F379"/>
      <c r="G379"/>
      <c r="H379"/>
      <c r="J379" t="str">
        <f t="shared" si="5"/>
        <v/>
      </c>
    </row>
    <row r="380" spans="5:10">
      <c r="E380"/>
      <c r="F380"/>
      <c r="G380"/>
      <c r="H380"/>
      <c r="J380" t="str">
        <f t="shared" si="5"/>
        <v/>
      </c>
    </row>
    <row r="381" spans="5:10">
      <c r="E381"/>
      <c r="F381"/>
      <c r="G381"/>
      <c r="H381"/>
      <c r="J381" t="str">
        <f t="shared" si="5"/>
        <v/>
      </c>
    </row>
    <row r="382" spans="5:10">
      <c r="E382"/>
      <c r="F382"/>
      <c r="G382"/>
      <c r="H382"/>
      <c r="J382" t="str">
        <f t="shared" si="5"/>
        <v/>
      </c>
    </row>
    <row r="383" spans="5:10">
      <c r="E383"/>
      <c r="F383"/>
      <c r="G383"/>
      <c r="H383"/>
      <c r="J383" t="str">
        <f t="shared" si="5"/>
        <v/>
      </c>
    </row>
    <row r="384" spans="5:10">
      <c r="E384"/>
      <c r="F384"/>
      <c r="G384"/>
      <c r="H384"/>
      <c r="J384" t="str">
        <f t="shared" si="5"/>
        <v/>
      </c>
    </row>
    <row r="385" spans="5:10">
      <c r="E385"/>
      <c r="F385"/>
      <c r="G385"/>
      <c r="H385"/>
      <c r="J385" t="str">
        <f t="shared" si="5"/>
        <v/>
      </c>
    </row>
    <row r="386" spans="5:10">
      <c r="E386"/>
      <c r="F386"/>
      <c r="G386"/>
      <c r="H386"/>
      <c r="J386" t="str">
        <f t="shared" si="5"/>
        <v/>
      </c>
    </row>
    <row r="387" spans="5:10">
      <c r="E387"/>
      <c r="F387"/>
      <c r="G387"/>
      <c r="H387"/>
      <c r="J387" t="str">
        <f t="shared" si="5"/>
        <v/>
      </c>
    </row>
    <row r="388" spans="5:10">
      <c r="E388"/>
      <c r="F388"/>
      <c r="G388"/>
      <c r="H388"/>
      <c r="J388" t="str">
        <f t="shared" ref="J388:J451" si="6">A388&amp;C388</f>
        <v/>
      </c>
    </row>
    <row r="389" spans="5:10">
      <c r="E389"/>
      <c r="F389"/>
      <c r="G389"/>
      <c r="H389"/>
      <c r="J389" t="str">
        <f t="shared" si="6"/>
        <v/>
      </c>
    </row>
    <row r="390" spans="5:10">
      <c r="E390"/>
      <c r="F390"/>
      <c r="G390"/>
      <c r="H390"/>
      <c r="J390" t="str">
        <f t="shared" si="6"/>
        <v/>
      </c>
    </row>
    <row r="391" spans="5:10">
      <c r="E391"/>
      <c r="F391"/>
      <c r="G391"/>
      <c r="H391"/>
      <c r="J391" t="str">
        <f t="shared" si="6"/>
        <v/>
      </c>
    </row>
    <row r="392" spans="5:10">
      <c r="E392"/>
      <c r="F392"/>
      <c r="G392"/>
      <c r="H392"/>
      <c r="J392" t="str">
        <f t="shared" si="6"/>
        <v/>
      </c>
    </row>
    <row r="393" spans="5:10">
      <c r="E393"/>
      <c r="F393"/>
      <c r="G393"/>
      <c r="H393"/>
      <c r="J393" t="str">
        <f t="shared" si="6"/>
        <v/>
      </c>
    </row>
    <row r="394" spans="5:10">
      <c r="E394"/>
      <c r="F394"/>
      <c r="G394"/>
      <c r="H394"/>
      <c r="J394" t="str">
        <f t="shared" si="6"/>
        <v/>
      </c>
    </row>
    <row r="395" spans="5:10">
      <c r="E395"/>
      <c r="F395"/>
      <c r="G395"/>
      <c r="H395"/>
      <c r="J395" t="str">
        <f t="shared" si="6"/>
        <v/>
      </c>
    </row>
    <row r="396" spans="5:10">
      <c r="E396"/>
      <c r="F396"/>
      <c r="G396"/>
      <c r="H396"/>
      <c r="J396" t="str">
        <f t="shared" si="6"/>
        <v/>
      </c>
    </row>
    <row r="397" spans="5:10">
      <c r="E397"/>
      <c r="F397"/>
      <c r="G397"/>
      <c r="H397"/>
      <c r="J397" t="str">
        <f t="shared" si="6"/>
        <v/>
      </c>
    </row>
    <row r="398" spans="5:10">
      <c r="E398"/>
      <c r="F398"/>
      <c r="G398"/>
      <c r="H398"/>
      <c r="J398" t="str">
        <f t="shared" si="6"/>
        <v/>
      </c>
    </row>
    <row r="399" spans="5:10">
      <c r="E399"/>
      <c r="F399"/>
      <c r="G399"/>
      <c r="H399"/>
      <c r="J399" t="str">
        <f t="shared" si="6"/>
        <v/>
      </c>
    </row>
    <row r="400" spans="5:10">
      <c r="E400"/>
      <c r="F400"/>
      <c r="G400"/>
      <c r="H400"/>
      <c r="J400" t="str">
        <f t="shared" si="6"/>
        <v/>
      </c>
    </row>
    <row r="401" spans="5:10">
      <c r="E401"/>
      <c r="F401"/>
      <c r="G401"/>
      <c r="H401"/>
      <c r="J401" t="str">
        <f t="shared" si="6"/>
        <v/>
      </c>
    </row>
    <row r="402" spans="5:10">
      <c r="E402"/>
      <c r="F402"/>
      <c r="G402"/>
      <c r="H402"/>
      <c r="J402" t="str">
        <f t="shared" si="6"/>
        <v/>
      </c>
    </row>
    <row r="403" spans="5:10">
      <c r="E403"/>
      <c r="F403"/>
      <c r="G403"/>
      <c r="H403"/>
      <c r="J403" t="str">
        <f t="shared" si="6"/>
        <v/>
      </c>
    </row>
    <row r="404" spans="5:10">
      <c r="E404"/>
      <c r="F404"/>
      <c r="G404"/>
      <c r="H404"/>
      <c r="J404" t="str">
        <f t="shared" si="6"/>
        <v/>
      </c>
    </row>
    <row r="405" spans="5:10">
      <c r="E405"/>
      <c r="F405"/>
      <c r="G405"/>
      <c r="H405"/>
      <c r="J405" t="str">
        <f t="shared" si="6"/>
        <v/>
      </c>
    </row>
    <row r="406" spans="5:10">
      <c r="E406"/>
      <c r="F406"/>
      <c r="G406"/>
      <c r="H406"/>
      <c r="J406" t="str">
        <f t="shared" si="6"/>
        <v/>
      </c>
    </row>
    <row r="407" spans="5:10">
      <c r="E407"/>
      <c r="F407"/>
      <c r="G407"/>
      <c r="H407"/>
      <c r="J407" t="str">
        <f t="shared" si="6"/>
        <v/>
      </c>
    </row>
    <row r="408" spans="5:10">
      <c r="E408"/>
      <c r="F408"/>
      <c r="G408"/>
      <c r="H408"/>
      <c r="J408" t="str">
        <f t="shared" si="6"/>
        <v/>
      </c>
    </row>
    <row r="409" spans="5:10">
      <c r="E409"/>
      <c r="F409"/>
      <c r="G409"/>
      <c r="H409"/>
      <c r="J409" t="str">
        <f t="shared" si="6"/>
        <v/>
      </c>
    </row>
    <row r="410" spans="5:10">
      <c r="E410"/>
      <c r="F410"/>
      <c r="G410"/>
      <c r="H410"/>
      <c r="J410" t="str">
        <f t="shared" si="6"/>
        <v/>
      </c>
    </row>
    <row r="411" spans="5:10">
      <c r="E411"/>
      <c r="F411"/>
      <c r="G411"/>
      <c r="H411"/>
      <c r="J411" t="str">
        <f t="shared" si="6"/>
        <v/>
      </c>
    </row>
    <row r="412" spans="5:10">
      <c r="E412"/>
      <c r="F412"/>
      <c r="G412"/>
      <c r="H412"/>
      <c r="J412" t="str">
        <f t="shared" si="6"/>
        <v/>
      </c>
    </row>
    <row r="413" spans="5:10">
      <c r="E413"/>
      <c r="F413"/>
      <c r="G413"/>
      <c r="H413"/>
      <c r="J413" t="str">
        <f t="shared" si="6"/>
        <v/>
      </c>
    </row>
    <row r="414" spans="5:10">
      <c r="E414"/>
      <c r="F414"/>
      <c r="G414"/>
      <c r="H414"/>
      <c r="J414" t="str">
        <f t="shared" si="6"/>
        <v/>
      </c>
    </row>
    <row r="415" spans="5:10">
      <c r="E415"/>
      <c r="F415"/>
      <c r="G415"/>
      <c r="H415"/>
      <c r="J415" t="str">
        <f t="shared" si="6"/>
        <v/>
      </c>
    </row>
    <row r="416" spans="5:10">
      <c r="E416"/>
      <c r="F416"/>
      <c r="G416"/>
      <c r="H416"/>
      <c r="J416" t="str">
        <f t="shared" si="6"/>
        <v/>
      </c>
    </row>
    <row r="417" spans="5:10">
      <c r="E417"/>
      <c r="F417"/>
      <c r="G417"/>
      <c r="H417"/>
      <c r="J417" t="str">
        <f t="shared" si="6"/>
        <v/>
      </c>
    </row>
    <row r="418" spans="5:10">
      <c r="E418"/>
      <c r="F418"/>
      <c r="G418"/>
      <c r="H418"/>
      <c r="J418" t="str">
        <f t="shared" si="6"/>
        <v/>
      </c>
    </row>
    <row r="419" spans="5:10">
      <c r="E419"/>
      <c r="F419"/>
      <c r="G419"/>
      <c r="H419"/>
      <c r="J419" t="str">
        <f t="shared" si="6"/>
        <v/>
      </c>
    </row>
    <row r="420" spans="5:10">
      <c r="E420"/>
      <c r="F420"/>
      <c r="G420"/>
      <c r="H420"/>
      <c r="J420" t="str">
        <f t="shared" si="6"/>
        <v/>
      </c>
    </row>
    <row r="421" spans="5:10">
      <c r="E421"/>
      <c r="F421"/>
      <c r="G421"/>
      <c r="H421"/>
      <c r="J421" t="str">
        <f t="shared" si="6"/>
        <v/>
      </c>
    </row>
    <row r="422" spans="5:10">
      <c r="E422"/>
      <c r="F422"/>
      <c r="G422"/>
      <c r="H422"/>
      <c r="J422" t="str">
        <f t="shared" si="6"/>
        <v/>
      </c>
    </row>
    <row r="423" spans="5:10">
      <c r="E423"/>
      <c r="F423"/>
      <c r="G423"/>
      <c r="H423"/>
      <c r="J423" t="str">
        <f t="shared" si="6"/>
        <v/>
      </c>
    </row>
    <row r="424" spans="5:10">
      <c r="E424"/>
      <c r="F424"/>
      <c r="G424"/>
      <c r="H424"/>
      <c r="J424" t="str">
        <f t="shared" si="6"/>
        <v/>
      </c>
    </row>
    <row r="425" spans="5:10">
      <c r="E425"/>
      <c r="F425"/>
      <c r="G425"/>
      <c r="H425"/>
      <c r="J425" t="str">
        <f t="shared" si="6"/>
        <v/>
      </c>
    </row>
    <row r="426" spans="5:10">
      <c r="E426"/>
      <c r="F426"/>
      <c r="G426"/>
      <c r="H426"/>
      <c r="J426" t="str">
        <f t="shared" si="6"/>
        <v/>
      </c>
    </row>
    <row r="427" spans="5:10">
      <c r="E427"/>
      <c r="F427"/>
      <c r="G427"/>
      <c r="H427"/>
      <c r="J427" t="str">
        <f t="shared" si="6"/>
        <v/>
      </c>
    </row>
    <row r="428" spans="5:10">
      <c r="E428"/>
      <c r="F428"/>
      <c r="G428"/>
      <c r="H428"/>
      <c r="J428" t="str">
        <f t="shared" si="6"/>
        <v/>
      </c>
    </row>
    <row r="429" spans="5:10">
      <c r="E429"/>
      <c r="F429"/>
      <c r="G429"/>
      <c r="H429"/>
      <c r="J429" t="str">
        <f t="shared" si="6"/>
        <v/>
      </c>
    </row>
    <row r="430" spans="5:10">
      <c r="E430"/>
      <c r="F430"/>
      <c r="G430"/>
      <c r="H430"/>
      <c r="J430" t="str">
        <f t="shared" si="6"/>
        <v/>
      </c>
    </row>
    <row r="431" spans="5:10">
      <c r="E431"/>
      <c r="F431"/>
      <c r="G431"/>
      <c r="H431"/>
      <c r="J431" t="str">
        <f t="shared" si="6"/>
        <v/>
      </c>
    </row>
    <row r="432" spans="5:10">
      <c r="E432"/>
      <c r="F432"/>
      <c r="G432"/>
      <c r="H432"/>
      <c r="J432" t="str">
        <f t="shared" si="6"/>
        <v/>
      </c>
    </row>
    <row r="433" spans="5:10">
      <c r="E433"/>
      <c r="F433"/>
      <c r="G433"/>
      <c r="H433"/>
      <c r="J433" t="str">
        <f t="shared" si="6"/>
        <v/>
      </c>
    </row>
    <row r="434" spans="5:10">
      <c r="E434"/>
      <c r="F434"/>
      <c r="G434"/>
      <c r="H434"/>
      <c r="J434" t="str">
        <f t="shared" si="6"/>
        <v/>
      </c>
    </row>
    <row r="435" spans="5:10">
      <c r="E435"/>
      <c r="F435"/>
      <c r="G435"/>
      <c r="H435"/>
      <c r="J435" t="str">
        <f t="shared" si="6"/>
        <v/>
      </c>
    </row>
    <row r="436" spans="5:10">
      <c r="E436"/>
      <c r="F436"/>
      <c r="G436"/>
      <c r="H436"/>
      <c r="J436" t="str">
        <f t="shared" si="6"/>
        <v/>
      </c>
    </row>
    <row r="437" spans="5:10">
      <c r="E437"/>
      <c r="F437"/>
      <c r="G437"/>
      <c r="H437"/>
      <c r="J437" t="str">
        <f t="shared" si="6"/>
        <v/>
      </c>
    </row>
    <row r="438" spans="5:10">
      <c r="E438"/>
      <c r="F438"/>
      <c r="G438"/>
      <c r="H438"/>
      <c r="J438" t="str">
        <f t="shared" si="6"/>
        <v/>
      </c>
    </row>
    <row r="439" spans="5:10">
      <c r="E439"/>
      <c r="F439"/>
      <c r="G439"/>
      <c r="H439"/>
      <c r="J439" t="str">
        <f t="shared" si="6"/>
        <v/>
      </c>
    </row>
    <row r="440" spans="5:10">
      <c r="E440"/>
      <c r="F440"/>
      <c r="G440"/>
      <c r="H440"/>
      <c r="J440" t="str">
        <f t="shared" si="6"/>
        <v/>
      </c>
    </row>
    <row r="441" spans="5:10">
      <c r="E441"/>
      <c r="F441"/>
      <c r="G441"/>
      <c r="H441"/>
      <c r="J441" t="str">
        <f t="shared" si="6"/>
        <v/>
      </c>
    </row>
    <row r="442" spans="5:10">
      <c r="E442"/>
      <c r="F442"/>
      <c r="G442"/>
      <c r="H442"/>
      <c r="J442" t="str">
        <f t="shared" si="6"/>
        <v/>
      </c>
    </row>
    <row r="443" spans="5:10">
      <c r="E443"/>
      <c r="F443"/>
      <c r="G443"/>
      <c r="H443"/>
      <c r="J443" t="str">
        <f t="shared" si="6"/>
        <v/>
      </c>
    </row>
    <row r="444" spans="5:10">
      <c r="E444"/>
      <c r="F444"/>
      <c r="G444"/>
      <c r="H444"/>
      <c r="J444" t="str">
        <f t="shared" si="6"/>
        <v/>
      </c>
    </row>
    <row r="445" spans="5:10">
      <c r="E445"/>
      <c r="F445"/>
      <c r="G445"/>
      <c r="H445"/>
      <c r="J445" t="str">
        <f t="shared" si="6"/>
        <v/>
      </c>
    </row>
    <row r="446" spans="5:10">
      <c r="E446"/>
      <c r="F446"/>
      <c r="G446"/>
      <c r="H446"/>
      <c r="J446" t="str">
        <f t="shared" si="6"/>
        <v/>
      </c>
    </row>
    <row r="447" spans="5:10">
      <c r="E447"/>
      <c r="F447"/>
      <c r="G447"/>
      <c r="H447"/>
      <c r="J447" t="str">
        <f t="shared" si="6"/>
        <v/>
      </c>
    </row>
    <row r="448" spans="5:10">
      <c r="E448"/>
      <c r="F448"/>
      <c r="G448"/>
      <c r="H448"/>
      <c r="J448" t="str">
        <f t="shared" si="6"/>
        <v/>
      </c>
    </row>
    <row r="449" spans="5:10">
      <c r="E449"/>
      <c r="F449"/>
      <c r="G449"/>
      <c r="H449"/>
      <c r="J449" t="str">
        <f t="shared" si="6"/>
        <v/>
      </c>
    </row>
    <row r="450" spans="5:10">
      <c r="E450"/>
      <c r="F450"/>
      <c r="G450"/>
      <c r="H450"/>
      <c r="J450" t="str">
        <f t="shared" si="6"/>
        <v/>
      </c>
    </row>
    <row r="451" spans="5:10">
      <c r="E451"/>
      <c r="F451"/>
      <c r="G451"/>
      <c r="H451"/>
      <c r="J451" t="str">
        <f t="shared" si="6"/>
        <v/>
      </c>
    </row>
    <row r="452" spans="5:10">
      <c r="E452"/>
      <c r="F452"/>
      <c r="G452"/>
      <c r="H452"/>
      <c r="J452" t="str">
        <f t="shared" ref="J452:J515" si="7">A452&amp;C452</f>
        <v/>
      </c>
    </row>
    <row r="453" spans="5:10">
      <c r="E453"/>
      <c r="F453"/>
      <c r="G453"/>
      <c r="H453"/>
      <c r="J453" t="str">
        <f t="shared" si="7"/>
        <v/>
      </c>
    </row>
    <row r="454" spans="5:10">
      <c r="E454"/>
      <c r="F454"/>
      <c r="G454"/>
      <c r="H454"/>
      <c r="J454" t="str">
        <f t="shared" si="7"/>
        <v/>
      </c>
    </row>
    <row r="455" spans="5:10">
      <c r="E455"/>
      <c r="F455"/>
      <c r="G455"/>
      <c r="H455"/>
      <c r="J455" t="str">
        <f t="shared" si="7"/>
        <v/>
      </c>
    </row>
    <row r="456" spans="5:10">
      <c r="E456"/>
      <c r="F456"/>
      <c r="G456"/>
      <c r="H456"/>
      <c r="J456" t="str">
        <f t="shared" si="7"/>
        <v/>
      </c>
    </row>
    <row r="457" spans="5:10">
      <c r="E457"/>
      <c r="F457"/>
      <c r="G457"/>
      <c r="H457"/>
      <c r="J457" t="str">
        <f t="shared" si="7"/>
        <v/>
      </c>
    </row>
    <row r="458" spans="5:10">
      <c r="E458"/>
      <c r="F458"/>
      <c r="G458"/>
      <c r="H458"/>
      <c r="J458" t="str">
        <f t="shared" si="7"/>
        <v/>
      </c>
    </row>
    <row r="459" spans="5:10">
      <c r="E459"/>
      <c r="F459"/>
      <c r="G459"/>
      <c r="H459"/>
      <c r="J459" t="str">
        <f t="shared" si="7"/>
        <v/>
      </c>
    </row>
    <row r="460" spans="5:10">
      <c r="E460"/>
      <c r="F460"/>
      <c r="G460"/>
      <c r="H460"/>
      <c r="J460" t="str">
        <f t="shared" si="7"/>
        <v/>
      </c>
    </row>
    <row r="461" spans="5:10">
      <c r="E461"/>
      <c r="F461"/>
      <c r="G461"/>
      <c r="H461"/>
      <c r="J461" t="str">
        <f t="shared" si="7"/>
        <v/>
      </c>
    </row>
    <row r="462" spans="5:10">
      <c r="E462"/>
      <c r="F462"/>
      <c r="G462"/>
      <c r="H462"/>
      <c r="J462" t="str">
        <f t="shared" si="7"/>
        <v/>
      </c>
    </row>
    <row r="463" spans="5:10">
      <c r="E463"/>
      <c r="F463"/>
      <c r="G463"/>
      <c r="H463"/>
      <c r="J463" t="str">
        <f t="shared" si="7"/>
        <v/>
      </c>
    </row>
    <row r="464" spans="5:10">
      <c r="E464"/>
      <c r="F464"/>
      <c r="G464"/>
      <c r="H464"/>
      <c r="J464" t="str">
        <f t="shared" si="7"/>
        <v/>
      </c>
    </row>
    <row r="465" spans="5:10">
      <c r="E465"/>
      <c r="F465"/>
      <c r="G465"/>
      <c r="H465"/>
      <c r="J465" t="str">
        <f t="shared" si="7"/>
        <v/>
      </c>
    </row>
    <row r="466" spans="5:10">
      <c r="E466"/>
      <c r="F466"/>
      <c r="G466"/>
      <c r="H466"/>
      <c r="J466" t="str">
        <f t="shared" si="7"/>
        <v/>
      </c>
    </row>
    <row r="467" spans="5:10">
      <c r="E467"/>
      <c r="F467"/>
      <c r="G467"/>
      <c r="H467"/>
      <c r="J467" t="str">
        <f t="shared" si="7"/>
        <v/>
      </c>
    </row>
    <row r="468" spans="5:10">
      <c r="E468"/>
      <c r="F468"/>
      <c r="G468"/>
      <c r="H468"/>
      <c r="J468" t="str">
        <f t="shared" si="7"/>
        <v/>
      </c>
    </row>
    <row r="469" spans="5:10">
      <c r="E469"/>
      <c r="F469"/>
      <c r="G469"/>
      <c r="H469"/>
      <c r="J469" t="str">
        <f t="shared" si="7"/>
        <v/>
      </c>
    </row>
    <row r="470" spans="5:10">
      <c r="E470"/>
      <c r="F470"/>
      <c r="G470"/>
      <c r="H470"/>
      <c r="J470" t="str">
        <f t="shared" si="7"/>
        <v/>
      </c>
    </row>
    <row r="471" spans="5:10">
      <c r="E471"/>
      <c r="F471"/>
      <c r="G471"/>
      <c r="H471"/>
      <c r="J471" t="str">
        <f t="shared" si="7"/>
        <v/>
      </c>
    </row>
    <row r="472" spans="5:10">
      <c r="E472"/>
      <c r="F472"/>
      <c r="G472"/>
      <c r="H472"/>
      <c r="J472" t="str">
        <f t="shared" si="7"/>
        <v/>
      </c>
    </row>
    <row r="473" spans="5:10">
      <c r="E473"/>
      <c r="F473"/>
      <c r="G473"/>
      <c r="H473"/>
      <c r="J473" t="str">
        <f t="shared" si="7"/>
        <v/>
      </c>
    </row>
    <row r="474" spans="5:10">
      <c r="E474"/>
      <c r="F474"/>
      <c r="G474"/>
      <c r="H474"/>
      <c r="J474" t="str">
        <f t="shared" si="7"/>
        <v/>
      </c>
    </row>
    <row r="475" spans="5:10">
      <c r="E475"/>
      <c r="F475"/>
      <c r="G475"/>
      <c r="H475"/>
      <c r="J475" t="str">
        <f t="shared" si="7"/>
        <v/>
      </c>
    </row>
    <row r="476" spans="5:10">
      <c r="E476"/>
      <c r="F476"/>
      <c r="G476"/>
      <c r="H476"/>
      <c r="J476" t="str">
        <f t="shared" si="7"/>
        <v/>
      </c>
    </row>
    <row r="477" spans="5:10">
      <c r="E477"/>
      <c r="F477"/>
      <c r="G477"/>
      <c r="H477"/>
      <c r="J477" t="str">
        <f t="shared" si="7"/>
        <v/>
      </c>
    </row>
    <row r="478" spans="5:10">
      <c r="E478"/>
      <c r="F478"/>
      <c r="G478"/>
      <c r="H478"/>
      <c r="J478" t="str">
        <f t="shared" si="7"/>
        <v/>
      </c>
    </row>
    <row r="479" spans="5:10">
      <c r="E479"/>
      <c r="F479"/>
      <c r="G479"/>
      <c r="H479"/>
      <c r="J479" t="str">
        <f t="shared" si="7"/>
        <v/>
      </c>
    </row>
    <row r="480" spans="5:10">
      <c r="E480"/>
      <c r="F480"/>
      <c r="G480"/>
      <c r="H480"/>
      <c r="J480" t="str">
        <f t="shared" si="7"/>
        <v/>
      </c>
    </row>
    <row r="481" spans="5:10">
      <c r="E481"/>
      <c r="F481"/>
      <c r="G481"/>
      <c r="H481"/>
      <c r="J481" t="str">
        <f t="shared" si="7"/>
        <v/>
      </c>
    </row>
    <row r="482" spans="5:10">
      <c r="E482"/>
      <c r="F482"/>
      <c r="G482"/>
      <c r="H482"/>
      <c r="J482" t="str">
        <f t="shared" si="7"/>
        <v/>
      </c>
    </row>
    <row r="483" spans="5:10">
      <c r="E483"/>
      <c r="F483"/>
      <c r="G483"/>
      <c r="H483"/>
      <c r="J483" t="str">
        <f t="shared" si="7"/>
        <v/>
      </c>
    </row>
    <row r="484" spans="5:10">
      <c r="E484"/>
      <c r="F484"/>
      <c r="G484"/>
      <c r="H484"/>
      <c r="J484" t="str">
        <f t="shared" si="7"/>
        <v/>
      </c>
    </row>
    <row r="485" spans="5:10">
      <c r="E485"/>
      <c r="F485"/>
      <c r="G485"/>
      <c r="H485"/>
      <c r="J485" t="str">
        <f t="shared" si="7"/>
        <v/>
      </c>
    </row>
    <row r="486" spans="5:10">
      <c r="E486"/>
      <c r="F486"/>
      <c r="G486"/>
      <c r="H486"/>
      <c r="J486" t="str">
        <f t="shared" si="7"/>
        <v/>
      </c>
    </row>
    <row r="487" spans="5:10">
      <c r="E487"/>
      <c r="F487"/>
      <c r="G487"/>
      <c r="H487"/>
      <c r="J487" t="str">
        <f t="shared" si="7"/>
        <v/>
      </c>
    </row>
    <row r="488" spans="5:10">
      <c r="E488"/>
      <c r="F488"/>
      <c r="G488"/>
      <c r="H488"/>
      <c r="J488" t="str">
        <f t="shared" si="7"/>
        <v/>
      </c>
    </row>
    <row r="489" spans="5:10">
      <c r="E489"/>
      <c r="F489"/>
      <c r="G489"/>
      <c r="H489"/>
      <c r="J489" t="str">
        <f t="shared" si="7"/>
        <v/>
      </c>
    </row>
    <row r="490" spans="5:10">
      <c r="E490"/>
      <c r="F490"/>
      <c r="G490"/>
      <c r="H490"/>
      <c r="J490" t="str">
        <f t="shared" si="7"/>
        <v/>
      </c>
    </row>
    <row r="491" spans="5:10">
      <c r="E491"/>
      <c r="F491"/>
      <c r="G491"/>
      <c r="H491"/>
      <c r="J491" t="str">
        <f t="shared" si="7"/>
        <v/>
      </c>
    </row>
    <row r="492" spans="5:10">
      <c r="E492"/>
      <c r="F492"/>
      <c r="G492"/>
      <c r="H492"/>
      <c r="J492" t="str">
        <f t="shared" si="7"/>
        <v/>
      </c>
    </row>
    <row r="493" spans="5:10">
      <c r="E493"/>
      <c r="F493"/>
      <c r="G493"/>
      <c r="H493"/>
      <c r="J493" t="str">
        <f t="shared" si="7"/>
        <v/>
      </c>
    </row>
    <row r="494" spans="5:10">
      <c r="E494"/>
      <c r="F494"/>
      <c r="G494"/>
      <c r="H494"/>
      <c r="J494" t="str">
        <f t="shared" si="7"/>
        <v/>
      </c>
    </row>
    <row r="495" spans="5:10">
      <c r="E495"/>
      <c r="F495"/>
      <c r="G495"/>
      <c r="H495"/>
      <c r="J495" t="str">
        <f t="shared" si="7"/>
        <v/>
      </c>
    </row>
    <row r="496" spans="5:10">
      <c r="E496"/>
      <c r="F496"/>
      <c r="G496"/>
      <c r="H496"/>
      <c r="J496" t="str">
        <f t="shared" si="7"/>
        <v/>
      </c>
    </row>
    <row r="497" spans="5:10">
      <c r="E497"/>
      <c r="F497"/>
      <c r="G497"/>
      <c r="H497"/>
      <c r="J497" t="str">
        <f t="shared" si="7"/>
        <v/>
      </c>
    </row>
    <row r="498" spans="5:10">
      <c r="E498"/>
      <c r="F498"/>
      <c r="G498"/>
      <c r="H498"/>
      <c r="J498" t="str">
        <f t="shared" si="7"/>
        <v/>
      </c>
    </row>
    <row r="499" spans="5:10">
      <c r="E499"/>
      <c r="F499"/>
      <c r="G499"/>
      <c r="H499"/>
      <c r="J499" t="str">
        <f t="shared" si="7"/>
        <v/>
      </c>
    </row>
    <row r="500" spans="5:10">
      <c r="E500"/>
      <c r="F500"/>
      <c r="G500"/>
      <c r="H500"/>
      <c r="J500" t="str">
        <f t="shared" si="7"/>
        <v/>
      </c>
    </row>
    <row r="501" spans="5:10">
      <c r="E501"/>
      <c r="F501"/>
      <c r="G501"/>
      <c r="H501"/>
      <c r="J501" t="str">
        <f t="shared" si="7"/>
        <v/>
      </c>
    </row>
    <row r="502" spans="5:10">
      <c r="E502"/>
      <c r="F502"/>
      <c r="G502"/>
      <c r="H502"/>
      <c r="J502" t="str">
        <f t="shared" si="7"/>
        <v/>
      </c>
    </row>
    <row r="503" spans="5:10">
      <c r="E503"/>
      <c r="F503"/>
      <c r="G503"/>
      <c r="H503"/>
      <c r="J503" t="str">
        <f t="shared" si="7"/>
        <v/>
      </c>
    </row>
    <row r="504" spans="5:10">
      <c r="E504"/>
      <c r="F504"/>
      <c r="G504"/>
      <c r="H504"/>
      <c r="J504" t="str">
        <f t="shared" si="7"/>
        <v/>
      </c>
    </row>
    <row r="505" spans="5:10">
      <c r="E505"/>
      <c r="F505"/>
      <c r="G505"/>
      <c r="H505"/>
      <c r="J505" t="str">
        <f t="shared" si="7"/>
        <v/>
      </c>
    </row>
    <row r="506" spans="5:10">
      <c r="E506"/>
      <c r="F506"/>
      <c r="G506"/>
      <c r="H506"/>
      <c r="J506" t="str">
        <f t="shared" si="7"/>
        <v/>
      </c>
    </row>
    <row r="507" spans="5:10">
      <c r="E507"/>
      <c r="F507"/>
      <c r="G507"/>
      <c r="H507"/>
      <c r="J507" t="str">
        <f t="shared" si="7"/>
        <v/>
      </c>
    </row>
    <row r="508" spans="5:10">
      <c r="E508"/>
      <c r="F508"/>
      <c r="G508"/>
      <c r="H508"/>
      <c r="J508" t="str">
        <f t="shared" si="7"/>
        <v/>
      </c>
    </row>
    <row r="509" spans="5:10">
      <c r="E509"/>
      <c r="F509"/>
      <c r="G509"/>
      <c r="H509"/>
      <c r="J509" t="str">
        <f t="shared" si="7"/>
        <v/>
      </c>
    </row>
    <row r="510" spans="5:10">
      <c r="E510"/>
      <c r="F510"/>
      <c r="G510"/>
      <c r="H510"/>
      <c r="J510" t="str">
        <f t="shared" si="7"/>
        <v/>
      </c>
    </row>
    <row r="511" spans="5:10">
      <c r="E511"/>
      <c r="F511"/>
      <c r="G511"/>
      <c r="H511"/>
      <c r="J511" t="str">
        <f t="shared" si="7"/>
        <v/>
      </c>
    </row>
    <row r="512" spans="5:10">
      <c r="E512"/>
      <c r="F512"/>
      <c r="G512"/>
      <c r="H512"/>
      <c r="J512" t="str">
        <f t="shared" si="7"/>
        <v/>
      </c>
    </row>
    <row r="513" spans="5:10">
      <c r="E513"/>
      <c r="F513"/>
      <c r="G513"/>
      <c r="H513"/>
      <c r="J513" t="str">
        <f t="shared" si="7"/>
        <v/>
      </c>
    </row>
    <row r="514" spans="5:10">
      <c r="E514"/>
      <c r="F514"/>
      <c r="G514"/>
      <c r="H514"/>
      <c r="J514" t="str">
        <f t="shared" si="7"/>
        <v/>
      </c>
    </row>
    <row r="515" spans="5:10">
      <c r="E515"/>
      <c r="F515"/>
      <c r="G515"/>
      <c r="H515"/>
      <c r="J515" t="str">
        <f t="shared" si="7"/>
        <v/>
      </c>
    </row>
    <row r="516" spans="5:10">
      <c r="E516"/>
      <c r="F516"/>
      <c r="G516"/>
      <c r="H516"/>
      <c r="J516" t="str">
        <f t="shared" ref="J516:J563" si="8">A516&amp;C516</f>
        <v/>
      </c>
    </row>
    <row r="517" spans="5:10">
      <c r="E517"/>
      <c r="F517"/>
      <c r="G517"/>
      <c r="H517"/>
      <c r="J517" t="str">
        <f t="shared" si="8"/>
        <v/>
      </c>
    </row>
    <row r="518" spans="5:10">
      <c r="E518"/>
      <c r="F518"/>
      <c r="G518"/>
      <c r="H518"/>
      <c r="J518" t="str">
        <f t="shared" si="8"/>
        <v/>
      </c>
    </row>
    <row r="519" spans="5:10">
      <c r="E519"/>
      <c r="F519"/>
      <c r="G519"/>
      <c r="H519"/>
      <c r="J519" t="str">
        <f t="shared" si="8"/>
        <v/>
      </c>
    </row>
    <row r="520" spans="5:10">
      <c r="E520"/>
      <c r="F520"/>
      <c r="G520"/>
      <c r="H520"/>
      <c r="J520" t="str">
        <f t="shared" si="8"/>
        <v/>
      </c>
    </row>
    <row r="521" spans="5:10">
      <c r="E521"/>
      <c r="F521"/>
      <c r="G521"/>
      <c r="H521"/>
      <c r="J521" t="str">
        <f t="shared" si="8"/>
        <v/>
      </c>
    </row>
    <row r="522" spans="5:10">
      <c r="E522"/>
      <c r="F522"/>
      <c r="G522"/>
      <c r="H522"/>
      <c r="J522" t="str">
        <f t="shared" si="8"/>
        <v/>
      </c>
    </row>
    <row r="523" spans="5:10">
      <c r="E523"/>
      <c r="F523"/>
      <c r="G523"/>
      <c r="H523"/>
      <c r="J523" t="str">
        <f t="shared" si="8"/>
        <v/>
      </c>
    </row>
    <row r="524" spans="5:10">
      <c r="E524"/>
      <c r="F524"/>
      <c r="G524"/>
      <c r="H524"/>
      <c r="J524" t="str">
        <f t="shared" si="8"/>
        <v/>
      </c>
    </row>
    <row r="525" spans="5:10">
      <c r="E525"/>
      <c r="F525"/>
      <c r="G525"/>
      <c r="H525"/>
      <c r="J525" t="str">
        <f t="shared" si="8"/>
        <v/>
      </c>
    </row>
    <row r="526" spans="5:10">
      <c r="E526"/>
      <c r="F526"/>
      <c r="G526"/>
      <c r="H526"/>
      <c r="J526" t="str">
        <f t="shared" si="8"/>
        <v/>
      </c>
    </row>
    <row r="527" spans="5:10">
      <c r="E527"/>
      <c r="F527"/>
      <c r="G527"/>
      <c r="H527"/>
      <c r="J527" t="str">
        <f t="shared" si="8"/>
        <v/>
      </c>
    </row>
    <row r="528" spans="5:10">
      <c r="E528"/>
      <c r="F528"/>
      <c r="G528"/>
      <c r="H528"/>
      <c r="J528" t="str">
        <f t="shared" si="8"/>
        <v/>
      </c>
    </row>
    <row r="529" spans="5:10">
      <c r="E529"/>
      <c r="F529"/>
      <c r="G529"/>
      <c r="H529"/>
      <c r="J529" t="str">
        <f t="shared" si="8"/>
        <v/>
      </c>
    </row>
    <row r="530" spans="5:10">
      <c r="E530"/>
      <c r="F530"/>
      <c r="G530"/>
      <c r="H530"/>
      <c r="J530" t="str">
        <f t="shared" si="8"/>
        <v/>
      </c>
    </row>
    <row r="531" spans="5:10">
      <c r="E531"/>
      <c r="F531"/>
      <c r="G531"/>
      <c r="H531"/>
      <c r="J531" t="str">
        <f t="shared" si="8"/>
        <v/>
      </c>
    </row>
    <row r="532" spans="5:10">
      <c r="E532"/>
      <c r="F532"/>
      <c r="G532"/>
      <c r="H532"/>
      <c r="J532" t="str">
        <f t="shared" si="8"/>
        <v/>
      </c>
    </row>
    <row r="533" spans="5:10">
      <c r="E533"/>
      <c r="F533"/>
      <c r="G533"/>
      <c r="H533"/>
      <c r="J533" t="str">
        <f t="shared" si="8"/>
        <v/>
      </c>
    </row>
    <row r="534" spans="5:10">
      <c r="E534"/>
      <c r="F534"/>
      <c r="G534"/>
      <c r="H534"/>
      <c r="J534" t="str">
        <f t="shared" si="8"/>
        <v/>
      </c>
    </row>
    <row r="535" spans="5:10">
      <c r="E535"/>
      <c r="F535"/>
      <c r="G535"/>
      <c r="H535"/>
      <c r="J535" t="str">
        <f t="shared" si="8"/>
        <v/>
      </c>
    </row>
    <row r="536" spans="5:10">
      <c r="E536"/>
      <c r="F536"/>
      <c r="G536"/>
      <c r="H536"/>
      <c r="J536" t="str">
        <f t="shared" si="8"/>
        <v/>
      </c>
    </row>
    <row r="537" spans="5:10">
      <c r="E537"/>
      <c r="F537"/>
      <c r="G537"/>
      <c r="H537"/>
      <c r="J537" t="str">
        <f t="shared" si="8"/>
        <v/>
      </c>
    </row>
    <row r="538" spans="5:10">
      <c r="E538"/>
      <c r="F538"/>
      <c r="G538"/>
      <c r="H538"/>
      <c r="J538" t="str">
        <f t="shared" si="8"/>
        <v/>
      </c>
    </row>
    <row r="539" spans="5:10">
      <c r="E539"/>
      <c r="F539"/>
      <c r="G539"/>
      <c r="H539"/>
      <c r="J539" t="str">
        <f t="shared" si="8"/>
        <v/>
      </c>
    </row>
    <row r="540" spans="5:10">
      <c r="E540"/>
      <c r="F540"/>
      <c r="G540"/>
      <c r="H540"/>
      <c r="J540" t="str">
        <f t="shared" si="8"/>
        <v/>
      </c>
    </row>
    <row r="541" spans="5:10">
      <c r="E541"/>
      <c r="F541"/>
      <c r="G541"/>
      <c r="H541"/>
      <c r="J541" t="str">
        <f t="shared" si="8"/>
        <v/>
      </c>
    </row>
    <row r="542" spans="5:10">
      <c r="E542"/>
      <c r="F542"/>
      <c r="G542"/>
      <c r="H542"/>
      <c r="J542" t="str">
        <f t="shared" si="8"/>
        <v/>
      </c>
    </row>
    <row r="543" spans="5:10">
      <c r="E543"/>
      <c r="F543"/>
      <c r="G543"/>
      <c r="H543"/>
      <c r="J543" t="str">
        <f t="shared" si="8"/>
        <v/>
      </c>
    </row>
    <row r="544" spans="5:10">
      <c r="E544"/>
      <c r="F544"/>
      <c r="G544"/>
      <c r="H544"/>
      <c r="J544" t="str">
        <f t="shared" si="8"/>
        <v/>
      </c>
    </row>
    <row r="545" spans="5:10">
      <c r="E545"/>
      <c r="F545"/>
      <c r="G545"/>
      <c r="H545"/>
      <c r="J545" t="str">
        <f t="shared" si="8"/>
        <v/>
      </c>
    </row>
    <row r="546" spans="5:10">
      <c r="E546"/>
      <c r="F546"/>
      <c r="G546"/>
      <c r="H546"/>
      <c r="J546" t="str">
        <f t="shared" si="8"/>
        <v/>
      </c>
    </row>
    <row r="547" spans="5:10">
      <c r="E547"/>
      <c r="F547"/>
      <c r="G547"/>
      <c r="H547"/>
      <c r="J547" t="str">
        <f t="shared" si="8"/>
        <v/>
      </c>
    </row>
    <row r="548" spans="5:10">
      <c r="E548"/>
      <c r="F548"/>
      <c r="G548"/>
      <c r="H548"/>
      <c r="J548" t="str">
        <f t="shared" si="8"/>
        <v/>
      </c>
    </row>
    <row r="549" spans="5:10">
      <c r="E549"/>
      <c r="F549"/>
      <c r="G549"/>
      <c r="H549"/>
      <c r="J549" t="str">
        <f t="shared" si="8"/>
        <v/>
      </c>
    </row>
    <row r="550" spans="5:10">
      <c r="E550"/>
      <c r="F550"/>
      <c r="G550"/>
      <c r="H550"/>
      <c r="J550" t="str">
        <f t="shared" si="8"/>
        <v/>
      </c>
    </row>
    <row r="551" spans="5:10">
      <c r="E551"/>
      <c r="F551"/>
      <c r="G551"/>
      <c r="H551"/>
      <c r="J551" t="str">
        <f t="shared" si="8"/>
        <v/>
      </c>
    </row>
    <row r="552" spans="5:10">
      <c r="E552"/>
      <c r="F552"/>
      <c r="G552"/>
      <c r="H552"/>
      <c r="J552" t="str">
        <f t="shared" si="8"/>
        <v/>
      </c>
    </row>
    <row r="553" spans="5:10">
      <c r="E553"/>
      <c r="F553"/>
      <c r="G553"/>
      <c r="H553"/>
      <c r="J553" t="str">
        <f t="shared" si="8"/>
        <v/>
      </c>
    </row>
    <row r="554" spans="5:10">
      <c r="E554"/>
      <c r="F554"/>
      <c r="G554"/>
      <c r="H554"/>
      <c r="J554" t="str">
        <f t="shared" si="8"/>
        <v/>
      </c>
    </row>
    <row r="555" spans="5:10">
      <c r="E555"/>
      <c r="F555"/>
      <c r="G555"/>
      <c r="H555"/>
      <c r="J555" t="str">
        <f t="shared" si="8"/>
        <v/>
      </c>
    </row>
    <row r="556" spans="5:10">
      <c r="E556"/>
      <c r="F556"/>
      <c r="G556"/>
      <c r="H556"/>
      <c r="J556" t="str">
        <f t="shared" si="8"/>
        <v/>
      </c>
    </row>
    <row r="557" spans="5:10">
      <c r="E557"/>
      <c r="F557"/>
      <c r="G557"/>
      <c r="H557"/>
      <c r="J557" t="str">
        <f t="shared" si="8"/>
        <v/>
      </c>
    </row>
    <row r="558" spans="5:10">
      <c r="E558"/>
      <c r="F558"/>
      <c r="G558"/>
      <c r="H558"/>
      <c r="J558" t="str">
        <f t="shared" si="8"/>
        <v/>
      </c>
    </row>
    <row r="559" spans="5:10">
      <c r="E559"/>
      <c r="F559"/>
      <c r="G559"/>
      <c r="H559"/>
      <c r="J559" t="str">
        <f t="shared" si="8"/>
        <v/>
      </c>
    </row>
    <row r="560" spans="5:10">
      <c r="E560"/>
      <c r="F560"/>
      <c r="G560"/>
      <c r="H560"/>
      <c r="J560" t="str">
        <f t="shared" si="8"/>
        <v/>
      </c>
    </row>
    <row r="561" spans="5:10">
      <c r="E561"/>
      <c r="F561"/>
      <c r="G561"/>
      <c r="H561"/>
      <c r="J561" t="str">
        <f t="shared" si="8"/>
        <v/>
      </c>
    </row>
    <row r="562" spans="5:10">
      <c r="E562"/>
      <c r="F562"/>
      <c r="G562"/>
      <c r="H562"/>
      <c r="J562" t="str">
        <f t="shared" si="8"/>
        <v/>
      </c>
    </row>
    <row r="563" spans="5:10">
      <c r="E563"/>
      <c r="F563"/>
      <c r="G563"/>
      <c r="H563"/>
      <c r="J563" t="str">
        <f t="shared" si="8"/>
        <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A4C-6CE5-4266-8036-0FB46AAC1F0C}">
  <sheetPr>
    <tabColor theme="1"/>
  </sheetPr>
  <dimension ref="A1:G223"/>
  <sheetViews>
    <sheetView workbookViewId="0">
      <selection activeCell="C29" sqref="C29"/>
    </sheetView>
  </sheetViews>
  <sheetFormatPr defaultRowHeight="15"/>
  <cols>
    <col min="1" max="1" width="28.5703125" customWidth="1"/>
    <col min="2" max="2" width="13.5703125" customWidth="1"/>
    <col min="3" max="3" width="33.5703125" bestFit="1" customWidth="1"/>
    <col min="4" max="4" width="21.42578125" bestFit="1" customWidth="1"/>
  </cols>
  <sheetData>
    <row r="1" spans="1:7">
      <c r="A1" t="s">
        <v>2375</v>
      </c>
      <c r="B1" t="s">
        <v>3</v>
      </c>
      <c r="C1" t="s">
        <v>446</v>
      </c>
      <c r="D1" t="s">
        <v>2283</v>
      </c>
      <c r="E1" t="s">
        <v>8</v>
      </c>
    </row>
    <row r="2" spans="1:7">
      <c r="A2" t="s">
        <v>600</v>
      </c>
      <c r="B2" t="s">
        <v>207</v>
      </c>
      <c r="C2" t="s">
        <v>139</v>
      </c>
      <c r="D2">
        <v>6.6911582215503723E-2</v>
      </c>
      <c r="E2">
        <v>2022</v>
      </c>
      <c r="G2" t="s">
        <v>2617</v>
      </c>
    </row>
    <row r="3" spans="1:7">
      <c r="A3" t="s">
        <v>600</v>
      </c>
      <c r="B3" t="s">
        <v>207</v>
      </c>
      <c r="C3" t="s">
        <v>141</v>
      </c>
      <c r="D3">
        <v>3.8245672471363033E-2</v>
      </c>
      <c r="E3">
        <v>2022</v>
      </c>
      <c r="G3" t="s">
        <v>2618</v>
      </c>
    </row>
    <row r="4" spans="1:7">
      <c r="A4" t="s">
        <v>600</v>
      </c>
      <c r="B4" t="s">
        <v>207</v>
      </c>
      <c r="C4" t="s">
        <v>843</v>
      </c>
      <c r="D4">
        <v>1.0102461285457817E-2</v>
      </c>
      <c r="E4">
        <v>2022</v>
      </c>
      <c r="G4" t="s">
        <v>2619</v>
      </c>
    </row>
    <row r="5" spans="1:7">
      <c r="A5" t="s">
        <v>600</v>
      </c>
      <c r="B5" t="s">
        <v>207</v>
      </c>
      <c r="C5" t="s">
        <v>755</v>
      </c>
      <c r="D5" t="s">
        <v>286</v>
      </c>
      <c r="E5">
        <v>2022</v>
      </c>
    </row>
    <row r="6" spans="1:7">
      <c r="A6" t="s">
        <v>600</v>
      </c>
      <c r="B6" t="s">
        <v>207</v>
      </c>
      <c r="C6" t="s">
        <v>680</v>
      </c>
      <c r="D6">
        <v>5.8450019372090012E-3</v>
      </c>
      <c r="E6">
        <v>2022</v>
      </c>
    </row>
    <row r="7" spans="1:7">
      <c r="A7" t="s">
        <v>600</v>
      </c>
      <c r="B7" t="s">
        <v>207</v>
      </c>
      <c r="C7" t="s">
        <v>1997</v>
      </c>
      <c r="D7">
        <v>1.2759189262170642E-2</v>
      </c>
      <c r="E7">
        <v>2022</v>
      </c>
    </row>
    <row r="8" spans="1:7">
      <c r="A8" t="s">
        <v>600</v>
      </c>
      <c r="B8" t="s">
        <v>207</v>
      </c>
      <c r="C8" t="s">
        <v>137</v>
      </c>
      <c r="D8">
        <v>5.8170344769692829E-2</v>
      </c>
      <c r="E8">
        <v>2022</v>
      </c>
    </row>
    <row r="9" spans="1:7">
      <c r="A9" t="s">
        <v>600</v>
      </c>
      <c r="B9" t="s">
        <v>207</v>
      </c>
      <c r="C9" t="s">
        <v>239</v>
      </c>
      <c r="D9">
        <v>2.3952073675830597E-2</v>
      </c>
      <c r="E9">
        <v>2022</v>
      </c>
    </row>
    <row r="10" spans="1:7">
      <c r="A10" t="s">
        <v>600</v>
      </c>
      <c r="B10" t="s">
        <v>207</v>
      </c>
      <c r="C10" t="s">
        <v>447</v>
      </c>
      <c r="D10">
        <v>1.4829525858139779E-3</v>
      </c>
      <c r="E10">
        <v>2022</v>
      </c>
    </row>
    <row r="11" spans="1:7">
      <c r="A11" t="s">
        <v>600</v>
      </c>
      <c r="B11" t="s">
        <v>207</v>
      </c>
      <c r="C11" t="s">
        <v>873</v>
      </c>
      <c r="D11">
        <v>1.8664259035236497E-4</v>
      </c>
      <c r="E11">
        <v>2022</v>
      </c>
    </row>
    <row r="12" spans="1:7">
      <c r="A12" t="s">
        <v>600</v>
      </c>
      <c r="B12" t="s">
        <v>207</v>
      </c>
      <c r="C12" t="s">
        <v>249</v>
      </c>
      <c r="D12" t="s">
        <v>286</v>
      </c>
      <c r="E12">
        <v>2022</v>
      </c>
    </row>
    <row r="13" spans="1:7">
      <c r="A13" t="s">
        <v>600</v>
      </c>
      <c r="B13" t="s">
        <v>207</v>
      </c>
      <c r="C13" t="s">
        <v>872</v>
      </c>
      <c r="D13">
        <v>4.1045668027268611E-3</v>
      </c>
      <c r="E13">
        <v>2022</v>
      </c>
    </row>
    <row r="14" spans="1:7">
      <c r="A14" t="s">
        <v>600</v>
      </c>
      <c r="B14" t="s">
        <v>445</v>
      </c>
      <c r="C14" t="s">
        <v>843</v>
      </c>
      <c r="D14">
        <v>7.293940131004149E-3</v>
      </c>
      <c r="E14">
        <v>2022</v>
      </c>
    </row>
    <row r="15" spans="1:7">
      <c r="A15" t="s">
        <v>600</v>
      </c>
      <c r="B15" t="s">
        <v>445</v>
      </c>
      <c r="C15" t="s">
        <v>2093</v>
      </c>
      <c r="D15">
        <v>7.1968699011632181E-4</v>
      </c>
      <c r="E15">
        <v>2022</v>
      </c>
    </row>
    <row r="16" spans="1:7">
      <c r="A16" t="s">
        <v>600</v>
      </c>
      <c r="B16" t="s">
        <v>445</v>
      </c>
      <c r="C16" t="s">
        <v>132</v>
      </c>
      <c r="D16">
        <v>2.9867999667232518E-3</v>
      </c>
      <c r="E16">
        <v>2022</v>
      </c>
    </row>
    <row r="17" spans="1:5">
      <c r="A17" t="s">
        <v>600</v>
      </c>
      <c r="B17" t="s">
        <v>445</v>
      </c>
      <c r="C17" t="s">
        <v>133</v>
      </c>
      <c r="D17">
        <v>2.8714625236081457E-2</v>
      </c>
      <c r="E17">
        <v>2022</v>
      </c>
    </row>
    <row r="18" spans="1:5">
      <c r="A18" t="s">
        <v>600</v>
      </c>
      <c r="B18" t="s">
        <v>29</v>
      </c>
      <c r="C18" t="s">
        <v>785</v>
      </c>
      <c r="D18">
        <v>6.7478013050331475E-3</v>
      </c>
      <c r="E18">
        <v>2022</v>
      </c>
    </row>
    <row r="19" spans="1:5">
      <c r="A19" t="s">
        <v>600</v>
      </c>
      <c r="B19" t="s">
        <v>29</v>
      </c>
      <c r="C19" t="s">
        <v>133</v>
      </c>
      <c r="D19">
        <v>6.7478013050331475E-3</v>
      </c>
      <c r="E19">
        <v>2022</v>
      </c>
    </row>
    <row r="20" spans="1:5">
      <c r="A20" t="s">
        <v>600</v>
      </c>
      <c r="B20" t="s">
        <v>207</v>
      </c>
      <c r="C20" t="s">
        <v>448</v>
      </c>
      <c r="D20">
        <v>7.187164336257662E-2</v>
      </c>
      <c r="E20">
        <v>2022</v>
      </c>
    </row>
    <row r="21" spans="1:5">
      <c r="A21" t="s">
        <v>600</v>
      </c>
      <c r="B21" t="s">
        <v>207</v>
      </c>
      <c r="C21" t="s">
        <v>453</v>
      </c>
      <c r="D21">
        <v>4.8226430564393442E-3</v>
      </c>
      <c r="E21">
        <v>2022</v>
      </c>
    </row>
    <row r="22" spans="1:5">
      <c r="A22" t="s">
        <v>600</v>
      </c>
      <c r="B22" t="s">
        <v>445</v>
      </c>
      <c r="C22" t="s">
        <v>448</v>
      </c>
      <c r="D22">
        <v>6.4653652763184723E-3</v>
      </c>
      <c r="E22">
        <v>2022</v>
      </c>
    </row>
    <row r="23" spans="1:5">
      <c r="A23" t="s">
        <v>600</v>
      </c>
      <c r="B23" t="s">
        <v>445</v>
      </c>
      <c r="C23" t="s">
        <v>453</v>
      </c>
      <c r="D23">
        <v>0</v>
      </c>
      <c r="E23">
        <v>2022</v>
      </c>
    </row>
    <row r="24" spans="1:5">
      <c r="A24" t="s">
        <v>600</v>
      </c>
      <c r="B24" t="s">
        <v>207</v>
      </c>
      <c r="C24" t="s">
        <v>139</v>
      </c>
      <c r="D24">
        <v>7.6165840747222033E-2</v>
      </c>
      <c r="E24">
        <v>2023</v>
      </c>
    </row>
    <row r="25" spans="1:5">
      <c r="A25" t="s">
        <v>600</v>
      </c>
      <c r="B25" t="s">
        <v>207</v>
      </c>
      <c r="C25" t="s">
        <v>141</v>
      </c>
      <c r="D25">
        <v>4.7252889082903898E-2</v>
      </c>
      <c r="E25">
        <v>2023</v>
      </c>
    </row>
    <row r="26" spans="1:5">
      <c r="A26" t="s">
        <v>600</v>
      </c>
      <c r="B26" t="s">
        <v>207</v>
      </c>
      <c r="C26" t="s">
        <v>843</v>
      </c>
      <c r="D26">
        <v>1.11127074140036E-2</v>
      </c>
      <c r="E26">
        <v>2023</v>
      </c>
    </row>
    <row r="27" spans="1:5">
      <c r="A27" t="s">
        <v>600</v>
      </c>
      <c r="B27" t="s">
        <v>207</v>
      </c>
      <c r="C27" t="s">
        <v>755</v>
      </c>
      <c r="D27" t="s">
        <v>286</v>
      </c>
      <c r="E27">
        <v>2023</v>
      </c>
    </row>
    <row r="28" spans="1:5">
      <c r="A28" t="s">
        <v>600</v>
      </c>
      <c r="B28" t="s">
        <v>207</v>
      </c>
      <c r="C28" t="s">
        <v>680</v>
      </c>
      <c r="D28">
        <v>6.2936327016422221E-3</v>
      </c>
      <c r="E28">
        <v>2023</v>
      </c>
    </row>
    <row r="29" spans="1:5">
      <c r="A29" t="s">
        <v>600</v>
      </c>
      <c r="B29" t="s">
        <v>207</v>
      </c>
      <c r="C29" t="s">
        <v>1997</v>
      </c>
      <c r="D29">
        <v>1.6655628660203214E-2</v>
      </c>
      <c r="E29">
        <v>2023</v>
      </c>
    </row>
    <row r="30" spans="1:5">
      <c r="A30" t="s">
        <v>600</v>
      </c>
      <c r="B30" t="s">
        <v>207</v>
      </c>
      <c r="C30" t="s">
        <v>137</v>
      </c>
      <c r="D30">
        <v>5.9464637114461587E-2</v>
      </c>
      <c r="E30">
        <v>2023</v>
      </c>
    </row>
    <row r="31" spans="1:5">
      <c r="A31" t="s">
        <v>600</v>
      </c>
      <c r="B31" t="s">
        <v>207</v>
      </c>
      <c r="C31" t="s">
        <v>239</v>
      </c>
      <c r="D31">
        <v>2.7266816206706838E-2</v>
      </c>
      <c r="E31">
        <v>2023</v>
      </c>
    </row>
    <row r="32" spans="1:5">
      <c r="A32" t="s">
        <v>600</v>
      </c>
      <c r="B32" t="s">
        <v>207</v>
      </c>
      <c r="C32" t="s">
        <v>447</v>
      </c>
      <c r="D32">
        <v>1.6482611041467878E-3</v>
      </c>
      <c r="E32">
        <v>2023</v>
      </c>
    </row>
    <row r="33" spans="1:5">
      <c r="A33" t="s">
        <v>600</v>
      </c>
      <c r="B33" t="s">
        <v>207</v>
      </c>
      <c r="C33" t="s">
        <v>873</v>
      </c>
      <c r="D33">
        <v>1.8000619060880144E-2</v>
      </c>
      <c r="E33">
        <v>2023</v>
      </c>
    </row>
    <row r="34" spans="1:5">
      <c r="A34" t="s">
        <v>600</v>
      </c>
      <c r="B34" t="s">
        <v>207</v>
      </c>
      <c r="C34" t="s">
        <v>249</v>
      </c>
      <c r="D34" t="s">
        <v>286</v>
      </c>
      <c r="E34">
        <v>2023</v>
      </c>
    </row>
    <row r="35" spans="1:5">
      <c r="A35" t="s">
        <v>600</v>
      </c>
      <c r="B35" t="s">
        <v>207</v>
      </c>
      <c r="C35" t="s">
        <v>872</v>
      </c>
      <c r="D35">
        <v>5.6131832199378413E-3</v>
      </c>
      <c r="E35">
        <v>2023</v>
      </c>
    </row>
    <row r="36" spans="1:5">
      <c r="A36" t="s">
        <v>600</v>
      </c>
      <c r="B36" t="s">
        <v>445</v>
      </c>
      <c r="C36" t="s">
        <v>843</v>
      </c>
      <c r="D36">
        <v>7.444110044304242E-3</v>
      </c>
      <c r="E36">
        <v>2023</v>
      </c>
    </row>
    <row r="37" spans="1:5">
      <c r="A37" t="s">
        <v>600</v>
      </c>
      <c r="B37" t="s">
        <v>445</v>
      </c>
      <c r="C37" t="s">
        <v>2093</v>
      </c>
      <c r="D37">
        <v>3.3020042195947641E-3</v>
      </c>
      <c r="E37">
        <v>2023</v>
      </c>
    </row>
    <row r="38" spans="1:5">
      <c r="A38" t="s">
        <v>600</v>
      </c>
      <c r="B38" t="s">
        <v>445</v>
      </c>
      <c r="C38" t="s">
        <v>132</v>
      </c>
      <c r="D38">
        <v>4.6278380527584265E-3</v>
      </c>
      <c r="E38">
        <v>2023</v>
      </c>
    </row>
    <row r="39" spans="1:5">
      <c r="A39" t="s">
        <v>600</v>
      </c>
      <c r="B39" t="s">
        <v>445</v>
      </c>
      <c r="C39" t="s">
        <v>133</v>
      </c>
      <c r="D39">
        <v>2.7881906340986386E-2</v>
      </c>
      <c r="E39">
        <v>2023</v>
      </c>
    </row>
    <row r="40" spans="1:5">
      <c r="A40" t="s">
        <v>600</v>
      </c>
      <c r="B40" t="s">
        <v>29</v>
      </c>
      <c r="C40" t="s">
        <v>785</v>
      </c>
      <c r="D40">
        <v>6.5527677310745214E-3</v>
      </c>
      <c r="E40">
        <v>2023</v>
      </c>
    </row>
    <row r="41" spans="1:5">
      <c r="A41" t="s">
        <v>600</v>
      </c>
      <c r="B41" t="s">
        <v>29</v>
      </c>
      <c r="C41" t="s">
        <v>133</v>
      </c>
      <c r="D41">
        <v>6.5527677310745214E-3</v>
      </c>
      <c r="E41">
        <v>2023</v>
      </c>
    </row>
    <row r="42" spans="1:5">
      <c r="A42" t="s">
        <v>600</v>
      </c>
      <c r="B42" t="s">
        <v>207</v>
      </c>
      <c r="C42" t="s">
        <v>448</v>
      </c>
      <c r="D42">
        <v>7.9587764672661432E-2</v>
      </c>
      <c r="E42">
        <v>2023</v>
      </c>
    </row>
    <row r="43" spans="1:5">
      <c r="A43" t="s">
        <v>600</v>
      </c>
      <c r="B43" t="s">
        <v>207</v>
      </c>
      <c r="C43" t="s">
        <v>453</v>
      </c>
      <c r="D43">
        <v>4.8913322215216265E-3</v>
      </c>
      <c r="E43">
        <v>2023</v>
      </c>
    </row>
    <row r="44" spans="1:5">
      <c r="A44" t="s">
        <v>600</v>
      </c>
      <c r="B44" t="s">
        <v>445</v>
      </c>
      <c r="C44" t="s">
        <v>448</v>
      </c>
      <c r="D44">
        <v>1.8116529866577379E-2</v>
      </c>
      <c r="E44">
        <v>2023</v>
      </c>
    </row>
    <row r="45" spans="1:5">
      <c r="A45" t="s">
        <v>600</v>
      </c>
      <c r="B45" t="s">
        <v>445</v>
      </c>
      <c r="C45" t="s">
        <v>453</v>
      </c>
      <c r="D45">
        <v>0</v>
      </c>
      <c r="E45">
        <v>2023</v>
      </c>
    </row>
    <row r="46" spans="1:5">
      <c r="A46" t="s">
        <v>600</v>
      </c>
      <c r="B46" t="s">
        <v>207</v>
      </c>
      <c r="C46" t="s">
        <v>139</v>
      </c>
      <c r="D46">
        <v>9.7657321786906726E-2</v>
      </c>
      <c r="E46">
        <v>2024</v>
      </c>
    </row>
    <row r="47" spans="1:5">
      <c r="A47" t="s">
        <v>600</v>
      </c>
      <c r="B47" t="s">
        <v>207</v>
      </c>
      <c r="C47" t="s">
        <v>141</v>
      </c>
      <c r="D47">
        <v>5.8924866225142827E-2</v>
      </c>
      <c r="E47">
        <v>2024</v>
      </c>
    </row>
    <row r="48" spans="1:5">
      <c r="A48" t="s">
        <v>600</v>
      </c>
      <c r="B48" t="s">
        <v>207</v>
      </c>
      <c r="C48" t="s">
        <v>843</v>
      </c>
      <c r="D48">
        <v>1.2223978155403959E-2</v>
      </c>
      <c r="E48">
        <v>2024</v>
      </c>
    </row>
    <row r="49" spans="1:5">
      <c r="A49" t="s">
        <v>600</v>
      </c>
      <c r="B49" t="s">
        <v>207</v>
      </c>
      <c r="C49" t="s">
        <v>755</v>
      </c>
      <c r="D49" t="s">
        <v>286</v>
      </c>
      <c r="E49">
        <v>2024</v>
      </c>
    </row>
    <row r="50" spans="1:5">
      <c r="A50" t="s">
        <v>600</v>
      </c>
      <c r="B50" t="s">
        <v>207</v>
      </c>
      <c r="C50" t="s">
        <v>680</v>
      </c>
      <c r="D50">
        <v>1.2102504229670874E-2</v>
      </c>
      <c r="E50">
        <v>2024</v>
      </c>
    </row>
    <row r="51" spans="1:5">
      <c r="A51" t="s">
        <v>600</v>
      </c>
      <c r="B51" t="s">
        <v>207</v>
      </c>
      <c r="C51" t="s">
        <v>1997</v>
      </c>
      <c r="D51">
        <v>1.6649003938636844E-2</v>
      </c>
      <c r="E51">
        <v>2024</v>
      </c>
    </row>
    <row r="52" spans="1:5">
      <c r="A52" t="s">
        <v>600</v>
      </c>
      <c r="B52" t="s">
        <v>207</v>
      </c>
      <c r="C52" t="s">
        <v>137</v>
      </c>
      <c r="D52">
        <v>6.02332854293905E-2</v>
      </c>
      <c r="E52">
        <v>2024</v>
      </c>
    </row>
    <row r="53" spans="1:5">
      <c r="A53" t="s">
        <v>600</v>
      </c>
      <c r="B53" t="s">
        <v>207</v>
      </c>
      <c r="C53" t="s">
        <v>239</v>
      </c>
      <c r="D53">
        <v>3.150162274156032E-2</v>
      </c>
      <c r="E53">
        <v>2024</v>
      </c>
    </row>
    <row r="54" spans="1:5">
      <c r="A54" t="s">
        <v>600</v>
      </c>
      <c r="B54" t="s">
        <v>207</v>
      </c>
      <c r="C54" t="s">
        <v>447</v>
      </c>
      <c r="D54">
        <v>2.4016403129681497E-3</v>
      </c>
      <c r="E54">
        <v>2024</v>
      </c>
    </row>
    <row r="55" spans="1:5">
      <c r="A55" t="s">
        <v>600</v>
      </c>
      <c r="B55" t="s">
        <v>207</v>
      </c>
      <c r="C55" t="s">
        <v>873</v>
      </c>
      <c r="D55">
        <v>5.9116539680694302E-2</v>
      </c>
      <c r="E55">
        <v>2024</v>
      </c>
    </row>
    <row r="56" spans="1:5">
      <c r="A56" t="s">
        <v>600</v>
      </c>
      <c r="B56" t="s">
        <v>207</v>
      </c>
      <c r="C56" t="s">
        <v>249</v>
      </c>
      <c r="D56" t="s">
        <v>286</v>
      </c>
      <c r="E56">
        <v>2024</v>
      </c>
    </row>
    <row r="57" spans="1:5">
      <c r="A57" t="s">
        <v>600</v>
      </c>
      <c r="B57" t="s">
        <v>207</v>
      </c>
      <c r="C57" t="s">
        <v>872</v>
      </c>
      <c r="D57">
        <v>1.0134560111647832E-2</v>
      </c>
      <c r="E57">
        <v>2024</v>
      </c>
    </row>
    <row r="58" spans="1:5">
      <c r="A58" t="s">
        <v>600</v>
      </c>
      <c r="B58" t="s">
        <v>445</v>
      </c>
      <c r="C58" t="s">
        <v>843</v>
      </c>
      <c r="D58">
        <v>7.6009751221594694E-3</v>
      </c>
      <c r="E58">
        <v>2024</v>
      </c>
    </row>
    <row r="59" spans="1:5">
      <c r="A59" t="s">
        <v>600</v>
      </c>
      <c r="B59" t="s">
        <v>445</v>
      </c>
      <c r="C59" t="s">
        <v>2093</v>
      </c>
      <c r="D59">
        <v>1.1770410839436507E-2</v>
      </c>
      <c r="E59">
        <v>2024</v>
      </c>
    </row>
    <row r="60" spans="1:5">
      <c r="A60" t="s">
        <v>600</v>
      </c>
      <c r="B60" t="s">
        <v>445</v>
      </c>
      <c r="C60" t="s">
        <v>132</v>
      </c>
      <c r="D60">
        <v>4.9759370407052531E-3</v>
      </c>
      <c r="E60">
        <v>2024</v>
      </c>
    </row>
    <row r="61" spans="1:5">
      <c r="A61" t="s">
        <v>600</v>
      </c>
      <c r="B61" t="s">
        <v>445</v>
      </c>
      <c r="C61" t="s">
        <v>133</v>
      </c>
      <c r="D61">
        <v>2.6997943206193545E-2</v>
      </c>
      <c r="E61">
        <v>2024</v>
      </c>
    </row>
    <row r="62" spans="1:5">
      <c r="A62" t="s">
        <v>600</v>
      </c>
      <c r="B62" t="s">
        <v>29</v>
      </c>
      <c r="C62" t="s">
        <v>785</v>
      </c>
      <c r="D62">
        <v>6.3457287797412188E-3</v>
      </c>
      <c r="E62">
        <v>2024</v>
      </c>
    </row>
    <row r="63" spans="1:5">
      <c r="A63" t="s">
        <v>600</v>
      </c>
      <c r="B63" t="s">
        <v>29</v>
      </c>
      <c r="C63" t="s">
        <v>133</v>
      </c>
      <c r="D63">
        <v>6.3457287797412188E-3</v>
      </c>
      <c r="E63">
        <v>2024</v>
      </c>
    </row>
    <row r="64" spans="1:5">
      <c r="A64" t="s">
        <v>600</v>
      </c>
      <c r="B64" t="s">
        <v>207</v>
      </c>
      <c r="C64" t="s">
        <v>448</v>
      </c>
      <c r="D64">
        <v>0.13130335362069179</v>
      </c>
      <c r="E64">
        <v>2024</v>
      </c>
    </row>
    <row r="65" spans="1:5">
      <c r="A65" t="s">
        <v>600</v>
      </c>
      <c r="B65" t="s">
        <v>207</v>
      </c>
      <c r="C65" t="s">
        <v>453</v>
      </c>
      <c r="D65">
        <v>4.960021386603908E-3</v>
      </c>
      <c r="E65">
        <v>2024</v>
      </c>
    </row>
    <row r="66" spans="1:5">
      <c r="A66" t="s">
        <v>600</v>
      </c>
      <c r="B66" t="s">
        <v>445</v>
      </c>
      <c r="C66" t="s">
        <v>448</v>
      </c>
      <c r="D66">
        <v>6.2294965382306833E-2</v>
      </c>
      <c r="E66">
        <v>2024</v>
      </c>
    </row>
    <row r="67" spans="1:5">
      <c r="A67" t="s">
        <v>600</v>
      </c>
      <c r="B67" t="s">
        <v>445</v>
      </c>
      <c r="C67" t="s">
        <v>453</v>
      </c>
      <c r="D67">
        <v>0</v>
      </c>
      <c r="E67">
        <v>2024</v>
      </c>
    </row>
    <row r="68" spans="1:5">
      <c r="A68" t="s">
        <v>600</v>
      </c>
      <c r="B68" t="s">
        <v>207</v>
      </c>
      <c r="C68" t="s">
        <v>139</v>
      </c>
      <c r="D68">
        <v>0.14561499982964535</v>
      </c>
      <c r="E68">
        <v>2025</v>
      </c>
    </row>
    <row r="69" spans="1:5">
      <c r="A69" t="s">
        <v>600</v>
      </c>
      <c r="B69" t="s">
        <v>207</v>
      </c>
      <c r="C69" t="s">
        <v>141</v>
      </c>
      <c r="D69">
        <v>9.0929015434295019E-2</v>
      </c>
      <c r="E69">
        <v>2025</v>
      </c>
    </row>
    <row r="70" spans="1:5">
      <c r="A70" t="s">
        <v>600</v>
      </c>
      <c r="B70" t="s">
        <v>207</v>
      </c>
      <c r="C70" t="s">
        <v>843</v>
      </c>
      <c r="D70">
        <v>1.2223978155403959E-2</v>
      </c>
      <c r="E70">
        <v>2025</v>
      </c>
    </row>
    <row r="71" spans="1:5">
      <c r="A71" t="s">
        <v>600</v>
      </c>
      <c r="B71" t="s">
        <v>207</v>
      </c>
      <c r="C71" t="s">
        <v>755</v>
      </c>
      <c r="D71" t="s">
        <v>286</v>
      </c>
      <c r="E71">
        <v>2025</v>
      </c>
    </row>
    <row r="72" spans="1:5">
      <c r="A72" t="s">
        <v>600</v>
      </c>
      <c r="B72" t="s">
        <v>207</v>
      </c>
      <c r="C72" t="s">
        <v>680</v>
      </c>
      <c r="D72">
        <v>2.0268629831071878E-2</v>
      </c>
      <c r="E72">
        <v>2025</v>
      </c>
    </row>
    <row r="73" spans="1:5">
      <c r="A73" t="s">
        <v>600</v>
      </c>
      <c r="B73" t="s">
        <v>207</v>
      </c>
      <c r="C73" t="s">
        <v>1997</v>
      </c>
      <c r="D73">
        <v>2.9329640300937095E-2</v>
      </c>
      <c r="E73">
        <v>2025</v>
      </c>
    </row>
    <row r="74" spans="1:5">
      <c r="A74" t="s">
        <v>600</v>
      </c>
      <c r="B74" t="s">
        <v>207</v>
      </c>
      <c r="C74" t="s">
        <v>137</v>
      </c>
      <c r="D74">
        <v>6.1724788192085066E-2</v>
      </c>
      <c r="E74">
        <v>2025</v>
      </c>
    </row>
    <row r="75" spans="1:5">
      <c r="A75" t="s">
        <v>600</v>
      </c>
      <c r="B75" t="s">
        <v>207</v>
      </c>
      <c r="C75" t="s">
        <v>239</v>
      </c>
      <c r="D75">
        <v>3.9526390886356282E-2</v>
      </c>
      <c r="E75">
        <v>2025</v>
      </c>
    </row>
    <row r="76" spans="1:5">
      <c r="A76" t="s">
        <v>600</v>
      </c>
      <c r="B76" t="s">
        <v>207</v>
      </c>
      <c r="C76" t="s">
        <v>447</v>
      </c>
      <c r="D76">
        <v>3.3808504334640857E-3</v>
      </c>
      <c r="E76">
        <v>2025</v>
      </c>
    </row>
    <row r="77" spans="1:5">
      <c r="A77" t="s">
        <v>600</v>
      </c>
      <c r="B77" t="s">
        <v>207</v>
      </c>
      <c r="C77" t="s">
        <v>873</v>
      </c>
      <c r="D77">
        <v>6.2507166074912704E-2</v>
      </c>
      <c r="E77">
        <v>2025</v>
      </c>
    </row>
    <row r="78" spans="1:5">
      <c r="A78" t="s">
        <v>600</v>
      </c>
      <c r="B78" t="s">
        <v>207</v>
      </c>
      <c r="C78" t="s">
        <v>249</v>
      </c>
      <c r="D78">
        <v>6.2507166074912704E-2</v>
      </c>
      <c r="E78">
        <v>2025</v>
      </c>
    </row>
    <row r="79" spans="1:5">
      <c r="A79" t="s">
        <v>600</v>
      </c>
      <c r="B79" t="s">
        <v>207</v>
      </c>
      <c r="C79" t="s">
        <v>872</v>
      </c>
      <c r="D79">
        <v>1.7191677443393109E-2</v>
      </c>
      <c r="E79">
        <v>2025</v>
      </c>
    </row>
    <row r="80" spans="1:5">
      <c r="A80" t="s">
        <v>600</v>
      </c>
      <c r="B80" t="s">
        <v>445</v>
      </c>
      <c r="C80" t="s">
        <v>843</v>
      </c>
      <c r="D80">
        <v>7.6980667488539085E-3</v>
      </c>
      <c r="E80">
        <v>2025</v>
      </c>
    </row>
    <row r="81" spans="1:5">
      <c r="A81" t="s">
        <v>600</v>
      </c>
      <c r="B81" t="s">
        <v>445</v>
      </c>
      <c r="C81" t="s">
        <v>2093</v>
      </c>
      <c r="D81">
        <v>1.8185163510148802E-2</v>
      </c>
      <c r="E81">
        <v>2025</v>
      </c>
    </row>
    <row r="82" spans="1:5">
      <c r="A82" t="s">
        <v>600</v>
      </c>
      <c r="B82" t="s">
        <v>445</v>
      </c>
      <c r="C82" t="s">
        <v>132</v>
      </c>
      <c r="D82">
        <v>5.5642046046500745E-3</v>
      </c>
      <c r="E82">
        <v>2025</v>
      </c>
    </row>
    <row r="83" spans="1:5">
      <c r="A83" t="s">
        <v>600</v>
      </c>
      <c r="B83" t="s">
        <v>445</v>
      </c>
      <c r="C83" t="s">
        <v>133</v>
      </c>
      <c r="D83">
        <v>2.625215429083548E-2</v>
      </c>
      <c r="E83">
        <v>2025</v>
      </c>
    </row>
    <row r="84" spans="1:5">
      <c r="A84" t="s">
        <v>600</v>
      </c>
      <c r="B84" t="s">
        <v>29</v>
      </c>
      <c r="C84" t="s">
        <v>785</v>
      </c>
      <c r="D84">
        <v>6.1470424085336142E-3</v>
      </c>
      <c r="E84">
        <v>2025</v>
      </c>
    </row>
    <row r="85" spans="1:5">
      <c r="A85" t="s">
        <v>600</v>
      </c>
      <c r="B85" t="s">
        <v>29</v>
      </c>
      <c r="C85" t="s">
        <v>133</v>
      </c>
      <c r="D85">
        <v>6.1470424085336142E-3</v>
      </c>
      <c r="E85">
        <v>2025</v>
      </c>
    </row>
    <row r="86" spans="1:5">
      <c r="A86" t="s">
        <v>600</v>
      </c>
      <c r="B86" t="s">
        <v>207</v>
      </c>
      <c r="C86" t="s">
        <v>448</v>
      </c>
      <c r="D86">
        <v>0.16748766517779826</v>
      </c>
      <c r="E86">
        <v>2025</v>
      </c>
    </row>
    <row r="87" spans="1:5">
      <c r="A87" t="s">
        <v>600</v>
      </c>
      <c r="B87" t="s">
        <v>207</v>
      </c>
      <c r="C87" t="s">
        <v>453</v>
      </c>
      <c r="D87">
        <v>9.9273051335933768E-3</v>
      </c>
      <c r="E87">
        <v>2025</v>
      </c>
    </row>
    <row r="88" spans="1:5">
      <c r="A88" t="s">
        <v>600</v>
      </c>
      <c r="B88" t="s">
        <v>445</v>
      </c>
      <c r="C88" t="s">
        <v>448</v>
      </c>
      <c r="D88">
        <v>0.12359739016685239</v>
      </c>
      <c r="E88">
        <v>2025</v>
      </c>
    </row>
    <row r="89" spans="1:5">
      <c r="A89" t="s">
        <v>600</v>
      </c>
      <c r="B89" t="s">
        <v>445</v>
      </c>
      <c r="C89" t="s">
        <v>453</v>
      </c>
      <c r="D89">
        <v>0</v>
      </c>
      <c r="E89">
        <v>2025</v>
      </c>
    </row>
    <row r="90" spans="1:5">
      <c r="A90" t="s">
        <v>601</v>
      </c>
      <c r="B90" t="s">
        <v>207</v>
      </c>
      <c r="C90" t="s">
        <v>139</v>
      </c>
      <c r="D90">
        <v>0.37260567351378543</v>
      </c>
      <c r="E90">
        <v>2022</v>
      </c>
    </row>
    <row r="91" spans="1:5">
      <c r="A91" t="s">
        <v>601</v>
      </c>
      <c r="B91" t="s">
        <v>207</v>
      </c>
      <c r="C91" t="s">
        <v>141</v>
      </c>
      <c r="D91">
        <v>0.20952198555191934</v>
      </c>
      <c r="E91">
        <v>2022</v>
      </c>
    </row>
    <row r="92" spans="1:5">
      <c r="A92" t="s">
        <v>601</v>
      </c>
      <c r="B92" t="s">
        <v>207</v>
      </c>
      <c r="C92" t="s">
        <v>843</v>
      </c>
      <c r="D92">
        <v>5.5344503331074005E-2</v>
      </c>
      <c r="E92">
        <v>2022</v>
      </c>
    </row>
    <row r="93" spans="1:5">
      <c r="A93" t="s">
        <v>601</v>
      </c>
      <c r="B93" t="s">
        <v>207</v>
      </c>
      <c r="C93" t="s">
        <v>755</v>
      </c>
      <c r="D93" t="s">
        <v>286</v>
      </c>
      <c r="E93">
        <v>2022</v>
      </c>
    </row>
    <row r="94" spans="1:5">
      <c r="A94" t="s">
        <v>601</v>
      </c>
      <c r="B94" t="s">
        <v>207</v>
      </c>
      <c r="C94" t="s">
        <v>680</v>
      </c>
      <c r="D94">
        <v>3.2020783850926486E-2</v>
      </c>
      <c r="E94">
        <v>2022</v>
      </c>
    </row>
    <row r="95" spans="1:5">
      <c r="A95" t="s">
        <v>601</v>
      </c>
      <c r="B95" t="s">
        <v>207</v>
      </c>
      <c r="C95" t="s">
        <v>1997</v>
      </c>
      <c r="D95">
        <v>6.9898906085241783E-2</v>
      </c>
      <c r="E95">
        <v>2022</v>
      </c>
    </row>
    <row r="96" spans="1:5">
      <c r="A96" t="s">
        <v>601</v>
      </c>
      <c r="B96" t="s">
        <v>207</v>
      </c>
      <c r="C96" t="s">
        <v>137</v>
      </c>
      <c r="D96">
        <v>0.31867569188413813</v>
      </c>
      <c r="E96">
        <v>2022</v>
      </c>
    </row>
    <row r="97" spans="1:5">
      <c r="A97" t="s">
        <v>601</v>
      </c>
      <c r="B97" t="s">
        <v>207</v>
      </c>
      <c r="C97" t="s">
        <v>239</v>
      </c>
      <c r="D97">
        <v>0.13121709491194186</v>
      </c>
      <c r="E97">
        <v>2022</v>
      </c>
    </row>
    <row r="98" spans="1:5">
      <c r="A98" t="s">
        <v>601</v>
      </c>
      <c r="B98" t="s">
        <v>207</v>
      </c>
      <c r="C98" t="s">
        <v>447</v>
      </c>
      <c r="D98">
        <v>8.124086992894344E-3</v>
      </c>
      <c r="E98">
        <v>2022</v>
      </c>
    </row>
    <row r="99" spans="1:5">
      <c r="A99" t="s">
        <v>601</v>
      </c>
      <c r="B99" t="s">
        <v>207</v>
      </c>
      <c r="C99" t="s">
        <v>873</v>
      </c>
      <c r="D99">
        <v>1.0224876068910538E-3</v>
      </c>
      <c r="E99">
        <v>2022</v>
      </c>
    </row>
    <row r="100" spans="1:5">
      <c r="A100" t="s">
        <v>601</v>
      </c>
      <c r="B100" t="s">
        <v>207</v>
      </c>
      <c r="C100" t="s">
        <v>249</v>
      </c>
      <c r="D100" t="s">
        <v>286</v>
      </c>
      <c r="E100">
        <v>2022</v>
      </c>
    </row>
    <row r="101" spans="1:5">
      <c r="A101" t="s">
        <v>601</v>
      </c>
      <c r="B101" t="s">
        <v>207</v>
      </c>
      <c r="C101" t="s">
        <v>872</v>
      </c>
      <c r="D101">
        <v>2.2486125377498844E-2</v>
      </c>
      <c r="E101">
        <v>2022</v>
      </c>
    </row>
    <row r="102" spans="1:5">
      <c r="A102" t="s">
        <v>601</v>
      </c>
      <c r="B102" t="s">
        <v>445</v>
      </c>
      <c r="C102" t="s">
        <v>785</v>
      </c>
      <c r="D102">
        <v>0.22018798890099442</v>
      </c>
      <c r="E102">
        <v>2022</v>
      </c>
    </row>
    <row r="103" spans="1:5">
      <c r="A103" t="s">
        <v>601</v>
      </c>
      <c r="B103" t="s">
        <v>445</v>
      </c>
      <c r="C103" t="s">
        <v>843</v>
      </c>
      <c r="D103">
        <v>3.9958529161413146E-2</v>
      </c>
      <c r="E103">
        <v>2022</v>
      </c>
    </row>
    <row r="104" spans="1:5">
      <c r="A104" t="s">
        <v>601</v>
      </c>
      <c r="B104" t="s">
        <v>445</v>
      </c>
      <c r="C104" t="s">
        <v>2093</v>
      </c>
      <c r="D104">
        <v>3.9471585760669919E-3</v>
      </c>
      <c r="E104">
        <v>2022</v>
      </c>
    </row>
    <row r="105" spans="1:5">
      <c r="A105" t="s">
        <v>601</v>
      </c>
      <c r="B105" t="s">
        <v>445</v>
      </c>
      <c r="C105" t="s">
        <v>132</v>
      </c>
      <c r="D105">
        <v>1.6381250829256754E-2</v>
      </c>
      <c r="E105">
        <v>2022</v>
      </c>
    </row>
    <row r="106" spans="1:5">
      <c r="A106" t="s">
        <v>601</v>
      </c>
      <c r="B106" t="s">
        <v>445</v>
      </c>
      <c r="C106" t="s">
        <v>133</v>
      </c>
      <c r="D106">
        <v>0.15990105033425753</v>
      </c>
      <c r="E106">
        <v>2022</v>
      </c>
    </row>
    <row r="107" spans="1:5">
      <c r="A107" t="s">
        <v>601</v>
      </c>
      <c r="B107" t="s">
        <v>29</v>
      </c>
      <c r="C107" t="s">
        <v>785</v>
      </c>
      <c r="D107">
        <v>3.7575991580968894E-2</v>
      </c>
      <c r="E107">
        <v>2022</v>
      </c>
    </row>
    <row r="108" spans="1:5">
      <c r="A108" t="s">
        <v>601</v>
      </c>
      <c r="B108" t="s">
        <v>29</v>
      </c>
      <c r="C108" t="s">
        <v>133</v>
      </c>
      <c r="D108">
        <v>3.7575991580968894E-2</v>
      </c>
      <c r="E108">
        <v>2022</v>
      </c>
    </row>
    <row r="109" spans="1:5">
      <c r="A109" t="s">
        <v>601</v>
      </c>
      <c r="B109" t="s">
        <v>207</v>
      </c>
      <c r="C109" t="s">
        <v>139</v>
      </c>
      <c r="D109">
        <v>0.4216677272782493</v>
      </c>
      <c r="E109">
        <v>2023</v>
      </c>
    </row>
    <row r="110" spans="1:5">
      <c r="A110" t="s">
        <v>601</v>
      </c>
      <c r="B110" t="s">
        <v>207</v>
      </c>
      <c r="C110" t="s">
        <v>141</v>
      </c>
      <c r="D110">
        <v>0.25886638942295453</v>
      </c>
      <c r="E110">
        <v>2023</v>
      </c>
    </row>
    <row r="111" spans="1:5">
      <c r="A111" t="s">
        <v>601</v>
      </c>
      <c r="B111" t="s">
        <v>207</v>
      </c>
      <c r="C111" t="s">
        <v>843</v>
      </c>
      <c r="D111">
        <v>6.0878953664181411E-2</v>
      </c>
      <c r="E111">
        <v>2023</v>
      </c>
    </row>
    <row r="112" spans="1:5">
      <c r="A112" t="s">
        <v>601</v>
      </c>
      <c r="B112" t="s">
        <v>207</v>
      </c>
      <c r="C112" t="s">
        <v>755</v>
      </c>
      <c r="D112" t="s">
        <v>286</v>
      </c>
      <c r="E112">
        <v>2023</v>
      </c>
    </row>
    <row r="113" spans="1:5">
      <c r="A113" t="s">
        <v>601</v>
      </c>
      <c r="B113" t="s">
        <v>207</v>
      </c>
      <c r="C113" t="s">
        <v>680</v>
      </c>
      <c r="D113">
        <v>3.4478526190641033E-2</v>
      </c>
      <c r="E113">
        <v>2023</v>
      </c>
    </row>
    <row r="114" spans="1:5">
      <c r="A114" t="s">
        <v>601</v>
      </c>
      <c r="B114" t="s">
        <v>207</v>
      </c>
      <c r="C114" t="s">
        <v>1997</v>
      </c>
      <c r="D114">
        <v>9.1244843194068725E-2</v>
      </c>
      <c r="E114">
        <v>2023</v>
      </c>
    </row>
    <row r="115" spans="1:5">
      <c r="A115" t="s">
        <v>601</v>
      </c>
      <c r="B115" t="s">
        <v>207</v>
      </c>
      <c r="C115" t="s">
        <v>137</v>
      </c>
      <c r="D115">
        <v>0.32576623793646992</v>
      </c>
      <c r="E115">
        <v>2023</v>
      </c>
    </row>
    <row r="116" spans="1:5">
      <c r="A116" t="s">
        <v>601</v>
      </c>
      <c r="B116" t="s">
        <v>207</v>
      </c>
      <c r="C116" t="s">
        <v>239</v>
      </c>
      <c r="D116">
        <v>0.14937631115222658</v>
      </c>
      <c r="E116">
        <v>2023</v>
      </c>
    </row>
    <row r="117" spans="1:5">
      <c r="A117" t="s">
        <v>601</v>
      </c>
      <c r="B117" t="s">
        <v>207</v>
      </c>
      <c r="C117" t="s">
        <v>447</v>
      </c>
      <c r="D117">
        <v>9.0296997524992439E-3</v>
      </c>
      <c r="E117">
        <v>2023</v>
      </c>
    </row>
    <row r="118" spans="1:5">
      <c r="A118" t="s">
        <v>601</v>
      </c>
      <c r="B118" t="s">
        <v>207</v>
      </c>
      <c r="C118" t="s">
        <v>873</v>
      </c>
      <c r="D118">
        <v>9.8613129357924489E-2</v>
      </c>
      <c r="E118">
        <v>2023</v>
      </c>
    </row>
    <row r="119" spans="1:5">
      <c r="A119" t="s">
        <v>601</v>
      </c>
      <c r="B119" t="s">
        <v>207</v>
      </c>
      <c r="C119" t="s">
        <v>249</v>
      </c>
      <c r="D119" t="s">
        <v>286</v>
      </c>
      <c r="E119">
        <v>2023</v>
      </c>
    </row>
    <row r="120" spans="1:5">
      <c r="A120" t="s">
        <v>601</v>
      </c>
      <c r="B120" t="s">
        <v>207</v>
      </c>
      <c r="C120" t="s">
        <v>872</v>
      </c>
      <c r="D120">
        <v>3.0750807019766804E-2</v>
      </c>
      <c r="E120">
        <v>2023</v>
      </c>
    </row>
    <row r="121" spans="1:5">
      <c r="A121" t="s">
        <v>601</v>
      </c>
      <c r="B121" t="s">
        <v>445</v>
      </c>
      <c r="C121" t="s">
        <v>785</v>
      </c>
      <c r="D121">
        <v>0.23953676551340478</v>
      </c>
      <c r="E121">
        <v>2023</v>
      </c>
    </row>
    <row r="122" spans="1:5">
      <c r="A122" t="s">
        <v>601</v>
      </c>
      <c r="B122" t="s">
        <v>445</v>
      </c>
      <c r="C122" t="s">
        <v>843</v>
      </c>
      <c r="D122">
        <v>4.0781207816844148E-2</v>
      </c>
      <c r="E122">
        <v>2023</v>
      </c>
    </row>
    <row r="123" spans="1:5">
      <c r="A123" t="s">
        <v>601</v>
      </c>
      <c r="B123" t="s">
        <v>445</v>
      </c>
      <c r="C123" t="s">
        <v>2093</v>
      </c>
      <c r="D123">
        <v>1.8110004005319428E-2</v>
      </c>
      <c r="E123">
        <v>2023</v>
      </c>
    </row>
    <row r="124" spans="1:5">
      <c r="A124" t="s">
        <v>601</v>
      </c>
      <c r="B124" t="s">
        <v>445</v>
      </c>
      <c r="C124" t="s">
        <v>132</v>
      </c>
      <c r="D124">
        <v>2.5381604655160102E-2</v>
      </c>
      <c r="E124">
        <v>2023</v>
      </c>
    </row>
    <row r="125" spans="1:5">
      <c r="A125" t="s">
        <v>601</v>
      </c>
      <c r="B125" t="s">
        <v>445</v>
      </c>
      <c r="C125" t="s">
        <v>133</v>
      </c>
      <c r="D125">
        <v>0.15526394903608109</v>
      </c>
      <c r="E125">
        <v>2023</v>
      </c>
    </row>
    <row r="126" spans="1:5">
      <c r="A126" t="s">
        <v>601</v>
      </c>
      <c r="B126" t="s">
        <v>29</v>
      </c>
      <c r="C126" t="s">
        <v>785</v>
      </c>
      <c r="D126">
        <v>3.648992226716008E-2</v>
      </c>
      <c r="E126">
        <v>2023</v>
      </c>
    </row>
    <row r="127" spans="1:5">
      <c r="A127" t="s">
        <v>601</v>
      </c>
      <c r="B127" t="s">
        <v>29</v>
      </c>
      <c r="C127" t="s">
        <v>133</v>
      </c>
      <c r="D127">
        <v>3.648992226716008E-2</v>
      </c>
      <c r="E127">
        <v>2023</v>
      </c>
    </row>
    <row r="128" spans="1:5">
      <c r="A128" t="s">
        <v>601</v>
      </c>
      <c r="B128" t="s">
        <v>207</v>
      </c>
      <c r="C128" t="s">
        <v>139</v>
      </c>
      <c r="D128">
        <v>0.52119066016923388</v>
      </c>
      <c r="E128">
        <v>2024</v>
      </c>
    </row>
    <row r="129" spans="1:5">
      <c r="A129" t="s">
        <v>601</v>
      </c>
      <c r="B129" t="s">
        <v>207</v>
      </c>
      <c r="C129" t="s">
        <v>141</v>
      </c>
      <c r="D129">
        <v>0.3228092009394638</v>
      </c>
      <c r="E129">
        <v>2024</v>
      </c>
    </row>
    <row r="130" spans="1:5">
      <c r="A130" t="s">
        <v>601</v>
      </c>
      <c r="B130" t="s">
        <v>207</v>
      </c>
      <c r="C130" t="s">
        <v>843</v>
      </c>
      <c r="D130">
        <v>6.6966849030599573E-2</v>
      </c>
      <c r="E130">
        <v>2024</v>
      </c>
    </row>
    <row r="131" spans="1:5">
      <c r="A131" t="s">
        <v>601</v>
      </c>
      <c r="B131" t="s">
        <v>207</v>
      </c>
      <c r="C131" t="s">
        <v>755</v>
      </c>
      <c r="D131" t="s">
        <v>286</v>
      </c>
      <c r="E131">
        <v>2024</v>
      </c>
    </row>
    <row r="132" spans="1:5">
      <c r="A132" t="s">
        <v>601</v>
      </c>
      <c r="B132" t="s">
        <v>207</v>
      </c>
      <c r="C132" t="s">
        <v>680</v>
      </c>
      <c r="D132">
        <v>6.6301376142616247E-2</v>
      </c>
      <c r="E132">
        <v>2024</v>
      </c>
    </row>
    <row r="133" spans="1:5">
      <c r="A133" t="s">
        <v>601</v>
      </c>
      <c r="B133" t="s">
        <v>207</v>
      </c>
      <c r="C133" t="s">
        <v>1997</v>
      </c>
      <c r="D133">
        <v>9.1208550857534348E-2</v>
      </c>
      <c r="E133">
        <v>2024</v>
      </c>
    </row>
    <row r="134" spans="1:5">
      <c r="A134" t="s">
        <v>601</v>
      </c>
      <c r="B134" t="s">
        <v>207</v>
      </c>
      <c r="C134" t="s">
        <v>137</v>
      </c>
      <c r="D134">
        <v>0.32997713843130694</v>
      </c>
      <c r="E134">
        <v>2024</v>
      </c>
    </row>
    <row r="135" spans="1:5">
      <c r="A135" t="s">
        <v>601</v>
      </c>
      <c r="B135" t="s">
        <v>207</v>
      </c>
      <c r="C135" t="s">
        <v>239</v>
      </c>
      <c r="D135">
        <v>0.17257593129945006</v>
      </c>
      <c r="E135">
        <v>2024</v>
      </c>
    </row>
    <row r="136" spans="1:5">
      <c r="A136" t="s">
        <v>601</v>
      </c>
      <c r="B136" t="s">
        <v>207</v>
      </c>
      <c r="C136" t="s">
        <v>447</v>
      </c>
      <c r="D136">
        <v>1.3156951216674116E-2</v>
      </c>
      <c r="E136">
        <v>2024</v>
      </c>
    </row>
    <row r="137" spans="1:5">
      <c r="A137" t="s">
        <v>601</v>
      </c>
      <c r="B137" t="s">
        <v>207</v>
      </c>
      <c r="C137" t="s">
        <v>873</v>
      </c>
      <c r="D137">
        <v>0.3238592492296285</v>
      </c>
      <c r="E137">
        <v>2024</v>
      </c>
    </row>
    <row r="138" spans="1:5">
      <c r="A138" t="s">
        <v>601</v>
      </c>
      <c r="B138" t="s">
        <v>207</v>
      </c>
      <c r="C138" t="s">
        <v>249</v>
      </c>
      <c r="D138" t="s">
        <v>286</v>
      </c>
      <c r="E138">
        <v>2024</v>
      </c>
    </row>
    <row r="139" spans="1:5">
      <c r="A139" t="s">
        <v>601</v>
      </c>
      <c r="B139" t="s">
        <v>207</v>
      </c>
      <c r="C139" t="s">
        <v>872</v>
      </c>
      <c r="D139">
        <v>5.5520350933237483E-2</v>
      </c>
      <c r="E139">
        <v>2024</v>
      </c>
    </row>
    <row r="140" spans="1:5">
      <c r="A140" t="s">
        <v>601</v>
      </c>
      <c r="B140" t="s">
        <v>445</v>
      </c>
      <c r="C140" t="s">
        <v>785</v>
      </c>
      <c r="D140">
        <v>0.28382821822401971</v>
      </c>
      <c r="E140">
        <v>2024</v>
      </c>
    </row>
    <row r="141" spans="1:5">
      <c r="A141" t="s">
        <v>601</v>
      </c>
      <c r="B141" t="s">
        <v>445</v>
      </c>
      <c r="C141" t="s">
        <v>843</v>
      </c>
      <c r="D141">
        <v>4.1640564717957414E-2</v>
      </c>
      <c r="E141">
        <v>2024</v>
      </c>
    </row>
    <row r="142" spans="1:5">
      <c r="A142" t="s">
        <v>601</v>
      </c>
      <c r="B142" t="s">
        <v>445</v>
      </c>
      <c r="C142" t="s">
        <v>2093</v>
      </c>
      <c r="D142">
        <v>6.4555395229813045E-2</v>
      </c>
      <c r="E142">
        <v>2024</v>
      </c>
    </row>
    <row r="143" spans="1:5">
      <c r="A143" t="s">
        <v>601</v>
      </c>
      <c r="B143" t="s">
        <v>445</v>
      </c>
      <c r="C143" t="s">
        <v>132</v>
      </c>
      <c r="D143">
        <v>2.7290770618230362E-2</v>
      </c>
      <c r="E143">
        <v>2024</v>
      </c>
    </row>
    <row r="144" spans="1:5">
      <c r="A144" t="s">
        <v>601</v>
      </c>
      <c r="B144" t="s">
        <v>445</v>
      </c>
      <c r="C144" t="s">
        <v>133</v>
      </c>
      <c r="D144">
        <v>0.15034148765801894</v>
      </c>
      <c r="E144">
        <v>2024</v>
      </c>
    </row>
    <row r="145" spans="1:5">
      <c r="A145" t="s">
        <v>601</v>
      </c>
      <c r="B145" t="s">
        <v>29</v>
      </c>
      <c r="C145" t="s">
        <v>785</v>
      </c>
      <c r="D145">
        <v>3.5336999479343253E-2</v>
      </c>
      <c r="E145">
        <v>2024</v>
      </c>
    </row>
    <row r="146" spans="1:5">
      <c r="A146" t="s">
        <v>601</v>
      </c>
      <c r="B146" t="s">
        <v>29</v>
      </c>
      <c r="C146" t="s">
        <v>133</v>
      </c>
      <c r="D146">
        <v>3.5336999479343253E-2</v>
      </c>
      <c r="E146">
        <v>2024</v>
      </c>
    </row>
    <row r="147" spans="1:5">
      <c r="A147" t="s">
        <v>601</v>
      </c>
      <c r="B147" t="s">
        <v>207</v>
      </c>
      <c r="C147" t="s">
        <v>139</v>
      </c>
      <c r="D147">
        <v>0.77663778864724942</v>
      </c>
      <c r="E147">
        <v>2025</v>
      </c>
    </row>
    <row r="148" spans="1:5">
      <c r="A148" t="s">
        <v>601</v>
      </c>
      <c r="B148" t="s">
        <v>207</v>
      </c>
      <c r="C148" t="s">
        <v>141</v>
      </c>
      <c r="D148">
        <v>0.49813813242111971</v>
      </c>
      <c r="E148">
        <v>2025</v>
      </c>
    </row>
    <row r="149" spans="1:5">
      <c r="A149" t="s">
        <v>601</v>
      </c>
      <c r="B149" t="s">
        <v>207</v>
      </c>
      <c r="C149" t="s">
        <v>843</v>
      </c>
      <c r="D149">
        <v>6.6966849030599573E-2</v>
      </c>
      <c r="E149">
        <v>2025</v>
      </c>
    </row>
    <row r="150" spans="1:5">
      <c r="A150" t="s">
        <v>601</v>
      </c>
      <c r="B150" t="s">
        <v>207</v>
      </c>
      <c r="C150" t="s">
        <v>755</v>
      </c>
      <c r="D150" t="s">
        <v>286</v>
      </c>
      <c r="E150">
        <v>2025</v>
      </c>
    </row>
    <row r="151" spans="1:5">
      <c r="A151" t="s">
        <v>601</v>
      </c>
      <c r="B151" t="s">
        <v>207</v>
      </c>
      <c r="C151" t="s">
        <v>680</v>
      </c>
      <c r="D151">
        <v>0.11103801534154836</v>
      </c>
      <c r="E151">
        <v>2025</v>
      </c>
    </row>
    <row r="152" spans="1:5">
      <c r="A152" t="s">
        <v>601</v>
      </c>
      <c r="B152" t="s">
        <v>207</v>
      </c>
      <c r="C152" t="s">
        <v>1997</v>
      </c>
      <c r="D152">
        <v>0.16067711911660693</v>
      </c>
      <c r="E152">
        <v>2025</v>
      </c>
    </row>
    <row r="153" spans="1:5">
      <c r="A153" t="s">
        <v>601</v>
      </c>
      <c r="B153" t="s">
        <v>207</v>
      </c>
      <c r="C153" t="s">
        <v>137</v>
      </c>
      <c r="D153">
        <v>0.33814806601873371</v>
      </c>
      <c r="E153">
        <v>2025</v>
      </c>
    </row>
    <row r="154" spans="1:5">
      <c r="A154" t="s">
        <v>601</v>
      </c>
      <c r="B154" t="s">
        <v>207</v>
      </c>
      <c r="C154" t="s">
        <v>239</v>
      </c>
      <c r="D154">
        <v>0.21653816928991515</v>
      </c>
      <c r="E154">
        <v>2025</v>
      </c>
    </row>
    <row r="155" spans="1:5">
      <c r="A155" t="s">
        <v>601</v>
      </c>
      <c r="B155" t="s">
        <v>207</v>
      </c>
      <c r="C155" t="s">
        <v>447</v>
      </c>
      <c r="D155">
        <v>1.852137640418948E-2</v>
      </c>
      <c r="E155">
        <v>2025</v>
      </c>
    </row>
    <row r="156" spans="1:5">
      <c r="A156" t="s">
        <v>601</v>
      </c>
      <c r="B156" t="s">
        <v>207</v>
      </c>
      <c r="C156" t="s">
        <v>873</v>
      </c>
      <c r="D156">
        <v>0.34243418146315929</v>
      </c>
      <c r="E156">
        <v>2025</v>
      </c>
    </row>
    <row r="157" spans="1:5">
      <c r="A157" t="s">
        <v>601</v>
      </c>
      <c r="B157" t="s">
        <v>207</v>
      </c>
      <c r="C157" t="s">
        <v>249</v>
      </c>
      <c r="D157">
        <v>0.34243418146315929</v>
      </c>
      <c r="E157">
        <v>2025</v>
      </c>
    </row>
    <row r="158" spans="1:5">
      <c r="A158" t="s">
        <v>601</v>
      </c>
      <c r="B158" t="s">
        <v>207</v>
      </c>
      <c r="C158" t="s">
        <v>872</v>
      </c>
      <c r="D158">
        <v>9.418148930718738E-2</v>
      </c>
      <c r="E158">
        <v>2025</v>
      </c>
    </row>
    <row r="159" spans="1:5">
      <c r="A159" t="s">
        <v>601</v>
      </c>
      <c r="B159" t="s">
        <v>445</v>
      </c>
      <c r="C159" t="s">
        <v>785</v>
      </c>
      <c r="D159">
        <v>0.31861550424099144</v>
      </c>
      <c r="E159">
        <v>2025</v>
      </c>
    </row>
    <row r="160" spans="1:5">
      <c r="A160" t="s">
        <v>601</v>
      </c>
      <c r="B160" t="s">
        <v>445</v>
      </c>
      <c r="C160" t="s">
        <v>843</v>
      </c>
      <c r="D160">
        <v>4.2172463599346323E-2</v>
      </c>
      <c r="E160">
        <v>2025</v>
      </c>
    </row>
    <row r="161" spans="1:5">
      <c r="A161" t="s">
        <v>601</v>
      </c>
      <c r="B161" t="s">
        <v>445</v>
      </c>
      <c r="C161" t="s">
        <v>2093</v>
      </c>
      <c r="D161">
        <v>9.9737420700994936E-2</v>
      </c>
      <c r="E161">
        <v>2025</v>
      </c>
    </row>
    <row r="162" spans="1:5">
      <c r="A162" t="s">
        <v>601</v>
      </c>
      <c r="B162" t="s">
        <v>445</v>
      </c>
      <c r="C162" t="s">
        <v>132</v>
      </c>
      <c r="D162">
        <v>3.0517152909331019E-2</v>
      </c>
      <c r="E162">
        <v>2025</v>
      </c>
    </row>
    <row r="163" spans="1:5">
      <c r="A163" t="s">
        <v>601</v>
      </c>
      <c r="B163" t="s">
        <v>445</v>
      </c>
      <c r="C163" t="s">
        <v>133</v>
      </c>
      <c r="D163">
        <v>0.14618846703131916</v>
      </c>
      <c r="E163">
        <v>2025</v>
      </c>
    </row>
    <row r="164" spans="1:5">
      <c r="A164" t="s">
        <v>601</v>
      </c>
      <c r="B164" t="s">
        <v>29</v>
      </c>
      <c r="C164" t="s">
        <v>785</v>
      </c>
      <c r="D164">
        <v>3.4230589098500901E-2</v>
      </c>
      <c r="E164">
        <v>2025</v>
      </c>
    </row>
    <row r="165" spans="1:5">
      <c r="A165" t="s">
        <v>601</v>
      </c>
      <c r="B165" t="s">
        <v>29</v>
      </c>
      <c r="C165" t="s">
        <v>133</v>
      </c>
      <c r="D165">
        <v>3.4230589098500901E-2</v>
      </c>
      <c r="E165">
        <v>2025</v>
      </c>
    </row>
    <row r="166" spans="1:5">
      <c r="A166" t="s">
        <v>601</v>
      </c>
      <c r="B166" t="s">
        <v>207</v>
      </c>
      <c r="C166" t="s">
        <v>448</v>
      </c>
      <c r="D166">
        <v>0.39373577320367098</v>
      </c>
      <c r="E166">
        <v>2022</v>
      </c>
    </row>
    <row r="167" spans="1:5">
      <c r="A167" t="s">
        <v>601</v>
      </c>
      <c r="B167" t="s">
        <v>207</v>
      </c>
      <c r="C167" t="s">
        <v>453</v>
      </c>
      <c r="D167">
        <v>2.6419975999897417E-2</v>
      </c>
      <c r="E167">
        <v>2022</v>
      </c>
    </row>
    <row r="168" spans="1:5">
      <c r="A168" t="s">
        <v>601</v>
      </c>
      <c r="B168" t="s">
        <v>445</v>
      </c>
      <c r="C168" t="s">
        <v>448</v>
      </c>
      <c r="D168">
        <v>3.5419331978722088E-2</v>
      </c>
      <c r="E168">
        <v>2022</v>
      </c>
    </row>
    <row r="169" spans="1:5">
      <c r="A169" t="s">
        <v>601</v>
      </c>
      <c r="B169" t="s">
        <v>445</v>
      </c>
      <c r="C169" t="s">
        <v>453</v>
      </c>
      <c r="D169">
        <v>0</v>
      </c>
      <c r="E169">
        <v>2022</v>
      </c>
    </row>
    <row r="170" spans="1:5">
      <c r="A170" t="s">
        <v>601</v>
      </c>
      <c r="B170" t="s">
        <v>207</v>
      </c>
      <c r="C170" t="s">
        <v>448</v>
      </c>
      <c r="D170">
        <v>0.43600714544477809</v>
      </c>
      <c r="E170">
        <v>2023</v>
      </c>
    </row>
    <row r="171" spans="1:5">
      <c r="A171" t="s">
        <v>601</v>
      </c>
      <c r="B171" t="s">
        <v>207</v>
      </c>
      <c r="C171" t="s">
        <v>453</v>
      </c>
      <c r="D171">
        <v>2.679627714258798E-2</v>
      </c>
      <c r="E171">
        <v>2023</v>
      </c>
    </row>
    <row r="172" spans="1:5">
      <c r="A172" t="s">
        <v>601</v>
      </c>
      <c r="B172" t="s">
        <v>445</v>
      </c>
      <c r="C172" t="s">
        <v>448</v>
      </c>
      <c r="D172">
        <v>9.9248125700969331E-2</v>
      </c>
      <c r="E172">
        <v>2023</v>
      </c>
    </row>
    <row r="173" spans="1:5">
      <c r="A173" t="s">
        <v>601</v>
      </c>
      <c r="B173" t="s">
        <v>445</v>
      </c>
      <c r="C173" t="s">
        <v>453</v>
      </c>
      <c r="D173">
        <v>0</v>
      </c>
      <c r="E173">
        <v>2023</v>
      </c>
    </row>
    <row r="174" spans="1:5">
      <c r="A174" t="s">
        <v>601</v>
      </c>
      <c r="B174" t="s">
        <v>207</v>
      </c>
      <c r="C174" t="s">
        <v>448</v>
      </c>
      <c r="D174">
        <v>0.71932162732482552</v>
      </c>
      <c r="E174">
        <v>2024</v>
      </c>
    </row>
    <row r="175" spans="1:5">
      <c r="A175" t="s">
        <v>601</v>
      </c>
      <c r="B175" t="s">
        <v>207</v>
      </c>
      <c r="C175" t="s">
        <v>453</v>
      </c>
      <c r="D175">
        <v>2.717257828527855E-2</v>
      </c>
      <c r="E175">
        <v>2024</v>
      </c>
    </row>
    <row r="176" spans="1:5">
      <c r="A176" t="s">
        <v>601</v>
      </c>
      <c r="B176" t="s">
        <v>445</v>
      </c>
      <c r="C176" t="s">
        <v>448</v>
      </c>
      <c r="D176">
        <v>0.34127167842484646</v>
      </c>
      <c r="E176">
        <v>2024</v>
      </c>
    </row>
    <row r="177" spans="1:5">
      <c r="A177" t="s">
        <v>601</v>
      </c>
      <c r="B177" t="s">
        <v>445</v>
      </c>
      <c r="C177" t="s">
        <v>453</v>
      </c>
      <c r="D177">
        <v>0</v>
      </c>
      <c r="E177">
        <v>2024</v>
      </c>
    </row>
    <row r="178" spans="1:5">
      <c r="A178" t="s">
        <v>601</v>
      </c>
      <c r="B178" t="s">
        <v>207</v>
      </c>
      <c r="C178" t="s">
        <v>448</v>
      </c>
      <c r="D178">
        <v>0.9175508206786851</v>
      </c>
      <c r="E178">
        <v>2025</v>
      </c>
    </row>
    <row r="179" spans="1:5">
      <c r="A179" t="s">
        <v>601</v>
      </c>
      <c r="B179" t="s">
        <v>207</v>
      </c>
      <c r="C179" t="s">
        <v>453</v>
      </c>
      <c r="D179">
        <v>5.438494209580616E-2</v>
      </c>
      <c r="E179">
        <v>2025</v>
      </c>
    </row>
    <row r="180" spans="1:5">
      <c r="A180" t="s">
        <v>601</v>
      </c>
      <c r="B180" t="s">
        <v>445</v>
      </c>
      <c r="C180" t="s">
        <v>448</v>
      </c>
      <c r="D180">
        <v>0.67710590305829887</v>
      </c>
      <c r="E180">
        <v>2025</v>
      </c>
    </row>
    <row r="181" spans="1:5">
      <c r="A181" t="s">
        <v>601</v>
      </c>
      <c r="B181" t="s">
        <v>445</v>
      </c>
      <c r="C181" t="s">
        <v>453</v>
      </c>
      <c r="D181">
        <v>0</v>
      </c>
      <c r="E181">
        <v>2025</v>
      </c>
    </row>
    <row r="182" spans="1:5">
      <c r="A182" t="s">
        <v>576</v>
      </c>
      <c r="B182" t="s">
        <v>207</v>
      </c>
      <c r="C182" t="s">
        <v>139</v>
      </c>
      <c r="D182">
        <v>0.10598269826212534</v>
      </c>
      <c r="E182">
        <v>2022</v>
      </c>
    </row>
    <row r="183" spans="1:5">
      <c r="A183" t="s">
        <v>576</v>
      </c>
      <c r="B183" t="s">
        <v>207</v>
      </c>
      <c r="C183" t="s">
        <v>141</v>
      </c>
      <c r="D183">
        <v>5.9249406579573713E-2</v>
      </c>
      <c r="E183">
        <v>2022</v>
      </c>
    </row>
    <row r="184" spans="1:5">
      <c r="A184" t="s">
        <v>576</v>
      </c>
      <c r="B184" t="s">
        <v>207</v>
      </c>
      <c r="C184" t="s">
        <v>843</v>
      </c>
      <c r="D184">
        <v>1.5650524555547461E-2</v>
      </c>
      <c r="E184">
        <v>2022</v>
      </c>
    </row>
    <row r="185" spans="1:5">
      <c r="A185" t="s">
        <v>576</v>
      </c>
      <c r="B185" t="s">
        <v>207</v>
      </c>
      <c r="C185" t="s">
        <v>755</v>
      </c>
      <c r="D185">
        <v>0</v>
      </c>
      <c r="E185">
        <v>2022</v>
      </c>
    </row>
    <row r="186" spans="1:5">
      <c r="A186" t="s">
        <v>576</v>
      </c>
      <c r="B186" t="s">
        <v>207</v>
      </c>
      <c r="C186" t="s">
        <v>680</v>
      </c>
      <c r="D186">
        <v>9.0549563874291524E-3</v>
      </c>
      <c r="E186">
        <v>2022</v>
      </c>
    </row>
    <row r="187" spans="1:5">
      <c r="A187" t="s">
        <v>576</v>
      </c>
      <c r="B187" t="s">
        <v>207</v>
      </c>
      <c r="C187" t="s">
        <v>1997</v>
      </c>
      <c r="D187">
        <v>1.9766272714543724E-2</v>
      </c>
      <c r="E187">
        <v>2022</v>
      </c>
    </row>
    <row r="188" spans="1:5">
      <c r="A188" t="s">
        <v>576</v>
      </c>
      <c r="B188" t="s">
        <v>207</v>
      </c>
      <c r="C188" t="s">
        <v>137</v>
      </c>
      <c r="D188">
        <v>9.0116297751442739E-2</v>
      </c>
      <c r="E188">
        <v>2022</v>
      </c>
    </row>
    <row r="189" spans="1:5">
      <c r="A189" t="s">
        <v>576</v>
      </c>
      <c r="B189" t="s">
        <v>207</v>
      </c>
      <c r="C189" t="s">
        <v>239</v>
      </c>
      <c r="D189">
        <v>3.7106058279032642E-2</v>
      </c>
      <c r="E189">
        <v>2022</v>
      </c>
    </row>
    <row r="190" spans="1:5">
      <c r="A190" t="s">
        <v>576</v>
      </c>
      <c r="B190" t="s">
        <v>207</v>
      </c>
      <c r="C190" t="s">
        <v>447</v>
      </c>
      <c r="D190">
        <v>2.2973595446886684E-3</v>
      </c>
      <c r="E190">
        <v>2022</v>
      </c>
    </row>
    <row r="191" spans="1:5">
      <c r="A191" t="s">
        <v>576</v>
      </c>
      <c r="B191" t="s">
        <v>207</v>
      </c>
      <c r="C191" t="s">
        <v>873</v>
      </c>
      <c r="D191">
        <v>2.8914284953762692E-4</v>
      </c>
      <c r="E191">
        <v>2022</v>
      </c>
    </row>
    <row r="192" spans="1:5">
      <c r="A192" t="s">
        <v>576</v>
      </c>
      <c r="B192" t="s">
        <v>207</v>
      </c>
      <c r="C192" t="s">
        <v>249</v>
      </c>
      <c r="D192">
        <v>0</v>
      </c>
      <c r="E192">
        <v>2022</v>
      </c>
    </row>
    <row r="193" spans="1:5">
      <c r="A193" t="s">
        <v>576</v>
      </c>
      <c r="B193" t="s">
        <v>207</v>
      </c>
      <c r="C193" t="s">
        <v>872</v>
      </c>
      <c r="D193">
        <v>6.3587101915877882E-3</v>
      </c>
      <c r="E193">
        <v>2022</v>
      </c>
    </row>
    <row r="194" spans="1:5">
      <c r="A194" t="s">
        <v>576</v>
      </c>
      <c r="B194" t="s">
        <v>445</v>
      </c>
      <c r="C194" t="s">
        <v>843</v>
      </c>
      <c r="D194">
        <v>1.1299621537901334E-2</v>
      </c>
      <c r="E194">
        <v>2022</v>
      </c>
    </row>
    <row r="195" spans="1:5">
      <c r="A195" t="s">
        <v>576</v>
      </c>
      <c r="B195" t="s">
        <v>445</v>
      </c>
      <c r="C195" t="s">
        <v>2093</v>
      </c>
      <c r="D195">
        <v>1.1161921871415848E-3</v>
      </c>
      <c r="E195">
        <v>2022</v>
      </c>
    </row>
    <row r="196" spans="1:5">
      <c r="A196" t="s">
        <v>576</v>
      </c>
      <c r="B196" t="s">
        <v>445</v>
      </c>
      <c r="C196" t="s">
        <v>132</v>
      </c>
      <c r="D196">
        <v>4.6323510542720745E-3</v>
      </c>
      <c r="E196">
        <v>2022</v>
      </c>
    </row>
    <row r="197" spans="1:5">
      <c r="A197" t="s">
        <v>576</v>
      </c>
      <c r="B197" t="s">
        <v>445</v>
      </c>
      <c r="C197" t="s">
        <v>133</v>
      </c>
      <c r="D197">
        <v>4.5481714246483548E-2</v>
      </c>
      <c r="E197">
        <v>2022</v>
      </c>
    </row>
    <row r="198" spans="1:5">
      <c r="A198" t="s">
        <v>576</v>
      </c>
      <c r="B198" t="s">
        <v>29</v>
      </c>
      <c r="C198" t="s">
        <v>133</v>
      </c>
      <c r="D198">
        <v>1.0687988027854462E-2</v>
      </c>
      <c r="E198">
        <v>2022</v>
      </c>
    </row>
    <row r="199" spans="1:5">
      <c r="A199" t="s">
        <v>576</v>
      </c>
      <c r="B199" t="s">
        <v>207</v>
      </c>
      <c r="C199" t="s">
        <v>448</v>
      </c>
      <c r="D199">
        <v>0.11134206680036599</v>
      </c>
      <c r="E199">
        <v>2022</v>
      </c>
    </row>
    <row r="200" spans="1:5">
      <c r="A200" t="s">
        <v>576</v>
      </c>
      <c r="B200" t="s">
        <v>207</v>
      </c>
      <c r="C200" t="s">
        <v>453</v>
      </c>
      <c r="D200">
        <v>7.4711391060801316E-3</v>
      </c>
      <c r="E200">
        <v>2022</v>
      </c>
    </row>
    <row r="201" spans="1:5">
      <c r="A201" t="s">
        <v>576</v>
      </c>
      <c r="B201" t="s">
        <v>445</v>
      </c>
      <c r="C201" t="s">
        <v>448</v>
      </c>
      <c r="D201">
        <v>1.0016010470959272E-2</v>
      </c>
      <c r="E201">
        <v>2022</v>
      </c>
    </row>
    <row r="202" spans="1:5">
      <c r="A202" t="s">
        <v>576</v>
      </c>
      <c r="B202" t="s">
        <v>445</v>
      </c>
      <c r="C202" t="s">
        <v>453</v>
      </c>
      <c r="D202">
        <v>0</v>
      </c>
      <c r="E202">
        <v>2022</v>
      </c>
    </row>
    <row r="203" spans="1:5">
      <c r="A203" t="s">
        <v>576</v>
      </c>
      <c r="B203" t="s">
        <v>207</v>
      </c>
      <c r="C203" t="s">
        <v>139</v>
      </c>
      <c r="D203">
        <v>0.11982032448944108</v>
      </c>
      <c r="E203">
        <v>2023</v>
      </c>
    </row>
    <row r="204" spans="1:5">
      <c r="A204" t="s">
        <v>576</v>
      </c>
      <c r="B204" t="s">
        <v>207</v>
      </c>
      <c r="C204" t="s">
        <v>141</v>
      </c>
      <c r="D204">
        <v>7.3203200687052605E-2</v>
      </c>
      <c r="E204">
        <v>2023</v>
      </c>
    </row>
    <row r="205" spans="1:5">
      <c r="A205" t="s">
        <v>576</v>
      </c>
      <c r="B205" t="s">
        <v>207</v>
      </c>
      <c r="C205" t="s">
        <v>843</v>
      </c>
      <c r="D205">
        <v>1.7215577011102212E-2</v>
      </c>
      <c r="E205">
        <v>2023</v>
      </c>
    </row>
    <row r="206" spans="1:5">
      <c r="A206" t="s">
        <v>576</v>
      </c>
      <c r="B206" t="s">
        <v>207</v>
      </c>
      <c r="C206" t="s">
        <v>755</v>
      </c>
      <c r="D206">
        <v>0</v>
      </c>
      <c r="E206">
        <v>2023</v>
      </c>
    </row>
    <row r="207" spans="1:5">
      <c r="A207" t="s">
        <v>576</v>
      </c>
      <c r="B207" t="s">
        <v>207</v>
      </c>
      <c r="C207" t="s">
        <v>680</v>
      </c>
      <c r="D207">
        <v>9.7499659100336207E-3</v>
      </c>
      <c r="E207">
        <v>2023</v>
      </c>
    </row>
    <row r="208" spans="1:5">
      <c r="A208" t="s">
        <v>576</v>
      </c>
      <c r="B208" t="s">
        <v>207</v>
      </c>
      <c r="C208" t="s">
        <v>1997</v>
      </c>
      <c r="D208">
        <v>2.5802556225562181E-2</v>
      </c>
      <c r="E208">
        <v>2023</v>
      </c>
    </row>
    <row r="209" spans="1:5">
      <c r="A209" t="s">
        <v>576</v>
      </c>
      <c r="B209" t="s">
        <v>207</v>
      </c>
      <c r="C209" t="s">
        <v>137</v>
      </c>
      <c r="D209">
        <v>9.2121388743775373E-2</v>
      </c>
      <c r="E209">
        <v>2023</v>
      </c>
    </row>
    <row r="210" spans="1:5">
      <c r="A210" t="s">
        <v>576</v>
      </c>
      <c r="B210" t="s">
        <v>207</v>
      </c>
      <c r="C210" t="s">
        <v>239</v>
      </c>
      <c r="D210">
        <v>4.2241189006974371E-2</v>
      </c>
      <c r="E210">
        <v>2023</v>
      </c>
    </row>
    <row r="211" spans="1:5">
      <c r="A211" t="s">
        <v>576</v>
      </c>
      <c r="B211" t="s">
        <v>207</v>
      </c>
      <c r="C211" t="s">
        <v>447</v>
      </c>
      <c r="D211">
        <v>2.5534520900897537E-3</v>
      </c>
      <c r="E211">
        <v>2023</v>
      </c>
    </row>
    <row r="212" spans="1:5">
      <c r="A212" t="s">
        <v>576</v>
      </c>
      <c r="B212" t="s">
        <v>207</v>
      </c>
      <c r="C212" t="s">
        <v>873</v>
      </c>
      <c r="D212">
        <v>2.788618759993533E-2</v>
      </c>
      <c r="E212">
        <v>2023</v>
      </c>
    </row>
    <row r="213" spans="1:5">
      <c r="A213" t="s">
        <v>576</v>
      </c>
      <c r="B213" t="s">
        <v>207</v>
      </c>
      <c r="C213" t="s">
        <v>249</v>
      </c>
      <c r="D213">
        <v>0</v>
      </c>
      <c r="E213">
        <v>2023</v>
      </c>
    </row>
    <row r="214" spans="1:5">
      <c r="A214" t="s">
        <v>576</v>
      </c>
      <c r="B214" t="s">
        <v>207</v>
      </c>
      <c r="C214" t="s">
        <v>872</v>
      </c>
      <c r="D214">
        <v>8.6958276142943963E-3</v>
      </c>
      <c r="E214">
        <v>2023</v>
      </c>
    </row>
    <row r="215" spans="1:5">
      <c r="A215" t="s">
        <v>576</v>
      </c>
      <c r="B215" t="s">
        <v>445</v>
      </c>
      <c r="C215" t="s">
        <v>843</v>
      </c>
      <c r="D215">
        <v>1.1532261668776236E-2</v>
      </c>
      <c r="E215">
        <v>2023</v>
      </c>
    </row>
    <row r="216" spans="1:5">
      <c r="A216" t="s">
        <v>576</v>
      </c>
      <c r="B216" t="s">
        <v>445</v>
      </c>
      <c r="C216" t="s">
        <v>2093</v>
      </c>
      <c r="D216">
        <v>5.1212143090491515E-3</v>
      </c>
      <c r="E216">
        <v>2023</v>
      </c>
    </row>
    <row r="217" spans="1:5">
      <c r="A217" t="s">
        <v>576</v>
      </c>
      <c r="B217" t="s">
        <v>445</v>
      </c>
      <c r="C217" t="s">
        <v>132</v>
      </c>
      <c r="D217">
        <v>7.1775045940605103E-3</v>
      </c>
      <c r="E217">
        <v>2023</v>
      </c>
    </row>
    <row r="218" spans="1:5">
      <c r="A218" t="s">
        <v>576</v>
      </c>
      <c r="B218" t="s">
        <v>445</v>
      </c>
      <c r="C218" t="s">
        <v>133</v>
      </c>
      <c r="D218">
        <v>4.4162752827938835E-2</v>
      </c>
      <c r="E218">
        <v>2023</v>
      </c>
    </row>
    <row r="219" spans="1:5">
      <c r="A219" t="s">
        <v>576</v>
      </c>
      <c r="B219" t="s">
        <v>29</v>
      </c>
      <c r="C219" t="s">
        <v>133</v>
      </c>
      <c r="D219">
        <v>1.0379070143454898E-2</v>
      </c>
      <c r="E219">
        <v>2023</v>
      </c>
    </row>
    <row r="220" spans="1:5">
      <c r="A220" t="s">
        <v>576</v>
      </c>
      <c r="B220" t="s">
        <v>207</v>
      </c>
      <c r="C220" t="s">
        <v>448</v>
      </c>
      <c r="D220">
        <v>0.1232957227090402</v>
      </c>
      <c r="E220">
        <v>2023</v>
      </c>
    </row>
    <row r="221" spans="1:5">
      <c r="A221" t="s">
        <v>576</v>
      </c>
      <c r="B221" t="s">
        <v>207</v>
      </c>
      <c r="C221" t="s">
        <v>453</v>
      </c>
      <c r="D221">
        <v>7.5775509432002355E-3</v>
      </c>
      <c r="E221">
        <v>2023</v>
      </c>
    </row>
    <row r="222" spans="1:5">
      <c r="A222" t="s">
        <v>576</v>
      </c>
      <c r="B222" t="s">
        <v>445</v>
      </c>
      <c r="C222" t="s">
        <v>448</v>
      </c>
      <c r="D222">
        <v>2.8065754228260756E-2</v>
      </c>
      <c r="E222">
        <v>2023</v>
      </c>
    </row>
    <row r="223" spans="1:5">
      <c r="A223" t="s">
        <v>576</v>
      </c>
      <c r="B223" t="s">
        <v>445</v>
      </c>
      <c r="C223" t="s">
        <v>453</v>
      </c>
      <c r="D223">
        <v>0</v>
      </c>
      <c r="E223">
        <v>2023</v>
      </c>
    </row>
  </sheetData>
  <autoFilter ref="A1:E223" xr:uid="{D799EA4C-6CE5-4266-8036-0FB46AAC1F0C}"/>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73CB9-EF6B-40D1-A291-4285A74B4C99}">
  <sheetPr>
    <tabColor theme="1"/>
  </sheetPr>
  <dimension ref="A1:H646"/>
  <sheetViews>
    <sheetView workbookViewId="0">
      <selection activeCell="F4" sqref="F4:F646"/>
      <pivotSelection pane="bottomRight" showHeader="1" extendable="1" axis="axisCol" max="3" activeRow="3" activeCol="5" previousRow="3" previousCol="5" click="1" r:id="rId1">
        <pivotArea dataOnly="0" outline="0" fieldPosition="0">
          <references count="1">
            <reference field="6" count="1">
              <x v="0"/>
            </reference>
          </references>
        </pivotArea>
      </pivotSelection>
    </sheetView>
  </sheetViews>
  <sheetFormatPr defaultRowHeight="15"/>
  <cols>
    <col min="1" max="1" width="41" customWidth="1"/>
    <col min="5" max="5" width="18.7109375" bestFit="1" customWidth="1"/>
    <col min="6" max="6" width="23.85546875" bestFit="1" customWidth="1"/>
    <col min="7" max="7" width="23.28515625" bestFit="1" customWidth="1"/>
    <col min="8" max="8" width="16" bestFit="1" customWidth="1"/>
  </cols>
  <sheetData>
    <row r="1" spans="1:8">
      <c r="A1" s="13" t="s">
        <v>1094</v>
      </c>
      <c r="B1" t="s" vm="1">
        <v>126</v>
      </c>
    </row>
    <row r="3" spans="1:8">
      <c r="A3" s="13" t="s">
        <v>2583</v>
      </c>
      <c r="F3" s="13" t="s">
        <v>1095</v>
      </c>
    </row>
    <row r="4" spans="1:8">
      <c r="A4" s="13" t="s">
        <v>2349</v>
      </c>
      <c r="B4" s="13" t="s">
        <v>4</v>
      </c>
      <c r="C4" s="13" t="s">
        <v>5</v>
      </c>
      <c r="D4" s="13" t="s">
        <v>6</v>
      </c>
      <c r="E4" s="13" t="s">
        <v>0</v>
      </c>
      <c r="F4" t="s">
        <v>1097</v>
      </c>
      <c r="G4" t="s">
        <v>1096</v>
      </c>
      <c r="H4" t="s">
        <v>1102</v>
      </c>
    </row>
    <row r="5" spans="1:8">
      <c r="A5">
        <v>2024</v>
      </c>
      <c r="B5" t="s">
        <v>2679</v>
      </c>
      <c r="C5" t="s">
        <v>251</v>
      </c>
      <c r="D5" t="s">
        <v>880</v>
      </c>
      <c r="E5" t="s">
        <v>879</v>
      </c>
      <c r="F5" s="491">
        <v>6761939.4663909897</v>
      </c>
      <c r="G5" s="491"/>
      <c r="H5" s="491"/>
    </row>
    <row r="6" spans="1:8">
      <c r="A6">
        <v>2024</v>
      </c>
      <c r="B6" t="s">
        <v>2679</v>
      </c>
      <c r="C6" t="s">
        <v>251</v>
      </c>
      <c r="D6" t="s">
        <v>881</v>
      </c>
      <c r="E6" t="s">
        <v>693</v>
      </c>
      <c r="F6" s="491">
        <v>1007247.23301449</v>
      </c>
      <c r="G6" s="491"/>
      <c r="H6" s="491"/>
    </row>
    <row r="7" spans="1:8">
      <c r="A7">
        <v>2024</v>
      </c>
      <c r="B7" t="s">
        <v>2679</v>
      </c>
      <c r="C7" t="s">
        <v>259</v>
      </c>
      <c r="D7" t="s">
        <v>884</v>
      </c>
      <c r="E7" t="s">
        <v>19</v>
      </c>
      <c r="F7" s="491">
        <v>2769760.74240166</v>
      </c>
      <c r="G7" s="491"/>
      <c r="H7" s="491"/>
    </row>
    <row r="8" spans="1:8">
      <c r="A8">
        <v>2024</v>
      </c>
      <c r="B8" t="s">
        <v>2679</v>
      </c>
      <c r="C8" t="s">
        <v>259</v>
      </c>
      <c r="D8" t="s">
        <v>886</v>
      </c>
      <c r="E8" t="s">
        <v>885</v>
      </c>
      <c r="F8" s="491">
        <v>1791450.7554065799</v>
      </c>
      <c r="G8" s="491"/>
      <c r="H8" s="491"/>
    </row>
    <row r="9" spans="1:8">
      <c r="A9">
        <v>2024</v>
      </c>
      <c r="B9" t="s">
        <v>2679</v>
      </c>
      <c r="C9" t="s">
        <v>265</v>
      </c>
      <c r="D9" t="s">
        <v>962</v>
      </c>
      <c r="E9" t="s">
        <v>20</v>
      </c>
      <c r="F9" s="491">
        <v>0</v>
      </c>
      <c r="G9" s="491"/>
      <c r="H9" s="491"/>
    </row>
    <row r="10" spans="1:8">
      <c r="A10">
        <v>2024</v>
      </c>
      <c r="B10" t="s">
        <v>2679</v>
      </c>
      <c r="C10" t="s">
        <v>265</v>
      </c>
      <c r="D10" t="s">
        <v>2284</v>
      </c>
      <c r="E10" t="s">
        <v>890</v>
      </c>
      <c r="F10" s="491">
        <v>16991307.904609151</v>
      </c>
      <c r="G10" s="491"/>
      <c r="H10" s="491"/>
    </row>
    <row r="11" spans="1:8">
      <c r="A11">
        <v>2024</v>
      </c>
      <c r="B11" t="s">
        <v>2679</v>
      </c>
      <c r="C11" t="s">
        <v>265</v>
      </c>
      <c r="D11" t="s">
        <v>2287</v>
      </c>
      <c r="E11" t="s">
        <v>891</v>
      </c>
      <c r="F11" s="491">
        <v>4091552.4051232701</v>
      </c>
      <c r="G11" s="491"/>
      <c r="H11" s="491"/>
    </row>
    <row r="12" spans="1:8">
      <c r="A12">
        <v>2024</v>
      </c>
      <c r="B12" t="s">
        <v>2679</v>
      </c>
      <c r="C12" t="s">
        <v>282</v>
      </c>
      <c r="D12" t="s">
        <v>895</v>
      </c>
      <c r="E12" t="s">
        <v>703</v>
      </c>
      <c r="F12" s="491">
        <v>8168743.6196891703</v>
      </c>
      <c r="G12" s="491"/>
      <c r="H12" s="491"/>
    </row>
    <row r="13" spans="1:8">
      <c r="A13">
        <v>2024</v>
      </c>
      <c r="B13" t="s">
        <v>2679</v>
      </c>
      <c r="C13" t="s">
        <v>282</v>
      </c>
      <c r="D13" t="s">
        <v>896</v>
      </c>
      <c r="E13" t="s">
        <v>704</v>
      </c>
      <c r="F13" s="491">
        <v>0</v>
      </c>
      <c r="G13" s="491"/>
      <c r="H13" s="491"/>
    </row>
    <row r="14" spans="1:8">
      <c r="A14">
        <v>2024</v>
      </c>
      <c r="B14" t="s">
        <v>2677</v>
      </c>
      <c r="C14" t="s">
        <v>1255</v>
      </c>
      <c r="D14" t="s">
        <v>1276</v>
      </c>
      <c r="E14" t="s">
        <v>1625</v>
      </c>
      <c r="F14" s="491">
        <v>52158.810765189999</v>
      </c>
      <c r="G14" s="491"/>
      <c r="H14" s="491"/>
    </row>
    <row r="15" spans="1:8">
      <c r="A15">
        <v>2024</v>
      </c>
      <c r="B15" t="s">
        <v>139</v>
      </c>
      <c r="C15" t="s">
        <v>243</v>
      </c>
      <c r="D15" t="s">
        <v>145</v>
      </c>
      <c r="E15" t="s">
        <v>48</v>
      </c>
      <c r="F15" s="491">
        <v>2877.5569467599998</v>
      </c>
      <c r="G15" s="491">
        <v>1326.5747829899999</v>
      </c>
      <c r="H15" s="491">
        <v>0</v>
      </c>
    </row>
    <row r="16" spans="1:8">
      <c r="A16">
        <v>2024</v>
      </c>
      <c r="B16" t="s">
        <v>139</v>
      </c>
      <c r="C16" t="s">
        <v>244</v>
      </c>
      <c r="D16" t="s">
        <v>145</v>
      </c>
      <c r="E16" t="s">
        <v>49</v>
      </c>
      <c r="F16" s="491">
        <v>2184.3459192400001</v>
      </c>
      <c r="G16" s="491">
        <v>1006.999433</v>
      </c>
      <c r="H16" s="491">
        <v>0</v>
      </c>
    </row>
    <row r="17" spans="1:8">
      <c r="A17">
        <v>2024</v>
      </c>
      <c r="B17" t="s">
        <v>139</v>
      </c>
      <c r="C17" t="s">
        <v>245</v>
      </c>
      <c r="D17" t="s">
        <v>145</v>
      </c>
      <c r="E17" t="s">
        <v>47</v>
      </c>
      <c r="F17" s="491">
        <v>17504.575845619998</v>
      </c>
      <c r="G17" s="491">
        <v>8069.7373964899998</v>
      </c>
      <c r="H17" s="491">
        <v>0</v>
      </c>
    </row>
    <row r="18" spans="1:8">
      <c r="A18">
        <v>2024</v>
      </c>
      <c r="B18" t="s">
        <v>410</v>
      </c>
      <c r="C18" t="s">
        <v>250</v>
      </c>
      <c r="D18" t="s">
        <v>298</v>
      </c>
      <c r="E18" t="s">
        <v>351</v>
      </c>
      <c r="F18" s="491">
        <v>0</v>
      </c>
      <c r="G18" s="491"/>
      <c r="H18" s="491"/>
    </row>
    <row r="19" spans="1:8">
      <c r="A19">
        <v>2024</v>
      </c>
      <c r="B19" t="s">
        <v>410</v>
      </c>
      <c r="C19" t="s">
        <v>250</v>
      </c>
      <c r="D19" t="s">
        <v>299</v>
      </c>
      <c r="E19" t="s">
        <v>352</v>
      </c>
      <c r="F19" s="491">
        <v>0</v>
      </c>
      <c r="G19" s="491"/>
      <c r="H19" s="491"/>
    </row>
    <row r="20" spans="1:8">
      <c r="A20">
        <v>2024</v>
      </c>
      <c r="B20" t="s">
        <v>410</v>
      </c>
      <c r="C20" t="s">
        <v>250</v>
      </c>
      <c r="D20" t="s">
        <v>300</v>
      </c>
      <c r="E20" t="s">
        <v>353</v>
      </c>
      <c r="F20" s="491">
        <v>0</v>
      </c>
      <c r="G20" s="491"/>
      <c r="H20" s="491"/>
    </row>
    <row r="21" spans="1:8">
      <c r="A21">
        <v>2024</v>
      </c>
      <c r="B21" t="s">
        <v>410</v>
      </c>
      <c r="C21" t="s">
        <v>250</v>
      </c>
      <c r="D21" t="s">
        <v>301</v>
      </c>
      <c r="E21" t="s">
        <v>57</v>
      </c>
      <c r="F21" s="491">
        <v>0</v>
      </c>
      <c r="G21" s="491"/>
      <c r="H21" s="491"/>
    </row>
    <row r="22" spans="1:8">
      <c r="A22">
        <v>2024</v>
      </c>
      <c r="B22" t="s">
        <v>410</v>
      </c>
      <c r="C22" t="s">
        <v>258</v>
      </c>
      <c r="D22" t="s">
        <v>308</v>
      </c>
      <c r="E22" t="s">
        <v>364</v>
      </c>
      <c r="F22" s="491">
        <v>0</v>
      </c>
      <c r="G22" s="491"/>
      <c r="H22" s="491"/>
    </row>
    <row r="23" spans="1:8">
      <c r="A23">
        <v>2024</v>
      </c>
      <c r="B23" t="s">
        <v>410</v>
      </c>
      <c r="C23" t="s">
        <v>258</v>
      </c>
      <c r="D23" t="s">
        <v>309</v>
      </c>
      <c r="E23" t="s">
        <v>365</v>
      </c>
      <c r="F23" s="491">
        <v>0</v>
      </c>
      <c r="G23" s="491"/>
      <c r="H23" s="491"/>
    </row>
    <row r="24" spans="1:8">
      <c r="A24">
        <v>2024</v>
      </c>
      <c r="B24" t="s">
        <v>410</v>
      </c>
      <c r="C24" t="s">
        <v>258</v>
      </c>
      <c r="D24" t="s">
        <v>310</v>
      </c>
      <c r="E24" t="s">
        <v>366</v>
      </c>
      <c r="F24" s="491">
        <v>0</v>
      </c>
      <c r="G24" s="491"/>
      <c r="H24" s="491"/>
    </row>
    <row r="25" spans="1:8">
      <c r="A25">
        <v>2024</v>
      </c>
      <c r="B25" t="s">
        <v>410</v>
      </c>
      <c r="C25" t="s">
        <v>264</v>
      </c>
      <c r="D25" t="s">
        <v>315</v>
      </c>
      <c r="E25" t="s">
        <v>375</v>
      </c>
      <c r="F25" s="491">
        <v>0</v>
      </c>
      <c r="G25" s="491"/>
      <c r="H25" s="491"/>
    </row>
    <row r="26" spans="1:8">
      <c r="A26">
        <v>2024</v>
      </c>
      <c r="B26" t="s">
        <v>410</v>
      </c>
      <c r="C26" t="s">
        <v>264</v>
      </c>
      <c r="D26" t="s">
        <v>965</v>
      </c>
      <c r="E26" t="s">
        <v>376</v>
      </c>
      <c r="F26" s="491">
        <v>0</v>
      </c>
      <c r="G26" s="491"/>
      <c r="H26" s="491"/>
    </row>
    <row r="27" spans="1:8">
      <c r="A27">
        <v>2024</v>
      </c>
      <c r="B27" t="s">
        <v>410</v>
      </c>
      <c r="C27" t="s">
        <v>281</v>
      </c>
      <c r="D27" t="s">
        <v>324</v>
      </c>
      <c r="E27" t="s">
        <v>396</v>
      </c>
      <c r="F27" s="491">
        <v>0</v>
      </c>
      <c r="G27" s="491"/>
      <c r="H27" s="491"/>
    </row>
    <row r="28" spans="1:8">
      <c r="A28">
        <v>2024</v>
      </c>
      <c r="B28" t="s">
        <v>410</v>
      </c>
      <c r="C28" t="s">
        <v>281</v>
      </c>
      <c r="D28" t="s">
        <v>325</v>
      </c>
      <c r="E28" t="s">
        <v>397</v>
      </c>
      <c r="F28" s="491">
        <v>0</v>
      </c>
      <c r="G28" s="491"/>
      <c r="H28" s="491"/>
    </row>
    <row r="29" spans="1:8">
      <c r="A29">
        <v>2024</v>
      </c>
      <c r="B29" t="s">
        <v>410</v>
      </c>
      <c r="C29" t="s">
        <v>281</v>
      </c>
      <c r="D29" t="s">
        <v>326</v>
      </c>
      <c r="E29" t="s">
        <v>398</v>
      </c>
      <c r="F29" s="491">
        <v>0</v>
      </c>
      <c r="G29" s="491"/>
      <c r="H29" s="491"/>
    </row>
    <row r="30" spans="1:8">
      <c r="A30">
        <v>2024</v>
      </c>
      <c r="B30" t="s">
        <v>410</v>
      </c>
      <c r="C30" t="s">
        <v>281</v>
      </c>
      <c r="D30" t="s">
        <v>327</v>
      </c>
      <c r="E30" t="s">
        <v>63</v>
      </c>
      <c r="F30" s="491">
        <v>0</v>
      </c>
      <c r="G30" s="491"/>
      <c r="H30" s="491"/>
    </row>
    <row r="31" spans="1:8">
      <c r="A31">
        <v>2024</v>
      </c>
      <c r="B31" t="s">
        <v>141</v>
      </c>
      <c r="C31" t="s">
        <v>647</v>
      </c>
      <c r="D31" t="s">
        <v>145</v>
      </c>
      <c r="E31" t="s">
        <v>51</v>
      </c>
      <c r="F31" s="491">
        <v>15585</v>
      </c>
      <c r="G31" s="491">
        <v>6961</v>
      </c>
      <c r="H31" s="491">
        <v>545.47500000000002</v>
      </c>
    </row>
    <row r="32" spans="1:8">
      <c r="A32">
        <v>2024</v>
      </c>
      <c r="B32" t="s">
        <v>141</v>
      </c>
      <c r="C32" t="s">
        <v>647</v>
      </c>
      <c r="D32" t="s">
        <v>146</v>
      </c>
      <c r="E32" t="s">
        <v>52</v>
      </c>
      <c r="F32" s="491">
        <v>15585</v>
      </c>
      <c r="G32" s="491">
        <v>7086</v>
      </c>
      <c r="H32" s="491">
        <v>545.47500000000002</v>
      </c>
    </row>
    <row r="33" spans="1:8">
      <c r="A33">
        <v>2024</v>
      </c>
      <c r="B33" t="s">
        <v>141</v>
      </c>
      <c r="C33" t="s">
        <v>647</v>
      </c>
      <c r="D33" t="s">
        <v>660</v>
      </c>
      <c r="E33" t="s">
        <v>630</v>
      </c>
      <c r="F33" s="491">
        <v>15585</v>
      </c>
      <c r="G33" s="491">
        <v>7136</v>
      </c>
      <c r="H33" s="491">
        <v>545.47500000000002</v>
      </c>
    </row>
    <row r="34" spans="1:8">
      <c r="A34">
        <v>2024</v>
      </c>
      <c r="B34" t="s">
        <v>141</v>
      </c>
      <c r="C34" t="s">
        <v>647</v>
      </c>
      <c r="D34" t="s">
        <v>661</v>
      </c>
      <c r="E34" t="s">
        <v>631</v>
      </c>
      <c r="F34" s="491">
        <v>15585</v>
      </c>
      <c r="G34" s="491">
        <v>5816</v>
      </c>
      <c r="H34" s="491">
        <v>545.47500000000002</v>
      </c>
    </row>
    <row r="35" spans="1:8">
      <c r="A35">
        <v>2024</v>
      </c>
      <c r="B35" t="s">
        <v>141</v>
      </c>
      <c r="C35" t="s">
        <v>647</v>
      </c>
      <c r="D35" t="s">
        <v>722</v>
      </c>
      <c r="E35" t="s">
        <v>721</v>
      </c>
      <c r="F35" s="491">
        <v>0</v>
      </c>
      <c r="G35" s="491">
        <v>0</v>
      </c>
      <c r="H35" s="491">
        <v>0</v>
      </c>
    </row>
    <row r="36" spans="1:8">
      <c r="A36">
        <v>2024</v>
      </c>
      <c r="B36" t="s">
        <v>141</v>
      </c>
      <c r="C36" t="s">
        <v>649</v>
      </c>
      <c r="D36" t="s">
        <v>145</v>
      </c>
      <c r="E36" t="s">
        <v>612</v>
      </c>
      <c r="F36" s="491">
        <v>7614</v>
      </c>
      <c r="G36" s="491">
        <v>3250</v>
      </c>
      <c r="H36" s="491">
        <v>761.4</v>
      </c>
    </row>
    <row r="37" spans="1:8">
      <c r="A37">
        <v>2024</v>
      </c>
      <c r="B37" t="s">
        <v>141</v>
      </c>
      <c r="C37" t="s">
        <v>649</v>
      </c>
      <c r="D37" t="s">
        <v>146</v>
      </c>
      <c r="E37" t="s">
        <v>613</v>
      </c>
      <c r="F37" s="491">
        <v>7614</v>
      </c>
      <c r="G37" s="491">
        <v>3250</v>
      </c>
      <c r="H37" s="491">
        <v>761.4</v>
      </c>
    </row>
    <row r="38" spans="1:8">
      <c r="A38">
        <v>2024</v>
      </c>
      <c r="B38" t="s">
        <v>141</v>
      </c>
      <c r="C38" t="s">
        <v>649</v>
      </c>
      <c r="D38" t="s">
        <v>660</v>
      </c>
      <c r="E38" t="s">
        <v>624</v>
      </c>
      <c r="F38" s="491">
        <v>7614</v>
      </c>
      <c r="G38" s="491">
        <v>3250</v>
      </c>
      <c r="H38" s="491">
        <v>761.4</v>
      </c>
    </row>
    <row r="39" spans="1:8">
      <c r="A39">
        <v>2024</v>
      </c>
      <c r="B39" t="s">
        <v>141</v>
      </c>
      <c r="C39" t="s">
        <v>649</v>
      </c>
      <c r="D39" t="s">
        <v>661</v>
      </c>
      <c r="E39" t="s">
        <v>625</v>
      </c>
      <c r="F39" s="491">
        <v>7614</v>
      </c>
      <c r="G39" s="491">
        <v>2856</v>
      </c>
      <c r="H39" s="491">
        <v>761.4</v>
      </c>
    </row>
    <row r="40" spans="1:8">
      <c r="A40">
        <v>2024</v>
      </c>
      <c r="B40" t="s">
        <v>141</v>
      </c>
      <c r="C40" t="s">
        <v>649</v>
      </c>
      <c r="D40" t="s">
        <v>722</v>
      </c>
      <c r="E40" t="s">
        <v>724</v>
      </c>
      <c r="F40" s="491">
        <v>0</v>
      </c>
      <c r="G40" s="491">
        <v>0</v>
      </c>
      <c r="H40" s="491">
        <v>0</v>
      </c>
    </row>
    <row r="41" spans="1:8">
      <c r="A41">
        <v>2024</v>
      </c>
      <c r="B41" t="s">
        <v>141</v>
      </c>
      <c r="C41" t="s">
        <v>648</v>
      </c>
      <c r="D41" t="s">
        <v>145</v>
      </c>
      <c r="E41" t="s">
        <v>53</v>
      </c>
      <c r="F41" s="491">
        <v>8392</v>
      </c>
      <c r="G41" s="491">
        <v>4705</v>
      </c>
      <c r="H41" s="491">
        <v>8392</v>
      </c>
    </row>
    <row r="42" spans="1:8">
      <c r="A42">
        <v>2024</v>
      </c>
      <c r="B42" t="s">
        <v>141</v>
      </c>
      <c r="C42" t="s">
        <v>648</v>
      </c>
      <c r="D42" t="s">
        <v>146</v>
      </c>
      <c r="E42" t="s">
        <v>54</v>
      </c>
      <c r="F42" s="491">
        <v>8392</v>
      </c>
      <c r="G42" s="491">
        <v>4710</v>
      </c>
      <c r="H42" s="491">
        <v>293.72000000000003</v>
      </c>
    </row>
    <row r="43" spans="1:8">
      <c r="A43">
        <v>2024</v>
      </c>
      <c r="B43" t="s">
        <v>141</v>
      </c>
      <c r="C43" t="s">
        <v>648</v>
      </c>
      <c r="D43" t="s">
        <v>660</v>
      </c>
      <c r="E43" t="s">
        <v>622</v>
      </c>
      <c r="F43" s="491">
        <v>8392</v>
      </c>
      <c r="G43" s="491">
        <v>4741</v>
      </c>
      <c r="H43" s="491">
        <v>293.72000000000003</v>
      </c>
    </row>
    <row r="44" spans="1:8">
      <c r="A44">
        <v>2024</v>
      </c>
      <c r="B44" t="s">
        <v>141</v>
      </c>
      <c r="C44" t="s">
        <v>648</v>
      </c>
      <c r="D44" t="s">
        <v>661</v>
      </c>
      <c r="E44" t="s">
        <v>623</v>
      </c>
      <c r="F44" s="491">
        <v>8392</v>
      </c>
      <c r="G44" s="491">
        <v>3132</v>
      </c>
      <c r="H44" s="491">
        <v>293.72000000000003</v>
      </c>
    </row>
    <row r="45" spans="1:8">
      <c r="A45">
        <v>2024</v>
      </c>
      <c r="B45" t="s">
        <v>141</v>
      </c>
      <c r="C45" t="s">
        <v>648</v>
      </c>
      <c r="D45" t="s">
        <v>722</v>
      </c>
      <c r="E45" t="s">
        <v>723</v>
      </c>
      <c r="F45" s="491">
        <v>0</v>
      </c>
      <c r="G45" s="491">
        <v>0</v>
      </c>
      <c r="H45" s="491">
        <v>0</v>
      </c>
    </row>
    <row r="46" spans="1:8">
      <c r="A46">
        <v>2024</v>
      </c>
      <c r="B46" t="s">
        <v>141</v>
      </c>
      <c r="C46" t="s">
        <v>650</v>
      </c>
      <c r="D46" t="s">
        <v>145</v>
      </c>
      <c r="E46" t="s">
        <v>626</v>
      </c>
      <c r="F46" s="491">
        <v>4100</v>
      </c>
      <c r="G46" s="491">
        <v>1734</v>
      </c>
      <c r="H46" s="491">
        <v>4100</v>
      </c>
    </row>
    <row r="47" spans="1:8">
      <c r="A47">
        <v>2024</v>
      </c>
      <c r="B47" t="s">
        <v>141</v>
      </c>
      <c r="C47" t="s">
        <v>650</v>
      </c>
      <c r="D47" t="s">
        <v>146</v>
      </c>
      <c r="E47" t="s">
        <v>627</v>
      </c>
      <c r="F47" s="491">
        <v>4100</v>
      </c>
      <c r="G47" s="491">
        <v>1734</v>
      </c>
      <c r="H47" s="491">
        <v>410</v>
      </c>
    </row>
    <row r="48" spans="1:8">
      <c r="A48">
        <v>2024</v>
      </c>
      <c r="B48" t="s">
        <v>141</v>
      </c>
      <c r="C48" t="s">
        <v>650</v>
      </c>
      <c r="D48" t="s">
        <v>660</v>
      </c>
      <c r="E48" t="s">
        <v>628</v>
      </c>
      <c r="F48" s="491">
        <v>4100</v>
      </c>
      <c r="G48" s="491">
        <v>1734</v>
      </c>
      <c r="H48" s="491">
        <v>410</v>
      </c>
    </row>
    <row r="49" spans="1:8">
      <c r="A49">
        <v>2024</v>
      </c>
      <c r="B49" t="s">
        <v>141</v>
      </c>
      <c r="C49" t="s">
        <v>650</v>
      </c>
      <c r="D49" t="s">
        <v>661</v>
      </c>
      <c r="E49" t="s">
        <v>629</v>
      </c>
      <c r="F49" s="491">
        <v>4100</v>
      </c>
      <c r="G49" s="491">
        <v>1538</v>
      </c>
      <c r="H49" s="491">
        <v>410</v>
      </c>
    </row>
    <row r="50" spans="1:8">
      <c r="A50">
        <v>2024</v>
      </c>
      <c r="B50" t="s">
        <v>141</v>
      </c>
      <c r="C50" t="s">
        <v>650</v>
      </c>
      <c r="D50" t="s">
        <v>722</v>
      </c>
      <c r="E50" t="s">
        <v>725</v>
      </c>
      <c r="F50" s="491">
        <v>0</v>
      </c>
      <c r="G50" s="491">
        <v>0</v>
      </c>
      <c r="H50" s="491">
        <v>0</v>
      </c>
    </row>
    <row r="51" spans="1:8">
      <c r="A51">
        <v>2024</v>
      </c>
      <c r="B51" t="s">
        <v>2422</v>
      </c>
      <c r="C51" t="s">
        <v>2423</v>
      </c>
      <c r="D51" t="s">
        <v>2424</v>
      </c>
      <c r="E51" t="s">
        <v>2351</v>
      </c>
      <c r="F51" s="491">
        <v>208800</v>
      </c>
      <c r="G51" s="491">
        <v>0</v>
      </c>
      <c r="H51" s="491">
        <v>208800</v>
      </c>
    </row>
    <row r="52" spans="1:8">
      <c r="A52">
        <v>2024</v>
      </c>
      <c r="B52" t="s">
        <v>2422</v>
      </c>
      <c r="C52" t="s">
        <v>2448</v>
      </c>
      <c r="D52" t="s">
        <v>2429</v>
      </c>
      <c r="E52" t="s">
        <v>2452</v>
      </c>
      <c r="F52" s="491">
        <v>18254.72366707</v>
      </c>
      <c r="G52" s="491">
        <v>9127.3618335400006</v>
      </c>
      <c r="H52" s="491">
        <v>0</v>
      </c>
    </row>
    <row r="53" spans="1:8">
      <c r="A53">
        <v>2024</v>
      </c>
      <c r="B53" t="s">
        <v>2422</v>
      </c>
      <c r="C53" t="s">
        <v>2448</v>
      </c>
      <c r="D53" t="s">
        <v>2440</v>
      </c>
      <c r="E53" t="s">
        <v>2447</v>
      </c>
      <c r="F53" s="491">
        <v>135369.80730240999</v>
      </c>
      <c r="G53" s="491">
        <v>66331.205578180001</v>
      </c>
      <c r="H53" s="491">
        <v>2707.39614605</v>
      </c>
    </row>
    <row r="54" spans="1:8">
      <c r="A54">
        <v>2024</v>
      </c>
      <c r="B54" t="s">
        <v>2422</v>
      </c>
      <c r="C54" t="s">
        <v>2434</v>
      </c>
      <c r="D54" t="s">
        <v>2429</v>
      </c>
      <c r="E54" t="s">
        <v>2433</v>
      </c>
      <c r="F54" s="491">
        <v>0</v>
      </c>
      <c r="G54" s="491">
        <v>0</v>
      </c>
      <c r="H54" s="491">
        <v>0</v>
      </c>
    </row>
    <row r="55" spans="1:8">
      <c r="A55">
        <v>2024</v>
      </c>
      <c r="B55" t="s">
        <v>2422</v>
      </c>
      <c r="C55" t="s">
        <v>2439</v>
      </c>
      <c r="D55" t="s">
        <v>2429</v>
      </c>
      <c r="E55" t="s">
        <v>2444</v>
      </c>
      <c r="F55" s="491">
        <v>36817.156299230002</v>
      </c>
      <c r="G55" s="491">
        <v>18408.57814962</v>
      </c>
      <c r="H55" s="491">
        <v>0</v>
      </c>
    </row>
    <row r="56" spans="1:8">
      <c r="A56">
        <v>2024</v>
      </c>
      <c r="B56" t="s">
        <v>2422</v>
      </c>
      <c r="C56" t="s">
        <v>2439</v>
      </c>
      <c r="D56" t="s">
        <v>2440</v>
      </c>
      <c r="E56" t="s">
        <v>2438</v>
      </c>
      <c r="F56" s="491">
        <v>11672.74035453</v>
      </c>
      <c r="G56" s="491">
        <v>5719.6427737200002</v>
      </c>
      <c r="H56" s="491">
        <v>233.45480709</v>
      </c>
    </row>
    <row r="57" spans="1:8">
      <c r="A57">
        <v>2024</v>
      </c>
      <c r="B57" t="s">
        <v>2422</v>
      </c>
      <c r="C57" t="s">
        <v>2428</v>
      </c>
      <c r="D57" t="s">
        <v>2429</v>
      </c>
      <c r="E57" t="s">
        <v>2353</v>
      </c>
      <c r="F57" s="491">
        <v>0</v>
      </c>
      <c r="G57" s="491">
        <v>0</v>
      </c>
      <c r="H57" s="491">
        <v>0</v>
      </c>
    </row>
    <row r="58" spans="1:8">
      <c r="A58">
        <v>2024</v>
      </c>
      <c r="B58" t="s">
        <v>132</v>
      </c>
      <c r="C58" t="s">
        <v>132</v>
      </c>
      <c r="D58" t="s">
        <v>288</v>
      </c>
      <c r="E58" t="s">
        <v>26</v>
      </c>
      <c r="F58" s="491">
        <v>0.72272143</v>
      </c>
      <c r="G58" s="491">
        <v>0.50590500000000005</v>
      </c>
      <c r="H58" s="491"/>
    </row>
    <row r="59" spans="1:8">
      <c r="A59">
        <v>2024</v>
      </c>
      <c r="B59" t="s">
        <v>680</v>
      </c>
      <c r="C59" t="s">
        <v>911</v>
      </c>
      <c r="D59" t="s">
        <v>751</v>
      </c>
      <c r="E59" t="s">
        <v>750</v>
      </c>
      <c r="F59" s="491">
        <v>0</v>
      </c>
      <c r="G59" s="491">
        <v>0</v>
      </c>
      <c r="H59" s="491"/>
    </row>
    <row r="60" spans="1:8">
      <c r="A60">
        <v>2024</v>
      </c>
      <c r="B60" t="s">
        <v>680</v>
      </c>
      <c r="C60" t="s">
        <v>911</v>
      </c>
      <c r="D60" t="s">
        <v>1270</v>
      </c>
      <c r="E60" t="s">
        <v>1660</v>
      </c>
      <c r="F60" s="491">
        <v>1454.2392529000001</v>
      </c>
      <c r="G60" s="491">
        <v>0</v>
      </c>
      <c r="H60" s="491"/>
    </row>
    <row r="61" spans="1:8">
      <c r="A61">
        <v>2024</v>
      </c>
      <c r="B61" t="s">
        <v>680</v>
      </c>
      <c r="C61" t="s">
        <v>911</v>
      </c>
      <c r="D61" t="s">
        <v>913</v>
      </c>
      <c r="E61" t="s">
        <v>912</v>
      </c>
      <c r="F61" s="491">
        <v>3166.8466172200001</v>
      </c>
      <c r="G61" s="491">
        <v>339.32249234</v>
      </c>
      <c r="H61" s="491"/>
    </row>
    <row r="62" spans="1:8">
      <c r="A62">
        <v>2024</v>
      </c>
      <c r="B62" t="s">
        <v>680</v>
      </c>
      <c r="C62" t="s">
        <v>911</v>
      </c>
      <c r="D62" t="s">
        <v>869</v>
      </c>
      <c r="E62" t="s">
        <v>752</v>
      </c>
      <c r="F62" s="491">
        <v>226.37830621000001</v>
      </c>
      <c r="G62" s="491">
        <v>113.18915311000001</v>
      </c>
      <c r="H62" s="491"/>
    </row>
    <row r="63" spans="1:8">
      <c r="A63">
        <v>2024</v>
      </c>
      <c r="B63" t="s">
        <v>2729</v>
      </c>
      <c r="C63" t="s">
        <v>2312</v>
      </c>
      <c r="D63" t="s">
        <v>2107</v>
      </c>
      <c r="E63" t="s">
        <v>2315</v>
      </c>
      <c r="F63" s="491">
        <v>150.71800157999999</v>
      </c>
      <c r="G63" s="491"/>
      <c r="H63" s="491"/>
    </row>
    <row r="64" spans="1:8">
      <c r="A64">
        <v>2024</v>
      </c>
      <c r="B64" t="s">
        <v>2729</v>
      </c>
      <c r="C64" t="s">
        <v>2301</v>
      </c>
      <c r="D64" t="s">
        <v>2107</v>
      </c>
      <c r="E64" t="s">
        <v>2106</v>
      </c>
      <c r="F64" s="491">
        <v>10487.647749440001</v>
      </c>
      <c r="G64" s="491"/>
      <c r="H64" s="491"/>
    </row>
    <row r="65" spans="1:8">
      <c r="A65">
        <v>2024</v>
      </c>
      <c r="B65" t="s">
        <v>2729</v>
      </c>
      <c r="C65" t="s">
        <v>2319</v>
      </c>
      <c r="D65" t="s">
        <v>2107</v>
      </c>
      <c r="E65" t="s">
        <v>2322</v>
      </c>
      <c r="F65" s="491">
        <v>273.68484566000001</v>
      </c>
      <c r="G65" s="491"/>
      <c r="H65" s="491"/>
    </row>
    <row r="66" spans="1:8">
      <c r="A66">
        <v>2024</v>
      </c>
      <c r="B66" t="s">
        <v>2729</v>
      </c>
      <c r="C66" t="s">
        <v>2306</v>
      </c>
      <c r="D66" t="s">
        <v>2107</v>
      </c>
      <c r="E66" t="s">
        <v>2110</v>
      </c>
      <c r="F66" s="491">
        <v>2167.2497704699999</v>
      </c>
      <c r="G66" s="491"/>
      <c r="H66" s="491"/>
    </row>
    <row r="67" spans="1:8">
      <c r="A67">
        <v>2024</v>
      </c>
      <c r="B67" t="s">
        <v>2729</v>
      </c>
      <c r="C67" t="s">
        <v>1255</v>
      </c>
      <c r="D67" t="s">
        <v>1275</v>
      </c>
      <c r="E67" t="s">
        <v>1587</v>
      </c>
      <c r="F67" s="491">
        <v>135854.56573862999</v>
      </c>
      <c r="G67" s="491"/>
      <c r="H67" s="491"/>
    </row>
    <row r="68" spans="1:8">
      <c r="A68">
        <v>2024</v>
      </c>
      <c r="B68" t="s">
        <v>134</v>
      </c>
      <c r="C68" t="s">
        <v>241</v>
      </c>
      <c r="D68" t="s">
        <v>288</v>
      </c>
      <c r="E68" t="s">
        <v>341</v>
      </c>
      <c r="F68" s="491">
        <v>3.2442008000000002</v>
      </c>
      <c r="G68" s="491">
        <v>3.2442008000000002</v>
      </c>
      <c r="H68" s="491">
        <v>0.12976803000000001</v>
      </c>
    </row>
    <row r="69" spans="1:8">
      <c r="A69">
        <v>2024</v>
      </c>
      <c r="B69" t="s">
        <v>134</v>
      </c>
      <c r="C69" t="s">
        <v>254</v>
      </c>
      <c r="D69" t="s">
        <v>288</v>
      </c>
      <c r="E69" t="s">
        <v>362</v>
      </c>
      <c r="F69" s="491">
        <v>6.0558994400000001</v>
      </c>
      <c r="G69" s="491">
        <v>6.0558994400000001</v>
      </c>
      <c r="H69" s="491">
        <v>0.42391296000000001</v>
      </c>
    </row>
    <row r="70" spans="1:8">
      <c r="A70">
        <v>2024</v>
      </c>
      <c r="B70" t="s">
        <v>1969</v>
      </c>
      <c r="C70" t="s">
        <v>250</v>
      </c>
      <c r="D70" t="s">
        <v>302</v>
      </c>
      <c r="E70" t="s">
        <v>58</v>
      </c>
      <c r="F70" s="491">
        <v>12275.443942960001</v>
      </c>
      <c r="G70" s="491"/>
      <c r="H70" s="491"/>
    </row>
    <row r="71" spans="1:8">
      <c r="A71">
        <v>2024</v>
      </c>
      <c r="B71" t="s">
        <v>1969</v>
      </c>
      <c r="C71" t="s">
        <v>250</v>
      </c>
      <c r="D71" t="s">
        <v>311</v>
      </c>
      <c r="E71" t="s">
        <v>1611</v>
      </c>
      <c r="F71" s="491">
        <v>0</v>
      </c>
      <c r="G71" s="491"/>
      <c r="H71" s="491"/>
    </row>
    <row r="72" spans="1:8">
      <c r="A72">
        <v>2024</v>
      </c>
      <c r="B72" t="s">
        <v>1969</v>
      </c>
      <c r="C72" t="s">
        <v>250</v>
      </c>
      <c r="D72" t="s">
        <v>695</v>
      </c>
      <c r="E72" t="s">
        <v>1612</v>
      </c>
      <c r="F72" s="491">
        <v>0</v>
      </c>
      <c r="G72" s="491"/>
      <c r="H72" s="491"/>
    </row>
    <row r="73" spans="1:8">
      <c r="A73">
        <v>2024</v>
      </c>
      <c r="B73" t="s">
        <v>1969</v>
      </c>
      <c r="C73" t="s">
        <v>250</v>
      </c>
      <c r="D73" t="s">
        <v>697</v>
      </c>
      <c r="E73" t="s">
        <v>1613</v>
      </c>
      <c r="F73" s="491">
        <v>0</v>
      </c>
      <c r="G73" s="491"/>
      <c r="H73" s="491"/>
    </row>
    <row r="74" spans="1:8">
      <c r="A74">
        <v>2024</v>
      </c>
      <c r="B74" t="s">
        <v>1969</v>
      </c>
      <c r="C74" t="s">
        <v>253</v>
      </c>
      <c r="D74" t="s">
        <v>298</v>
      </c>
      <c r="E74" t="s">
        <v>359</v>
      </c>
      <c r="F74" s="491">
        <v>0</v>
      </c>
      <c r="G74" s="491"/>
      <c r="H74" s="491"/>
    </row>
    <row r="75" spans="1:8">
      <c r="A75">
        <v>2024</v>
      </c>
      <c r="B75" t="s">
        <v>1969</v>
      </c>
      <c r="C75" t="s">
        <v>253</v>
      </c>
      <c r="D75" t="s">
        <v>299</v>
      </c>
      <c r="E75" t="s">
        <v>360</v>
      </c>
      <c r="F75" s="491">
        <v>0</v>
      </c>
      <c r="G75" s="491"/>
      <c r="H75" s="491"/>
    </row>
    <row r="76" spans="1:8">
      <c r="A76">
        <v>2024</v>
      </c>
      <c r="B76" t="s">
        <v>1969</v>
      </c>
      <c r="C76" t="s">
        <v>253</v>
      </c>
      <c r="D76" t="s">
        <v>300</v>
      </c>
      <c r="E76" t="s">
        <v>361</v>
      </c>
      <c r="F76" s="491">
        <v>0</v>
      </c>
      <c r="G76" s="491"/>
      <c r="H76" s="491"/>
    </row>
    <row r="77" spans="1:8">
      <c r="A77">
        <v>2024</v>
      </c>
      <c r="B77" t="s">
        <v>1969</v>
      </c>
      <c r="C77" t="s">
        <v>253</v>
      </c>
      <c r="D77" t="s">
        <v>301</v>
      </c>
      <c r="E77" t="s">
        <v>867</v>
      </c>
      <c r="F77" s="491">
        <v>0</v>
      </c>
      <c r="G77" s="491"/>
      <c r="H77" s="491"/>
    </row>
    <row r="78" spans="1:8">
      <c r="A78">
        <v>2024</v>
      </c>
      <c r="B78" t="s">
        <v>1969</v>
      </c>
      <c r="C78" t="s">
        <v>253</v>
      </c>
      <c r="D78" t="s">
        <v>302</v>
      </c>
      <c r="E78" t="s">
        <v>70</v>
      </c>
      <c r="F78" s="491">
        <v>1995.5894775300001</v>
      </c>
      <c r="G78" s="491"/>
      <c r="H78" s="491"/>
    </row>
    <row r="79" spans="1:8">
      <c r="A79">
        <v>2024</v>
      </c>
      <c r="B79" t="s">
        <v>1969</v>
      </c>
      <c r="C79" t="s">
        <v>253</v>
      </c>
      <c r="D79" t="s">
        <v>311</v>
      </c>
      <c r="E79" t="s">
        <v>966</v>
      </c>
      <c r="F79" s="491">
        <v>0</v>
      </c>
      <c r="G79" s="491"/>
      <c r="H79" s="491"/>
    </row>
    <row r="80" spans="1:8">
      <c r="A80">
        <v>2024</v>
      </c>
      <c r="B80" t="s">
        <v>1969</v>
      </c>
      <c r="C80" t="s">
        <v>258</v>
      </c>
      <c r="D80" t="s">
        <v>302</v>
      </c>
      <c r="E80" t="s">
        <v>59</v>
      </c>
      <c r="F80" s="491">
        <v>2233.9316688700001</v>
      </c>
      <c r="G80" s="491"/>
      <c r="H80" s="491"/>
    </row>
    <row r="81" spans="1:8">
      <c r="A81">
        <v>2024</v>
      </c>
      <c r="B81" t="s">
        <v>1969</v>
      </c>
      <c r="C81" t="s">
        <v>258</v>
      </c>
      <c r="D81" t="s">
        <v>311</v>
      </c>
      <c r="E81" t="s">
        <v>60</v>
      </c>
      <c r="F81" s="491">
        <v>2233.9316688700001</v>
      </c>
      <c r="G81" s="491"/>
      <c r="H81" s="491"/>
    </row>
    <row r="82" spans="1:8">
      <c r="A82">
        <v>2024</v>
      </c>
      <c r="B82" t="s">
        <v>1969</v>
      </c>
      <c r="C82" t="s">
        <v>258</v>
      </c>
      <c r="D82" t="s">
        <v>695</v>
      </c>
      <c r="E82" t="s">
        <v>1617</v>
      </c>
      <c r="F82" s="491">
        <v>0</v>
      </c>
      <c r="G82" s="491"/>
      <c r="H82" s="491"/>
    </row>
    <row r="83" spans="1:8">
      <c r="A83">
        <v>2024</v>
      </c>
      <c r="B83" t="s">
        <v>1969</v>
      </c>
      <c r="C83" t="s">
        <v>258</v>
      </c>
      <c r="D83" t="s">
        <v>697</v>
      </c>
      <c r="E83" t="s">
        <v>1618</v>
      </c>
      <c r="F83" s="491">
        <v>0</v>
      </c>
      <c r="G83" s="491"/>
      <c r="H83" s="491"/>
    </row>
    <row r="84" spans="1:8">
      <c r="A84">
        <v>2024</v>
      </c>
      <c r="B84" t="s">
        <v>1969</v>
      </c>
      <c r="C84" t="s">
        <v>261</v>
      </c>
      <c r="D84" t="s">
        <v>308</v>
      </c>
      <c r="E84" t="s">
        <v>371</v>
      </c>
      <c r="F84" s="491">
        <v>0</v>
      </c>
      <c r="G84" s="491"/>
      <c r="H84" s="491"/>
    </row>
    <row r="85" spans="1:8">
      <c r="A85">
        <v>2024</v>
      </c>
      <c r="B85" t="s">
        <v>1969</v>
      </c>
      <c r="C85" t="s">
        <v>261</v>
      </c>
      <c r="D85" t="s">
        <v>309</v>
      </c>
      <c r="E85" t="s">
        <v>372</v>
      </c>
      <c r="F85" s="491">
        <v>0</v>
      </c>
      <c r="G85" s="491"/>
      <c r="H85" s="491"/>
    </row>
    <row r="86" spans="1:8">
      <c r="A86">
        <v>2024</v>
      </c>
      <c r="B86" t="s">
        <v>1969</v>
      </c>
      <c r="C86" t="s">
        <v>261</v>
      </c>
      <c r="D86" t="s">
        <v>310</v>
      </c>
      <c r="E86" t="s">
        <v>373</v>
      </c>
      <c r="F86" s="491">
        <v>0</v>
      </c>
      <c r="G86" s="491"/>
      <c r="H86" s="491"/>
    </row>
    <row r="87" spans="1:8">
      <c r="A87">
        <v>2024</v>
      </c>
      <c r="B87" t="s">
        <v>1969</v>
      </c>
      <c r="C87" t="s">
        <v>261</v>
      </c>
      <c r="D87" t="s">
        <v>302</v>
      </c>
      <c r="E87" t="s">
        <v>71</v>
      </c>
      <c r="F87" s="491">
        <v>1395.5670927199999</v>
      </c>
      <c r="G87" s="491"/>
      <c r="H87" s="491"/>
    </row>
    <row r="88" spans="1:8">
      <c r="A88">
        <v>2024</v>
      </c>
      <c r="B88" t="s">
        <v>1969</v>
      </c>
      <c r="C88" t="s">
        <v>261</v>
      </c>
      <c r="D88" t="s">
        <v>311</v>
      </c>
      <c r="E88" t="s">
        <v>967</v>
      </c>
      <c r="F88" s="491">
        <v>1395.5670927199999</v>
      </c>
      <c r="G88" s="491"/>
      <c r="H88" s="491"/>
    </row>
    <row r="89" spans="1:8">
      <c r="A89">
        <v>2024</v>
      </c>
      <c r="B89" t="s">
        <v>1969</v>
      </c>
      <c r="C89" t="s">
        <v>264</v>
      </c>
      <c r="D89" t="s">
        <v>653</v>
      </c>
      <c r="E89" t="s">
        <v>81</v>
      </c>
      <c r="F89" s="491">
        <v>0</v>
      </c>
      <c r="G89" s="491"/>
      <c r="H89" s="491"/>
    </row>
    <row r="90" spans="1:8">
      <c r="A90">
        <v>2024</v>
      </c>
      <c r="B90" t="s">
        <v>1969</v>
      </c>
      <c r="C90" t="s">
        <v>264</v>
      </c>
      <c r="D90" t="s">
        <v>1005</v>
      </c>
      <c r="E90" t="s">
        <v>61</v>
      </c>
      <c r="F90" s="491">
        <v>9012.8614318599994</v>
      </c>
      <c r="G90" s="491"/>
      <c r="H90" s="491"/>
    </row>
    <row r="91" spans="1:8">
      <c r="A91">
        <v>2024</v>
      </c>
      <c r="B91" t="s">
        <v>1969</v>
      </c>
      <c r="C91" t="s">
        <v>264</v>
      </c>
      <c r="D91" t="s">
        <v>740</v>
      </c>
      <c r="E91" t="s">
        <v>62</v>
      </c>
      <c r="F91" s="491">
        <v>4497.4585031500001</v>
      </c>
      <c r="G91" s="491"/>
      <c r="H91" s="491"/>
    </row>
    <row r="92" spans="1:8">
      <c r="A92">
        <v>2024</v>
      </c>
      <c r="B92" t="s">
        <v>1969</v>
      </c>
      <c r="C92" t="s">
        <v>264</v>
      </c>
      <c r="D92" t="s">
        <v>1271</v>
      </c>
      <c r="E92" t="s">
        <v>1619</v>
      </c>
      <c r="F92" s="491">
        <v>0</v>
      </c>
      <c r="G92" s="491"/>
      <c r="H92" s="491"/>
    </row>
    <row r="93" spans="1:8">
      <c r="A93">
        <v>2024</v>
      </c>
      <c r="B93" t="s">
        <v>1969</v>
      </c>
      <c r="C93" t="s">
        <v>264</v>
      </c>
      <c r="D93" t="s">
        <v>1272</v>
      </c>
      <c r="E93" t="s">
        <v>1620</v>
      </c>
      <c r="F93" s="491">
        <v>0</v>
      </c>
      <c r="G93" s="491"/>
      <c r="H93" s="491"/>
    </row>
    <row r="94" spans="1:8">
      <c r="A94">
        <v>2024</v>
      </c>
      <c r="B94" t="s">
        <v>1969</v>
      </c>
      <c r="C94" t="s">
        <v>267</v>
      </c>
      <c r="D94" t="s">
        <v>315</v>
      </c>
      <c r="E94" t="s">
        <v>382</v>
      </c>
      <c r="F94" s="491">
        <v>0</v>
      </c>
      <c r="G94" s="491"/>
      <c r="H94" s="491"/>
    </row>
    <row r="95" spans="1:8">
      <c r="A95">
        <v>2024</v>
      </c>
      <c r="B95" t="s">
        <v>1969</v>
      </c>
      <c r="C95" t="s">
        <v>267</v>
      </c>
      <c r="D95" t="s">
        <v>965</v>
      </c>
      <c r="E95" t="s">
        <v>968</v>
      </c>
      <c r="F95" s="491">
        <v>0</v>
      </c>
      <c r="G95" s="491"/>
      <c r="H95" s="491"/>
    </row>
    <row r="96" spans="1:8">
      <c r="A96">
        <v>2024</v>
      </c>
      <c r="B96" t="s">
        <v>1969</v>
      </c>
      <c r="C96" t="s">
        <v>267</v>
      </c>
      <c r="D96" t="s">
        <v>653</v>
      </c>
      <c r="E96" t="s">
        <v>615</v>
      </c>
      <c r="F96" s="491">
        <v>0</v>
      </c>
      <c r="G96" s="491"/>
      <c r="H96" s="491"/>
    </row>
    <row r="97" spans="1:8">
      <c r="A97">
        <v>2024</v>
      </c>
      <c r="B97" t="s">
        <v>1969</v>
      </c>
      <c r="C97" t="s">
        <v>267</v>
      </c>
      <c r="D97" t="s">
        <v>1005</v>
      </c>
      <c r="E97" t="s">
        <v>866</v>
      </c>
      <c r="F97" s="491">
        <v>2779.6640409299998</v>
      </c>
      <c r="G97" s="491"/>
      <c r="H97" s="491"/>
    </row>
    <row r="98" spans="1:8">
      <c r="A98">
        <v>2024</v>
      </c>
      <c r="B98" t="s">
        <v>1969</v>
      </c>
      <c r="C98" t="s">
        <v>267</v>
      </c>
      <c r="D98" t="s">
        <v>740</v>
      </c>
      <c r="E98" t="s">
        <v>971</v>
      </c>
      <c r="F98" s="491">
        <v>1387.06489291</v>
      </c>
      <c r="G98" s="491"/>
      <c r="H98" s="491"/>
    </row>
    <row r="99" spans="1:8">
      <c r="A99">
        <v>2024</v>
      </c>
      <c r="B99" t="s">
        <v>1969</v>
      </c>
      <c r="C99" t="s">
        <v>281</v>
      </c>
      <c r="D99" t="s">
        <v>328</v>
      </c>
      <c r="E99" t="s">
        <v>64</v>
      </c>
      <c r="F99" s="491">
        <v>0</v>
      </c>
      <c r="G99" s="491"/>
      <c r="H99" s="491"/>
    </row>
    <row r="100" spans="1:8">
      <c r="A100">
        <v>2024</v>
      </c>
      <c r="B100" t="s">
        <v>1969</v>
      </c>
      <c r="C100" t="s">
        <v>281</v>
      </c>
      <c r="D100" t="s">
        <v>705</v>
      </c>
      <c r="E100" t="s">
        <v>399</v>
      </c>
      <c r="F100" s="491">
        <v>11578.12589788</v>
      </c>
      <c r="G100" s="491"/>
      <c r="H100" s="491"/>
    </row>
    <row r="101" spans="1:8">
      <c r="A101">
        <v>2024</v>
      </c>
      <c r="B101" t="s">
        <v>1969</v>
      </c>
      <c r="C101" t="s">
        <v>281</v>
      </c>
      <c r="D101" t="s">
        <v>708</v>
      </c>
      <c r="E101" t="s">
        <v>1621</v>
      </c>
      <c r="F101" s="491">
        <v>0</v>
      </c>
      <c r="G101" s="491"/>
      <c r="H101" s="491"/>
    </row>
    <row r="102" spans="1:8">
      <c r="A102">
        <v>2024</v>
      </c>
      <c r="B102" t="s">
        <v>1969</v>
      </c>
      <c r="C102" t="s">
        <v>281</v>
      </c>
      <c r="D102" t="s">
        <v>709</v>
      </c>
      <c r="E102" t="s">
        <v>1622</v>
      </c>
      <c r="F102" s="491">
        <v>0</v>
      </c>
      <c r="G102" s="491"/>
      <c r="H102" s="491"/>
    </row>
    <row r="103" spans="1:8">
      <c r="A103">
        <v>2024</v>
      </c>
      <c r="B103" t="s">
        <v>1969</v>
      </c>
      <c r="C103" t="s">
        <v>284</v>
      </c>
      <c r="D103" t="s">
        <v>324</v>
      </c>
      <c r="E103" t="s">
        <v>405</v>
      </c>
      <c r="F103" s="491">
        <v>0</v>
      </c>
      <c r="G103" s="491"/>
      <c r="H103" s="491"/>
    </row>
    <row r="104" spans="1:8">
      <c r="A104">
        <v>2024</v>
      </c>
      <c r="B104" t="s">
        <v>1969</v>
      </c>
      <c r="C104" t="s">
        <v>284</v>
      </c>
      <c r="D104" t="s">
        <v>325</v>
      </c>
      <c r="E104" t="s">
        <v>406</v>
      </c>
      <c r="F104" s="491">
        <v>0</v>
      </c>
      <c r="G104" s="491"/>
      <c r="H104" s="491"/>
    </row>
    <row r="105" spans="1:8">
      <c r="A105">
        <v>2024</v>
      </c>
      <c r="B105" t="s">
        <v>1969</v>
      </c>
      <c r="C105" t="s">
        <v>284</v>
      </c>
      <c r="D105" t="s">
        <v>326</v>
      </c>
      <c r="E105" t="s">
        <v>407</v>
      </c>
      <c r="F105" s="491">
        <v>0</v>
      </c>
      <c r="G105" s="491"/>
      <c r="H105" s="491"/>
    </row>
    <row r="106" spans="1:8">
      <c r="A106">
        <v>2024</v>
      </c>
      <c r="B106" t="s">
        <v>1969</v>
      </c>
      <c r="C106" t="s">
        <v>284</v>
      </c>
      <c r="D106" t="s">
        <v>327</v>
      </c>
      <c r="E106" t="s">
        <v>68</v>
      </c>
      <c r="F106" s="491">
        <v>0</v>
      </c>
      <c r="G106" s="491"/>
      <c r="H106" s="491"/>
    </row>
    <row r="107" spans="1:8">
      <c r="A107">
        <v>2024</v>
      </c>
      <c r="B107" t="s">
        <v>1969</v>
      </c>
      <c r="C107" t="s">
        <v>284</v>
      </c>
      <c r="D107" t="s">
        <v>328</v>
      </c>
      <c r="E107" t="s">
        <v>69</v>
      </c>
      <c r="F107" s="491">
        <v>0</v>
      </c>
      <c r="G107" s="491"/>
      <c r="H107" s="491"/>
    </row>
    <row r="108" spans="1:8">
      <c r="A108">
        <v>2024</v>
      </c>
      <c r="B108" t="s">
        <v>1969</v>
      </c>
      <c r="C108" t="s">
        <v>284</v>
      </c>
      <c r="D108" t="s">
        <v>705</v>
      </c>
      <c r="E108" t="s">
        <v>972</v>
      </c>
      <c r="F108" s="491">
        <v>3993.4287334999999</v>
      </c>
      <c r="G108" s="491"/>
      <c r="H108" s="491"/>
    </row>
    <row r="109" spans="1:8">
      <c r="A109">
        <v>2024</v>
      </c>
      <c r="B109" t="s">
        <v>142</v>
      </c>
      <c r="C109" t="s">
        <v>236</v>
      </c>
      <c r="D109" t="s">
        <v>987</v>
      </c>
      <c r="E109" t="s">
        <v>334</v>
      </c>
      <c r="F109" s="491">
        <v>185468.60914084001</v>
      </c>
      <c r="G109" s="491"/>
      <c r="H109" s="491"/>
    </row>
    <row r="110" spans="1:8">
      <c r="A110">
        <v>2024</v>
      </c>
      <c r="B110" t="s">
        <v>142</v>
      </c>
      <c r="C110" t="s">
        <v>236</v>
      </c>
      <c r="D110" t="s">
        <v>780</v>
      </c>
      <c r="E110" t="s">
        <v>1093</v>
      </c>
      <c r="F110" s="491">
        <v>43652.075232080002</v>
      </c>
      <c r="G110" s="491"/>
      <c r="H110" s="491"/>
    </row>
    <row r="111" spans="1:8">
      <c r="A111">
        <v>2024</v>
      </c>
      <c r="B111" t="s">
        <v>142</v>
      </c>
      <c r="C111" t="s">
        <v>980</v>
      </c>
      <c r="D111" t="s">
        <v>981</v>
      </c>
      <c r="E111" t="s">
        <v>979</v>
      </c>
      <c r="F111" s="491">
        <v>161609.30430739</v>
      </c>
      <c r="G111" s="491">
        <v>9159.8998513200004</v>
      </c>
      <c r="H111" s="491">
        <v>0</v>
      </c>
    </row>
    <row r="112" spans="1:8">
      <c r="A112">
        <v>2024</v>
      </c>
      <c r="B112" t="s">
        <v>142</v>
      </c>
      <c r="C112" t="s">
        <v>980</v>
      </c>
      <c r="D112" t="s">
        <v>780</v>
      </c>
      <c r="E112" t="s">
        <v>1632</v>
      </c>
      <c r="F112" s="491">
        <v>193980.13843446001</v>
      </c>
      <c r="G112" s="491">
        <v>0</v>
      </c>
      <c r="H112" s="491">
        <v>0</v>
      </c>
    </row>
    <row r="113" spans="1:8">
      <c r="A113">
        <v>2024</v>
      </c>
      <c r="B113" t="s">
        <v>142</v>
      </c>
      <c r="C113" t="s">
        <v>980</v>
      </c>
      <c r="D113" t="s">
        <v>902</v>
      </c>
      <c r="E113" t="s">
        <v>982</v>
      </c>
      <c r="F113" s="491">
        <v>2981.43559512</v>
      </c>
      <c r="G113" s="491">
        <v>447.21533927000002</v>
      </c>
      <c r="H113" s="491">
        <v>0</v>
      </c>
    </row>
    <row r="114" spans="1:8">
      <c r="A114">
        <v>2024</v>
      </c>
      <c r="B114" t="s">
        <v>142</v>
      </c>
      <c r="C114" t="s">
        <v>980</v>
      </c>
      <c r="D114" t="s">
        <v>903</v>
      </c>
      <c r="E114" t="s">
        <v>983</v>
      </c>
      <c r="F114" s="491">
        <v>0</v>
      </c>
      <c r="G114" s="491">
        <v>0</v>
      </c>
      <c r="H114" s="491">
        <v>0</v>
      </c>
    </row>
    <row r="115" spans="1:8">
      <c r="A115">
        <v>2024</v>
      </c>
      <c r="B115" t="s">
        <v>142</v>
      </c>
      <c r="C115" t="s">
        <v>980</v>
      </c>
      <c r="D115" t="s">
        <v>904</v>
      </c>
      <c r="E115" t="s">
        <v>984</v>
      </c>
      <c r="F115" s="491">
        <v>2974.4611406899999</v>
      </c>
      <c r="G115" s="491">
        <v>446.16917110000003</v>
      </c>
      <c r="H115" s="491">
        <v>0</v>
      </c>
    </row>
    <row r="116" spans="1:8">
      <c r="A116">
        <v>2024</v>
      </c>
      <c r="B116" t="s">
        <v>142</v>
      </c>
      <c r="C116" t="s">
        <v>980</v>
      </c>
      <c r="D116" t="s">
        <v>905</v>
      </c>
      <c r="E116" t="s">
        <v>985</v>
      </c>
      <c r="F116" s="491">
        <v>0</v>
      </c>
      <c r="G116" s="491">
        <v>0</v>
      </c>
      <c r="H116" s="491">
        <v>0</v>
      </c>
    </row>
    <row r="117" spans="1:8">
      <c r="A117">
        <v>2024</v>
      </c>
      <c r="B117" t="s">
        <v>142</v>
      </c>
      <c r="C117" t="s">
        <v>980</v>
      </c>
      <c r="D117" t="s">
        <v>906</v>
      </c>
      <c r="E117" t="s">
        <v>986</v>
      </c>
      <c r="F117" s="491">
        <v>6.9744544299999998</v>
      </c>
      <c r="G117" s="491">
        <v>1.0461681599999999</v>
      </c>
      <c r="H117" s="491">
        <v>0</v>
      </c>
    </row>
    <row r="118" spans="1:8">
      <c r="A118">
        <v>2024</v>
      </c>
      <c r="B118" t="s">
        <v>142</v>
      </c>
      <c r="C118" t="s">
        <v>144</v>
      </c>
      <c r="D118" t="s">
        <v>743</v>
      </c>
      <c r="E118" t="s">
        <v>93</v>
      </c>
      <c r="F118" s="491">
        <v>2200.6042773999998</v>
      </c>
      <c r="G118" s="491"/>
      <c r="H118" s="491"/>
    </row>
    <row r="119" spans="1:8">
      <c r="A119">
        <v>2024</v>
      </c>
      <c r="B119" t="s">
        <v>142</v>
      </c>
      <c r="C119" t="s">
        <v>144</v>
      </c>
      <c r="D119" t="s">
        <v>1006</v>
      </c>
      <c r="E119" t="s">
        <v>94</v>
      </c>
      <c r="F119" s="491">
        <v>165780.86899538001</v>
      </c>
      <c r="G119" s="491">
        <v>0</v>
      </c>
      <c r="H119" s="491"/>
    </row>
    <row r="120" spans="1:8">
      <c r="A120">
        <v>2024</v>
      </c>
      <c r="B120" t="s">
        <v>142</v>
      </c>
      <c r="C120" t="s">
        <v>144</v>
      </c>
      <c r="D120" t="s">
        <v>1007</v>
      </c>
      <c r="E120" t="s">
        <v>95</v>
      </c>
      <c r="F120" s="491">
        <v>0</v>
      </c>
      <c r="G120" s="491">
        <v>0</v>
      </c>
      <c r="H120" s="491"/>
    </row>
    <row r="121" spans="1:8">
      <c r="A121">
        <v>2024</v>
      </c>
      <c r="B121" t="s">
        <v>142</v>
      </c>
      <c r="C121" t="s">
        <v>144</v>
      </c>
      <c r="D121" t="s">
        <v>780</v>
      </c>
      <c r="E121" t="s">
        <v>127</v>
      </c>
      <c r="F121" s="491">
        <v>477.45248457999998</v>
      </c>
      <c r="G121" s="491">
        <v>0</v>
      </c>
      <c r="H121" s="491"/>
    </row>
    <row r="122" spans="1:8">
      <c r="A122">
        <v>2024</v>
      </c>
      <c r="B122" t="s">
        <v>142</v>
      </c>
      <c r="C122" t="s">
        <v>240</v>
      </c>
      <c r="D122" t="s">
        <v>743</v>
      </c>
      <c r="E122" t="s">
        <v>230</v>
      </c>
      <c r="F122" s="491">
        <v>39197.97608334</v>
      </c>
      <c r="G122" s="491">
        <v>0</v>
      </c>
      <c r="H122" s="491"/>
    </row>
    <row r="123" spans="1:8">
      <c r="A123">
        <v>2024</v>
      </c>
      <c r="B123" t="s">
        <v>142</v>
      </c>
      <c r="C123" t="s">
        <v>240</v>
      </c>
      <c r="D123" t="s">
        <v>909</v>
      </c>
      <c r="E123" t="s">
        <v>231</v>
      </c>
      <c r="F123" s="491">
        <v>0</v>
      </c>
      <c r="G123" s="491"/>
      <c r="H123" s="491"/>
    </row>
    <row r="124" spans="1:8">
      <c r="A124">
        <v>2024</v>
      </c>
      <c r="B124" t="s">
        <v>142</v>
      </c>
      <c r="C124" t="s">
        <v>240</v>
      </c>
      <c r="D124" t="s">
        <v>908</v>
      </c>
      <c r="E124" t="s">
        <v>229</v>
      </c>
      <c r="F124" s="491">
        <v>92099.309659229999</v>
      </c>
      <c r="G124" s="491">
        <v>0</v>
      </c>
      <c r="H124" s="491"/>
    </row>
    <row r="125" spans="1:8">
      <c r="A125">
        <v>2024</v>
      </c>
      <c r="B125" t="s">
        <v>142</v>
      </c>
      <c r="C125" t="s">
        <v>240</v>
      </c>
      <c r="D125" t="s">
        <v>780</v>
      </c>
      <c r="E125" t="s">
        <v>1235</v>
      </c>
      <c r="F125" s="491">
        <v>187385.4466423</v>
      </c>
      <c r="G125" s="491">
        <v>0</v>
      </c>
      <c r="H125" s="491"/>
    </row>
    <row r="126" spans="1:8">
      <c r="A126">
        <v>2024</v>
      </c>
      <c r="B126" t="s">
        <v>142</v>
      </c>
      <c r="C126" t="s">
        <v>749</v>
      </c>
      <c r="D126" t="s">
        <v>865</v>
      </c>
      <c r="E126" t="s">
        <v>103</v>
      </c>
      <c r="F126" s="491">
        <v>964.28949736000004</v>
      </c>
      <c r="G126" s="491">
        <v>0</v>
      </c>
      <c r="H126" s="491"/>
    </row>
    <row r="127" spans="1:8">
      <c r="A127">
        <v>2024</v>
      </c>
      <c r="B127" t="s">
        <v>142</v>
      </c>
      <c r="C127" t="s">
        <v>749</v>
      </c>
      <c r="D127" t="s">
        <v>854</v>
      </c>
      <c r="E127" t="s">
        <v>104</v>
      </c>
      <c r="F127" s="491">
        <v>2E-8</v>
      </c>
      <c r="G127" s="491">
        <v>0</v>
      </c>
      <c r="H127" s="491"/>
    </row>
    <row r="128" spans="1:8">
      <c r="A128">
        <v>2024</v>
      </c>
      <c r="B128" t="s">
        <v>142</v>
      </c>
      <c r="C128" t="s">
        <v>749</v>
      </c>
      <c r="D128" t="s">
        <v>780</v>
      </c>
      <c r="E128" t="s">
        <v>102</v>
      </c>
      <c r="F128" s="491">
        <v>15113.25157844</v>
      </c>
      <c r="G128" s="491"/>
      <c r="H128" s="491"/>
    </row>
    <row r="129" spans="1:8">
      <c r="A129">
        <v>2024</v>
      </c>
      <c r="B129" t="s">
        <v>142</v>
      </c>
      <c r="C129" t="s">
        <v>741</v>
      </c>
      <c r="D129" t="s">
        <v>865</v>
      </c>
      <c r="E129" t="s">
        <v>110</v>
      </c>
      <c r="F129" s="491">
        <v>3436.6308590600001</v>
      </c>
      <c r="G129" s="491">
        <v>0</v>
      </c>
      <c r="H129" s="491"/>
    </row>
    <row r="130" spans="1:8">
      <c r="A130">
        <v>2024</v>
      </c>
      <c r="B130" t="s">
        <v>142</v>
      </c>
      <c r="C130" t="s">
        <v>741</v>
      </c>
      <c r="D130" t="s">
        <v>854</v>
      </c>
      <c r="E130" t="s">
        <v>342</v>
      </c>
      <c r="F130" s="491">
        <v>2.9999999999999997E-8</v>
      </c>
      <c r="G130" s="491">
        <v>0</v>
      </c>
      <c r="H130" s="491"/>
    </row>
    <row r="131" spans="1:8">
      <c r="A131">
        <v>2024</v>
      </c>
      <c r="B131" t="s">
        <v>142</v>
      </c>
      <c r="C131" t="s">
        <v>741</v>
      </c>
      <c r="D131" t="s">
        <v>780</v>
      </c>
      <c r="E131" t="s">
        <v>111</v>
      </c>
      <c r="F131" s="491">
        <v>52887.052529449997</v>
      </c>
      <c r="G131" s="491"/>
      <c r="H131" s="491"/>
    </row>
    <row r="132" spans="1:8">
      <c r="A132">
        <v>2024</v>
      </c>
      <c r="B132" t="s">
        <v>142</v>
      </c>
      <c r="C132" t="s">
        <v>748</v>
      </c>
      <c r="D132" t="s">
        <v>865</v>
      </c>
      <c r="E132" t="s">
        <v>112</v>
      </c>
      <c r="F132" s="491">
        <v>11504.645807209999</v>
      </c>
      <c r="G132" s="491">
        <v>0</v>
      </c>
      <c r="H132" s="491"/>
    </row>
    <row r="133" spans="1:8">
      <c r="A133">
        <v>2024</v>
      </c>
      <c r="B133" t="s">
        <v>142</v>
      </c>
      <c r="C133" t="s">
        <v>748</v>
      </c>
      <c r="D133" t="s">
        <v>854</v>
      </c>
      <c r="E133" t="s">
        <v>988</v>
      </c>
      <c r="F133" s="491">
        <v>4.9999999999999998E-8</v>
      </c>
      <c r="G133" s="491">
        <v>0</v>
      </c>
      <c r="H133" s="491"/>
    </row>
    <row r="134" spans="1:8">
      <c r="A134">
        <v>2024</v>
      </c>
      <c r="B134" t="s">
        <v>142</v>
      </c>
      <c r="C134" t="s">
        <v>748</v>
      </c>
      <c r="D134" t="s">
        <v>780</v>
      </c>
      <c r="E134" t="s">
        <v>1652</v>
      </c>
      <c r="F134" s="491">
        <v>24094.129728510001</v>
      </c>
      <c r="G134" s="491"/>
      <c r="H134" s="491"/>
    </row>
    <row r="135" spans="1:8">
      <c r="A135">
        <v>2024</v>
      </c>
      <c r="B135" t="s">
        <v>142</v>
      </c>
      <c r="C135" t="s">
        <v>748</v>
      </c>
      <c r="D135" t="s">
        <v>286</v>
      </c>
      <c r="E135" t="s">
        <v>395</v>
      </c>
      <c r="F135" s="491">
        <v>0</v>
      </c>
      <c r="G135" s="491"/>
      <c r="H135" s="491"/>
    </row>
    <row r="136" spans="1:8">
      <c r="A136">
        <v>2024</v>
      </c>
      <c r="B136" t="s">
        <v>142</v>
      </c>
      <c r="C136" t="s">
        <v>270</v>
      </c>
      <c r="D136" t="s">
        <v>151</v>
      </c>
      <c r="E136" t="s">
        <v>389</v>
      </c>
      <c r="F136" s="491">
        <v>106838.08546219001</v>
      </c>
      <c r="G136" s="491">
        <v>0</v>
      </c>
      <c r="H136" s="491"/>
    </row>
    <row r="137" spans="1:8">
      <c r="A137">
        <v>2024</v>
      </c>
      <c r="B137" t="s">
        <v>142</v>
      </c>
      <c r="C137" t="s">
        <v>270</v>
      </c>
      <c r="D137" t="s">
        <v>865</v>
      </c>
      <c r="E137" t="s">
        <v>388</v>
      </c>
      <c r="F137" s="491">
        <v>141135.89491805999</v>
      </c>
      <c r="G137" s="491">
        <v>0</v>
      </c>
      <c r="H137" s="491"/>
    </row>
    <row r="138" spans="1:8">
      <c r="A138">
        <v>2024</v>
      </c>
      <c r="B138" t="s">
        <v>142</v>
      </c>
      <c r="C138" t="s">
        <v>270</v>
      </c>
      <c r="D138" t="s">
        <v>780</v>
      </c>
      <c r="E138" t="s">
        <v>1628</v>
      </c>
      <c r="F138" s="491">
        <v>4.0000000000000001E-8</v>
      </c>
      <c r="G138" s="491">
        <v>0</v>
      </c>
      <c r="H138" s="491"/>
    </row>
    <row r="139" spans="1:8">
      <c r="A139">
        <v>2024</v>
      </c>
      <c r="B139" t="s">
        <v>142</v>
      </c>
      <c r="C139" t="s">
        <v>271</v>
      </c>
      <c r="D139" t="s">
        <v>2346</v>
      </c>
      <c r="E139" t="s">
        <v>91</v>
      </c>
      <c r="F139" s="491">
        <v>136631.59596531</v>
      </c>
      <c r="G139" s="491">
        <v>0</v>
      </c>
      <c r="H139" s="491"/>
    </row>
    <row r="140" spans="1:8">
      <c r="A140">
        <v>2024</v>
      </c>
      <c r="B140" t="s">
        <v>142</v>
      </c>
      <c r="C140" t="s">
        <v>271</v>
      </c>
      <c r="D140" t="s">
        <v>780</v>
      </c>
      <c r="E140" t="s">
        <v>1653</v>
      </c>
      <c r="F140" s="491">
        <v>89363.226211600006</v>
      </c>
      <c r="G140" s="491">
        <v>0</v>
      </c>
      <c r="H140" s="491"/>
    </row>
    <row r="141" spans="1:8">
      <c r="A141">
        <v>2024</v>
      </c>
      <c r="B141" t="s">
        <v>142</v>
      </c>
      <c r="C141" t="s">
        <v>271</v>
      </c>
      <c r="D141" t="s">
        <v>286</v>
      </c>
      <c r="E141" t="s">
        <v>92</v>
      </c>
      <c r="F141" s="491">
        <v>0</v>
      </c>
      <c r="G141" s="491">
        <v>0</v>
      </c>
      <c r="H141" s="491"/>
    </row>
    <row r="142" spans="1:8">
      <c r="A142">
        <v>2024</v>
      </c>
      <c r="B142" t="s">
        <v>142</v>
      </c>
      <c r="C142" t="s">
        <v>272</v>
      </c>
      <c r="D142" t="s">
        <v>151</v>
      </c>
      <c r="E142" t="s">
        <v>391</v>
      </c>
      <c r="F142" s="491">
        <v>12937.999583160001</v>
      </c>
      <c r="G142" s="491">
        <v>0</v>
      </c>
      <c r="H142" s="491"/>
    </row>
    <row r="143" spans="1:8">
      <c r="A143">
        <v>2024</v>
      </c>
      <c r="B143" t="s">
        <v>142</v>
      </c>
      <c r="C143" t="s">
        <v>272</v>
      </c>
      <c r="D143" t="s">
        <v>865</v>
      </c>
      <c r="E143" t="s">
        <v>390</v>
      </c>
      <c r="F143" s="491">
        <v>7809.1567753400004</v>
      </c>
      <c r="G143" s="491">
        <v>0</v>
      </c>
      <c r="H143" s="491"/>
    </row>
    <row r="144" spans="1:8">
      <c r="A144">
        <v>2024</v>
      </c>
      <c r="B144" t="s">
        <v>142</v>
      </c>
      <c r="C144" t="s">
        <v>272</v>
      </c>
      <c r="D144" t="s">
        <v>780</v>
      </c>
      <c r="E144" t="s">
        <v>1630</v>
      </c>
      <c r="F144" s="491">
        <v>61910.837101609999</v>
      </c>
      <c r="G144" s="491">
        <v>0</v>
      </c>
      <c r="H144" s="491"/>
    </row>
    <row r="145" spans="1:8">
      <c r="A145">
        <v>2024</v>
      </c>
      <c r="B145" t="s">
        <v>142</v>
      </c>
      <c r="C145" t="s">
        <v>439</v>
      </c>
      <c r="D145" t="s">
        <v>151</v>
      </c>
      <c r="E145" t="s">
        <v>910</v>
      </c>
      <c r="F145" s="491">
        <v>15402.42394472</v>
      </c>
      <c r="G145" s="491"/>
      <c r="H145" s="491"/>
    </row>
    <row r="146" spans="1:8">
      <c r="A146">
        <v>2024</v>
      </c>
      <c r="B146" t="s">
        <v>142</v>
      </c>
      <c r="C146" t="s">
        <v>439</v>
      </c>
      <c r="D146" t="s">
        <v>744</v>
      </c>
      <c r="E146" t="s">
        <v>116</v>
      </c>
      <c r="F146" s="491">
        <v>16756.483192610001</v>
      </c>
      <c r="G146" s="491"/>
      <c r="H146" s="491"/>
    </row>
    <row r="147" spans="1:8">
      <c r="A147">
        <v>2024</v>
      </c>
      <c r="B147" t="s">
        <v>142</v>
      </c>
      <c r="C147" t="s">
        <v>439</v>
      </c>
      <c r="D147" t="s">
        <v>780</v>
      </c>
      <c r="E147" t="s">
        <v>1649</v>
      </c>
      <c r="F147" s="491">
        <v>1692.57405986</v>
      </c>
      <c r="G147" s="491"/>
      <c r="H147" s="491"/>
    </row>
    <row r="148" spans="1:8">
      <c r="A148">
        <v>2024</v>
      </c>
      <c r="B148" t="s">
        <v>142</v>
      </c>
      <c r="C148" t="s">
        <v>2095</v>
      </c>
      <c r="D148" t="s">
        <v>2096</v>
      </c>
      <c r="E148" t="s">
        <v>82</v>
      </c>
      <c r="F148" s="491">
        <v>776048.27227203001</v>
      </c>
      <c r="G148" s="491"/>
      <c r="H148" s="491">
        <v>472607.01527471998</v>
      </c>
    </row>
    <row r="149" spans="1:8">
      <c r="A149">
        <v>2024</v>
      </c>
      <c r="B149" t="s">
        <v>142</v>
      </c>
      <c r="C149" t="s">
        <v>2102</v>
      </c>
      <c r="D149" t="s">
        <v>2096</v>
      </c>
      <c r="E149" t="s">
        <v>2101</v>
      </c>
      <c r="F149" s="491">
        <v>776048.27227203001</v>
      </c>
      <c r="G149" s="491"/>
      <c r="H149" s="491">
        <v>472607.01527471998</v>
      </c>
    </row>
    <row r="150" spans="1:8">
      <c r="A150">
        <v>2024</v>
      </c>
      <c r="B150" t="s">
        <v>844</v>
      </c>
      <c r="C150" t="s">
        <v>1950</v>
      </c>
      <c r="D150" t="s">
        <v>145</v>
      </c>
      <c r="E150" t="s">
        <v>2339</v>
      </c>
      <c r="F150" s="491">
        <v>0</v>
      </c>
      <c r="G150" s="491">
        <v>0</v>
      </c>
      <c r="H150" s="491">
        <v>0</v>
      </c>
    </row>
    <row r="151" spans="1:8">
      <c r="A151">
        <v>2024</v>
      </c>
      <c r="B151" t="s">
        <v>1101</v>
      </c>
      <c r="C151" t="s">
        <v>1013</v>
      </c>
      <c r="D151" t="s">
        <v>288</v>
      </c>
      <c r="E151" t="s">
        <v>1001</v>
      </c>
      <c r="F151" s="491">
        <v>2530.17110538</v>
      </c>
      <c r="G151" s="491">
        <v>0</v>
      </c>
      <c r="H151" s="491">
        <v>0</v>
      </c>
    </row>
    <row r="152" spans="1:8">
      <c r="A152">
        <v>2024</v>
      </c>
      <c r="B152" t="s">
        <v>1101</v>
      </c>
      <c r="C152" t="s">
        <v>1011</v>
      </c>
      <c r="D152" t="s">
        <v>145</v>
      </c>
      <c r="E152" t="s">
        <v>998</v>
      </c>
      <c r="F152" s="491">
        <v>18.72</v>
      </c>
      <c r="G152" s="491">
        <v>0</v>
      </c>
      <c r="H152" s="491">
        <v>0</v>
      </c>
    </row>
    <row r="153" spans="1:8">
      <c r="A153">
        <v>2024</v>
      </c>
      <c r="B153" t="s">
        <v>1101</v>
      </c>
      <c r="C153" t="s">
        <v>1011</v>
      </c>
      <c r="D153" t="s">
        <v>146</v>
      </c>
      <c r="E153" t="s">
        <v>999</v>
      </c>
      <c r="F153" s="491">
        <v>29</v>
      </c>
      <c r="G153" s="491">
        <v>0</v>
      </c>
      <c r="H153" s="491">
        <v>0</v>
      </c>
    </row>
    <row r="154" spans="1:8">
      <c r="A154">
        <v>2024</v>
      </c>
      <c r="B154" t="s">
        <v>1101</v>
      </c>
      <c r="C154" t="s">
        <v>1011</v>
      </c>
      <c r="D154" t="s">
        <v>660</v>
      </c>
      <c r="E154" t="s">
        <v>1000</v>
      </c>
      <c r="F154" s="491">
        <v>74.88</v>
      </c>
      <c r="G154" s="491">
        <v>0.17671234999999999</v>
      </c>
      <c r="H154" s="491">
        <v>0</v>
      </c>
    </row>
    <row r="155" spans="1:8">
      <c r="A155">
        <v>2024</v>
      </c>
      <c r="B155" t="s">
        <v>1101</v>
      </c>
      <c r="C155" t="s">
        <v>1009</v>
      </c>
      <c r="D155" t="s">
        <v>145</v>
      </c>
      <c r="E155" t="s">
        <v>993</v>
      </c>
      <c r="F155" s="491">
        <v>5.76</v>
      </c>
      <c r="G155" s="491">
        <v>0</v>
      </c>
      <c r="H155" s="491">
        <v>0</v>
      </c>
    </row>
    <row r="156" spans="1:8">
      <c r="A156">
        <v>2024</v>
      </c>
      <c r="B156" t="s">
        <v>1101</v>
      </c>
      <c r="C156" t="s">
        <v>1009</v>
      </c>
      <c r="D156" t="s">
        <v>146</v>
      </c>
      <c r="E156" t="s">
        <v>994</v>
      </c>
      <c r="F156" s="491">
        <v>289.44</v>
      </c>
      <c r="G156" s="491">
        <v>0</v>
      </c>
      <c r="H156" s="491">
        <v>0</v>
      </c>
    </row>
    <row r="157" spans="1:8">
      <c r="A157">
        <v>2024</v>
      </c>
      <c r="B157" t="s">
        <v>1101</v>
      </c>
      <c r="C157" t="s">
        <v>1092</v>
      </c>
      <c r="D157" t="s">
        <v>145</v>
      </c>
      <c r="E157" t="s">
        <v>1002</v>
      </c>
      <c r="F157" s="491">
        <v>471.06437653</v>
      </c>
      <c r="G157" s="491">
        <v>0</v>
      </c>
      <c r="H157" s="491">
        <v>0</v>
      </c>
    </row>
    <row r="158" spans="1:8">
      <c r="A158">
        <v>2024</v>
      </c>
      <c r="B158" t="s">
        <v>1101</v>
      </c>
      <c r="C158" t="s">
        <v>1092</v>
      </c>
      <c r="D158" t="s">
        <v>146</v>
      </c>
      <c r="E158" t="s">
        <v>1003</v>
      </c>
      <c r="F158" s="491">
        <v>534.83291657999996</v>
      </c>
      <c r="G158" s="491">
        <v>0</v>
      </c>
      <c r="H158" s="491">
        <v>0</v>
      </c>
    </row>
    <row r="159" spans="1:8">
      <c r="A159">
        <v>2024</v>
      </c>
      <c r="B159" t="s">
        <v>1101</v>
      </c>
      <c r="C159" t="s">
        <v>1010</v>
      </c>
      <c r="D159" t="s">
        <v>145</v>
      </c>
      <c r="E159" t="s">
        <v>995</v>
      </c>
      <c r="F159" s="491">
        <v>1140.48</v>
      </c>
      <c r="G159" s="491">
        <v>0</v>
      </c>
      <c r="H159" s="491">
        <v>0</v>
      </c>
    </row>
    <row r="160" spans="1:8">
      <c r="A160">
        <v>2024</v>
      </c>
      <c r="B160" t="s">
        <v>1101</v>
      </c>
      <c r="C160" t="s">
        <v>1010</v>
      </c>
      <c r="D160" t="s">
        <v>146</v>
      </c>
      <c r="E160" t="s">
        <v>996</v>
      </c>
      <c r="F160" s="491">
        <v>1278.72</v>
      </c>
      <c r="G160" s="491">
        <v>0</v>
      </c>
      <c r="H160" s="491">
        <v>0</v>
      </c>
    </row>
    <row r="161" spans="1:8">
      <c r="A161">
        <v>2024</v>
      </c>
      <c r="B161" t="s">
        <v>1101</v>
      </c>
      <c r="C161" t="s">
        <v>1010</v>
      </c>
      <c r="D161" t="s">
        <v>660</v>
      </c>
      <c r="E161" t="s">
        <v>997</v>
      </c>
      <c r="F161" s="491">
        <v>3415.68</v>
      </c>
      <c r="G161" s="491">
        <v>3.2307400400000001</v>
      </c>
      <c r="H161" s="491">
        <v>0</v>
      </c>
    </row>
    <row r="162" spans="1:8">
      <c r="A162">
        <v>2024</v>
      </c>
      <c r="B162" t="s">
        <v>1101</v>
      </c>
      <c r="C162" t="s">
        <v>1008</v>
      </c>
      <c r="D162" t="s">
        <v>145</v>
      </c>
      <c r="E162" t="s">
        <v>991</v>
      </c>
      <c r="F162" s="491">
        <v>1500.48</v>
      </c>
      <c r="G162" s="491">
        <v>41.608796480000002</v>
      </c>
      <c r="H162" s="491">
        <v>0</v>
      </c>
    </row>
    <row r="163" spans="1:8">
      <c r="A163">
        <v>2024</v>
      </c>
      <c r="B163" t="s">
        <v>1101</v>
      </c>
      <c r="C163" t="s">
        <v>1008</v>
      </c>
      <c r="D163" t="s">
        <v>146</v>
      </c>
      <c r="E163" t="s">
        <v>992</v>
      </c>
      <c r="F163" s="491">
        <v>5834.88</v>
      </c>
      <c r="G163" s="491">
        <v>0</v>
      </c>
      <c r="H163" s="491">
        <v>0</v>
      </c>
    </row>
    <row r="164" spans="1:8">
      <c r="A164">
        <v>2025</v>
      </c>
      <c r="B164" t="s">
        <v>2679</v>
      </c>
      <c r="C164" t="s">
        <v>251</v>
      </c>
      <c r="D164" t="s">
        <v>880</v>
      </c>
      <c r="E164" t="s">
        <v>879</v>
      </c>
      <c r="F164" s="491">
        <v>6694874.7936400399</v>
      </c>
      <c r="G164" s="491"/>
      <c r="H164" s="491"/>
    </row>
    <row r="165" spans="1:8">
      <c r="A165">
        <v>2025</v>
      </c>
      <c r="B165" t="s">
        <v>2679</v>
      </c>
      <c r="C165" t="s">
        <v>251</v>
      </c>
      <c r="D165" t="s">
        <v>881</v>
      </c>
      <c r="E165" t="s">
        <v>693</v>
      </c>
      <c r="F165" s="491">
        <v>3347437.3968200199</v>
      </c>
      <c r="G165" s="491"/>
      <c r="H165" s="491"/>
    </row>
    <row r="166" spans="1:8">
      <c r="A166">
        <v>2025</v>
      </c>
      <c r="B166" t="s">
        <v>2679</v>
      </c>
      <c r="C166" t="s">
        <v>259</v>
      </c>
      <c r="D166" t="s">
        <v>884</v>
      </c>
      <c r="E166" t="s">
        <v>19</v>
      </c>
      <c r="F166" s="491">
        <v>3003076.70151973</v>
      </c>
      <c r="G166" s="491"/>
      <c r="H166" s="491"/>
    </row>
    <row r="167" spans="1:8">
      <c r="A167">
        <v>2025</v>
      </c>
      <c r="B167" t="s">
        <v>2679</v>
      </c>
      <c r="C167" t="s">
        <v>259</v>
      </c>
      <c r="D167" t="s">
        <v>886</v>
      </c>
      <c r="E167" t="s">
        <v>885</v>
      </c>
      <c r="F167" s="491">
        <v>2583897.2452659402</v>
      </c>
      <c r="G167" s="491"/>
      <c r="H167" s="491"/>
    </row>
    <row r="168" spans="1:8">
      <c r="A168">
        <v>2025</v>
      </c>
      <c r="B168" t="s">
        <v>2679</v>
      </c>
      <c r="C168" t="s">
        <v>265</v>
      </c>
      <c r="D168" t="s">
        <v>962</v>
      </c>
      <c r="E168" t="s">
        <v>20</v>
      </c>
      <c r="F168" s="491">
        <v>0</v>
      </c>
      <c r="G168" s="491"/>
      <c r="H168" s="491"/>
    </row>
    <row r="169" spans="1:8">
      <c r="A169">
        <v>2025</v>
      </c>
      <c r="B169" t="s">
        <v>2679</v>
      </c>
      <c r="C169" t="s">
        <v>265</v>
      </c>
      <c r="D169" t="s">
        <v>2284</v>
      </c>
      <c r="E169" t="s">
        <v>890</v>
      </c>
      <c r="F169" s="491">
        <v>18153927.83450054</v>
      </c>
      <c r="G169" s="491"/>
      <c r="H169" s="491"/>
    </row>
    <row r="170" spans="1:8">
      <c r="A170">
        <v>2025</v>
      </c>
      <c r="B170" t="s">
        <v>2679</v>
      </c>
      <c r="C170" t="s">
        <v>265</v>
      </c>
      <c r="D170" t="s">
        <v>2287</v>
      </c>
      <c r="E170" t="s">
        <v>891</v>
      </c>
      <c r="F170" s="491">
        <v>10665432.602769069</v>
      </c>
      <c r="G170" s="491"/>
      <c r="H170" s="491"/>
    </row>
    <row r="171" spans="1:8">
      <c r="A171">
        <v>2025</v>
      </c>
      <c r="B171" t="s">
        <v>2679</v>
      </c>
      <c r="C171" t="s">
        <v>282</v>
      </c>
      <c r="D171" t="s">
        <v>895</v>
      </c>
      <c r="E171" t="s">
        <v>703</v>
      </c>
      <c r="F171" s="491">
        <v>22957810.233306769</v>
      </c>
      <c r="G171" s="491"/>
      <c r="H171" s="491"/>
    </row>
    <row r="172" spans="1:8">
      <c r="A172">
        <v>2025</v>
      </c>
      <c r="B172" t="s">
        <v>2679</v>
      </c>
      <c r="C172" t="s">
        <v>282</v>
      </c>
      <c r="D172" t="s">
        <v>896</v>
      </c>
      <c r="E172" t="s">
        <v>704</v>
      </c>
      <c r="F172" s="491">
        <v>0</v>
      </c>
      <c r="G172" s="491"/>
      <c r="H172" s="491"/>
    </row>
    <row r="173" spans="1:8">
      <c r="A173">
        <v>2025</v>
      </c>
      <c r="B173" t="s">
        <v>2677</v>
      </c>
      <c r="C173" t="s">
        <v>1254</v>
      </c>
      <c r="D173" t="s">
        <v>1276</v>
      </c>
      <c r="E173" t="s">
        <v>1624</v>
      </c>
      <c r="F173" s="491">
        <v>40420.957438730002</v>
      </c>
      <c r="G173" s="491"/>
      <c r="H173" s="491"/>
    </row>
    <row r="174" spans="1:8">
      <c r="A174">
        <v>2025</v>
      </c>
      <c r="B174" t="s">
        <v>2677</v>
      </c>
      <c r="C174" t="s">
        <v>1255</v>
      </c>
      <c r="D174" t="s">
        <v>1276</v>
      </c>
      <c r="E174" t="s">
        <v>1625</v>
      </c>
      <c r="F174" s="491">
        <v>52881.135304520001</v>
      </c>
      <c r="G174" s="491"/>
      <c r="H174" s="491"/>
    </row>
    <row r="175" spans="1:8">
      <c r="A175">
        <v>2025</v>
      </c>
      <c r="B175" t="s">
        <v>139</v>
      </c>
      <c r="C175" t="s">
        <v>243</v>
      </c>
      <c r="D175" t="s">
        <v>145</v>
      </c>
      <c r="E175" t="s">
        <v>48</v>
      </c>
      <c r="F175" s="491">
        <v>2776.2197923099998</v>
      </c>
      <c r="G175" s="491">
        <v>769.17772452999998</v>
      </c>
      <c r="H175" s="491">
        <v>0</v>
      </c>
    </row>
    <row r="176" spans="1:8">
      <c r="A176">
        <v>2025</v>
      </c>
      <c r="B176" t="s">
        <v>139</v>
      </c>
      <c r="C176" t="s">
        <v>244</v>
      </c>
      <c r="D176" t="s">
        <v>145</v>
      </c>
      <c r="E176" t="s">
        <v>49</v>
      </c>
      <c r="F176" s="491">
        <v>2268.0282542899999</v>
      </c>
      <c r="G176" s="491">
        <v>742.37257692000003</v>
      </c>
      <c r="H176" s="491">
        <v>0</v>
      </c>
    </row>
    <row r="177" spans="1:8">
      <c r="A177">
        <v>2025</v>
      </c>
      <c r="B177" t="s">
        <v>139</v>
      </c>
      <c r="C177" t="s">
        <v>245</v>
      </c>
      <c r="D177" t="s">
        <v>145</v>
      </c>
      <c r="E177" t="s">
        <v>47</v>
      </c>
      <c r="F177" s="491">
        <v>17208.36919433</v>
      </c>
      <c r="G177" s="491">
        <v>5949.8879740700004</v>
      </c>
      <c r="H177" s="491">
        <v>0</v>
      </c>
    </row>
    <row r="178" spans="1:8">
      <c r="A178">
        <v>2025</v>
      </c>
      <c r="B178" t="s">
        <v>410</v>
      </c>
      <c r="C178" t="s">
        <v>250</v>
      </c>
      <c r="D178" t="s">
        <v>298</v>
      </c>
      <c r="E178" t="s">
        <v>351</v>
      </c>
      <c r="F178" s="491">
        <v>0</v>
      </c>
      <c r="G178" s="491"/>
      <c r="H178" s="491"/>
    </row>
    <row r="179" spans="1:8">
      <c r="A179">
        <v>2025</v>
      </c>
      <c r="B179" t="s">
        <v>410</v>
      </c>
      <c r="C179" t="s">
        <v>250</v>
      </c>
      <c r="D179" t="s">
        <v>299</v>
      </c>
      <c r="E179" t="s">
        <v>352</v>
      </c>
      <c r="F179" s="491">
        <v>0</v>
      </c>
      <c r="G179" s="491"/>
      <c r="H179" s="491"/>
    </row>
    <row r="180" spans="1:8">
      <c r="A180">
        <v>2025</v>
      </c>
      <c r="B180" t="s">
        <v>410</v>
      </c>
      <c r="C180" t="s">
        <v>250</v>
      </c>
      <c r="D180" t="s">
        <v>300</v>
      </c>
      <c r="E180" t="s">
        <v>353</v>
      </c>
      <c r="F180" s="491">
        <v>0</v>
      </c>
      <c r="G180" s="491"/>
      <c r="H180" s="491"/>
    </row>
    <row r="181" spans="1:8">
      <c r="A181">
        <v>2025</v>
      </c>
      <c r="B181" t="s">
        <v>410</v>
      </c>
      <c r="C181" t="s">
        <v>250</v>
      </c>
      <c r="D181" t="s">
        <v>301</v>
      </c>
      <c r="E181" t="s">
        <v>57</v>
      </c>
      <c r="F181" s="491">
        <v>0</v>
      </c>
      <c r="G181" s="491"/>
      <c r="H181" s="491"/>
    </row>
    <row r="182" spans="1:8">
      <c r="A182">
        <v>2025</v>
      </c>
      <c r="B182" t="s">
        <v>410</v>
      </c>
      <c r="C182" t="s">
        <v>258</v>
      </c>
      <c r="D182" t="s">
        <v>308</v>
      </c>
      <c r="E182" t="s">
        <v>364</v>
      </c>
      <c r="F182" s="491">
        <v>0</v>
      </c>
      <c r="G182" s="491"/>
      <c r="H182" s="491"/>
    </row>
    <row r="183" spans="1:8">
      <c r="A183">
        <v>2025</v>
      </c>
      <c r="B183" t="s">
        <v>410</v>
      </c>
      <c r="C183" t="s">
        <v>258</v>
      </c>
      <c r="D183" t="s">
        <v>309</v>
      </c>
      <c r="E183" t="s">
        <v>365</v>
      </c>
      <c r="F183" s="491">
        <v>0</v>
      </c>
      <c r="G183" s="491"/>
      <c r="H183" s="491"/>
    </row>
    <row r="184" spans="1:8">
      <c r="A184">
        <v>2025</v>
      </c>
      <c r="B184" t="s">
        <v>410</v>
      </c>
      <c r="C184" t="s">
        <v>258</v>
      </c>
      <c r="D184" t="s">
        <v>310</v>
      </c>
      <c r="E184" t="s">
        <v>366</v>
      </c>
      <c r="F184" s="491">
        <v>0</v>
      </c>
      <c r="G184" s="491"/>
      <c r="H184" s="491"/>
    </row>
    <row r="185" spans="1:8">
      <c r="A185">
        <v>2025</v>
      </c>
      <c r="B185" t="s">
        <v>410</v>
      </c>
      <c r="C185" t="s">
        <v>264</v>
      </c>
      <c r="D185" t="s">
        <v>315</v>
      </c>
      <c r="E185" t="s">
        <v>375</v>
      </c>
      <c r="F185" s="491">
        <v>0</v>
      </c>
      <c r="G185" s="491"/>
      <c r="H185" s="491"/>
    </row>
    <row r="186" spans="1:8">
      <c r="A186">
        <v>2025</v>
      </c>
      <c r="B186" t="s">
        <v>410</v>
      </c>
      <c r="C186" t="s">
        <v>264</v>
      </c>
      <c r="D186" t="s">
        <v>965</v>
      </c>
      <c r="E186" t="s">
        <v>376</v>
      </c>
      <c r="F186" s="491">
        <v>0</v>
      </c>
      <c r="G186" s="491"/>
      <c r="H186" s="491"/>
    </row>
    <row r="187" spans="1:8">
      <c r="A187">
        <v>2025</v>
      </c>
      <c r="B187" t="s">
        <v>410</v>
      </c>
      <c r="C187" t="s">
        <v>281</v>
      </c>
      <c r="D187" t="s">
        <v>324</v>
      </c>
      <c r="E187" t="s">
        <v>396</v>
      </c>
      <c r="F187" s="491">
        <v>0</v>
      </c>
      <c r="G187" s="491"/>
      <c r="H187" s="491"/>
    </row>
    <row r="188" spans="1:8">
      <c r="A188">
        <v>2025</v>
      </c>
      <c r="B188" t="s">
        <v>410</v>
      </c>
      <c r="C188" t="s">
        <v>281</v>
      </c>
      <c r="D188" t="s">
        <v>325</v>
      </c>
      <c r="E188" t="s">
        <v>397</v>
      </c>
      <c r="F188" s="491">
        <v>0</v>
      </c>
      <c r="G188" s="491"/>
      <c r="H188" s="491"/>
    </row>
    <row r="189" spans="1:8">
      <c r="A189">
        <v>2025</v>
      </c>
      <c r="B189" t="s">
        <v>410</v>
      </c>
      <c r="C189" t="s">
        <v>281</v>
      </c>
      <c r="D189" t="s">
        <v>326</v>
      </c>
      <c r="E189" t="s">
        <v>398</v>
      </c>
      <c r="F189" s="491">
        <v>0</v>
      </c>
      <c r="G189" s="491"/>
      <c r="H189" s="491"/>
    </row>
    <row r="190" spans="1:8">
      <c r="A190">
        <v>2025</v>
      </c>
      <c r="B190" t="s">
        <v>410</v>
      </c>
      <c r="C190" t="s">
        <v>281</v>
      </c>
      <c r="D190" t="s">
        <v>327</v>
      </c>
      <c r="E190" t="s">
        <v>63</v>
      </c>
      <c r="F190" s="491">
        <v>0</v>
      </c>
      <c r="G190" s="491"/>
      <c r="H190" s="491"/>
    </row>
    <row r="191" spans="1:8">
      <c r="A191">
        <v>2025</v>
      </c>
      <c r="B191" t="s">
        <v>141</v>
      </c>
      <c r="C191" t="s">
        <v>647</v>
      </c>
      <c r="D191" t="s">
        <v>145</v>
      </c>
      <c r="E191" t="s">
        <v>51</v>
      </c>
      <c r="F191" s="491">
        <v>19488.615691579998</v>
      </c>
      <c r="G191" s="491">
        <v>9237.3342952700004</v>
      </c>
      <c r="H191" s="491">
        <v>682.10154921000003</v>
      </c>
    </row>
    <row r="192" spans="1:8">
      <c r="A192">
        <v>2025</v>
      </c>
      <c r="B192" t="s">
        <v>141</v>
      </c>
      <c r="C192" t="s">
        <v>647</v>
      </c>
      <c r="D192" t="s">
        <v>146</v>
      </c>
      <c r="E192" t="s">
        <v>52</v>
      </c>
      <c r="F192" s="491">
        <v>19293.72953466</v>
      </c>
      <c r="G192" s="491">
        <v>7793.8944878599996</v>
      </c>
      <c r="H192" s="491">
        <v>675.28053370999999</v>
      </c>
    </row>
    <row r="193" spans="1:8">
      <c r="A193">
        <v>2025</v>
      </c>
      <c r="B193" t="s">
        <v>141</v>
      </c>
      <c r="C193" t="s">
        <v>647</v>
      </c>
      <c r="D193" t="s">
        <v>660</v>
      </c>
      <c r="E193" t="s">
        <v>630</v>
      </c>
      <c r="F193" s="491">
        <v>19293.72953466</v>
      </c>
      <c r="G193" s="491">
        <v>3858.7459069299998</v>
      </c>
      <c r="H193" s="491">
        <v>675.28053370999999</v>
      </c>
    </row>
    <row r="194" spans="1:8">
      <c r="A194">
        <v>2025</v>
      </c>
      <c r="B194" t="s">
        <v>141</v>
      </c>
      <c r="C194" t="s">
        <v>647</v>
      </c>
      <c r="D194" t="s">
        <v>661</v>
      </c>
      <c r="E194" t="s">
        <v>631</v>
      </c>
      <c r="F194" s="491">
        <v>19488.615691579998</v>
      </c>
      <c r="G194" s="491">
        <v>9195.9990071400007</v>
      </c>
      <c r="H194" s="491">
        <v>682.10154921000003</v>
      </c>
    </row>
    <row r="195" spans="1:8">
      <c r="A195">
        <v>2025</v>
      </c>
      <c r="B195" t="s">
        <v>141</v>
      </c>
      <c r="C195" t="s">
        <v>647</v>
      </c>
      <c r="D195" t="s">
        <v>722</v>
      </c>
      <c r="E195" t="s">
        <v>721</v>
      </c>
      <c r="F195" s="491">
        <v>0</v>
      </c>
      <c r="G195" s="491">
        <v>0</v>
      </c>
      <c r="H195" s="491">
        <v>0</v>
      </c>
    </row>
    <row r="196" spans="1:8">
      <c r="A196">
        <v>2025</v>
      </c>
      <c r="B196" t="s">
        <v>141</v>
      </c>
      <c r="C196" t="s">
        <v>649</v>
      </c>
      <c r="D196" t="s">
        <v>145</v>
      </c>
      <c r="E196" t="s">
        <v>612</v>
      </c>
      <c r="F196" s="491">
        <v>8557.3138605099994</v>
      </c>
      <c r="G196" s="491">
        <v>3250</v>
      </c>
      <c r="H196" s="491">
        <v>855.73138604999997</v>
      </c>
    </row>
    <row r="197" spans="1:8">
      <c r="A197">
        <v>2025</v>
      </c>
      <c r="B197" t="s">
        <v>141</v>
      </c>
      <c r="C197" t="s">
        <v>649</v>
      </c>
      <c r="D197" t="s">
        <v>146</v>
      </c>
      <c r="E197" t="s">
        <v>613</v>
      </c>
      <c r="F197" s="491">
        <v>8471.7407219100005</v>
      </c>
      <c r="G197" s="491">
        <v>3250</v>
      </c>
      <c r="H197" s="491">
        <v>847.17407218999995</v>
      </c>
    </row>
    <row r="198" spans="1:8">
      <c r="A198">
        <v>2025</v>
      </c>
      <c r="B198" t="s">
        <v>141</v>
      </c>
      <c r="C198" t="s">
        <v>649</v>
      </c>
      <c r="D198" t="s">
        <v>660</v>
      </c>
      <c r="E198" t="s">
        <v>624</v>
      </c>
      <c r="F198" s="491">
        <v>8471.7407219100005</v>
      </c>
      <c r="G198" s="491">
        <v>3250</v>
      </c>
      <c r="H198" s="491">
        <v>847.17407218999995</v>
      </c>
    </row>
    <row r="199" spans="1:8">
      <c r="A199">
        <v>2025</v>
      </c>
      <c r="B199" t="s">
        <v>141</v>
      </c>
      <c r="C199" t="s">
        <v>649</v>
      </c>
      <c r="D199" t="s">
        <v>661</v>
      </c>
      <c r="E199" t="s">
        <v>625</v>
      </c>
      <c r="F199" s="491">
        <v>8557.3138605099994</v>
      </c>
      <c r="G199" s="491">
        <v>0</v>
      </c>
      <c r="H199" s="491">
        <v>855.73138604999997</v>
      </c>
    </row>
    <row r="200" spans="1:8">
      <c r="A200">
        <v>2025</v>
      </c>
      <c r="B200" t="s">
        <v>141</v>
      </c>
      <c r="C200" t="s">
        <v>649</v>
      </c>
      <c r="D200" t="s">
        <v>722</v>
      </c>
      <c r="E200" t="s">
        <v>724</v>
      </c>
      <c r="F200" s="491">
        <v>0</v>
      </c>
      <c r="G200" s="491">
        <v>0</v>
      </c>
      <c r="H200" s="491">
        <v>0</v>
      </c>
    </row>
    <row r="201" spans="1:8">
      <c r="A201">
        <v>2025</v>
      </c>
      <c r="B201" t="s">
        <v>141</v>
      </c>
      <c r="C201" t="s">
        <v>648</v>
      </c>
      <c r="D201" t="s">
        <v>145</v>
      </c>
      <c r="E201" t="s">
        <v>53</v>
      </c>
      <c r="F201" s="491">
        <v>8383.9612534499993</v>
      </c>
      <c r="G201" s="491">
        <v>3956.0993239700001</v>
      </c>
      <c r="H201" s="491">
        <v>8383.9612534499993</v>
      </c>
    </row>
    <row r="202" spans="1:8">
      <c r="A202">
        <v>2025</v>
      </c>
      <c r="B202" t="s">
        <v>141</v>
      </c>
      <c r="C202" t="s">
        <v>648</v>
      </c>
      <c r="D202" t="s">
        <v>146</v>
      </c>
      <c r="E202" t="s">
        <v>54</v>
      </c>
      <c r="F202" s="491">
        <v>8383.9612534499993</v>
      </c>
      <c r="G202" s="491">
        <v>3781.0231516499998</v>
      </c>
      <c r="H202" s="491">
        <v>293.43864387000002</v>
      </c>
    </row>
    <row r="203" spans="1:8">
      <c r="A203">
        <v>2025</v>
      </c>
      <c r="B203" t="s">
        <v>141</v>
      </c>
      <c r="C203" t="s">
        <v>648</v>
      </c>
      <c r="D203" t="s">
        <v>660</v>
      </c>
      <c r="E203" t="s">
        <v>622</v>
      </c>
      <c r="F203" s="491">
        <v>8383.9612534499993</v>
      </c>
      <c r="G203" s="491">
        <v>3781.0231516499998</v>
      </c>
      <c r="H203" s="491">
        <v>293.43864387000002</v>
      </c>
    </row>
    <row r="204" spans="1:8">
      <c r="A204">
        <v>2025</v>
      </c>
      <c r="B204" t="s">
        <v>141</v>
      </c>
      <c r="C204" t="s">
        <v>648</v>
      </c>
      <c r="D204" t="s">
        <v>661</v>
      </c>
      <c r="E204" t="s">
        <v>623</v>
      </c>
      <c r="F204" s="491">
        <v>8383.9612534499993</v>
      </c>
      <c r="G204" s="491">
        <v>6986.6343778800001</v>
      </c>
      <c r="H204" s="491">
        <v>293.43864387000002</v>
      </c>
    </row>
    <row r="205" spans="1:8">
      <c r="A205">
        <v>2025</v>
      </c>
      <c r="B205" t="s">
        <v>141</v>
      </c>
      <c r="C205" t="s">
        <v>648</v>
      </c>
      <c r="D205" t="s">
        <v>722</v>
      </c>
      <c r="E205" t="s">
        <v>723</v>
      </c>
      <c r="F205" s="491">
        <v>0</v>
      </c>
      <c r="G205" s="491">
        <v>0</v>
      </c>
      <c r="H205" s="491">
        <v>0</v>
      </c>
    </row>
    <row r="206" spans="1:8">
      <c r="A206">
        <v>2025</v>
      </c>
      <c r="B206" t="s">
        <v>141</v>
      </c>
      <c r="C206" t="s">
        <v>650</v>
      </c>
      <c r="D206" t="s">
        <v>145</v>
      </c>
      <c r="E206" t="s">
        <v>626</v>
      </c>
      <c r="F206" s="491">
        <v>4826.9748506699998</v>
      </c>
      <c r="G206" s="491">
        <v>1734</v>
      </c>
      <c r="H206" s="491">
        <v>4826.9748506699998</v>
      </c>
    </row>
    <row r="207" spans="1:8">
      <c r="A207">
        <v>2025</v>
      </c>
      <c r="B207" t="s">
        <v>141</v>
      </c>
      <c r="C207" t="s">
        <v>650</v>
      </c>
      <c r="D207" t="s">
        <v>146</v>
      </c>
      <c r="E207" t="s">
        <v>627</v>
      </c>
      <c r="F207" s="491">
        <v>4826.9748506699998</v>
      </c>
      <c r="G207" s="491">
        <v>1734</v>
      </c>
      <c r="H207" s="491">
        <v>482.69748507000003</v>
      </c>
    </row>
    <row r="208" spans="1:8">
      <c r="A208">
        <v>2025</v>
      </c>
      <c r="B208" t="s">
        <v>141</v>
      </c>
      <c r="C208" t="s">
        <v>650</v>
      </c>
      <c r="D208" t="s">
        <v>660</v>
      </c>
      <c r="E208" t="s">
        <v>628</v>
      </c>
      <c r="F208" s="491">
        <v>4826.9748506699998</v>
      </c>
      <c r="G208" s="491">
        <v>1734</v>
      </c>
      <c r="H208" s="491">
        <v>482.69748507000003</v>
      </c>
    </row>
    <row r="209" spans="1:8">
      <c r="A209">
        <v>2025</v>
      </c>
      <c r="B209" t="s">
        <v>141</v>
      </c>
      <c r="C209" t="s">
        <v>650</v>
      </c>
      <c r="D209" t="s">
        <v>661</v>
      </c>
      <c r="E209" t="s">
        <v>629</v>
      </c>
      <c r="F209" s="491">
        <v>4826.9748506699998</v>
      </c>
      <c r="G209" s="491">
        <v>0</v>
      </c>
      <c r="H209" s="491">
        <v>482.69748507000003</v>
      </c>
    </row>
    <row r="210" spans="1:8">
      <c r="A210">
        <v>2025</v>
      </c>
      <c r="B210" t="s">
        <v>141</v>
      </c>
      <c r="C210" t="s">
        <v>650</v>
      </c>
      <c r="D210" t="s">
        <v>722</v>
      </c>
      <c r="E210" t="s">
        <v>725</v>
      </c>
      <c r="F210" s="491">
        <v>0</v>
      </c>
      <c r="G210" s="491">
        <v>0</v>
      </c>
      <c r="H210" s="491">
        <v>0</v>
      </c>
    </row>
    <row r="211" spans="1:8">
      <c r="A211">
        <v>2025</v>
      </c>
      <c r="B211" t="s">
        <v>2422</v>
      </c>
      <c r="C211" t="s">
        <v>2423</v>
      </c>
      <c r="D211" t="s">
        <v>2424</v>
      </c>
      <c r="E211" t="s">
        <v>2351</v>
      </c>
      <c r="F211" s="491">
        <v>278400</v>
      </c>
      <c r="G211" s="491">
        <v>0</v>
      </c>
      <c r="H211" s="491">
        <v>278400</v>
      </c>
    </row>
    <row r="212" spans="1:8">
      <c r="A212">
        <v>2025</v>
      </c>
      <c r="B212" t="s">
        <v>2422</v>
      </c>
      <c r="C212" t="s">
        <v>2448</v>
      </c>
      <c r="D212" t="s">
        <v>2429</v>
      </c>
      <c r="E212" t="s">
        <v>2452</v>
      </c>
      <c r="F212" s="491">
        <v>30695.403831719999</v>
      </c>
      <c r="G212" s="491">
        <v>15347.70191586</v>
      </c>
      <c r="H212" s="491">
        <v>0</v>
      </c>
    </row>
    <row r="213" spans="1:8">
      <c r="A213">
        <v>2025</v>
      </c>
      <c r="B213" t="s">
        <v>2422</v>
      </c>
      <c r="C213" t="s">
        <v>2448</v>
      </c>
      <c r="D213" t="s">
        <v>2440</v>
      </c>
      <c r="E213" t="s">
        <v>2447</v>
      </c>
      <c r="F213" s="491">
        <v>227624.96861372999</v>
      </c>
      <c r="G213" s="491">
        <v>111536.23462073</v>
      </c>
      <c r="H213" s="491">
        <v>4552.4993722700001</v>
      </c>
    </row>
    <row r="214" spans="1:8">
      <c r="A214">
        <v>2025</v>
      </c>
      <c r="B214" t="s">
        <v>2422</v>
      </c>
      <c r="C214" t="s">
        <v>2434</v>
      </c>
      <c r="D214" t="s">
        <v>2429</v>
      </c>
      <c r="E214" t="s">
        <v>2433</v>
      </c>
      <c r="F214" s="491">
        <v>0</v>
      </c>
      <c r="G214" s="491">
        <v>0</v>
      </c>
      <c r="H214" s="491">
        <v>0</v>
      </c>
    </row>
    <row r="215" spans="1:8">
      <c r="A215">
        <v>2025</v>
      </c>
      <c r="B215" t="s">
        <v>2422</v>
      </c>
      <c r="C215" t="s">
        <v>2439</v>
      </c>
      <c r="D215" t="s">
        <v>2429</v>
      </c>
      <c r="E215" t="s">
        <v>2444</v>
      </c>
      <c r="F215" s="491">
        <v>61908.221737649998</v>
      </c>
      <c r="G215" s="491">
        <v>30954.11086882</v>
      </c>
      <c r="H215" s="491">
        <v>0</v>
      </c>
    </row>
    <row r="216" spans="1:8">
      <c r="A216">
        <v>2025</v>
      </c>
      <c r="B216" t="s">
        <v>2422</v>
      </c>
      <c r="C216" t="s">
        <v>2439</v>
      </c>
      <c r="D216" t="s">
        <v>2440</v>
      </c>
      <c r="E216" t="s">
        <v>2438</v>
      </c>
      <c r="F216" s="491">
        <v>19627.767888459999</v>
      </c>
      <c r="G216" s="491">
        <v>9617.6062653400004</v>
      </c>
      <c r="H216" s="491">
        <v>392.55535777</v>
      </c>
    </row>
    <row r="217" spans="1:8">
      <c r="A217">
        <v>2025</v>
      </c>
      <c r="B217" t="s">
        <v>2422</v>
      </c>
      <c r="C217" t="s">
        <v>2428</v>
      </c>
      <c r="D217" t="s">
        <v>2429</v>
      </c>
      <c r="E217" t="s">
        <v>2353</v>
      </c>
      <c r="F217" s="491">
        <v>0</v>
      </c>
      <c r="G217" s="491">
        <v>0</v>
      </c>
      <c r="H217" s="491">
        <v>0</v>
      </c>
    </row>
    <row r="218" spans="1:8">
      <c r="A218">
        <v>2025</v>
      </c>
      <c r="B218" t="s">
        <v>132</v>
      </c>
      <c r="C218" t="s">
        <v>132</v>
      </c>
      <c r="D218" t="s">
        <v>288</v>
      </c>
      <c r="E218" t="s">
        <v>26</v>
      </c>
      <c r="F218" s="491">
        <v>0.80816334000000001</v>
      </c>
      <c r="G218" s="491">
        <v>0.56571433999999998</v>
      </c>
      <c r="H218" s="491"/>
    </row>
    <row r="219" spans="1:8">
      <c r="A219">
        <v>2025</v>
      </c>
      <c r="B219" t="s">
        <v>680</v>
      </c>
      <c r="C219" t="s">
        <v>911</v>
      </c>
      <c r="D219" t="s">
        <v>751</v>
      </c>
      <c r="E219" t="s">
        <v>750</v>
      </c>
      <c r="F219" s="491">
        <v>0</v>
      </c>
      <c r="G219" s="491">
        <v>0</v>
      </c>
      <c r="H219" s="491"/>
    </row>
    <row r="220" spans="1:8">
      <c r="A220">
        <v>2025</v>
      </c>
      <c r="B220" t="s">
        <v>680</v>
      </c>
      <c r="C220" t="s">
        <v>911</v>
      </c>
      <c r="D220" t="s">
        <v>1270</v>
      </c>
      <c r="E220" t="s">
        <v>1660</v>
      </c>
      <c r="F220" s="491">
        <v>0</v>
      </c>
      <c r="G220" s="491">
        <v>0</v>
      </c>
      <c r="H220" s="491"/>
    </row>
    <row r="221" spans="1:8">
      <c r="A221">
        <v>2025</v>
      </c>
      <c r="B221" t="s">
        <v>680</v>
      </c>
      <c r="C221" t="s">
        <v>911</v>
      </c>
      <c r="D221" t="s">
        <v>913</v>
      </c>
      <c r="E221" t="s">
        <v>912</v>
      </c>
      <c r="F221" s="491">
        <v>4801.2417897699997</v>
      </c>
      <c r="G221" s="491">
        <v>0</v>
      </c>
      <c r="H221" s="491"/>
    </row>
    <row r="222" spans="1:8">
      <c r="A222">
        <v>2025</v>
      </c>
      <c r="B222" t="s">
        <v>680</v>
      </c>
      <c r="C222" t="s">
        <v>911</v>
      </c>
      <c r="D222" t="s">
        <v>869</v>
      </c>
      <c r="E222" t="s">
        <v>752</v>
      </c>
      <c r="F222" s="491">
        <v>288.59559538000002</v>
      </c>
      <c r="G222" s="491">
        <v>144.29779769000001</v>
      </c>
      <c r="H222" s="491"/>
    </row>
    <row r="223" spans="1:8">
      <c r="A223">
        <v>2025</v>
      </c>
      <c r="B223" t="s">
        <v>2729</v>
      </c>
      <c r="C223" t="s">
        <v>2312</v>
      </c>
      <c r="D223" t="s">
        <v>2107</v>
      </c>
      <c r="E223" t="s">
        <v>2315</v>
      </c>
      <c r="F223" s="491">
        <v>153.22939796</v>
      </c>
      <c r="G223" s="491"/>
      <c r="H223" s="491"/>
    </row>
    <row r="224" spans="1:8">
      <c r="A224">
        <v>2025</v>
      </c>
      <c r="B224" t="s">
        <v>2729</v>
      </c>
      <c r="C224" t="s">
        <v>2301</v>
      </c>
      <c r="D224" t="s">
        <v>2107</v>
      </c>
      <c r="E224" t="s">
        <v>2106</v>
      </c>
      <c r="F224" s="491">
        <v>8219.9009559499991</v>
      </c>
      <c r="G224" s="491"/>
      <c r="H224" s="491"/>
    </row>
    <row r="225" spans="1:8">
      <c r="A225">
        <v>2025</v>
      </c>
      <c r="B225" t="s">
        <v>2729</v>
      </c>
      <c r="C225" t="s">
        <v>2319</v>
      </c>
      <c r="D225" t="s">
        <v>2107</v>
      </c>
      <c r="E225" t="s">
        <v>2322</v>
      </c>
      <c r="F225" s="491">
        <v>278.03671801000002</v>
      </c>
      <c r="G225" s="491"/>
      <c r="H225" s="491"/>
    </row>
    <row r="226" spans="1:8">
      <c r="A226">
        <v>2025</v>
      </c>
      <c r="B226" t="s">
        <v>2729</v>
      </c>
      <c r="C226" t="s">
        <v>2306</v>
      </c>
      <c r="D226" t="s">
        <v>2107</v>
      </c>
      <c r="E226" t="s">
        <v>2110</v>
      </c>
      <c r="F226" s="491">
        <v>1803.37331849</v>
      </c>
      <c r="G226" s="491"/>
      <c r="H226" s="491"/>
    </row>
    <row r="227" spans="1:8">
      <c r="A227">
        <v>2025</v>
      </c>
      <c r="B227" t="s">
        <v>2729</v>
      </c>
      <c r="C227" t="s">
        <v>1254</v>
      </c>
      <c r="D227" t="s">
        <v>1275</v>
      </c>
      <c r="E227" t="s">
        <v>1586</v>
      </c>
      <c r="F227" s="491">
        <v>7928.6004129800003</v>
      </c>
      <c r="G227" s="491"/>
      <c r="H227" s="491"/>
    </row>
    <row r="228" spans="1:8">
      <c r="A228">
        <v>2025</v>
      </c>
      <c r="B228" t="s">
        <v>2729</v>
      </c>
      <c r="C228" t="s">
        <v>1255</v>
      </c>
      <c r="D228" t="s">
        <v>1275</v>
      </c>
      <c r="E228" t="s">
        <v>1587</v>
      </c>
      <c r="F228" s="491">
        <v>137741.48724756</v>
      </c>
      <c r="G228" s="491"/>
      <c r="H228" s="491"/>
    </row>
    <row r="229" spans="1:8">
      <c r="A229">
        <v>2025</v>
      </c>
      <c r="B229" t="s">
        <v>134</v>
      </c>
      <c r="C229" t="s">
        <v>241</v>
      </c>
      <c r="D229" t="s">
        <v>288</v>
      </c>
      <c r="E229" t="s">
        <v>341</v>
      </c>
      <c r="F229" s="491">
        <v>0</v>
      </c>
      <c r="G229" s="491">
        <v>0</v>
      </c>
      <c r="H229" s="491">
        <v>0</v>
      </c>
    </row>
    <row r="230" spans="1:8">
      <c r="A230">
        <v>2025</v>
      </c>
      <c r="B230" t="s">
        <v>134</v>
      </c>
      <c r="C230" t="s">
        <v>254</v>
      </c>
      <c r="D230" t="s">
        <v>288</v>
      </c>
      <c r="E230" t="s">
        <v>362</v>
      </c>
      <c r="F230" s="491">
        <v>0</v>
      </c>
      <c r="G230" s="491">
        <v>0</v>
      </c>
      <c r="H230" s="491">
        <v>0</v>
      </c>
    </row>
    <row r="231" spans="1:8">
      <c r="A231">
        <v>2025</v>
      </c>
      <c r="B231" t="s">
        <v>1969</v>
      </c>
      <c r="C231" t="s">
        <v>250</v>
      </c>
      <c r="D231" t="s">
        <v>302</v>
      </c>
      <c r="E231" t="s">
        <v>58</v>
      </c>
      <c r="F231" s="491">
        <v>12996.256502259999</v>
      </c>
      <c r="G231" s="491"/>
      <c r="H231" s="491"/>
    </row>
    <row r="232" spans="1:8">
      <c r="A232">
        <v>2025</v>
      </c>
      <c r="B232" t="s">
        <v>1969</v>
      </c>
      <c r="C232" t="s">
        <v>250</v>
      </c>
      <c r="D232" t="s">
        <v>311</v>
      </c>
      <c r="E232" t="s">
        <v>1611</v>
      </c>
      <c r="F232" s="491">
        <v>0</v>
      </c>
      <c r="G232" s="491"/>
      <c r="H232" s="491"/>
    </row>
    <row r="233" spans="1:8">
      <c r="A233">
        <v>2025</v>
      </c>
      <c r="B233" t="s">
        <v>1969</v>
      </c>
      <c r="C233" t="s">
        <v>250</v>
      </c>
      <c r="D233" t="s">
        <v>695</v>
      </c>
      <c r="E233" t="s">
        <v>1612</v>
      </c>
      <c r="F233" s="491">
        <v>0</v>
      </c>
      <c r="G233" s="491"/>
      <c r="H233" s="491"/>
    </row>
    <row r="234" spans="1:8">
      <c r="A234">
        <v>2025</v>
      </c>
      <c r="B234" t="s">
        <v>1969</v>
      </c>
      <c r="C234" t="s">
        <v>250</v>
      </c>
      <c r="D234" t="s">
        <v>697</v>
      </c>
      <c r="E234" t="s">
        <v>1613</v>
      </c>
      <c r="F234" s="491">
        <v>0</v>
      </c>
      <c r="G234" s="491"/>
      <c r="H234" s="491"/>
    </row>
    <row r="235" spans="1:8">
      <c r="A235">
        <v>2025</v>
      </c>
      <c r="B235" t="s">
        <v>1969</v>
      </c>
      <c r="C235" t="s">
        <v>253</v>
      </c>
      <c r="D235" t="s">
        <v>298</v>
      </c>
      <c r="E235" t="s">
        <v>359</v>
      </c>
      <c r="F235" s="491">
        <v>0</v>
      </c>
      <c r="G235" s="491"/>
      <c r="H235" s="491"/>
    </row>
    <row r="236" spans="1:8">
      <c r="A236">
        <v>2025</v>
      </c>
      <c r="B236" t="s">
        <v>1969</v>
      </c>
      <c r="C236" t="s">
        <v>253</v>
      </c>
      <c r="D236" t="s">
        <v>299</v>
      </c>
      <c r="E236" t="s">
        <v>360</v>
      </c>
      <c r="F236" s="491">
        <v>0</v>
      </c>
      <c r="G236" s="491"/>
      <c r="H236" s="491"/>
    </row>
    <row r="237" spans="1:8">
      <c r="A237">
        <v>2025</v>
      </c>
      <c r="B237" t="s">
        <v>1969</v>
      </c>
      <c r="C237" t="s">
        <v>253</v>
      </c>
      <c r="D237" t="s">
        <v>300</v>
      </c>
      <c r="E237" t="s">
        <v>361</v>
      </c>
      <c r="F237" s="491">
        <v>0</v>
      </c>
      <c r="G237" s="491"/>
      <c r="H237" s="491"/>
    </row>
    <row r="238" spans="1:8">
      <c r="A238">
        <v>2025</v>
      </c>
      <c r="B238" t="s">
        <v>1969</v>
      </c>
      <c r="C238" t="s">
        <v>253</v>
      </c>
      <c r="D238" t="s">
        <v>301</v>
      </c>
      <c r="E238" t="s">
        <v>867</v>
      </c>
      <c r="F238" s="491">
        <v>0</v>
      </c>
      <c r="G238" s="491"/>
      <c r="H238" s="491"/>
    </row>
    <row r="239" spans="1:8">
      <c r="A239">
        <v>2025</v>
      </c>
      <c r="B239" t="s">
        <v>1969</v>
      </c>
      <c r="C239" t="s">
        <v>253</v>
      </c>
      <c r="D239" t="s">
        <v>302</v>
      </c>
      <c r="E239" t="s">
        <v>70</v>
      </c>
      <c r="F239" s="491">
        <v>2029.6713465600001</v>
      </c>
      <c r="G239" s="491"/>
      <c r="H239" s="491"/>
    </row>
    <row r="240" spans="1:8">
      <c r="A240">
        <v>2025</v>
      </c>
      <c r="B240" t="s">
        <v>1969</v>
      </c>
      <c r="C240" t="s">
        <v>253</v>
      </c>
      <c r="D240" t="s">
        <v>311</v>
      </c>
      <c r="E240" t="s">
        <v>966</v>
      </c>
      <c r="F240" s="491">
        <v>0</v>
      </c>
      <c r="G240" s="491"/>
      <c r="H240" s="491"/>
    </row>
    <row r="241" spans="1:8">
      <c r="A241">
        <v>2025</v>
      </c>
      <c r="B241" t="s">
        <v>1969</v>
      </c>
      <c r="C241" t="s">
        <v>258</v>
      </c>
      <c r="D241" t="s">
        <v>302</v>
      </c>
      <c r="E241" t="s">
        <v>59</v>
      </c>
      <c r="F241" s="491">
        <v>2365.1078618500001</v>
      </c>
      <c r="G241" s="491"/>
      <c r="H241" s="491"/>
    </row>
    <row r="242" spans="1:8">
      <c r="A242">
        <v>2025</v>
      </c>
      <c r="B242" t="s">
        <v>1969</v>
      </c>
      <c r="C242" t="s">
        <v>258</v>
      </c>
      <c r="D242" t="s">
        <v>311</v>
      </c>
      <c r="E242" t="s">
        <v>60</v>
      </c>
      <c r="F242" s="491">
        <v>2365.1078618500001</v>
      </c>
      <c r="G242" s="491"/>
      <c r="H242" s="491"/>
    </row>
    <row r="243" spans="1:8">
      <c r="A243">
        <v>2025</v>
      </c>
      <c r="B243" t="s">
        <v>1969</v>
      </c>
      <c r="C243" t="s">
        <v>258</v>
      </c>
      <c r="D243" t="s">
        <v>695</v>
      </c>
      <c r="E243" t="s">
        <v>1617</v>
      </c>
      <c r="F243" s="491">
        <v>0</v>
      </c>
      <c r="G243" s="491"/>
      <c r="H243" s="491"/>
    </row>
    <row r="244" spans="1:8">
      <c r="A244">
        <v>2025</v>
      </c>
      <c r="B244" t="s">
        <v>1969</v>
      </c>
      <c r="C244" t="s">
        <v>258</v>
      </c>
      <c r="D244" t="s">
        <v>697</v>
      </c>
      <c r="E244" t="s">
        <v>1618</v>
      </c>
      <c r="F244" s="491">
        <v>0</v>
      </c>
      <c r="G244" s="491"/>
      <c r="H244" s="491"/>
    </row>
    <row r="245" spans="1:8">
      <c r="A245">
        <v>2025</v>
      </c>
      <c r="B245" t="s">
        <v>1969</v>
      </c>
      <c r="C245" t="s">
        <v>261</v>
      </c>
      <c r="D245" t="s">
        <v>308</v>
      </c>
      <c r="E245" t="s">
        <v>371</v>
      </c>
      <c r="F245" s="491">
        <v>0</v>
      </c>
      <c r="G245" s="491"/>
      <c r="H245" s="491"/>
    </row>
    <row r="246" spans="1:8">
      <c r="A246">
        <v>2025</v>
      </c>
      <c r="B246" t="s">
        <v>1969</v>
      </c>
      <c r="C246" t="s">
        <v>261</v>
      </c>
      <c r="D246" t="s">
        <v>309</v>
      </c>
      <c r="E246" t="s">
        <v>372</v>
      </c>
      <c r="F246" s="491">
        <v>0</v>
      </c>
      <c r="G246" s="491"/>
      <c r="H246" s="491"/>
    </row>
    <row r="247" spans="1:8">
      <c r="A247">
        <v>2025</v>
      </c>
      <c r="B247" t="s">
        <v>1969</v>
      </c>
      <c r="C247" t="s">
        <v>261</v>
      </c>
      <c r="D247" t="s">
        <v>310</v>
      </c>
      <c r="E247" t="s">
        <v>373</v>
      </c>
      <c r="F247" s="491">
        <v>0</v>
      </c>
      <c r="G247" s="491"/>
      <c r="H247" s="491"/>
    </row>
    <row r="248" spans="1:8">
      <c r="A248">
        <v>2025</v>
      </c>
      <c r="B248" t="s">
        <v>1969</v>
      </c>
      <c r="C248" t="s">
        <v>261</v>
      </c>
      <c r="D248" t="s">
        <v>302</v>
      </c>
      <c r="E248" t="s">
        <v>71</v>
      </c>
      <c r="F248" s="491">
        <v>1369.65549698</v>
      </c>
      <c r="G248" s="491"/>
      <c r="H248" s="491"/>
    </row>
    <row r="249" spans="1:8">
      <c r="A249">
        <v>2025</v>
      </c>
      <c r="B249" t="s">
        <v>1969</v>
      </c>
      <c r="C249" t="s">
        <v>261</v>
      </c>
      <c r="D249" t="s">
        <v>311</v>
      </c>
      <c r="E249" t="s">
        <v>967</v>
      </c>
      <c r="F249" s="491">
        <v>1369.65549698</v>
      </c>
      <c r="G249" s="491"/>
      <c r="H249" s="491"/>
    </row>
    <row r="250" spans="1:8">
      <c r="A250">
        <v>2025</v>
      </c>
      <c r="B250" t="s">
        <v>1969</v>
      </c>
      <c r="C250" t="s">
        <v>264</v>
      </c>
      <c r="D250" t="s">
        <v>653</v>
      </c>
      <c r="E250" t="s">
        <v>81</v>
      </c>
      <c r="F250" s="491">
        <v>0</v>
      </c>
      <c r="G250" s="491"/>
      <c r="H250" s="491"/>
    </row>
    <row r="251" spans="1:8">
      <c r="A251">
        <v>2025</v>
      </c>
      <c r="B251" t="s">
        <v>1969</v>
      </c>
      <c r="C251" t="s">
        <v>264</v>
      </c>
      <c r="D251" t="s">
        <v>1005</v>
      </c>
      <c r="E251" t="s">
        <v>61</v>
      </c>
      <c r="F251" s="491">
        <v>9542.0955471800007</v>
      </c>
      <c r="G251" s="491"/>
      <c r="H251" s="491"/>
    </row>
    <row r="252" spans="1:8">
      <c r="A252">
        <v>2025</v>
      </c>
      <c r="B252" t="s">
        <v>1969</v>
      </c>
      <c r="C252" t="s">
        <v>264</v>
      </c>
      <c r="D252" t="s">
        <v>740</v>
      </c>
      <c r="E252" t="s">
        <v>62</v>
      </c>
      <c r="F252" s="491">
        <v>9523.0974271699997</v>
      </c>
      <c r="G252" s="491"/>
      <c r="H252" s="491"/>
    </row>
    <row r="253" spans="1:8">
      <c r="A253">
        <v>2025</v>
      </c>
      <c r="B253" t="s">
        <v>1969</v>
      </c>
      <c r="C253" t="s">
        <v>264</v>
      </c>
      <c r="D253" t="s">
        <v>1271</v>
      </c>
      <c r="E253" t="s">
        <v>1619</v>
      </c>
      <c r="F253" s="491">
        <v>0</v>
      </c>
      <c r="G253" s="491"/>
      <c r="H253" s="491"/>
    </row>
    <row r="254" spans="1:8">
      <c r="A254">
        <v>2025</v>
      </c>
      <c r="B254" t="s">
        <v>1969</v>
      </c>
      <c r="C254" t="s">
        <v>264</v>
      </c>
      <c r="D254" t="s">
        <v>1272</v>
      </c>
      <c r="E254" t="s">
        <v>1620</v>
      </c>
      <c r="F254" s="491">
        <v>0</v>
      </c>
      <c r="G254" s="491"/>
      <c r="H254" s="491"/>
    </row>
    <row r="255" spans="1:8">
      <c r="A255">
        <v>2025</v>
      </c>
      <c r="B255" t="s">
        <v>1969</v>
      </c>
      <c r="C255" t="s">
        <v>267</v>
      </c>
      <c r="D255" t="s">
        <v>315</v>
      </c>
      <c r="E255" t="s">
        <v>382</v>
      </c>
      <c r="F255" s="491">
        <v>0</v>
      </c>
      <c r="G255" s="491"/>
      <c r="H255" s="491"/>
    </row>
    <row r="256" spans="1:8">
      <c r="A256">
        <v>2025</v>
      </c>
      <c r="B256" t="s">
        <v>1969</v>
      </c>
      <c r="C256" t="s">
        <v>267</v>
      </c>
      <c r="D256" t="s">
        <v>965</v>
      </c>
      <c r="E256" t="s">
        <v>968</v>
      </c>
      <c r="F256" s="491">
        <v>0</v>
      </c>
      <c r="G256" s="491"/>
      <c r="H256" s="491"/>
    </row>
    <row r="257" spans="1:8">
      <c r="A257">
        <v>2025</v>
      </c>
      <c r="B257" t="s">
        <v>1969</v>
      </c>
      <c r="C257" t="s">
        <v>267</v>
      </c>
      <c r="D257" t="s">
        <v>653</v>
      </c>
      <c r="E257" t="s">
        <v>615</v>
      </c>
      <c r="F257" s="491">
        <v>0</v>
      </c>
      <c r="G257" s="491"/>
      <c r="H257" s="491"/>
    </row>
    <row r="258" spans="1:8">
      <c r="A258">
        <v>2025</v>
      </c>
      <c r="B258" t="s">
        <v>1969</v>
      </c>
      <c r="C258" t="s">
        <v>267</v>
      </c>
      <c r="D258" t="s">
        <v>1005</v>
      </c>
      <c r="E258" t="s">
        <v>866</v>
      </c>
      <c r="F258" s="491">
        <v>2887.2787053000002</v>
      </c>
      <c r="G258" s="491"/>
      <c r="H258" s="491"/>
    </row>
    <row r="259" spans="1:8">
      <c r="A259">
        <v>2025</v>
      </c>
      <c r="B259" t="s">
        <v>1969</v>
      </c>
      <c r="C259" t="s">
        <v>267</v>
      </c>
      <c r="D259" t="s">
        <v>740</v>
      </c>
      <c r="E259" t="s">
        <v>971</v>
      </c>
      <c r="F259" s="491">
        <v>2881.5301915599998</v>
      </c>
      <c r="G259" s="491"/>
      <c r="H259" s="491"/>
    </row>
    <row r="260" spans="1:8">
      <c r="A260">
        <v>2025</v>
      </c>
      <c r="B260" t="s">
        <v>1969</v>
      </c>
      <c r="C260" t="s">
        <v>281</v>
      </c>
      <c r="D260" t="s">
        <v>328</v>
      </c>
      <c r="E260" t="s">
        <v>64</v>
      </c>
      <c r="F260" s="491">
        <v>0</v>
      </c>
      <c r="G260" s="491"/>
      <c r="H260" s="491"/>
    </row>
    <row r="261" spans="1:8">
      <c r="A261">
        <v>2025</v>
      </c>
      <c r="B261" t="s">
        <v>1969</v>
      </c>
      <c r="C261" t="s">
        <v>281</v>
      </c>
      <c r="D261" t="s">
        <v>705</v>
      </c>
      <c r="E261" t="s">
        <v>399</v>
      </c>
      <c r="F261" s="491">
        <v>18386.98804095</v>
      </c>
      <c r="G261" s="491"/>
      <c r="H261" s="491"/>
    </row>
    <row r="262" spans="1:8">
      <c r="A262">
        <v>2025</v>
      </c>
      <c r="B262" t="s">
        <v>1969</v>
      </c>
      <c r="C262" t="s">
        <v>281</v>
      </c>
      <c r="D262" t="s">
        <v>708</v>
      </c>
      <c r="E262" t="s">
        <v>1621</v>
      </c>
      <c r="F262" s="491">
        <v>0</v>
      </c>
      <c r="G262" s="491"/>
      <c r="H262" s="491"/>
    </row>
    <row r="263" spans="1:8">
      <c r="A263">
        <v>2025</v>
      </c>
      <c r="B263" t="s">
        <v>1969</v>
      </c>
      <c r="C263" t="s">
        <v>281</v>
      </c>
      <c r="D263" t="s">
        <v>709</v>
      </c>
      <c r="E263" t="s">
        <v>1622</v>
      </c>
      <c r="F263" s="491">
        <v>0</v>
      </c>
      <c r="G263" s="491"/>
      <c r="H263" s="491"/>
    </row>
    <row r="264" spans="1:8">
      <c r="A264">
        <v>2025</v>
      </c>
      <c r="B264" t="s">
        <v>1969</v>
      </c>
      <c r="C264" t="s">
        <v>284</v>
      </c>
      <c r="D264" t="s">
        <v>324</v>
      </c>
      <c r="E264" t="s">
        <v>405</v>
      </c>
      <c r="F264" s="491">
        <v>0</v>
      </c>
      <c r="G264" s="491"/>
      <c r="H264" s="491"/>
    </row>
    <row r="265" spans="1:8">
      <c r="A265">
        <v>2025</v>
      </c>
      <c r="B265" t="s">
        <v>1969</v>
      </c>
      <c r="C265" t="s">
        <v>284</v>
      </c>
      <c r="D265" t="s">
        <v>325</v>
      </c>
      <c r="E265" t="s">
        <v>406</v>
      </c>
      <c r="F265" s="491">
        <v>0</v>
      </c>
      <c r="G265" s="491"/>
      <c r="H265" s="491"/>
    </row>
    <row r="266" spans="1:8">
      <c r="A266">
        <v>2025</v>
      </c>
      <c r="B266" t="s">
        <v>1969</v>
      </c>
      <c r="C266" t="s">
        <v>284</v>
      </c>
      <c r="D266" t="s">
        <v>326</v>
      </c>
      <c r="E266" t="s">
        <v>407</v>
      </c>
      <c r="F266" s="491">
        <v>0</v>
      </c>
      <c r="G266" s="491"/>
      <c r="H266" s="491"/>
    </row>
    <row r="267" spans="1:8">
      <c r="A267">
        <v>2025</v>
      </c>
      <c r="B267" t="s">
        <v>1969</v>
      </c>
      <c r="C267" t="s">
        <v>284</v>
      </c>
      <c r="D267" t="s">
        <v>327</v>
      </c>
      <c r="E267" t="s">
        <v>68</v>
      </c>
      <c r="F267" s="491">
        <v>0</v>
      </c>
      <c r="G267" s="491"/>
      <c r="H267" s="491"/>
    </row>
    <row r="268" spans="1:8">
      <c r="A268">
        <v>2025</v>
      </c>
      <c r="B268" t="s">
        <v>1969</v>
      </c>
      <c r="C268" t="s">
        <v>284</v>
      </c>
      <c r="D268" t="s">
        <v>328</v>
      </c>
      <c r="E268" t="s">
        <v>69</v>
      </c>
      <c r="F268" s="491">
        <v>0</v>
      </c>
      <c r="G268" s="491"/>
      <c r="H268" s="491"/>
    </row>
    <row r="269" spans="1:8">
      <c r="A269">
        <v>2025</v>
      </c>
      <c r="B269" t="s">
        <v>1969</v>
      </c>
      <c r="C269" t="s">
        <v>284</v>
      </c>
      <c r="D269" t="s">
        <v>705</v>
      </c>
      <c r="E269" t="s">
        <v>972</v>
      </c>
      <c r="F269" s="491">
        <v>6179.4166657899996</v>
      </c>
      <c r="G269" s="491"/>
      <c r="H269" s="491"/>
    </row>
    <row r="270" spans="1:8">
      <c r="A270">
        <v>2025</v>
      </c>
      <c r="B270" t="s">
        <v>142</v>
      </c>
      <c r="C270" t="s">
        <v>236</v>
      </c>
      <c r="D270" t="s">
        <v>987</v>
      </c>
      <c r="E270" t="s">
        <v>334</v>
      </c>
      <c r="F270" s="491">
        <v>190289.31323075999</v>
      </c>
      <c r="G270" s="491"/>
      <c r="H270" s="491"/>
    </row>
    <row r="271" spans="1:8">
      <c r="A271">
        <v>2025</v>
      </c>
      <c r="B271" t="s">
        <v>142</v>
      </c>
      <c r="C271" t="s">
        <v>236</v>
      </c>
      <c r="D271" t="s">
        <v>780</v>
      </c>
      <c r="E271" t="s">
        <v>1093</v>
      </c>
      <c r="F271" s="491">
        <v>38831.371142169999</v>
      </c>
      <c r="G271" s="491"/>
      <c r="H271" s="491"/>
    </row>
    <row r="272" spans="1:8">
      <c r="A272">
        <v>2025</v>
      </c>
      <c r="B272" t="s">
        <v>142</v>
      </c>
      <c r="C272" t="s">
        <v>980</v>
      </c>
      <c r="D272" t="s">
        <v>981</v>
      </c>
      <c r="E272" t="s">
        <v>979</v>
      </c>
      <c r="F272" s="491">
        <v>164854.57182270999</v>
      </c>
      <c r="G272" s="491">
        <v>9619.7748761799994</v>
      </c>
      <c r="H272" s="491">
        <v>0</v>
      </c>
    </row>
    <row r="273" spans="1:8">
      <c r="A273">
        <v>2025</v>
      </c>
      <c r="B273" t="s">
        <v>142</v>
      </c>
      <c r="C273" t="s">
        <v>980</v>
      </c>
      <c r="D273" t="s">
        <v>780</v>
      </c>
      <c r="E273" t="s">
        <v>1632</v>
      </c>
      <c r="F273" s="491">
        <v>193164.22710516999</v>
      </c>
      <c r="G273" s="491">
        <v>0</v>
      </c>
      <c r="H273" s="491">
        <v>0</v>
      </c>
    </row>
    <row r="274" spans="1:8">
      <c r="A274">
        <v>2025</v>
      </c>
      <c r="B274" t="s">
        <v>142</v>
      </c>
      <c r="C274" t="s">
        <v>980</v>
      </c>
      <c r="D274" t="s">
        <v>902</v>
      </c>
      <c r="E274" t="s">
        <v>982</v>
      </c>
      <c r="F274" s="491">
        <v>3393.7429148000001</v>
      </c>
      <c r="G274" s="491">
        <v>339.37429148000001</v>
      </c>
      <c r="H274" s="491">
        <v>0</v>
      </c>
    </row>
    <row r="275" spans="1:8">
      <c r="A275">
        <v>2025</v>
      </c>
      <c r="B275" t="s">
        <v>142</v>
      </c>
      <c r="C275" t="s">
        <v>980</v>
      </c>
      <c r="D275" t="s">
        <v>903</v>
      </c>
      <c r="E275" t="s">
        <v>983</v>
      </c>
      <c r="F275" s="491">
        <v>0</v>
      </c>
      <c r="G275" s="491">
        <v>0</v>
      </c>
      <c r="H275" s="491">
        <v>0</v>
      </c>
    </row>
    <row r="276" spans="1:8">
      <c r="A276">
        <v>2025</v>
      </c>
      <c r="B276" t="s">
        <v>142</v>
      </c>
      <c r="C276" t="s">
        <v>980</v>
      </c>
      <c r="D276" t="s">
        <v>904</v>
      </c>
      <c r="E276" t="s">
        <v>984</v>
      </c>
      <c r="F276" s="491">
        <v>3386.70569028</v>
      </c>
      <c r="G276" s="491">
        <v>338.67056903000002</v>
      </c>
      <c r="H276" s="491">
        <v>0</v>
      </c>
    </row>
    <row r="277" spans="1:8">
      <c r="A277">
        <v>2025</v>
      </c>
      <c r="B277" t="s">
        <v>142</v>
      </c>
      <c r="C277" t="s">
        <v>980</v>
      </c>
      <c r="D277" t="s">
        <v>905</v>
      </c>
      <c r="E277" t="s">
        <v>985</v>
      </c>
      <c r="F277" s="491">
        <v>0</v>
      </c>
      <c r="G277" s="491">
        <v>0</v>
      </c>
      <c r="H277" s="491">
        <v>0</v>
      </c>
    </row>
    <row r="278" spans="1:8">
      <c r="A278">
        <v>2025</v>
      </c>
      <c r="B278" t="s">
        <v>142</v>
      </c>
      <c r="C278" t="s">
        <v>980</v>
      </c>
      <c r="D278" t="s">
        <v>906</v>
      </c>
      <c r="E278" t="s">
        <v>986</v>
      </c>
      <c r="F278" s="491">
        <v>7.0372245199999997</v>
      </c>
      <c r="G278" s="491">
        <v>0.70372245</v>
      </c>
      <c r="H278" s="491">
        <v>0</v>
      </c>
    </row>
    <row r="279" spans="1:8">
      <c r="A279">
        <v>2025</v>
      </c>
      <c r="B279" t="s">
        <v>142</v>
      </c>
      <c r="C279" t="s">
        <v>144</v>
      </c>
      <c r="D279" t="s">
        <v>743</v>
      </c>
      <c r="E279" t="s">
        <v>93</v>
      </c>
      <c r="F279" s="491">
        <v>533.63802644999998</v>
      </c>
      <c r="G279" s="491"/>
      <c r="H279" s="491"/>
    </row>
    <row r="280" spans="1:8">
      <c r="A280">
        <v>2025</v>
      </c>
      <c r="B280" t="s">
        <v>142</v>
      </c>
      <c r="C280" t="s">
        <v>144</v>
      </c>
      <c r="D280" t="s">
        <v>1006</v>
      </c>
      <c r="E280" t="s">
        <v>94</v>
      </c>
      <c r="F280" s="491">
        <v>170895.35669784999</v>
      </c>
      <c r="G280" s="491">
        <v>0</v>
      </c>
      <c r="H280" s="491"/>
    </row>
    <row r="281" spans="1:8">
      <c r="A281">
        <v>2025</v>
      </c>
      <c r="B281" t="s">
        <v>142</v>
      </c>
      <c r="C281" t="s">
        <v>144</v>
      </c>
      <c r="D281" t="s">
        <v>1007</v>
      </c>
      <c r="E281" t="s">
        <v>95</v>
      </c>
      <c r="F281" s="491">
        <v>0</v>
      </c>
      <c r="G281" s="491">
        <v>0</v>
      </c>
      <c r="H281" s="491"/>
    </row>
    <row r="282" spans="1:8">
      <c r="A282">
        <v>2025</v>
      </c>
      <c r="B282" t="s">
        <v>142</v>
      </c>
      <c r="C282" t="s">
        <v>144</v>
      </c>
      <c r="D282" t="s">
        <v>780</v>
      </c>
      <c r="E282" t="s">
        <v>127</v>
      </c>
      <c r="F282" s="491">
        <v>399.10954821000001</v>
      </c>
      <c r="G282" s="491">
        <v>0</v>
      </c>
      <c r="H282" s="491"/>
    </row>
    <row r="283" spans="1:8">
      <c r="A283">
        <v>2025</v>
      </c>
      <c r="B283" t="s">
        <v>142</v>
      </c>
      <c r="C283" t="s">
        <v>240</v>
      </c>
      <c r="D283" t="s">
        <v>743</v>
      </c>
      <c r="E283" t="s">
        <v>230</v>
      </c>
      <c r="F283" s="491">
        <v>55096.356031900003</v>
      </c>
      <c r="G283" s="491">
        <v>0</v>
      </c>
      <c r="H283" s="491"/>
    </row>
    <row r="284" spans="1:8">
      <c r="A284">
        <v>2025</v>
      </c>
      <c r="B284" t="s">
        <v>142</v>
      </c>
      <c r="C284" t="s">
        <v>240</v>
      </c>
      <c r="D284" t="s">
        <v>909</v>
      </c>
      <c r="E284" t="s">
        <v>231</v>
      </c>
      <c r="F284" s="491">
        <v>0</v>
      </c>
      <c r="G284" s="491"/>
      <c r="H284" s="491"/>
    </row>
    <row r="285" spans="1:8">
      <c r="A285">
        <v>2025</v>
      </c>
      <c r="B285" t="s">
        <v>142</v>
      </c>
      <c r="C285" t="s">
        <v>240</v>
      </c>
      <c r="D285" t="s">
        <v>908</v>
      </c>
      <c r="E285" t="s">
        <v>229</v>
      </c>
      <c r="F285" s="491">
        <v>94429.582003079995</v>
      </c>
      <c r="G285" s="491">
        <v>0</v>
      </c>
      <c r="H285" s="491"/>
    </row>
    <row r="286" spans="1:8">
      <c r="A286">
        <v>2025</v>
      </c>
      <c r="B286" t="s">
        <v>142</v>
      </c>
      <c r="C286" t="s">
        <v>240</v>
      </c>
      <c r="D286" t="s">
        <v>780</v>
      </c>
      <c r="E286" t="s">
        <v>1235</v>
      </c>
      <c r="F286" s="491">
        <v>175530.44899758001</v>
      </c>
      <c r="G286" s="491">
        <v>0</v>
      </c>
      <c r="H286" s="491"/>
    </row>
    <row r="287" spans="1:8">
      <c r="A287">
        <v>2025</v>
      </c>
      <c r="B287" t="s">
        <v>142</v>
      </c>
      <c r="C287" t="s">
        <v>749</v>
      </c>
      <c r="D287" t="s">
        <v>865</v>
      </c>
      <c r="E287" t="s">
        <v>103</v>
      </c>
      <c r="F287" s="491">
        <v>1401.25849636</v>
      </c>
      <c r="G287" s="491">
        <v>0</v>
      </c>
      <c r="H287" s="491"/>
    </row>
    <row r="288" spans="1:8">
      <c r="A288">
        <v>2025</v>
      </c>
      <c r="B288" t="s">
        <v>142</v>
      </c>
      <c r="C288" t="s">
        <v>749</v>
      </c>
      <c r="D288" t="s">
        <v>854</v>
      </c>
      <c r="E288" t="s">
        <v>104</v>
      </c>
      <c r="F288" s="491">
        <v>2E-8</v>
      </c>
      <c r="G288" s="491">
        <v>0</v>
      </c>
      <c r="H288" s="491"/>
    </row>
    <row r="289" spans="1:8">
      <c r="A289">
        <v>2025</v>
      </c>
      <c r="B289" t="s">
        <v>142</v>
      </c>
      <c r="C289" t="s">
        <v>749</v>
      </c>
      <c r="D289" t="s">
        <v>780</v>
      </c>
      <c r="E289" t="s">
        <v>102</v>
      </c>
      <c r="F289" s="491">
        <v>15945.595503660001</v>
      </c>
      <c r="G289" s="491"/>
      <c r="H289" s="491"/>
    </row>
    <row r="290" spans="1:8">
      <c r="A290">
        <v>2025</v>
      </c>
      <c r="B290" t="s">
        <v>142</v>
      </c>
      <c r="C290" t="s">
        <v>741</v>
      </c>
      <c r="D290" t="s">
        <v>865</v>
      </c>
      <c r="E290" t="s">
        <v>110</v>
      </c>
      <c r="F290" s="491">
        <v>4606.7026029799999</v>
      </c>
      <c r="G290" s="491">
        <v>0</v>
      </c>
      <c r="H290" s="491"/>
    </row>
    <row r="291" spans="1:8">
      <c r="A291">
        <v>2025</v>
      </c>
      <c r="B291" t="s">
        <v>142</v>
      </c>
      <c r="C291" t="s">
        <v>741</v>
      </c>
      <c r="D291" t="s">
        <v>854</v>
      </c>
      <c r="E291" t="s">
        <v>342</v>
      </c>
      <c r="F291" s="491">
        <v>2.9999999999999997E-8</v>
      </c>
      <c r="G291" s="491">
        <v>0</v>
      </c>
      <c r="H291" s="491"/>
    </row>
    <row r="292" spans="1:8">
      <c r="A292">
        <v>2025</v>
      </c>
      <c r="B292" t="s">
        <v>142</v>
      </c>
      <c r="C292" t="s">
        <v>741</v>
      </c>
      <c r="D292" t="s">
        <v>780</v>
      </c>
      <c r="E292" t="s">
        <v>111</v>
      </c>
      <c r="F292" s="491">
        <v>51716.980785530002</v>
      </c>
      <c r="G292" s="491"/>
      <c r="H292" s="491"/>
    </row>
    <row r="293" spans="1:8">
      <c r="A293">
        <v>2025</v>
      </c>
      <c r="B293" t="s">
        <v>142</v>
      </c>
      <c r="C293" t="s">
        <v>748</v>
      </c>
      <c r="D293" t="s">
        <v>865</v>
      </c>
      <c r="E293" t="s">
        <v>112</v>
      </c>
      <c r="F293" s="491">
        <v>18537.567895889999</v>
      </c>
      <c r="G293" s="491">
        <v>0</v>
      </c>
      <c r="H293" s="491"/>
    </row>
    <row r="294" spans="1:8">
      <c r="A294">
        <v>2025</v>
      </c>
      <c r="B294" t="s">
        <v>142</v>
      </c>
      <c r="C294" t="s">
        <v>748</v>
      </c>
      <c r="D294" t="s">
        <v>854</v>
      </c>
      <c r="E294" t="s">
        <v>988</v>
      </c>
      <c r="F294" s="491">
        <v>4.9999999999999998E-8</v>
      </c>
      <c r="G294" s="491">
        <v>0</v>
      </c>
      <c r="H294" s="491"/>
    </row>
    <row r="295" spans="1:8">
      <c r="A295">
        <v>2025</v>
      </c>
      <c r="B295" t="s">
        <v>142</v>
      </c>
      <c r="C295" t="s">
        <v>748</v>
      </c>
      <c r="D295" t="s">
        <v>780</v>
      </c>
      <c r="E295" t="s">
        <v>1652</v>
      </c>
      <c r="F295" s="491">
        <v>36462.432104129999</v>
      </c>
      <c r="G295" s="491"/>
      <c r="H295" s="491"/>
    </row>
    <row r="296" spans="1:8">
      <c r="A296">
        <v>2025</v>
      </c>
      <c r="B296" t="s">
        <v>142</v>
      </c>
      <c r="C296" t="s">
        <v>748</v>
      </c>
      <c r="D296" t="s">
        <v>286</v>
      </c>
      <c r="E296" t="s">
        <v>395</v>
      </c>
      <c r="F296" s="491">
        <v>0</v>
      </c>
      <c r="G296" s="491"/>
      <c r="H296" s="491"/>
    </row>
    <row r="297" spans="1:8">
      <c r="A297">
        <v>2025</v>
      </c>
      <c r="B297" t="s">
        <v>142</v>
      </c>
      <c r="C297" t="s">
        <v>270</v>
      </c>
      <c r="D297" t="s">
        <v>151</v>
      </c>
      <c r="E297" t="s">
        <v>389</v>
      </c>
      <c r="F297" s="491">
        <v>122282.90566249999</v>
      </c>
      <c r="G297" s="491">
        <v>0</v>
      </c>
      <c r="H297" s="491"/>
    </row>
    <row r="298" spans="1:8">
      <c r="A298">
        <v>2025</v>
      </c>
      <c r="B298" t="s">
        <v>142</v>
      </c>
      <c r="C298" t="s">
        <v>270</v>
      </c>
      <c r="D298" t="s">
        <v>865</v>
      </c>
      <c r="E298" t="s">
        <v>388</v>
      </c>
      <c r="F298" s="491">
        <v>133130.29412914999</v>
      </c>
      <c r="G298" s="491">
        <v>0</v>
      </c>
      <c r="H298" s="491"/>
    </row>
    <row r="299" spans="1:8">
      <c r="A299">
        <v>2025</v>
      </c>
      <c r="B299" t="s">
        <v>142</v>
      </c>
      <c r="C299" t="s">
        <v>270</v>
      </c>
      <c r="D299" t="s">
        <v>780</v>
      </c>
      <c r="E299" t="s">
        <v>1628</v>
      </c>
      <c r="F299" s="491">
        <v>4.0000000000000001E-8</v>
      </c>
      <c r="G299" s="491">
        <v>0</v>
      </c>
      <c r="H299" s="491"/>
    </row>
    <row r="300" spans="1:8">
      <c r="A300">
        <v>2025</v>
      </c>
      <c r="B300" t="s">
        <v>142</v>
      </c>
      <c r="C300" t="s">
        <v>271</v>
      </c>
      <c r="D300" t="s">
        <v>2346</v>
      </c>
      <c r="E300" t="s">
        <v>91</v>
      </c>
      <c r="F300" s="491">
        <v>146584.15342299</v>
      </c>
      <c r="G300" s="491">
        <v>0</v>
      </c>
      <c r="H300" s="491"/>
    </row>
    <row r="301" spans="1:8">
      <c r="A301">
        <v>2025</v>
      </c>
      <c r="B301" t="s">
        <v>142</v>
      </c>
      <c r="C301" t="s">
        <v>271</v>
      </c>
      <c r="D301" t="s">
        <v>780</v>
      </c>
      <c r="E301" t="s">
        <v>1653</v>
      </c>
      <c r="F301" s="491">
        <v>71971.449342509994</v>
      </c>
      <c r="G301" s="491">
        <v>0</v>
      </c>
      <c r="H301" s="491"/>
    </row>
    <row r="302" spans="1:8">
      <c r="A302">
        <v>2025</v>
      </c>
      <c r="B302" t="s">
        <v>142</v>
      </c>
      <c r="C302" t="s">
        <v>271</v>
      </c>
      <c r="D302" t="s">
        <v>286</v>
      </c>
      <c r="E302" t="s">
        <v>92</v>
      </c>
      <c r="F302" s="491">
        <v>0</v>
      </c>
      <c r="G302" s="491">
        <v>0</v>
      </c>
      <c r="H302" s="491"/>
    </row>
    <row r="303" spans="1:8">
      <c r="A303">
        <v>2025</v>
      </c>
      <c r="B303" t="s">
        <v>142</v>
      </c>
      <c r="C303" t="s">
        <v>272</v>
      </c>
      <c r="D303" t="s">
        <v>151</v>
      </c>
      <c r="E303" t="s">
        <v>391</v>
      </c>
      <c r="F303" s="491">
        <v>14338.45725569</v>
      </c>
      <c r="G303" s="491">
        <v>0</v>
      </c>
      <c r="H303" s="491"/>
    </row>
    <row r="304" spans="1:8">
      <c r="A304">
        <v>2025</v>
      </c>
      <c r="B304" t="s">
        <v>142</v>
      </c>
      <c r="C304" t="s">
        <v>272</v>
      </c>
      <c r="D304" t="s">
        <v>865</v>
      </c>
      <c r="E304" t="s">
        <v>390</v>
      </c>
      <c r="F304" s="491">
        <v>10832.25600827</v>
      </c>
      <c r="G304" s="491">
        <v>0</v>
      </c>
      <c r="H304" s="491"/>
    </row>
    <row r="305" spans="1:8">
      <c r="A305">
        <v>2025</v>
      </c>
      <c r="B305" t="s">
        <v>142</v>
      </c>
      <c r="C305" t="s">
        <v>272</v>
      </c>
      <c r="D305" t="s">
        <v>780</v>
      </c>
      <c r="E305" t="s">
        <v>1630</v>
      </c>
      <c r="F305" s="491">
        <v>57487.280196139996</v>
      </c>
      <c r="G305" s="491">
        <v>0</v>
      </c>
      <c r="H305" s="491"/>
    </row>
    <row r="306" spans="1:8">
      <c r="A306">
        <v>2025</v>
      </c>
      <c r="B306" t="s">
        <v>142</v>
      </c>
      <c r="C306" t="s">
        <v>439</v>
      </c>
      <c r="D306" t="s">
        <v>151</v>
      </c>
      <c r="E306" t="s">
        <v>910</v>
      </c>
      <c r="F306" s="491">
        <v>21906.906597739999</v>
      </c>
      <c r="G306" s="491"/>
      <c r="H306" s="491"/>
    </row>
    <row r="307" spans="1:8">
      <c r="A307">
        <v>2025</v>
      </c>
      <c r="B307" t="s">
        <v>142</v>
      </c>
      <c r="C307" t="s">
        <v>439</v>
      </c>
      <c r="D307" t="s">
        <v>744</v>
      </c>
      <c r="E307" t="s">
        <v>116</v>
      </c>
      <c r="F307" s="491">
        <v>13158.112453240001</v>
      </c>
      <c r="G307" s="491"/>
      <c r="H307" s="491"/>
    </row>
    <row r="308" spans="1:8">
      <c r="A308">
        <v>2025</v>
      </c>
      <c r="B308" t="s">
        <v>142</v>
      </c>
      <c r="C308" t="s">
        <v>439</v>
      </c>
      <c r="D308" t="s">
        <v>780</v>
      </c>
      <c r="E308" t="s">
        <v>1649</v>
      </c>
      <c r="F308" s="491">
        <v>1845.52731847</v>
      </c>
      <c r="G308" s="491"/>
      <c r="H308" s="491"/>
    </row>
    <row r="309" spans="1:8">
      <c r="A309">
        <v>2025</v>
      </c>
      <c r="B309" t="s">
        <v>142</v>
      </c>
      <c r="C309" t="s">
        <v>2095</v>
      </c>
      <c r="D309" t="s">
        <v>2096</v>
      </c>
      <c r="E309" t="s">
        <v>82</v>
      </c>
      <c r="F309" s="491">
        <v>788603.49061218998</v>
      </c>
      <c r="G309" s="491"/>
      <c r="H309" s="491">
        <v>471646.70398692001</v>
      </c>
    </row>
    <row r="310" spans="1:8">
      <c r="A310">
        <v>2025</v>
      </c>
      <c r="B310" t="s">
        <v>142</v>
      </c>
      <c r="C310" t="s">
        <v>2102</v>
      </c>
      <c r="D310" t="s">
        <v>2096</v>
      </c>
      <c r="E310" t="s">
        <v>2101</v>
      </c>
      <c r="F310" s="491">
        <v>788603.49061218998</v>
      </c>
      <c r="G310" s="491"/>
      <c r="H310" s="491">
        <v>471646.70398692001</v>
      </c>
    </row>
    <row r="311" spans="1:8">
      <c r="A311">
        <v>2025</v>
      </c>
      <c r="B311" t="s">
        <v>844</v>
      </c>
      <c r="C311" t="s">
        <v>1950</v>
      </c>
      <c r="D311" t="s">
        <v>145</v>
      </c>
      <c r="E311" t="s">
        <v>2339</v>
      </c>
      <c r="F311" s="491">
        <v>0</v>
      </c>
      <c r="G311" s="491">
        <v>0</v>
      </c>
      <c r="H311" s="491">
        <v>0</v>
      </c>
    </row>
    <row r="312" spans="1:8">
      <c r="A312">
        <v>2025</v>
      </c>
      <c r="B312" t="s">
        <v>1101</v>
      </c>
      <c r="C312" t="s">
        <v>1013</v>
      </c>
      <c r="D312" t="s">
        <v>288</v>
      </c>
      <c r="E312" t="s">
        <v>1001</v>
      </c>
      <c r="F312" s="491">
        <v>2565.6572603099999</v>
      </c>
      <c r="G312" s="491">
        <v>0</v>
      </c>
      <c r="H312" s="491">
        <v>0</v>
      </c>
    </row>
    <row r="313" spans="1:8">
      <c r="A313">
        <v>2025</v>
      </c>
      <c r="B313" t="s">
        <v>1101</v>
      </c>
      <c r="C313" t="s">
        <v>1011</v>
      </c>
      <c r="D313" t="s">
        <v>145</v>
      </c>
      <c r="E313" t="s">
        <v>998</v>
      </c>
      <c r="F313" s="491">
        <v>22.463999999999999</v>
      </c>
      <c r="G313" s="491">
        <v>0</v>
      </c>
      <c r="H313" s="491">
        <v>0</v>
      </c>
    </row>
    <row r="314" spans="1:8">
      <c r="A314">
        <v>2025</v>
      </c>
      <c r="B314" t="s">
        <v>1101</v>
      </c>
      <c r="C314" t="s">
        <v>1011</v>
      </c>
      <c r="D314" t="s">
        <v>146</v>
      </c>
      <c r="E314" t="s">
        <v>999</v>
      </c>
      <c r="F314" s="491">
        <v>29</v>
      </c>
      <c r="G314" s="491">
        <v>0</v>
      </c>
      <c r="H314" s="491">
        <v>0</v>
      </c>
    </row>
    <row r="315" spans="1:8">
      <c r="A315">
        <v>2025</v>
      </c>
      <c r="B315" t="s">
        <v>1101</v>
      </c>
      <c r="C315" t="s">
        <v>1011</v>
      </c>
      <c r="D315" t="s">
        <v>660</v>
      </c>
      <c r="E315" t="s">
        <v>1000</v>
      </c>
      <c r="F315" s="491">
        <v>89.855999999999995</v>
      </c>
      <c r="G315" s="491">
        <v>0.17671234999999999</v>
      </c>
      <c r="H315" s="491">
        <v>0</v>
      </c>
    </row>
    <row r="316" spans="1:8">
      <c r="A316">
        <v>2025</v>
      </c>
      <c r="B316" t="s">
        <v>1101</v>
      </c>
      <c r="C316" t="s">
        <v>1009</v>
      </c>
      <c r="D316" t="s">
        <v>145</v>
      </c>
      <c r="E316" t="s">
        <v>993</v>
      </c>
      <c r="F316" s="491">
        <v>6.9119999999999999</v>
      </c>
      <c r="G316" s="491">
        <v>0</v>
      </c>
      <c r="H316" s="491">
        <v>0</v>
      </c>
    </row>
    <row r="317" spans="1:8">
      <c r="A317">
        <v>2025</v>
      </c>
      <c r="B317" t="s">
        <v>1101</v>
      </c>
      <c r="C317" t="s">
        <v>1009</v>
      </c>
      <c r="D317" t="s">
        <v>146</v>
      </c>
      <c r="E317" t="s">
        <v>994</v>
      </c>
      <c r="F317" s="491">
        <v>347.32799999999997</v>
      </c>
      <c r="G317" s="491">
        <v>0</v>
      </c>
      <c r="H317" s="491">
        <v>0</v>
      </c>
    </row>
    <row r="318" spans="1:8">
      <c r="A318">
        <v>2025</v>
      </c>
      <c r="B318" t="s">
        <v>1101</v>
      </c>
      <c r="C318" t="s">
        <v>1092</v>
      </c>
      <c r="D318" t="s">
        <v>145</v>
      </c>
      <c r="E318" t="s">
        <v>1002</v>
      </c>
      <c r="F318" s="491">
        <v>477.67114845999998</v>
      </c>
      <c r="G318" s="491">
        <v>0</v>
      </c>
      <c r="H318" s="491">
        <v>0</v>
      </c>
    </row>
    <row r="319" spans="1:8">
      <c r="A319">
        <v>2025</v>
      </c>
      <c r="B319" t="s">
        <v>1101</v>
      </c>
      <c r="C319" t="s">
        <v>1092</v>
      </c>
      <c r="D319" t="s">
        <v>146</v>
      </c>
      <c r="E319" t="s">
        <v>1003</v>
      </c>
      <c r="F319" s="491">
        <v>542.33405502000005</v>
      </c>
      <c r="G319" s="491">
        <v>0</v>
      </c>
      <c r="H319" s="491">
        <v>0</v>
      </c>
    </row>
    <row r="320" spans="1:8">
      <c r="A320">
        <v>2025</v>
      </c>
      <c r="B320" t="s">
        <v>1101</v>
      </c>
      <c r="C320" t="s">
        <v>1010</v>
      </c>
      <c r="D320" t="s">
        <v>145</v>
      </c>
      <c r="E320" t="s">
        <v>995</v>
      </c>
      <c r="F320" s="491">
        <v>1368.576</v>
      </c>
      <c r="G320" s="491">
        <v>0</v>
      </c>
      <c r="H320" s="491">
        <v>0</v>
      </c>
    </row>
    <row r="321" spans="1:8">
      <c r="A321">
        <v>2025</v>
      </c>
      <c r="B321" t="s">
        <v>1101</v>
      </c>
      <c r="C321" t="s">
        <v>1010</v>
      </c>
      <c r="D321" t="s">
        <v>146</v>
      </c>
      <c r="E321" t="s">
        <v>996</v>
      </c>
      <c r="F321" s="491">
        <v>1534.4639999999999</v>
      </c>
      <c r="G321" s="491">
        <v>0</v>
      </c>
      <c r="H321" s="491">
        <v>0</v>
      </c>
    </row>
    <row r="322" spans="1:8">
      <c r="A322">
        <v>2025</v>
      </c>
      <c r="B322" t="s">
        <v>1101</v>
      </c>
      <c r="C322" t="s">
        <v>1010</v>
      </c>
      <c r="D322" t="s">
        <v>660</v>
      </c>
      <c r="E322" t="s">
        <v>997</v>
      </c>
      <c r="F322" s="491">
        <v>4098.8159999999998</v>
      </c>
      <c r="G322" s="491">
        <v>3.2307400400000001</v>
      </c>
      <c r="H322" s="491">
        <v>0</v>
      </c>
    </row>
    <row r="323" spans="1:8">
      <c r="A323">
        <v>2025</v>
      </c>
      <c r="B323" t="s">
        <v>1101</v>
      </c>
      <c r="C323" t="s">
        <v>1008</v>
      </c>
      <c r="D323" t="s">
        <v>145</v>
      </c>
      <c r="E323" t="s">
        <v>991</v>
      </c>
      <c r="F323" s="491">
        <v>1800.576</v>
      </c>
      <c r="G323" s="491">
        <v>41.608796480000002</v>
      </c>
      <c r="H323" s="491">
        <v>0</v>
      </c>
    </row>
    <row r="324" spans="1:8">
      <c r="A324">
        <v>2025</v>
      </c>
      <c r="B324" t="s">
        <v>1101</v>
      </c>
      <c r="C324" t="s">
        <v>1008</v>
      </c>
      <c r="D324" t="s">
        <v>146</v>
      </c>
      <c r="E324" t="s">
        <v>992</v>
      </c>
      <c r="F324" s="491">
        <v>7001.8559999999998</v>
      </c>
      <c r="G324" s="491">
        <v>0</v>
      </c>
      <c r="H324" s="491">
        <v>0</v>
      </c>
    </row>
    <row r="325" spans="1:8">
      <c r="A325">
        <v>2026</v>
      </c>
      <c r="B325" t="s">
        <v>2679</v>
      </c>
      <c r="C325" t="s">
        <v>251</v>
      </c>
      <c r="D325" t="s">
        <v>880</v>
      </c>
      <c r="E325" t="s">
        <v>879</v>
      </c>
      <c r="F325" s="491">
        <v>6583760.1857120702</v>
      </c>
      <c r="G325" s="491"/>
      <c r="H325" s="491"/>
    </row>
    <row r="326" spans="1:8">
      <c r="A326">
        <v>2026</v>
      </c>
      <c r="B326" t="s">
        <v>2679</v>
      </c>
      <c r="C326" t="s">
        <v>251</v>
      </c>
      <c r="D326" t="s">
        <v>881</v>
      </c>
      <c r="E326" t="s">
        <v>693</v>
      </c>
      <c r="F326" s="491">
        <v>5692209.32723023</v>
      </c>
      <c r="G326" s="491"/>
      <c r="H326" s="491"/>
    </row>
    <row r="327" spans="1:8">
      <c r="A327">
        <v>2026</v>
      </c>
      <c r="B327" t="s">
        <v>2679</v>
      </c>
      <c r="C327" t="s">
        <v>259</v>
      </c>
      <c r="D327" t="s">
        <v>884</v>
      </c>
      <c r="E327" t="s">
        <v>19</v>
      </c>
      <c r="F327" s="491">
        <v>3040037.64553844</v>
      </c>
      <c r="G327" s="491"/>
      <c r="H327" s="491"/>
    </row>
    <row r="328" spans="1:8">
      <c r="A328">
        <v>2026</v>
      </c>
      <c r="B328" t="s">
        <v>2679</v>
      </c>
      <c r="C328" t="s">
        <v>259</v>
      </c>
      <c r="D328" t="s">
        <v>886</v>
      </c>
      <c r="E328" t="s">
        <v>885</v>
      </c>
      <c r="F328" s="491">
        <v>3040037.64553844</v>
      </c>
      <c r="G328" s="491"/>
      <c r="H328" s="491"/>
    </row>
    <row r="329" spans="1:8">
      <c r="A329">
        <v>2026</v>
      </c>
      <c r="B329" t="s">
        <v>2679</v>
      </c>
      <c r="C329" t="s">
        <v>265</v>
      </c>
      <c r="D329" t="s">
        <v>962</v>
      </c>
      <c r="E329" t="s">
        <v>20</v>
      </c>
      <c r="F329" s="491">
        <v>0</v>
      </c>
      <c r="G329" s="491"/>
      <c r="H329" s="491"/>
    </row>
    <row r="330" spans="1:8">
      <c r="A330">
        <v>2026</v>
      </c>
      <c r="B330" t="s">
        <v>2679</v>
      </c>
      <c r="C330" t="s">
        <v>265</v>
      </c>
      <c r="D330" t="s">
        <v>2284</v>
      </c>
      <c r="E330" t="s">
        <v>890</v>
      </c>
      <c r="F330" s="491">
        <v>17906688.893446051</v>
      </c>
      <c r="G330" s="491"/>
      <c r="H330" s="491"/>
    </row>
    <row r="331" spans="1:8">
      <c r="A331">
        <v>2026</v>
      </c>
      <c r="B331" t="s">
        <v>2679</v>
      </c>
      <c r="C331" t="s">
        <v>265</v>
      </c>
      <c r="D331" t="s">
        <v>2287</v>
      </c>
      <c r="E331" t="s">
        <v>891</v>
      </c>
      <c r="F331" s="491">
        <v>16731562.43481366</v>
      </c>
      <c r="G331" s="491"/>
      <c r="H331" s="491"/>
    </row>
    <row r="332" spans="1:8">
      <c r="A332">
        <v>2026</v>
      </c>
      <c r="B332" t="s">
        <v>2679</v>
      </c>
      <c r="C332" t="s">
        <v>282</v>
      </c>
      <c r="D332" t="s">
        <v>895</v>
      </c>
      <c r="E332" t="s">
        <v>703</v>
      </c>
      <c r="F332" s="491">
        <v>36948329.762397438</v>
      </c>
      <c r="G332" s="491"/>
      <c r="H332" s="491"/>
    </row>
    <row r="333" spans="1:8">
      <c r="A333">
        <v>2026</v>
      </c>
      <c r="B333" t="s">
        <v>2679</v>
      </c>
      <c r="C333" t="s">
        <v>282</v>
      </c>
      <c r="D333" t="s">
        <v>896</v>
      </c>
      <c r="E333" t="s">
        <v>704</v>
      </c>
      <c r="F333" s="491">
        <v>1259602.15099082</v>
      </c>
      <c r="G333" s="491"/>
      <c r="H333" s="491"/>
    </row>
    <row r="334" spans="1:8">
      <c r="A334">
        <v>2026</v>
      </c>
      <c r="B334" t="s">
        <v>2677</v>
      </c>
      <c r="C334" t="s">
        <v>1254</v>
      </c>
      <c r="D334" t="s">
        <v>1276</v>
      </c>
      <c r="E334" t="s">
        <v>1624</v>
      </c>
      <c r="F334" s="491">
        <v>40916.793313319999</v>
      </c>
      <c r="G334" s="491"/>
      <c r="H334" s="491"/>
    </row>
    <row r="335" spans="1:8">
      <c r="A335">
        <v>2026</v>
      </c>
      <c r="B335" t="s">
        <v>2677</v>
      </c>
      <c r="C335" t="s">
        <v>1255</v>
      </c>
      <c r="D335" t="s">
        <v>1276</v>
      </c>
      <c r="E335" t="s">
        <v>1625</v>
      </c>
      <c r="F335" s="491">
        <v>53603.459843839999</v>
      </c>
      <c r="G335" s="491"/>
      <c r="H335" s="491"/>
    </row>
    <row r="336" spans="1:8">
      <c r="A336">
        <v>2026</v>
      </c>
      <c r="B336" t="s">
        <v>139</v>
      </c>
      <c r="C336" t="s">
        <v>243</v>
      </c>
      <c r="D336" t="s">
        <v>145</v>
      </c>
      <c r="E336" t="s">
        <v>48</v>
      </c>
      <c r="F336" s="491">
        <v>2643.7637255700001</v>
      </c>
      <c r="G336" s="491">
        <v>732.47952926999994</v>
      </c>
      <c r="H336" s="491">
        <v>0</v>
      </c>
    </row>
    <row r="337" spans="1:8">
      <c r="A337">
        <v>2026</v>
      </c>
      <c r="B337" t="s">
        <v>139</v>
      </c>
      <c r="C337" t="s">
        <v>244</v>
      </c>
      <c r="D337" t="s">
        <v>145</v>
      </c>
      <c r="E337" t="s">
        <v>49</v>
      </c>
      <c r="F337" s="491">
        <v>2310.4559510099998</v>
      </c>
      <c r="G337" s="491">
        <v>756.26003995999997</v>
      </c>
      <c r="H337" s="491">
        <v>0</v>
      </c>
    </row>
    <row r="338" spans="1:8">
      <c r="A338">
        <v>2026</v>
      </c>
      <c r="B338" t="s">
        <v>139</v>
      </c>
      <c r="C338" t="s">
        <v>245</v>
      </c>
      <c r="D338" t="s">
        <v>145</v>
      </c>
      <c r="E338" t="s">
        <v>47</v>
      </c>
      <c r="F338" s="491">
        <v>16542.689881480001</v>
      </c>
      <c r="G338" s="491">
        <v>5719.72570283</v>
      </c>
      <c r="H338" s="491">
        <v>0</v>
      </c>
    </row>
    <row r="339" spans="1:8">
      <c r="A339">
        <v>2026</v>
      </c>
      <c r="B339" t="s">
        <v>410</v>
      </c>
      <c r="C339" t="s">
        <v>250</v>
      </c>
      <c r="D339" t="s">
        <v>298</v>
      </c>
      <c r="E339" t="s">
        <v>351</v>
      </c>
      <c r="F339" s="491">
        <v>0</v>
      </c>
      <c r="G339" s="491"/>
      <c r="H339" s="491"/>
    </row>
    <row r="340" spans="1:8">
      <c r="A340">
        <v>2026</v>
      </c>
      <c r="B340" t="s">
        <v>410</v>
      </c>
      <c r="C340" t="s">
        <v>250</v>
      </c>
      <c r="D340" t="s">
        <v>299</v>
      </c>
      <c r="E340" t="s">
        <v>352</v>
      </c>
      <c r="F340" s="491">
        <v>0</v>
      </c>
      <c r="G340" s="491"/>
      <c r="H340" s="491"/>
    </row>
    <row r="341" spans="1:8">
      <c r="A341">
        <v>2026</v>
      </c>
      <c r="B341" t="s">
        <v>410</v>
      </c>
      <c r="C341" t="s">
        <v>250</v>
      </c>
      <c r="D341" t="s">
        <v>300</v>
      </c>
      <c r="E341" t="s">
        <v>353</v>
      </c>
      <c r="F341" s="491">
        <v>0</v>
      </c>
      <c r="G341" s="491"/>
      <c r="H341" s="491"/>
    </row>
    <row r="342" spans="1:8">
      <c r="A342">
        <v>2026</v>
      </c>
      <c r="B342" t="s">
        <v>410</v>
      </c>
      <c r="C342" t="s">
        <v>250</v>
      </c>
      <c r="D342" t="s">
        <v>301</v>
      </c>
      <c r="E342" t="s">
        <v>57</v>
      </c>
      <c r="F342" s="491">
        <v>0</v>
      </c>
      <c r="G342" s="491"/>
      <c r="H342" s="491"/>
    </row>
    <row r="343" spans="1:8">
      <c r="A343">
        <v>2026</v>
      </c>
      <c r="B343" t="s">
        <v>410</v>
      </c>
      <c r="C343" t="s">
        <v>258</v>
      </c>
      <c r="D343" t="s">
        <v>308</v>
      </c>
      <c r="E343" t="s">
        <v>364</v>
      </c>
      <c r="F343" s="491">
        <v>0</v>
      </c>
      <c r="G343" s="491"/>
      <c r="H343" s="491"/>
    </row>
    <row r="344" spans="1:8">
      <c r="A344">
        <v>2026</v>
      </c>
      <c r="B344" t="s">
        <v>410</v>
      </c>
      <c r="C344" t="s">
        <v>258</v>
      </c>
      <c r="D344" t="s">
        <v>309</v>
      </c>
      <c r="E344" t="s">
        <v>365</v>
      </c>
      <c r="F344" s="491">
        <v>0</v>
      </c>
      <c r="G344" s="491"/>
      <c r="H344" s="491"/>
    </row>
    <row r="345" spans="1:8">
      <c r="A345">
        <v>2026</v>
      </c>
      <c r="B345" t="s">
        <v>410</v>
      </c>
      <c r="C345" t="s">
        <v>258</v>
      </c>
      <c r="D345" t="s">
        <v>310</v>
      </c>
      <c r="E345" t="s">
        <v>366</v>
      </c>
      <c r="F345" s="491">
        <v>0</v>
      </c>
      <c r="G345" s="491"/>
      <c r="H345" s="491"/>
    </row>
    <row r="346" spans="1:8">
      <c r="A346">
        <v>2026</v>
      </c>
      <c r="B346" t="s">
        <v>410</v>
      </c>
      <c r="C346" t="s">
        <v>264</v>
      </c>
      <c r="D346" t="s">
        <v>315</v>
      </c>
      <c r="E346" t="s">
        <v>375</v>
      </c>
      <c r="F346" s="491">
        <v>0</v>
      </c>
      <c r="G346" s="491"/>
      <c r="H346" s="491"/>
    </row>
    <row r="347" spans="1:8">
      <c r="A347">
        <v>2026</v>
      </c>
      <c r="B347" t="s">
        <v>410</v>
      </c>
      <c r="C347" t="s">
        <v>264</v>
      </c>
      <c r="D347" t="s">
        <v>965</v>
      </c>
      <c r="E347" t="s">
        <v>376</v>
      </c>
      <c r="F347" s="491">
        <v>0</v>
      </c>
      <c r="G347" s="491"/>
      <c r="H347" s="491"/>
    </row>
    <row r="348" spans="1:8">
      <c r="A348">
        <v>2026</v>
      </c>
      <c r="B348" t="s">
        <v>410</v>
      </c>
      <c r="C348" t="s">
        <v>281</v>
      </c>
      <c r="D348" t="s">
        <v>324</v>
      </c>
      <c r="E348" t="s">
        <v>396</v>
      </c>
      <c r="F348" s="491">
        <v>0</v>
      </c>
      <c r="G348" s="491"/>
      <c r="H348" s="491"/>
    </row>
    <row r="349" spans="1:8">
      <c r="A349">
        <v>2026</v>
      </c>
      <c r="B349" t="s">
        <v>410</v>
      </c>
      <c r="C349" t="s">
        <v>281</v>
      </c>
      <c r="D349" t="s">
        <v>325</v>
      </c>
      <c r="E349" t="s">
        <v>397</v>
      </c>
      <c r="F349" s="491">
        <v>0</v>
      </c>
      <c r="G349" s="491"/>
      <c r="H349" s="491"/>
    </row>
    <row r="350" spans="1:8">
      <c r="A350">
        <v>2026</v>
      </c>
      <c r="B350" t="s">
        <v>410</v>
      </c>
      <c r="C350" t="s">
        <v>281</v>
      </c>
      <c r="D350" t="s">
        <v>326</v>
      </c>
      <c r="E350" t="s">
        <v>398</v>
      </c>
      <c r="F350" s="491">
        <v>0</v>
      </c>
      <c r="G350" s="491"/>
      <c r="H350" s="491"/>
    </row>
    <row r="351" spans="1:8">
      <c r="A351">
        <v>2026</v>
      </c>
      <c r="B351" t="s">
        <v>410</v>
      </c>
      <c r="C351" t="s">
        <v>281</v>
      </c>
      <c r="D351" t="s">
        <v>327</v>
      </c>
      <c r="E351" t="s">
        <v>63</v>
      </c>
      <c r="F351" s="491">
        <v>0</v>
      </c>
      <c r="G351" s="491"/>
      <c r="H351" s="491"/>
    </row>
    <row r="352" spans="1:8">
      <c r="A352">
        <v>2026</v>
      </c>
      <c r="B352" t="s">
        <v>141</v>
      </c>
      <c r="C352" t="s">
        <v>647</v>
      </c>
      <c r="D352" t="s">
        <v>145</v>
      </c>
      <c r="E352" t="s">
        <v>51</v>
      </c>
      <c r="F352" s="491">
        <v>24644.415839820002</v>
      </c>
      <c r="G352" s="491">
        <v>11681.11225685</v>
      </c>
      <c r="H352" s="491">
        <v>862.55455439000002</v>
      </c>
    </row>
    <row r="353" spans="1:8">
      <c r="A353">
        <v>2026</v>
      </c>
      <c r="B353" t="s">
        <v>141</v>
      </c>
      <c r="C353" t="s">
        <v>647</v>
      </c>
      <c r="D353" t="s">
        <v>146</v>
      </c>
      <c r="E353" t="s">
        <v>52</v>
      </c>
      <c r="F353" s="491">
        <v>24447.260513099998</v>
      </c>
      <c r="G353" s="491">
        <v>9875.7147296999992</v>
      </c>
      <c r="H353" s="491">
        <v>855.65411796000001</v>
      </c>
    </row>
    <row r="354" spans="1:8">
      <c r="A354">
        <v>2026</v>
      </c>
      <c r="B354" t="s">
        <v>141</v>
      </c>
      <c r="C354" t="s">
        <v>647</v>
      </c>
      <c r="D354" t="s">
        <v>660</v>
      </c>
      <c r="E354" t="s">
        <v>630</v>
      </c>
      <c r="F354" s="491">
        <v>24447.260513099998</v>
      </c>
      <c r="G354" s="491">
        <v>4889.45210262</v>
      </c>
      <c r="H354" s="491">
        <v>855.65411796000001</v>
      </c>
    </row>
    <row r="355" spans="1:8">
      <c r="A355">
        <v>2026</v>
      </c>
      <c r="B355" t="s">
        <v>141</v>
      </c>
      <c r="C355" t="s">
        <v>647</v>
      </c>
      <c r="D355" t="s">
        <v>661</v>
      </c>
      <c r="E355" t="s">
        <v>631</v>
      </c>
      <c r="F355" s="491">
        <v>24644.415839820002</v>
      </c>
      <c r="G355" s="491">
        <v>11628.841533999999</v>
      </c>
      <c r="H355" s="491">
        <v>862.55455439000002</v>
      </c>
    </row>
    <row r="356" spans="1:8">
      <c r="A356">
        <v>2026</v>
      </c>
      <c r="B356" t="s">
        <v>141</v>
      </c>
      <c r="C356" t="s">
        <v>647</v>
      </c>
      <c r="D356" t="s">
        <v>722</v>
      </c>
      <c r="E356" t="s">
        <v>721</v>
      </c>
      <c r="F356" s="491">
        <v>246.44415839999999</v>
      </c>
      <c r="G356" s="491">
        <v>111.14210101</v>
      </c>
      <c r="H356" s="491">
        <v>8.6255455399999992</v>
      </c>
    </row>
    <row r="357" spans="1:8">
      <c r="A357">
        <v>2026</v>
      </c>
      <c r="B357" t="s">
        <v>141</v>
      </c>
      <c r="C357" t="s">
        <v>649</v>
      </c>
      <c r="D357" t="s">
        <v>145</v>
      </c>
      <c r="E357" t="s">
        <v>612</v>
      </c>
      <c r="F357" s="491">
        <v>9459.2404764900002</v>
      </c>
      <c r="G357" s="491">
        <v>3250</v>
      </c>
      <c r="H357" s="491">
        <v>945.92404765000003</v>
      </c>
    </row>
    <row r="358" spans="1:8">
      <c r="A358">
        <v>2026</v>
      </c>
      <c r="B358" t="s">
        <v>141</v>
      </c>
      <c r="C358" t="s">
        <v>649</v>
      </c>
      <c r="D358" t="s">
        <v>146</v>
      </c>
      <c r="E358" t="s">
        <v>613</v>
      </c>
      <c r="F358" s="491">
        <v>9383.5665526800003</v>
      </c>
      <c r="G358" s="491">
        <v>3250</v>
      </c>
      <c r="H358" s="491">
        <v>938.35665527000003</v>
      </c>
    </row>
    <row r="359" spans="1:8">
      <c r="A359">
        <v>2026</v>
      </c>
      <c r="B359" t="s">
        <v>141</v>
      </c>
      <c r="C359" t="s">
        <v>649</v>
      </c>
      <c r="D359" t="s">
        <v>660</v>
      </c>
      <c r="E359" t="s">
        <v>624</v>
      </c>
      <c r="F359" s="491">
        <v>9383.5665526800003</v>
      </c>
      <c r="G359" s="491">
        <v>3250</v>
      </c>
      <c r="H359" s="491">
        <v>938.35665527000003</v>
      </c>
    </row>
    <row r="360" spans="1:8">
      <c r="A360">
        <v>2026</v>
      </c>
      <c r="B360" t="s">
        <v>141</v>
      </c>
      <c r="C360" t="s">
        <v>649</v>
      </c>
      <c r="D360" t="s">
        <v>661</v>
      </c>
      <c r="E360" t="s">
        <v>625</v>
      </c>
      <c r="F360" s="491">
        <v>9459.2404764900002</v>
      </c>
      <c r="G360" s="491">
        <v>0</v>
      </c>
      <c r="H360" s="491">
        <v>945.92404765000003</v>
      </c>
    </row>
    <row r="361" spans="1:8">
      <c r="A361">
        <v>2026</v>
      </c>
      <c r="B361" t="s">
        <v>141</v>
      </c>
      <c r="C361" t="s">
        <v>649</v>
      </c>
      <c r="D361" t="s">
        <v>722</v>
      </c>
      <c r="E361" t="s">
        <v>724</v>
      </c>
      <c r="F361" s="491">
        <v>94.592404759999994</v>
      </c>
      <c r="G361" s="491">
        <v>0</v>
      </c>
      <c r="H361" s="491">
        <v>9.4592404800000001</v>
      </c>
    </row>
    <row r="362" spans="1:8">
      <c r="A362">
        <v>2026</v>
      </c>
      <c r="B362" t="s">
        <v>141</v>
      </c>
      <c r="C362" t="s">
        <v>648</v>
      </c>
      <c r="D362" t="s">
        <v>145</v>
      </c>
      <c r="E362" t="s">
        <v>53</v>
      </c>
      <c r="F362" s="491">
        <v>9288.4648193499997</v>
      </c>
      <c r="G362" s="491">
        <v>4382.9030552200002</v>
      </c>
      <c r="H362" s="491">
        <v>9288.4648193499997</v>
      </c>
    </row>
    <row r="363" spans="1:8">
      <c r="A363">
        <v>2026</v>
      </c>
      <c r="B363" t="s">
        <v>141</v>
      </c>
      <c r="C363" t="s">
        <v>648</v>
      </c>
      <c r="D363" t="s">
        <v>146</v>
      </c>
      <c r="E363" t="s">
        <v>54</v>
      </c>
      <c r="F363" s="491">
        <v>9288.4648193499997</v>
      </c>
      <c r="G363" s="491">
        <v>4188.9387919999999</v>
      </c>
      <c r="H363" s="491">
        <v>325.09626867999998</v>
      </c>
    </row>
    <row r="364" spans="1:8">
      <c r="A364">
        <v>2026</v>
      </c>
      <c r="B364" t="s">
        <v>141</v>
      </c>
      <c r="C364" t="s">
        <v>648</v>
      </c>
      <c r="D364" t="s">
        <v>660</v>
      </c>
      <c r="E364" t="s">
        <v>622</v>
      </c>
      <c r="F364" s="491">
        <v>9288.4648193499997</v>
      </c>
      <c r="G364" s="491">
        <v>4188.9387919999999</v>
      </c>
      <c r="H364" s="491">
        <v>325.09626867999998</v>
      </c>
    </row>
    <row r="365" spans="1:8">
      <c r="A365">
        <v>2026</v>
      </c>
      <c r="B365" t="s">
        <v>141</v>
      </c>
      <c r="C365" t="s">
        <v>648</v>
      </c>
      <c r="D365" t="s">
        <v>661</v>
      </c>
      <c r="E365" t="s">
        <v>623</v>
      </c>
      <c r="F365" s="491">
        <v>9288.4648193499997</v>
      </c>
      <c r="G365" s="491">
        <v>7740.3873494600002</v>
      </c>
      <c r="H365" s="491">
        <v>325.09626867999998</v>
      </c>
    </row>
    <row r="366" spans="1:8">
      <c r="A366">
        <v>2026</v>
      </c>
      <c r="B366" t="s">
        <v>141</v>
      </c>
      <c r="C366" t="s">
        <v>648</v>
      </c>
      <c r="D366" t="s">
        <v>722</v>
      </c>
      <c r="E366" t="s">
        <v>723</v>
      </c>
      <c r="F366" s="491">
        <v>92.884648189999993</v>
      </c>
      <c r="G366" s="491">
        <v>0</v>
      </c>
      <c r="H366" s="491">
        <v>3.2509626900000002</v>
      </c>
    </row>
    <row r="367" spans="1:8">
      <c r="A367">
        <v>2026</v>
      </c>
      <c r="B367" t="s">
        <v>141</v>
      </c>
      <c r="C367" t="s">
        <v>650</v>
      </c>
      <c r="D367" t="s">
        <v>145</v>
      </c>
      <c r="E367" t="s">
        <v>626</v>
      </c>
      <c r="F367" s="491">
        <v>5110.1434833599997</v>
      </c>
      <c r="G367" s="491">
        <v>1734</v>
      </c>
      <c r="H367" s="491">
        <v>5110.1434833599997</v>
      </c>
    </row>
    <row r="368" spans="1:8">
      <c r="A368">
        <v>2026</v>
      </c>
      <c r="B368" t="s">
        <v>141</v>
      </c>
      <c r="C368" t="s">
        <v>650</v>
      </c>
      <c r="D368" t="s">
        <v>146</v>
      </c>
      <c r="E368" t="s">
        <v>627</v>
      </c>
      <c r="F368" s="491">
        <v>5110.1434833599997</v>
      </c>
      <c r="G368" s="491">
        <v>1734</v>
      </c>
      <c r="H368" s="491">
        <v>511.01434834000003</v>
      </c>
    </row>
    <row r="369" spans="1:8">
      <c r="A369">
        <v>2026</v>
      </c>
      <c r="B369" t="s">
        <v>141</v>
      </c>
      <c r="C369" t="s">
        <v>650</v>
      </c>
      <c r="D369" t="s">
        <v>660</v>
      </c>
      <c r="E369" t="s">
        <v>628</v>
      </c>
      <c r="F369" s="491">
        <v>5110.1434833599997</v>
      </c>
      <c r="G369" s="491">
        <v>1734</v>
      </c>
      <c r="H369" s="491">
        <v>511.01434834000003</v>
      </c>
    </row>
    <row r="370" spans="1:8">
      <c r="A370">
        <v>2026</v>
      </c>
      <c r="B370" t="s">
        <v>141</v>
      </c>
      <c r="C370" t="s">
        <v>650</v>
      </c>
      <c r="D370" t="s">
        <v>661</v>
      </c>
      <c r="E370" t="s">
        <v>629</v>
      </c>
      <c r="F370" s="491">
        <v>5110.1434833599997</v>
      </c>
      <c r="G370" s="491">
        <v>0</v>
      </c>
      <c r="H370" s="491">
        <v>511.01434834000003</v>
      </c>
    </row>
    <row r="371" spans="1:8">
      <c r="A371">
        <v>2026</v>
      </c>
      <c r="B371" t="s">
        <v>141</v>
      </c>
      <c r="C371" t="s">
        <v>650</v>
      </c>
      <c r="D371" t="s">
        <v>722</v>
      </c>
      <c r="E371" t="s">
        <v>725</v>
      </c>
      <c r="F371" s="491">
        <v>51.101434830000002</v>
      </c>
      <c r="G371" s="491">
        <v>0</v>
      </c>
      <c r="H371" s="491">
        <v>5.1101434799999996</v>
      </c>
    </row>
    <row r="372" spans="1:8">
      <c r="A372">
        <v>2026</v>
      </c>
      <c r="B372" t="s">
        <v>2422</v>
      </c>
      <c r="C372" t="s">
        <v>2423</v>
      </c>
      <c r="D372" t="s">
        <v>2424</v>
      </c>
      <c r="E372" t="s">
        <v>2351</v>
      </c>
      <c r="F372" s="491">
        <v>278400</v>
      </c>
      <c r="G372" s="491">
        <v>0</v>
      </c>
      <c r="H372" s="491">
        <v>278400</v>
      </c>
    </row>
    <row r="373" spans="1:8">
      <c r="A373">
        <v>2026</v>
      </c>
      <c r="B373" t="s">
        <v>2422</v>
      </c>
      <c r="C373" t="s">
        <v>2448</v>
      </c>
      <c r="D373" t="s">
        <v>2429</v>
      </c>
      <c r="E373" t="s">
        <v>2452</v>
      </c>
      <c r="F373" s="491">
        <v>52940.504201999996</v>
      </c>
      <c r="G373" s="491">
        <v>26470.252100999998</v>
      </c>
      <c r="H373" s="491">
        <v>0</v>
      </c>
    </row>
    <row r="374" spans="1:8">
      <c r="A374">
        <v>2026</v>
      </c>
      <c r="B374" t="s">
        <v>2422</v>
      </c>
      <c r="C374" t="s">
        <v>2448</v>
      </c>
      <c r="D374" t="s">
        <v>2440</v>
      </c>
      <c r="E374" t="s">
        <v>2447</v>
      </c>
      <c r="F374" s="491">
        <v>392585.83055100002</v>
      </c>
      <c r="G374" s="491">
        <v>192367.05696998999</v>
      </c>
      <c r="H374" s="491">
        <v>7851.7166110199996</v>
      </c>
    </row>
    <row r="375" spans="1:8">
      <c r="A375">
        <v>2026</v>
      </c>
      <c r="B375" t="s">
        <v>2422</v>
      </c>
      <c r="C375" t="s">
        <v>2434</v>
      </c>
      <c r="D375" t="s">
        <v>2429</v>
      </c>
      <c r="E375" t="s">
        <v>2433</v>
      </c>
      <c r="F375" s="491">
        <v>0</v>
      </c>
      <c r="G375" s="491">
        <v>0</v>
      </c>
      <c r="H375" s="491">
        <v>0</v>
      </c>
    </row>
    <row r="376" spans="1:8">
      <c r="A376">
        <v>2026</v>
      </c>
      <c r="B376" t="s">
        <v>2422</v>
      </c>
      <c r="C376" t="s">
        <v>2439</v>
      </c>
      <c r="D376" t="s">
        <v>2429</v>
      </c>
      <c r="E376" t="s">
        <v>2444</v>
      </c>
      <c r="F376" s="491">
        <v>106773.39483812</v>
      </c>
      <c r="G376" s="491">
        <v>53386.697419060001</v>
      </c>
      <c r="H376" s="491">
        <v>0</v>
      </c>
    </row>
    <row r="377" spans="1:8">
      <c r="A377">
        <v>2026</v>
      </c>
      <c r="B377" t="s">
        <v>2422</v>
      </c>
      <c r="C377" t="s">
        <v>2439</v>
      </c>
      <c r="D377" t="s">
        <v>2440</v>
      </c>
      <c r="E377" t="s">
        <v>2438</v>
      </c>
      <c r="F377" s="491">
        <v>33852.101574269996</v>
      </c>
      <c r="G377" s="491">
        <v>16587.52977139</v>
      </c>
      <c r="H377" s="491">
        <v>677.04203149</v>
      </c>
    </row>
    <row r="378" spans="1:8">
      <c r="A378">
        <v>2026</v>
      </c>
      <c r="B378" t="s">
        <v>2422</v>
      </c>
      <c r="C378" t="s">
        <v>2428</v>
      </c>
      <c r="D378" t="s">
        <v>2429</v>
      </c>
      <c r="E378" t="s">
        <v>2353</v>
      </c>
      <c r="F378" s="491">
        <v>0</v>
      </c>
      <c r="G378" s="491">
        <v>0</v>
      </c>
      <c r="H378" s="491">
        <v>0</v>
      </c>
    </row>
    <row r="379" spans="1:8">
      <c r="A379">
        <v>2026</v>
      </c>
      <c r="B379" t="s">
        <v>132</v>
      </c>
      <c r="C379" t="s">
        <v>132</v>
      </c>
      <c r="D379" t="s">
        <v>288</v>
      </c>
      <c r="E379" t="s">
        <v>26</v>
      </c>
      <c r="F379" s="491">
        <v>1.5783802600000001</v>
      </c>
      <c r="G379" s="491">
        <v>1.1048661799999999</v>
      </c>
      <c r="H379" s="491"/>
    </row>
    <row r="380" spans="1:8">
      <c r="A380">
        <v>2026</v>
      </c>
      <c r="B380" t="s">
        <v>680</v>
      </c>
      <c r="C380" t="s">
        <v>911</v>
      </c>
      <c r="D380" t="s">
        <v>751</v>
      </c>
      <c r="E380" t="s">
        <v>750</v>
      </c>
      <c r="F380" s="491">
        <v>0</v>
      </c>
      <c r="G380" s="491">
        <v>0</v>
      </c>
      <c r="H380" s="491"/>
    </row>
    <row r="381" spans="1:8">
      <c r="A381">
        <v>2026</v>
      </c>
      <c r="B381" t="s">
        <v>680</v>
      </c>
      <c r="C381" t="s">
        <v>911</v>
      </c>
      <c r="D381" t="s">
        <v>1270</v>
      </c>
      <c r="E381" t="s">
        <v>1660</v>
      </c>
      <c r="F381" s="491">
        <v>0</v>
      </c>
      <c r="G381" s="491">
        <v>0</v>
      </c>
      <c r="H381" s="491"/>
    </row>
    <row r="382" spans="1:8">
      <c r="A382">
        <v>2026</v>
      </c>
      <c r="B382" t="s">
        <v>680</v>
      </c>
      <c r="C382" t="s">
        <v>911</v>
      </c>
      <c r="D382" t="s">
        <v>913</v>
      </c>
      <c r="E382" t="s">
        <v>912</v>
      </c>
      <c r="F382" s="491">
        <v>4987.8605867099996</v>
      </c>
      <c r="G382" s="491">
        <v>0</v>
      </c>
      <c r="H382" s="491"/>
    </row>
    <row r="383" spans="1:8">
      <c r="A383">
        <v>2026</v>
      </c>
      <c r="B383" t="s">
        <v>680</v>
      </c>
      <c r="C383" t="s">
        <v>911</v>
      </c>
      <c r="D383" t="s">
        <v>869</v>
      </c>
      <c r="E383" t="s">
        <v>752</v>
      </c>
      <c r="F383" s="491">
        <v>356.46866769000002</v>
      </c>
      <c r="G383" s="491">
        <v>178.23433384000001</v>
      </c>
      <c r="H383" s="491"/>
    </row>
    <row r="384" spans="1:8">
      <c r="A384">
        <v>2026</v>
      </c>
      <c r="B384" t="s">
        <v>2729</v>
      </c>
      <c r="C384" t="s">
        <v>2312</v>
      </c>
      <c r="D384" t="s">
        <v>2107</v>
      </c>
      <c r="E384" t="s">
        <v>2315</v>
      </c>
      <c r="F384" s="491">
        <v>161.84441472</v>
      </c>
      <c r="G384" s="491"/>
      <c r="H384" s="491"/>
    </row>
    <row r="385" spans="1:8">
      <c r="A385">
        <v>2026</v>
      </c>
      <c r="B385" t="s">
        <v>2729</v>
      </c>
      <c r="C385" t="s">
        <v>2301</v>
      </c>
      <c r="D385" t="s">
        <v>2107</v>
      </c>
      <c r="E385" t="s">
        <v>2106</v>
      </c>
      <c r="F385" s="491">
        <v>6442.5096399000004</v>
      </c>
      <c r="G385" s="491"/>
      <c r="H385" s="491"/>
    </row>
    <row r="386" spans="1:8">
      <c r="A386">
        <v>2026</v>
      </c>
      <c r="B386" t="s">
        <v>2729</v>
      </c>
      <c r="C386" t="s">
        <v>2319</v>
      </c>
      <c r="D386" t="s">
        <v>2107</v>
      </c>
      <c r="E386" t="s">
        <v>2322</v>
      </c>
      <c r="F386" s="491">
        <v>292.46991699</v>
      </c>
      <c r="G386" s="491"/>
      <c r="H386" s="491"/>
    </row>
    <row r="387" spans="1:8">
      <c r="A387">
        <v>2026</v>
      </c>
      <c r="B387" t="s">
        <v>2729</v>
      </c>
      <c r="C387" t="s">
        <v>2306</v>
      </c>
      <c r="D387" t="s">
        <v>2107</v>
      </c>
      <c r="E387" t="s">
        <v>2110</v>
      </c>
      <c r="F387" s="491">
        <v>1500.59091949</v>
      </c>
      <c r="G387" s="491"/>
      <c r="H387" s="491"/>
    </row>
    <row r="388" spans="1:8">
      <c r="A388">
        <v>2026</v>
      </c>
      <c r="B388" t="s">
        <v>2729</v>
      </c>
      <c r="C388" t="s">
        <v>1254</v>
      </c>
      <c r="D388" t="s">
        <v>1275</v>
      </c>
      <c r="E388" t="s">
        <v>1586</v>
      </c>
      <c r="F388" s="491">
        <v>8026.7694887099997</v>
      </c>
      <c r="G388" s="491"/>
      <c r="H388" s="491"/>
    </row>
    <row r="389" spans="1:8">
      <c r="A389">
        <v>2026</v>
      </c>
      <c r="B389" t="s">
        <v>2729</v>
      </c>
      <c r="C389" t="s">
        <v>1255</v>
      </c>
      <c r="D389" t="s">
        <v>1275</v>
      </c>
      <c r="E389" t="s">
        <v>1587</v>
      </c>
      <c r="F389" s="491">
        <v>139628.40875649001</v>
      </c>
      <c r="G389" s="491"/>
      <c r="H389" s="491"/>
    </row>
    <row r="390" spans="1:8">
      <c r="A390">
        <v>2026</v>
      </c>
      <c r="B390" t="s">
        <v>134</v>
      </c>
      <c r="C390" t="s">
        <v>241</v>
      </c>
      <c r="D390" t="s">
        <v>288</v>
      </c>
      <c r="E390" t="s">
        <v>341</v>
      </c>
      <c r="F390" s="491">
        <v>0</v>
      </c>
      <c r="G390" s="491">
        <v>0</v>
      </c>
      <c r="H390" s="491">
        <v>0</v>
      </c>
    </row>
    <row r="391" spans="1:8">
      <c r="A391">
        <v>2026</v>
      </c>
      <c r="B391" t="s">
        <v>134</v>
      </c>
      <c r="C391" t="s">
        <v>254</v>
      </c>
      <c r="D391" t="s">
        <v>288</v>
      </c>
      <c r="E391" t="s">
        <v>362</v>
      </c>
      <c r="F391" s="491">
        <v>0</v>
      </c>
      <c r="G391" s="491">
        <v>0</v>
      </c>
      <c r="H391" s="491">
        <v>0</v>
      </c>
    </row>
    <row r="392" spans="1:8">
      <c r="A392">
        <v>2026</v>
      </c>
      <c r="B392" t="s">
        <v>1969</v>
      </c>
      <c r="C392" t="s">
        <v>250</v>
      </c>
      <c r="D392" t="s">
        <v>302</v>
      </c>
      <c r="E392" t="s">
        <v>58</v>
      </c>
      <c r="F392" s="491">
        <v>13308.88116391</v>
      </c>
      <c r="G392" s="491"/>
      <c r="H392" s="491"/>
    </row>
    <row r="393" spans="1:8">
      <c r="A393">
        <v>2026</v>
      </c>
      <c r="B393" t="s">
        <v>1969</v>
      </c>
      <c r="C393" t="s">
        <v>250</v>
      </c>
      <c r="D393" t="s">
        <v>311</v>
      </c>
      <c r="E393" t="s">
        <v>1611</v>
      </c>
      <c r="F393" s="491">
        <v>0</v>
      </c>
      <c r="G393" s="491"/>
      <c r="H393" s="491"/>
    </row>
    <row r="394" spans="1:8">
      <c r="A394">
        <v>2026</v>
      </c>
      <c r="B394" t="s">
        <v>1969</v>
      </c>
      <c r="C394" t="s">
        <v>250</v>
      </c>
      <c r="D394" t="s">
        <v>695</v>
      </c>
      <c r="E394" t="s">
        <v>1612</v>
      </c>
      <c r="F394" s="491">
        <v>0</v>
      </c>
      <c r="G394" s="491"/>
      <c r="H394" s="491"/>
    </row>
    <row r="395" spans="1:8">
      <c r="A395">
        <v>2026</v>
      </c>
      <c r="B395" t="s">
        <v>1969</v>
      </c>
      <c r="C395" t="s">
        <v>250</v>
      </c>
      <c r="D395" t="s">
        <v>697</v>
      </c>
      <c r="E395" t="s">
        <v>1613</v>
      </c>
      <c r="F395" s="491">
        <v>0</v>
      </c>
      <c r="G395" s="491"/>
      <c r="H395" s="491"/>
    </row>
    <row r="396" spans="1:8">
      <c r="A396">
        <v>2026</v>
      </c>
      <c r="B396" t="s">
        <v>1969</v>
      </c>
      <c r="C396" t="s">
        <v>253</v>
      </c>
      <c r="D396" t="s">
        <v>298</v>
      </c>
      <c r="E396" t="s">
        <v>359</v>
      </c>
      <c r="F396" s="491">
        <v>0</v>
      </c>
      <c r="G396" s="491"/>
      <c r="H396" s="491"/>
    </row>
    <row r="397" spans="1:8">
      <c r="A397">
        <v>2026</v>
      </c>
      <c r="B397" t="s">
        <v>1969</v>
      </c>
      <c r="C397" t="s">
        <v>253</v>
      </c>
      <c r="D397" t="s">
        <v>299</v>
      </c>
      <c r="E397" t="s">
        <v>360</v>
      </c>
      <c r="F397" s="491">
        <v>0</v>
      </c>
      <c r="G397" s="491"/>
      <c r="H397" s="491"/>
    </row>
    <row r="398" spans="1:8">
      <c r="A398">
        <v>2026</v>
      </c>
      <c r="B398" t="s">
        <v>1969</v>
      </c>
      <c r="C398" t="s">
        <v>253</v>
      </c>
      <c r="D398" t="s">
        <v>300</v>
      </c>
      <c r="E398" t="s">
        <v>361</v>
      </c>
      <c r="F398" s="491">
        <v>0</v>
      </c>
      <c r="G398" s="491"/>
      <c r="H398" s="491"/>
    </row>
    <row r="399" spans="1:8">
      <c r="A399">
        <v>2026</v>
      </c>
      <c r="B399" t="s">
        <v>1969</v>
      </c>
      <c r="C399" t="s">
        <v>253</v>
      </c>
      <c r="D399" t="s">
        <v>301</v>
      </c>
      <c r="E399" t="s">
        <v>867</v>
      </c>
      <c r="F399" s="491">
        <v>0</v>
      </c>
      <c r="G399" s="491"/>
      <c r="H399" s="491"/>
    </row>
    <row r="400" spans="1:8">
      <c r="A400">
        <v>2026</v>
      </c>
      <c r="B400" t="s">
        <v>1969</v>
      </c>
      <c r="C400" t="s">
        <v>253</v>
      </c>
      <c r="D400" t="s">
        <v>302</v>
      </c>
      <c r="E400" t="s">
        <v>70</v>
      </c>
      <c r="F400" s="491">
        <v>2056.9421238999998</v>
      </c>
      <c r="G400" s="491"/>
      <c r="H400" s="491"/>
    </row>
    <row r="401" spans="1:8">
      <c r="A401">
        <v>2026</v>
      </c>
      <c r="B401" t="s">
        <v>1969</v>
      </c>
      <c r="C401" t="s">
        <v>253</v>
      </c>
      <c r="D401" t="s">
        <v>311</v>
      </c>
      <c r="E401" t="s">
        <v>966</v>
      </c>
      <c r="F401" s="491">
        <v>0</v>
      </c>
      <c r="G401" s="491"/>
      <c r="H401" s="491"/>
    </row>
    <row r="402" spans="1:8">
      <c r="A402">
        <v>2026</v>
      </c>
      <c r="B402" t="s">
        <v>1969</v>
      </c>
      <c r="C402" t="s">
        <v>258</v>
      </c>
      <c r="D402" t="s">
        <v>302</v>
      </c>
      <c r="E402" t="s">
        <v>59</v>
      </c>
      <c r="F402" s="491">
        <v>2422.0004789599998</v>
      </c>
      <c r="G402" s="491"/>
      <c r="H402" s="491"/>
    </row>
    <row r="403" spans="1:8">
      <c r="A403">
        <v>2026</v>
      </c>
      <c r="B403" t="s">
        <v>1969</v>
      </c>
      <c r="C403" t="s">
        <v>258</v>
      </c>
      <c r="D403" t="s">
        <v>311</v>
      </c>
      <c r="E403" t="s">
        <v>60</v>
      </c>
      <c r="F403" s="491">
        <v>2422.0004789599998</v>
      </c>
      <c r="G403" s="491"/>
      <c r="H403" s="491"/>
    </row>
    <row r="404" spans="1:8">
      <c r="A404">
        <v>2026</v>
      </c>
      <c r="B404" t="s">
        <v>1969</v>
      </c>
      <c r="C404" t="s">
        <v>258</v>
      </c>
      <c r="D404" t="s">
        <v>695</v>
      </c>
      <c r="E404" t="s">
        <v>1617</v>
      </c>
      <c r="F404" s="491">
        <v>2018.3337324700001</v>
      </c>
      <c r="G404" s="491"/>
      <c r="H404" s="491"/>
    </row>
    <row r="405" spans="1:8">
      <c r="A405">
        <v>2026</v>
      </c>
      <c r="B405" t="s">
        <v>1969</v>
      </c>
      <c r="C405" t="s">
        <v>258</v>
      </c>
      <c r="D405" t="s">
        <v>697</v>
      </c>
      <c r="E405" t="s">
        <v>1618</v>
      </c>
      <c r="F405" s="491">
        <v>0</v>
      </c>
      <c r="G405" s="491"/>
      <c r="H405" s="491"/>
    </row>
    <row r="406" spans="1:8">
      <c r="A406">
        <v>2026</v>
      </c>
      <c r="B406" t="s">
        <v>1969</v>
      </c>
      <c r="C406" t="s">
        <v>261</v>
      </c>
      <c r="D406" t="s">
        <v>308</v>
      </c>
      <c r="E406" t="s">
        <v>371</v>
      </c>
      <c r="F406" s="491">
        <v>0</v>
      </c>
      <c r="G406" s="491"/>
      <c r="H406" s="491"/>
    </row>
    <row r="407" spans="1:8">
      <c r="A407">
        <v>2026</v>
      </c>
      <c r="B407" t="s">
        <v>1969</v>
      </c>
      <c r="C407" t="s">
        <v>261</v>
      </c>
      <c r="D407" t="s">
        <v>309</v>
      </c>
      <c r="E407" t="s">
        <v>372</v>
      </c>
      <c r="F407" s="491">
        <v>0</v>
      </c>
      <c r="G407" s="491"/>
      <c r="H407" s="491"/>
    </row>
    <row r="408" spans="1:8">
      <c r="A408">
        <v>2026</v>
      </c>
      <c r="B408" t="s">
        <v>1969</v>
      </c>
      <c r="C408" t="s">
        <v>261</v>
      </c>
      <c r="D408" t="s">
        <v>310</v>
      </c>
      <c r="E408" t="s">
        <v>373</v>
      </c>
      <c r="F408" s="491">
        <v>0</v>
      </c>
      <c r="G408" s="491"/>
      <c r="H408" s="491"/>
    </row>
    <row r="409" spans="1:8">
      <c r="A409">
        <v>2026</v>
      </c>
      <c r="B409" t="s">
        <v>1969</v>
      </c>
      <c r="C409" t="s">
        <v>261</v>
      </c>
      <c r="D409" t="s">
        <v>302</v>
      </c>
      <c r="E409" t="s">
        <v>71</v>
      </c>
      <c r="F409" s="491">
        <v>1341.96943934</v>
      </c>
      <c r="G409" s="491"/>
      <c r="H409" s="491"/>
    </row>
    <row r="410" spans="1:8">
      <c r="A410">
        <v>2026</v>
      </c>
      <c r="B410" t="s">
        <v>1969</v>
      </c>
      <c r="C410" t="s">
        <v>261</v>
      </c>
      <c r="D410" t="s">
        <v>311</v>
      </c>
      <c r="E410" t="s">
        <v>967</v>
      </c>
      <c r="F410" s="491">
        <v>1341.96943934</v>
      </c>
      <c r="G410" s="491"/>
      <c r="H410" s="491"/>
    </row>
    <row r="411" spans="1:8">
      <c r="A411">
        <v>2026</v>
      </c>
      <c r="B411" t="s">
        <v>1969</v>
      </c>
      <c r="C411" t="s">
        <v>264</v>
      </c>
      <c r="D411" t="s">
        <v>653</v>
      </c>
      <c r="E411" t="s">
        <v>81</v>
      </c>
      <c r="F411" s="491">
        <v>0</v>
      </c>
      <c r="G411" s="491"/>
      <c r="H411" s="491"/>
    </row>
    <row r="412" spans="1:8">
      <c r="A412">
        <v>2026</v>
      </c>
      <c r="B412" t="s">
        <v>1969</v>
      </c>
      <c r="C412" t="s">
        <v>264</v>
      </c>
      <c r="D412" t="s">
        <v>1005</v>
      </c>
      <c r="E412" t="s">
        <v>61</v>
      </c>
      <c r="F412" s="491">
        <v>9771.6304437399995</v>
      </c>
      <c r="G412" s="491"/>
      <c r="H412" s="491"/>
    </row>
    <row r="413" spans="1:8">
      <c r="A413">
        <v>2026</v>
      </c>
      <c r="B413" t="s">
        <v>1969</v>
      </c>
      <c r="C413" t="s">
        <v>264</v>
      </c>
      <c r="D413" t="s">
        <v>740</v>
      </c>
      <c r="E413" t="s">
        <v>62</v>
      </c>
      <c r="F413" s="491">
        <v>9752.1753243700005</v>
      </c>
      <c r="G413" s="491"/>
      <c r="H413" s="491"/>
    </row>
    <row r="414" spans="1:8">
      <c r="A414">
        <v>2026</v>
      </c>
      <c r="B414" t="s">
        <v>1969</v>
      </c>
      <c r="C414" t="s">
        <v>264</v>
      </c>
      <c r="D414" t="s">
        <v>1271</v>
      </c>
      <c r="E414" t="s">
        <v>1619</v>
      </c>
      <c r="F414" s="491">
        <v>0</v>
      </c>
      <c r="G414" s="491"/>
      <c r="H414" s="491"/>
    </row>
    <row r="415" spans="1:8">
      <c r="A415">
        <v>2026</v>
      </c>
      <c r="B415" t="s">
        <v>1969</v>
      </c>
      <c r="C415" t="s">
        <v>264</v>
      </c>
      <c r="D415" t="s">
        <v>1272</v>
      </c>
      <c r="E415" t="s">
        <v>1620</v>
      </c>
      <c r="F415" s="491">
        <v>0</v>
      </c>
      <c r="G415" s="491"/>
      <c r="H415" s="491"/>
    </row>
    <row r="416" spans="1:8">
      <c r="A416">
        <v>2026</v>
      </c>
      <c r="B416" t="s">
        <v>1969</v>
      </c>
      <c r="C416" t="s">
        <v>267</v>
      </c>
      <c r="D416" t="s">
        <v>315</v>
      </c>
      <c r="E416" t="s">
        <v>382</v>
      </c>
      <c r="F416" s="491">
        <v>0</v>
      </c>
      <c r="G416" s="491"/>
      <c r="H416" s="491"/>
    </row>
    <row r="417" spans="1:8">
      <c r="A417">
        <v>2026</v>
      </c>
      <c r="B417" t="s">
        <v>1969</v>
      </c>
      <c r="C417" t="s">
        <v>267</v>
      </c>
      <c r="D417" t="s">
        <v>965</v>
      </c>
      <c r="E417" t="s">
        <v>968</v>
      </c>
      <c r="F417" s="491">
        <v>0</v>
      </c>
      <c r="G417" s="491"/>
      <c r="H417" s="491"/>
    </row>
    <row r="418" spans="1:8">
      <c r="A418">
        <v>2026</v>
      </c>
      <c r="B418" t="s">
        <v>1969</v>
      </c>
      <c r="C418" t="s">
        <v>267</v>
      </c>
      <c r="D418" t="s">
        <v>653</v>
      </c>
      <c r="E418" t="s">
        <v>615</v>
      </c>
      <c r="F418" s="491">
        <v>0</v>
      </c>
      <c r="G418" s="491"/>
      <c r="H418" s="491"/>
    </row>
    <row r="419" spans="1:8">
      <c r="A419">
        <v>2026</v>
      </c>
      <c r="B419" t="s">
        <v>1969</v>
      </c>
      <c r="C419" t="s">
        <v>267</v>
      </c>
      <c r="D419" t="s">
        <v>1005</v>
      </c>
      <c r="E419" t="s">
        <v>866</v>
      </c>
      <c r="F419" s="491">
        <v>2944.6814248999999</v>
      </c>
      <c r="G419" s="491"/>
      <c r="H419" s="491"/>
    </row>
    <row r="420" spans="1:8">
      <c r="A420">
        <v>2026</v>
      </c>
      <c r="B420" t="s">
        <v>1969</v>
      </c>
      <c r="C420" t="s">
        <v>267</v>
      </c>
      <c r="D420" t="s">
        <v>740</v>
      </c>
      <c r="E420" t="s">
        <v>971</v>
      </c>
      <c r="F420" s="491">
        <v>2938.8186234999998</v>
      </c>
      <c r="G420" s="491"/>
      <c r="H420" s="491"/>
    </row>
    <row r="421" spans="1:8">
      <c r="A421">
        <v>2026</v>
      </c>
      <c r="B421" t="s">
        <v>1969</v>
      </c>
      <c r="C421" t="s">
        <v>281</v>
      </c>
      <c r="D421" t="s">
        <v>328</v>
      </c>
      <c r="E421" t="s">
        <v>64</v>
      </c>
      <c r="F421" s="491">
        <v>0</v>
      </c>
      <c r="G421" s="491"/>
      <c r="H421" s="491"/>
    </row>
    <row r="422" spans="1:8">
      <c r="A422">
        <v>2026</v>
      </c>
      <c r="B422" t="s">
        <v>1969</v>
      </c>
      <c r="C422" t="s">
        <v>281</v>
      </c>
      <c r="D422" t="s">
        <v>705</v>
      </c>
      <c r="E422" t="s">
        <v>399</v>
      </c>
      <c r="F422" s="491">
        <v>18829.286630089999</v>
      </c>
      <c r="G422" s="491"/>
      <c r="H422" s="491"/>
    </row>
    <row r="423" spans="1:8">
      <c r="A423">
        <v>2026</v>
      </c>
      <c r="B423" t="s">
        <v>1969</v>
      </c>
      <c r="C423" t="s">
        <v>281</v>
      </c>
      <c r="D423" t="s">
        <v>708</v>
      </c>
      <c r="E423" t="s">
        <v>1621</v>
      </c>
      <c r="F423" s="491">
        <v>0</v>
      </c>
      <c r="G423" s="491"/>
      <c r="H423" s="491"/>
    </row>
    <row r="424" spans="1:8">
      <c r="A424">
        <v>2026</v>
      </c>
      <c r="B424" t="s">
        <v>1969</v>
      </c>
      <c r="C424" t="s">
        <v>281</v>
      </c>
      <c r="D424" t="s">
        <v>709</v>
      </c>
      <c r="E424" t="s">
        <v>1622</v>
      </c>
      <c r="F424" s="491">
        <v>0</v>
      </c>
      <c r="G424" s="491"/>
      <c r="H424" s="491"/>
    </row>
    <row r="425" spans="1:8">
      <c r="A425">
        <v>2026</v>
      </c>
      <c r="B425" t="s">
        <v>1969</v>
      </c>
      <c r="C425" t="s">
        <v>284</v>
      </c>
      <c r="D425" t="s">
        <v>324</v>
      </c>
      <c r="E425" t="s">
        <v>405</v>
      </c>
      <c r="F425" s="491">
        <v>0</v>
      </c>
      <c r="G425" s="491"/>
      <c r="H425" s="491"/>
    </row>
    <row r="426" spans="1:8">
      <c r="A426">
        <v>2026</v>
      </c>
      <c r="B426" t="s">
        <v>1969</v>
      </c>
      <c r="C426" t="s">
        <v>284</v>
      </c>
      <c r="D426" t="s">
        <v>325</v>
      </c>
      <c r="E426" t="s">
        <v>406</v>
      </c>
      <c r="F426" s="491">
        <v>0</v>
      </c>
      <c r="G426" s="491"/>
      <c r="H426" s="491"/>
    </row>
    <row r="427" spans="1:8">
      <c r="A427">
        <v>2026</v>
      </c>
      <c r="B427" t="s">
        <v>1969</v>
      </c>
      <c r="C427" t="s">
        <v>284</v>
      </c>
      <c r="D427" t="s">
        <v>326</v>
      </c>
      <c r="E427" t="s">
        <v>407</v>
      </c>
      <c r="F427" s="491">
        <v>0</v>
      </c>
      <c r="G427" s="491"/>
      <c r="H427" s="491"/>
    </row>
    <row r="428" spans="1:8">
      <c r="A428">
        <v>2026</v>
      </c>
      <c r="B428" t="s">
        <v>1969</v>
      </c>
      <c r="C428" t="s">
        <v>284</v>
      </c>
      <c r="D428" t="s">
        <v>327</v>
      </c>
      <c r="E428" t="s">
        <v>68</v>
      </c>
      <c r="F428" s="491">
        <v>0</v>
      </c>
      <c r="G428" s="491"/>
      <c r="H428" s="491"/>
    </row>
    <row r="429" spans="1:8">
      <c r="A429">
        <v>2026</v>
      </c>
      <c r="B429" t="s">
        <v>1969</v>
      </c>
      <c r="C429" t="s">
        <v>284</v>
      </c>
      <c r="D429" t="s">
        <v>328</v>
      </c>
      <c r="E429" t="s">
        <v>69</v>
      </c>
      <c r="F429" s="491">
        <v>0</v>
      </c>
      <c r="G429" s="491"/>
      <c r="H429" s="491"/>
    </row>
    <row r="430" spans="1:8">
      <c r="A430">
        <v>2026</v>
      </c>
      <c r="B430" t="s">
        <v>1969</v>
      </c>
      <c r="C430" t="s">
        <v>284</v>
      </c>
      <c r="D430" t="s">
        <v>705</v>
      </c>
      <c r="E430" t="s">
        <v>972</v>
      </c>
      <c r="F430" s="491">
        <v>6273.2482618200002</v>
      </c>
      <c r="G430" s="491"/>
      <c r="H430" s="491"/>
    </row>
    <row r="431" spans="1:8">
      <c r="A431">
        <v>2026</v>
      </c>
      <c r="B431" t="s">
        <v>142</v>
      </c>
      <c r="C431" t="s">
        <v>236</v>
      </c>
      <c r="D431" t="s">
        <v>987</v>
      </c>
      <c r="E431" t="s">
        <v>334</v>
      </c>
      <c r="F431" s="491">
        <v>193377.85761075001</v>
      </c>
      <c r="G431" s="491"/>
      <c r="H431" s="491"/>
    </row>
    <row r="432" spans="1:8">
      <c r="A432">
        <v>2026</v>
      </c>
      <c r="B432" t="s">
        <v>142</v>
      </c>
      <c r="C432" t="s">
        <v>236</v>
      </c>
      <c r="D432" t="s">
        <v>780</v>
      </c>
      <c r="E432" t="s">
        <v>1093</v>
      </c>
      <c r="F432" s="491">
        <v>35742.826762179997</v>
      </c>
      <c r="G432" s="491"/>
      <c r="H432" s="491"/>
    </row>
    <row r="433" spans="1:8">
      <c r="A433">
        <v>2026</v>
      </c>
      <c r="B433" t="s">
        <v>142</v>
      </c>
      <c r="C433" t="s">
        <v>980</v>
      </c>
      <c r="D433" t="s">
        <v>981</v>
      </c>
      <c r="E433" t="s">
        <v>979</v>
      </c>
      <c r="F433" s="491">
        <v>252175.50750459</v>
      </c>
      <c r="G433" s="491">
        <v>0</v>
      </c>
      <c r="H433" s="491">
        <v>0</v>
      </c>
    </row>
    <row r="434" spans="1:8">
      <c r="A434">
        <v>2026</v>
      </c>
      <c r="B434" t="s">
        <v>142</v>
      </c>
      <c r="C434" t="s">
        <v>980</v>
      </c>
      <c r="D434" t="s">
        <v>780</v>
      </c>
      <c r="E434" t="s">
        <v>1632</v>
      </c>
      <c r="F434" s="491">
        <v>108213.1379749</v>
      </c>
      <c r="G434" s="491">
        <v>0</v>
      </c>
      <c r="H434" s="491">
        <v>0</v>
      </c>
    </row>
    <row r="435" spans="1:8">
      <c r="A435">
        <v>2026</v>
      </c>
      <c r="B435" t="s">
        <v>142</v>
      </c>
      <c r="C435" t="s">
        <v>980</v>
      </c>
      <c r="D435" t="s">
        <v>902</v>
      </c>
      <c r="E435" t="s">
        <v>982</v>
      </c>
      <c r="F435" s="491">
        <v>3850.4479203999999</v>
      </c>
      <c r="G435" s="491">
        <v>385.04479204</v>
      </c>
      <c r="H435" s="491">
        <v>0</v>
      </c>
    </row>
    <row r="436" spans="1:8">
      <c r="A436">
        <v>2026</v>
      </c>
      <c r="B436" t="s">
        <v>142</v>
      </c>
      <c r="C436" t="s">
        <v>980</v>
      </c>
      <c r="D436" t="s">
        <v>903</v>
      </c>
      <c r="E436" t="s">
        <v>983</v>
      </c>
      <c r="F436" s="491">
        <v>0</v>
      </c>
      <c r="G436" s="491">
        <v>0</v>
      </c>
      <c r="H436" s="491">
        <v>0</v>
      </c>
    </row>
    <row r="437" spans="1:8">
      <c r="A437">
        <v>2026</v>
      </c>
      <c r="B437" t="s">
        <v>142</v>
      </c>
      <c r="C437" t="s">
        <v>980</v>
      </c>
      <c r="D437" t="s">
        <v>904</v>
      </c>
      <c r="E437" t="s">
        <v>984</v>
      </c>
      <c r="F437" s="491">
        <v>3843.3473608600002</v>
      </c>
      <c r="G437" s="491">
        <v>384.33473608999998</v>
      </c>
      <c r="H437" s="491">
        <v>0</v>
      </c>
    </row>
    <row r="438" spans="1:8">
      <c r="A438">
        <v>2026</v>
      </c>
      <c r="B438" t="s">
        <v>142</v>
      </c>
      <c r="C438" t="s">
        <v>980</v>
      </c>
      <c r="D438" t="s">
        <v>905</v>
      </c>
      <c r="E438" t="s">
        <v>985</v>
      </c>
      <c r="F438" s="491">
        <v>0</v>
      </c>
      <c r="G438" s="491">
        <v>0</v>
      </c>
      <c r="H438" s="491">
        <v>0</v>
      </c>
    </row>
    <row r="439" spans="1:8">
      <c r="A439">
        <v>2026</v>
      </c>
      <c r="B439" t="s">
        <v>142</v>
      </c>
      <c r="C439" t="s">
        <v>980</v>
      </c>
      <c r="D439" t="s">
        <v>906</v>
      </c>
      <c r="E439" t="s">
        <v>986</v>
      </c>
      <c r="F439" s="491">
        <v>7.1005595399999999</v>
      </c>
      <c r="G439" s="491">
        <v>0.71005594999999999</v>
      </c>
      <c r="H439" s="491">
        <v>0</v>
      </c>
    </row>
    <row r="440" spans="1:8">
      <c r="A440">
        <v>2026</v>
      </c>
      <c r="B440" t="s">
        <v>142</v>
      </c>
      <c r="C440" t="s">
        <v>144</v>
      </c>
      <c r="D440" t="s">
        <v>743</v>
      </c>
      <c r="E440" t="s">
        <v>93</v>
      </c>
      <c r="F440" s="491">
        <v>182.92411694</v>
      </c>
      <c r="G440" s="491"/>
      <c r="H440" s="491"/>
    </row>
    <row r="441" spans="1:8">
      <c r="A441">
        <v>2026</v>
      </c>
      <c r="B441" t="s">
        <v>142</v>
      </c>
      <c r="C441" t="s">
        <v>144</v>
      </c>
      <c r="D441" t="s">
        <v>1006</v>
      </c>
      <c r="E441" t="s">
        <v>94</v>
      </c>
      <c r="F441" s="491">
        <v>174944.93272211999</v>
      </c>
      <c r="G441" s="491">
        <v>0</v>
      </c>
      <c r="H441" s="491"/>
    </row>
    <row r="442" spans="1:8">
      <c r="A442">
        <v>2026</v>
      </c>
      <c r="B442" t="s">
        <v>142</v>
      </c>
      <c r="C442" t="s">
        <v>144</v>
      </c>
      <c r="D442" t="s">
        <v>1007</v>
      </c>
      <c r="E442" t="s">
        <v>95</v>
      </c>
      <c r="F442" s="491">
        <v>0</v>
      </c>
      <c r="G442" s="491">
        <v>0</v>
      </c>
      <c r="H442" s="491"/>
    </row>
    <row r="443" spans="1:8">
      <c r="A443">
        <v>2026</v>
      </c>
      <c r="B443" t="s">
        <v>142</v>
      </c>
      <c r="C443" t="s">
        <v>144</v>
      </c>
      <c r="D443" t="s">
        <v>780</v>
      </c>
      <c r="E443" t="s">
        <v>127</v>
      </c>
      <c r="F443" s="491">
        <v>136.8095189</v>
      </c>
      <c r="G443" s="491">
        <v>0</v>
      </c>
      <c r="H443" s="491"/>
    </row>
    <row r="444" spans="1:8">
      <c r="A444">
        <v>2026</v>
      </c>
      <c r="B444" t="s">
        <v>142</v>
      </c>
      <c r="C444" t="s">
        <v>240</v>
      </c>
      <c r="D444" t="s">
        <v>743</v>
      </c>
      <c r="E444" t="s">
        <v>230</v>
      </c>
      <c r="F444" s="491">
        <v>80261.201534880005</v>
      </c>
      <c r="G444" s="491">
        <v>0</v>
      </c>
      <c r="H444" s="491"/>
    </row>
    <row r="445" spans="1:8">
      <c r="A445">
        <v>2026</v>
      </c>
      <c r="B445" t="s">
        <v>142</v>
      </c>
      <c r="C445" t="s">
        <v>240</v>
      </c>
      <c r="D445" t="s">
        <v>909</v>
      </c>
      <c r="E445" t="s">
        <v>231</v>
      </c>
      <c r="F445" s="491">
        <v>0</v>
      </c>
      <c r="G445" s="491"/>
      <c r="H445" s="491"/>
    </row>
    <row r="446" spans="1:8">
      <c r="A446">
        <v>2026</v>
      </c>
      <c r="B446" t="s">
        <v>142</v>
      </c>
      <c r="C446" t="s">
        <v>240</v>
      </c>
      <c r="D446" t="s">
        <v>908</v>
      </c>
      <c r="E446" t="s">
        <v>229</v>
      </c>
      <c r="F446" s="491">
        <v>98779.856442649994</v>
      </c>
      <c r="G446" s="491">
        <v>0</v>
      </c>
      <c r="H446" s="491"/>
    </row>
    <row r="447" spans="1:8">
      <c r="A447">
        <v>2026</v>
      </c>
      <c r="B447" t="s">
        <v>142</v>
      </c>
      <c r="C447" t="s">
        <v>240</v>
      </c>
      <c r="D447" t="s">
        <v>780</v>
      </c>
      <c r="E447" t="s">
        <v>1235</v>
      </c>
      <c r="F447" s="491">
        <v>152516.45679567999</v>
      </c>
      <c r="G447" s="491">
        <v>0</v>
      </c>
      <c r="H447" s="491"/>
    </row>
    <row r="448" spans="1:8">
      <c r="A448">
        <v>2026</v>
      </c>
      <c r="B448" t="s">
        <v>142</v>
      </c>
      <c r="C448" t="s">
        <v>749</v>
      </c>
      <c r="D448" t="s">
        <v>865</v>
      </c>
      <c r="E448" t="s">
        <v>103</v>
      </c>
      <c r="F448" s="491">
        <v>2094.1234249200002</v>
      </c>
      <c r="G448" s="491">
        <v>0</v>
      </c>
      <c r="H448" s="491"/>
    </row>
    <row r="449" spans="1:8">
      <c r="A449">
        <v>2026</v>
      </c>
      <c r="B449" t="s">
        <v>142</v>
      </c>
      <c r="C449" t="s">
        <v>749</v>
      </c>
      <c r="D449" t="s">
        <v>854</v>
      </c>
      <c r="E449" t="s">
        <v>104</v>
      </c>
      <c r="F449" s="491">
        <v>2E-8</v>
      </c>
      <c r="G449" s="491">
        <v>0</v>
      </c>
      <c r="H449" s="491"/>
    </row>
    <row r="450" spans="1:8">
      <c r="A450">
        <v>2026</v>
      </c>
      <c r="B450" t="s">
        <v>142</v>
      </c>
      <c r="C450" t="s">
        <v>749</v>
      </c>
      <c r="D450" t="s">
        <v>780</v>
      </c>
      <c r="E450" t="s">
        <v>102</v>
      </c>
      <c r="F450" s="491">
        <v>15252.7305751</v>
      </c>
      <c r="G450" s="491"/>
      <c r="H450" s="491"/>
    </row>
    <row r="451" spans="1:8">
      <c r="A451">
        <v>2026</v>
      </c>
      <c r="B451" t="s">
        <v>142</v>
      </c>
      <c r="C451" t="s">
        <v>741</v>
      </c>
      <c r="D451" t="s">
        <v>865</v>
      </c>
      <c r="E451" t="s">
        <v>110</v>
      </c>
      <c r="F451" s="491">
        <v>6853.4163610200003</v>
      </c>
      <c r="G451" s="491">
        <v>0</v>
      </c>
      <c r="H451" s="491"/>
    </row>
    <row r="452" spans="1:8">
      <c r="A452">
        <v>2026</v>
      </c>
      <c r="B452" t="s">
        <v>142</v>
      </c>
      <c r="C452" t="s">
        <v>741</v>
      </c>
      <c r="D452" t="s">
        <v>854</v>
      </c>
      <c r="E452" t="s">
        <v>342</v>
      </c>
      <c r="F452" s="491">
        <v>2.9999999999999997E-8</v>
      </c>
      <c r="G452" s="491">
        <v>0</v>
      </c>
      <c r="H452" s="491"/>
    </row>
    <row r="453" spans="1:8">
      <c r="A453">
        <v>2026</v>
      </c>
      <c r="B453" t="s">
        <v>142</v>
      </c>
      <c r="C453" t="s">
        <v>741</v>
      </c>
      <c r="D453" t="s">
        <v>780</v>
      </c>
      <c r="E453" t="s">
        <v>111</v>
      </c>
      <c r="F453" s="491">
        <v>49470.267027499998</v>
      </c>
      <c r="G453" s="491"/>
      <c r="H453" s="491"/>
    </row>
    <row r="454" spans="1:8">
      <c r="A454">
        <v>2026</v>
      </c>
      <c r="B454" t="s">
        <v>142</v>
      </c>
      <c r="C454" t="s">
        <v>748</v>
      </c>
      <c r="D454" t="s">
        <v>865</v>
      </c>
      <c r="E454" t="s">
        <v>112</v>
      </c>
      <c r="F454" s="491">
        <v>20002.498836989998</v>
      </c>
      <c r="G454" s="491">
        <v>0</v>
      </c>
      <c r="H454" s="491"/>
    </row>
    <row r="455" spans="1:8">
      <c r="A455">
        <v>2026</v>
      </c>
      <c r="B455" t="s">
        <v>142</v>
      </c>
      <c r="C455" t="s">
        <v>748</v>
      </c>
      <c r="D455" t="s">
        <v>854</v>
      </c>
      <c r="E455" t="s">
        <v>988</v>
      </c>
      <c r="F455" s="491">
        <v>4.9999999999999998E-8</v>
      </c>
      <c r="G455" s="491">
        <v>0</v>
      </c>
      <c r="H455" s="491"/>
    </row>
    <row r="456" spans="1:8">
      <c r="A456">
        <v>2026</v>
      </c>
      <c r="B456" t="s">
        <v>142</v>
      </c>
      <c r="C456" t="s">
        <v>748</v>
      </c>
      <c r="D456" t="s">
        <v>780</v>
      </c>
      <c r="E456" t="s">
        <v>1652</v>
      </c>
      <c r="F456" s="491">
        <v>34997.50116303</v>
      </c>
      <c r="G456" s="491"/>
      <c r="H456" s="491"/>
    </row>
    <row r="457" spans="1:8">
      <c r="A457">
        <v>2026</v>
      </c>
      <c r="B457" t="s">
        <v>142</v>
      </c>
      <c r="C457" t="s">
        <v>748</v>
      </c>
      <c r="D457" t="s">
        <v>286</v>
      </c>
      <c r="E457" t="s">
        <v>395</v>
      </c>
      <c r="F457" s="491">
        <v>0</v>
      </c>
      <c r="G457" s="491"/>
      <c r="H457" s="491"/>
    </row>
    <row r="458" spans="1:8">
      <c r="A458">
        <v>2026</v>
      </c>
      <c r="B458" t="s">
        <v>142</v>
      </c>
      <c r="C458" t="s">
        <v>270</v>
      </c>
      <c r="D458" t="s">
        <v>151</v>
      </c>
      <c r="E458" t="s">
        <v>389</v>
      </c>
      <c r="F458" s="491">
        <v>143918.98893674</v>
      </c>
      <c r="G458" s="491">
        <v>0</v>
      </c>
      <c r="H458" s="491"/>
    </row>
    <row r="459" spans="1:8">
      <c r="A459">
        <v>2026</v>
      </c>
      <c r="B459" t="s">
        <v>142</v>
      </c>
      <c r="C459" t="s">
        <v>270</v>
      </c>
      <c r="D459" t="s">
        <v>865</v>
      </c>
      <c r="E459" t="s">
        <v>388</v>
      </c>
      <c r="F459" s="491">
        <v>119156.60684866</v>
      </c>
      <c r="G459" s="491">
        <v>0</v>
      </c>
      <c r="H459" s="491"/>
    </row>
    <row r="460" spans="1:8">
      <c r="A460">
        <v>2026</v>
      </c>
      <c r="B460" t="s">
        <v>142</v>
      </c>
      <c r="C460" t="s">
        <v>270</v>
      </c>
      <c r="D460" t="s">
        <v>780</v>
      </c>
      <c r="E460" t="s">
        <v>1628</v>
      </c>
      <c r="F460" s="491">
        <v>4.0000000000000001E-8</v>
      </c>
      <c r="G460" s="491">
        <v>0</v>
      </c>
      <c r="H460" s="491"/>
    </row>
    <row r="461" spans="1:8">
      <c r="A461">
        <v>2026</v>
      </c>
      <c r="B461" t="s">
        <v>142</v>
      </c>
      <c r="C461" t="s">
        <v>271</v>
      </c>
      <c r="D461" t="s">
        <v>2346</v>
      </c>
      <c r="E461" t="s">
        <v>91</v>
      </c>
      <c r="F461" s="491">
        <v>154128.59844463001</v>
      </c>
      <c r="G461" s="491">
        <v>0</v>
      </c>
      <c r="H461" s="491"/>
    </row>
    <row r="462" spans="1:8">
      <c r="A462">
        <v>2026</v>
      </c>
      <c r="B462" t="s">
        <v>142</v>
      </c>
      <c r="C462" t="s">
        <v>271</v>
      </c>
      <c r="D462" t="s">
        <v>780</v>
      </c>
      <c r="E462" t="s">
        <v>1653</v>
      </c>
      <c r="F462" s="491">
        <v>56764.608327130001</v>
      </c>
      <c r="G462" s="491">
        <v>0</v>
      </c>
      <c r="H462" s="491"/>
    </row>
    <row r="463" spans="1:8">
      <c r="A463">
        <v>2026</v>
      </c>
      <c r="B463" t="s">
        <v>142</v>
      </c>
      <c r="C463" t="s">
        <v>271</v>
      </c>
      <c r="D463" t="s">
        <v>286</v>
      </c>
      <c r="E463" t="s">
        <v>92</v>
      </c>
      <c r="F463" s="491">
        <v>0</v>
      </c>
      <c r="G463" s="491">
        <v>0</v>
      </c>
      <c r="H463" s="491"/>
    </row>
    <row r="464" spans="1:8">
      <c r="A464">
        <v>2026</v>
      </c>
      <c r="B464" t="s">
        <v>142</v>
      </c>
      <c r="C464" t="s">
        <v>272</v>
      </c>
      <c r="D464" t="s">
        <v>151</v>
      </c>
      <c r="E464" t="s">
        <v>391</v>
      </c>
      <c r="F464" s="491">
        <v>17027.546652789999</v>
      </c>
      <c r="G464" s="491">
        <v>0</v>
      </c>
      <c r="H464" s="491"/>
    </row>
    <row r="465" spans="1:8">
      <c r="A465">
        <v>2026</v>
      </c>
      <c r="B465" t="s">
        <v>142</v>
      </c>
      <c r="C465" t="s">
        <v>272</v>
      </c>
      <c r="D465" t="s">
        <v>865</v>
      </c>
      <c r="E465" t="s">
        <v>390</v>
      </c>
      <c r="F465" s="491">
        <v>15047.603213840001</v>
      </c>
      <c r="G465" s="491">
        <v>0</v>
      </c>
      <c r="H465" s="491"/>
    </row>
    <row r="466" spans="1:8">
      <c r="A466">
        <v>2026</v>
      </c>
      <c r="B466" t="s">
        <v>142</v>
      </c>
      <c r="C466" t="s">
        <v>272</v>
      </c>
      <c r="D466" t="s">
        <v>780</v>
      </c>
      <c r="E466" t="s">
        <v>1630</v>
      </c>
      <c r="F466" s="491">
        <v>50582.843593489997</v>
      </c>
      <c r="G466" s="491">
        <v>0</v>
      </c>
      <c r="H466" s="491"/>
    </row>
    <row r="467" spans="1:8">
      <c r="A467">
        <v>2026</v>
      </c>
      <c r="B467" t="s">
        <v>142</v>
      </c>
      <c r="C467" t="s">
        <v>439</v>
      </c>
      <c r="D467" t="s">
        <v>151</v>
      </c>
      <c r="E467" t="s">
        <v>910</v>
      </c>
      <c r="F467" s="491">
        <v>27098.257374019999</v>
      </c>
      <c r="G467" s="491"/>
      <c r="H467" s="491"/>
    </row>
    <row r="468" spans="1:8">
      <c r="A468">
        <v>2026</v>
      </c>
      <c r="B468" t="s">
        <v>142</v>
      </c>
      <c r="C468" t="s">
        <v>439</v>
      </c>
      <c r="D468" t="s">
        <v>744</v>
      </c>
      <c r="E468" t="s">
        <v>116</v>
      </c>
      <c r="F468" s="491">
        <v>9589.2754871500001</v>
      </c>
      <c r="G468" s="491"/>
      <c r="H468" s="491"/>
    </row>
    <row r="469" spans="1:8">
      <c r="A469">
        <v>2026</v>
      </c>
      <c r="B469" t="s">
        <v>142</v>
      </c>
      <c r="C469" t="s">
        <v>439</v>
      </c>
      <c r="D469" t="s">
        <v>780</v>
      </c>
      <c r="E469" t="s">
        <v>1649</v>
      </c>
      <c r="F469" s="491">
        <v>1930.9227821699999</v>
      </c>
      <c r="G469" s="491"/>
      <c r="H469" s="491"/>
    </row>
    <row r="470" spans="1:8">
      <c r="A470">
        <v>2026</v>
      </c>
      <c r="B470" t="s">
        <v>142</v>
      </c>
      <c r="C470" t="s">
        <v>2095</v>
      </c>
      <c r="D470" t="s">
        <v>2096</v>
      </c>
      <c r="E470" t="s">
        <v>82</v>
      </c>
      <c r="F470" s="491">
        <v>784409.20284165</v>
      </c>
      <c r="G470" s="491"/>
      <c r="H470" s="491">
        <v>456181.33651236998</v>
      </c>
    </row>
    <row r="471" spans="1:8">
      <c r="A471">
        <v>2026</v>
      </c>
      <c r="B471" t="s">
        <v>142</v>
      </c>
      <c r="C471" t="s">
        <v>2102</v>
      </c>
      <c r="D471" t="s">
        <v>2096</v>
      </c>
      <c r="E471" t="s">
        <v>2101</v>
      </c>
      <c r="F471" s="491">
        <v>784409.20284165</v>
      </c>
      <c r="G471" s="491"/>
      <c r="H471" s="491">
        <v>456181.33651236998</v>
      </c>
    </row>
    <row r="472" spans="1:8">
      <c r="A472">
        <v>2026</v>
      </c>
      <c r="B472" t="s">
        <v>844</v>
      </c>
      <c r="C472" t="s">
        <v>1950</v>
      </c>
      <c r="D472" t="s">
        <v>145</v>
      </c>
      <c r="E472" t="s">
        <v>2339</v>
      </c>
      <c r="F472" s="491">
        <v>0</v>
      </c>
      <c r="G472" s="491">
        <v>0</v>
      </c>
      <c r="H472" s="491">
        <v>0</v>
      </c>
    </row>
    <row r="473" spans="1:8">
      <c r="A473">
        <v>2026</v>
      </c>
      <c r="B473" t="s">
        <v>1101</v>
      </c>
      <c r="C473" t="s">
        <v>1013</v>
      </c>
      <c r="D473" t="s">
        <v>288</v>
      </c>
      <c r="E473" t="s">
        <v>1001</v>
      </c>
      <c r="F473" s="491">
        <v>2596.8343238399998</v>
      </c>
      <c r="G473" s="491">
        <v>0</v>
      </c>
      <c r="H473" s="491">
        <v>0</v>
      </c>
    </row>
    <row r="474" spans="1:8">
      <c r="A474">
        <v>2026</v>
      </c>
      <c r="B474" t="s">
        <v>1101</v>
      </c>
      <c r="C474" t="s">
        <v>1011</v>
      </c>
      <c r="D474" t="s">
        <v>145</v>
      </c>
      <c r="E474" t="s">
        <v>998</v>
      </c>
      <c r="F474" s="491">
        <v>24.7104</v>
      </c>
      <c r="G474" s="491">
        <v>0</v>
      </c>
      <c r="H474" s="491">
        <v>0</v>
      </c>
    </row>
    <row r="475" spans="1:8">
      <c r="A475">
        <v>2026</v>
      </c>
      <c r="B475" t="s">
        <v>1101</v>
      </c>
      <c r="C475" t="s">
        <v>1011</v>
      </c>
      <c r="D475" t="s">
        <v>146</v>
      </c>
      <c r="E475" t="s">
        <v>999</v>
      </c>
      <c r="F475" s="491">
        <v>29</v>
      </c>
      <c r="G475" s="491">
        <v>0</v>
      </c>
      <c r="H475" s="491">
        <v>0</v>
      </c>
    </row>
    <row r="476" spans="1:8">
      <c r="A476">
        <v>2026</v>
      </c>
      <c r="B476" t="s">
        <v>1101</v>
      </c>
      <c r="C476" t="s">
        <v>1011</v>
      </c>
      <c r="D476" t="s">
        <v>660</v>
      </c>
      <c r="E476" t="s">
        <v>1000</v>
      </c>
      <c r="F476" s="491">
        <v>98.8416</v>
      </c>
      <c r="G476" s="491">
        <v>0.17671234999999999</v>
      </c>
      <c r="H476" s="491">
        <v>0</v>
      </c>
    </row>
    <row r="477" spans="1:8">
      <c r="A477">
        <v>2026</v>
      </c>
      <c r="B477" t="s">
        <v>1101</v>
      </c>
      <c r="C477" t="s">
        <v>1009</v>
      </c>
      <c r="D477" t="s">
        <v>145</v>
      </c>
      <c r="E477" t="s">
        <v>993</v>
      </c>
      <c r="F477" s="491">
        <v>7.6032000000000002</v>
      </c>
      <c r="G477" s="491">
        <v>0</v>
      </c>
      <c r="H477" s="491">
        <v>0</v>
      </c>
    </row>
    <row r="478" spans="1:8">
      <c r="A478">
        <v>2026</v>
      </c>
      <c r="B478" t="s">
        <v>1101</v>
      </c>
      <c r="C478" t="s">
        <v>1009</v>
      </c>
      <c r="D478" t="s">
        <v>146</v>
      </c>
      <c r="E478" t="s">
        <v>994</v>
      </c>
      <c r="F478" s="491">
        <v>382.06079999999997</v>
      </c>
      <c r="G478" s="491">
        <v>0</v>
      </c>
      <c r="H478" s="491">
        <v>0</v>
      </c>
    </row>
    <row r="479" spans="1:8">
      <c r="A479">
        <v>2026</v>
      </c>
      <c r="B479" t="s">
        <v>1101</v>
      </c>
      <c r="C479" t="s">
        <v>1092</v>
      </c>
      <c r="D479" t="s">
        <v>145</v>
      </c>
      <c r="E479" t="s">
        <v>1002</v>
      </c>
      <c r="F479" s="491">
        <v>483.47565866999997</v>
      </c>
      <c r="G479" s="491">
        <v>0</v>
      </c>
      <c r="H479" s="491">
        <v>0</v>
      </c>
    </row>
    <row r="480" spans="1:8">
      <c r="A480">
        <v>2026</v>
      </c>
      <c r="B480" t="s">
        <v>1101</v>
      </c>
      <c r="C480" t="s">
        <v>1092</v>
      </c>
      <c r="D480" t="s">
        <v>146</v>
      </c>
      <c r="E480" t="s">
        <v>1003</v>
      </c>
      <c r="F480" s="491">
        <v>548.92432861999998</v>
      </c>
      <c r="G480" s="491">
        <v>0</v>
      </c>
      <c r="H480" s="491">
        <v>0</v>
      </c>
    </row>
    <row r="481" spans="1:8">
      <c r="A481">
        <v>2026</v>
      </c>
      <c r="B481" t="s">
        <v>1101</v>
      </c>
      <c r="C481" t="s">
        <v>1010</v>
      </c>
      <c r="D481" t="s">
        <v>145</v>
      </c>
      <c r="E481" t="s">
        <v>995</v>
      </c>
      <c r="F481" s="491">
        <v>1505.4336000000001</v>
      </c>
      <c r="G481" s="491">
        <v>0</v>
      </c>
      <c r="H481" s="491">
        <v>0</v>
      </c>
    </row>
    <row r="482" spans="1:8">
      <c r="A482">
        <v>2026</v>
      </c>
      <c r="B482" t="s">
        <v>1101</v>
      </c>
      <c r="C482" t="s">
        <v>1010</v>
      </c>
      <c r="D482" t="s">
        <v>146</v>
      </c>
      <c r="E482" t="s">
        <v>996</v>
      </c>
      <c r="F482" s="491">
        <v>1687.9104</v>
      </c>
      <c r="G482" s="491">
        <v>0</v>
      </c>
      <c r="H482" s="491">
        <v>0</v>
      </c>
    </row>
    <row r="483" spans="1:8">
      <c r="A483">
        <v>2026</v>
      </c>
      <c r="B483" t="s">
        <v>1101</v>
      </c>
      <c r="C483" t="s">
        <v>1010</v>
      </c>
      <c r="D483" t="s">
        <v>660</v>
      </c>
      <c r="E483" t="s">
        <v>997</v>
      </c>
      <c r="F483" s="491">
        <v>4508.6976000000004</v>
      </c>
      <c r="G483" s="491">
        <v>3.2307400400000001</v>
      </c>
      <c r="H483" s="491">
        <v>0</v>
      </c>
    </row>
    <row r="484" spans="1:8">
      <c r="A484">
        <v>2026</v>
      </c>
      <c r="B484" t="s">
        <v>1101</v>
      </c>
      <c r="C484" t="s">
        <v>1008</v>
      </c>
      <c r="D484" t="s">
        <v>145</v>
      </c>
      <c r="E484" t="s">
        <v>991</v>
      </c>
      <c r="F484" s="491">
        <v>1980.6335999999999</v>
      </c>
      <c r="G484" s="491">
        <v>41.608796480000002</v>
      </c>
      <c r="H484" s="491">
        <v>0</v>
      </c>
    </row>
    <row r="485" spans="1:8">
      <c r="A485">
        <v>2026</v>
      </c>
      <c r="B485" t="s">
        <v>1101</v>
      </c>
      <c r="C485" t="s">
        <v>1008</v>
      </c>
      <c r="D485" t="s">
        <v>146</v>
      </c>
      <c r="E485" t="s">
        <v>992</v>
      </c>
      <c r="F485" s="491">
        <v>7702.0415999999996</v>
      </c>
      <c r="G485" s="491">
        <v>0</v>
      </c>
      <c r="H485" s="491">
        <v>0</v>
      </c>
    </row>
    <row r="486" spans="1:8">
      <c r="A486">
        <v>2027</v>
      </c>
      <c r="B486" t="s">
        <v>2679</v>
      </c>
      <c r="C486" t="s">
        <v>251</v>
      </c>
      <c r="D486" t="s">
        <v>880</v>
      </c>
      <c r="E486" t="s">
        <v>879</v>
      </c>
      <c r="F486" s="491">
        <v>6440520.6936251102</v>
      </c>
      <c r="G486" s="491"/>
      <c r="H486" s="491"/>
    </row>
    <row r="487" spans="1:8">
      <c r="A487">
        <v>2027</v>
      </c>
      <c r="B487" t="s">
        <v>2679</v>
      </c>
      <c r="C487" t="s">
        <v>251</v>
      </c>
      <c r="D487" t="s">
        <v>881</v>
      </c>
      <c r="E487" t="s">
        <v>693</v>
      </c>
      <c r="F487" s="491">
        <v>6440520.6936251102</v>
      </c>
      <c r="G487" s="491"/>
      <c r="H487" s="491"/>
    </row>
    <row r="488" spans="1:8">
      <c r="A488">
        <v>2027</v>
      </c>
      <c r="B488" t="s">
        <v>2679</v>
      </c>
      <c r="C488" t="s">
        <v>259</v>
      </c>
      <c r="D488" t="s">
        <v>884</v>
      </c>
      <c r="E488" t="s">
        <v>19</v>
      </c>
      <c r="F488" s="491">
        <v>3076998.5895571401</v>
      </c>
      <c r="G488" s="491"/>
      <c r="H488" s="491"/>
    </row>
    <row r="489" spans="1:8">
      <c r="A489">
        <v>2027</v>
      </c>
      <c r="B489" t="s">
        <v>2679</v>
      </c>
      <c r="C489" t="s">
        <v>259</v>
      </c>
      <c r="D489" t="s">
        <v>886</v>
      </c>
      <c r="E489" t="s">
        <v>885</v>
      </c>
      <c r="F489" s="491">
        <v>3076998.5895571401</v>
      </c>
      <c r="G489" s="491"/>
      <c r="H489" s="491"/>
    </row>
    <row r="490" spans="1:8">
      <c r="A490">
        <v>2027</v>
      </c>
      <c r="B490" t="s">
        <v>2679</v>
      </c>
      <c r="C490" t="s">
        <v>265</v>
      </c>
      <c r="D490" t="s">
        <v>962</v>
      </c>
      <c r="E490" t="s">
        <v>20</v>
      </c>
      <c r="F490" s="491">
        <v>0</v>
      </c>
      <c r="G490" s="491"/>
      <c r="H490" s="491"/>
    </row>
    <row r="491" spans="1:8">
      <c r="A491">
        <v>2027</v>
      </c>
      <c r="B491" t="s">
        <v>2679</v>
      </c>
      <c r="C491" t="s">
        <v>265</v>
      </c>
      <c r="D491" t="s">
        <v>2284</v>
      </c>
      <c r="E491" t="s">
        <v>890</v>
      </c>
      <c r="F491" s="491">
        <v>17452134.408233009</v>
      </c>
      <c r="G491" s="491"/>
      <c r="H491" s="491"/>
    </row>
    <row r="492" spans="1:8">
      <c r="A492">
        <v>2027</v>
      </c>
      <c r="B492" t="s">
        <v>2679</v>
      </c>
      <c r="C492" t="s">
        <v>265</v>
      </c>
      <c r="D492" t="s">
        <v>2287</v>
      </c>
      <c r="E492" t="s">
        <v>891</v>
      </c>
      <c r="F492" s="491">
        <v>17452134.408233009</v>
      </c>
      <c r="G492" s="491"/>
      <c r="H492" s="491"/>
    </row>
    <row r="493" spans="1:8">
      <c r="A493">
        <v>2027</v>
      </c>
      <c r="B493" t="s">
        <v>2679</v>
      </c>
      <c r="C493" t="s">
        <v>282</v>
      </c>
      <c r="D493" t="s">
        <v>895</v>
      </c>
      <c r="E493" t="s">
        <v>703</v>
      </c>
      <c r="F493" s="491">
        <v>39475338.740869597</v>
      </c>
      <c r="G493" s="491"/>
      <c r="H493" s="491"/>
    </row>
    <row r="494" spans="1:8">
      <c r="A494">
        <v>2027</v>
      </c>
      <c r="B494" t="s">
        <v>2679</v>
      </c>
      <c r="C494" t="s">
        <v>282</v>
      </c>
      <c r="D494" t="s">
        <v>896</v>
      </c>
      <c r="E494" t="s">
        <v>704</v>
      </c>
      <c r="F494" s="491">
        <v>12829485.090782629</v>
      </c>
      <c r="G494" s="491"/>
      <c r="H494" s="491"/>
    </row>
    <row r="495" spans="1:8">
      <c r="A495">
        <v>2027</v>
      </c>
      <c r="B495" t="s">
        <v>2677</v>
      </c>
      <c r="C495" t="s">
        <v>1254</v>
      </c>
      <c r="D495" t="s">
        <v>1276</v>
      </c>
      <c r="E495" t="s">
        <v>1624</v>
      </c>
      <c r="F495" s="491">
        <v>41323.12825234</v>
      </c>
      <c r="G495" s="491"/>
      <c r="H495" s="491"/>
    </row>
    <row r="496" spans="1:8">
      <c r="A496">
        <v>2027</v>
      </c>
      <c r="B496" t="s">
        <v>2677</v>
      </c>
      <c r="C496" t="s">
        <v>1255</v>
      </c>
      <c r="D496" t="s">
        <v>1276</v>
      </c>
      <c r="E496" t="s">
        <v>1625</v>
      </c>
      <c r="F496" s="491">
        <v>29196.151244739998</v>
      </c>
      <c r="G496" s="491"/>
      <c r="H496" s="491"/>
    </row>
    <row r="497" spans="1:8">
      <c r="A497">
        <v>2027</v>
      </c>
      <c r="B497" t="s">
        <v>139</v>
      </c>
      <c r="C497" t="s">
        <v>243</v>
      </c>
      <c r="D497" t="s">
        <v>145</v>
      </c>
      <c r="E497" t="s">
        <v>48</v>
      </c>
      <c r="F497" s="491">
        <v>2528.5696724600002</v>
      </c>
      <c r="G497" s="491">
        <v>700.56393675000004</v>
      </c>
      <c r="H497" s="491">
        <v>0</v>
      </c>
    </row>
    <row r="498" spans="1:8">
      <c r="A498">
        <v>2027</v>
      </c>
      <c r="B498" t="s">
        <v>139</v>
      </c>
      <c r="C498" t="s">
        <v>244</v>
      </c>
      <c r="D498" t="s">
        <v>145</v>
      </c>
      <c r="E498" t="s">
        <v>49</v>
      </c>
      <c r="F498" s="491">
        <v>2249.0282542899999</v>
      </c>
      <c r="G498" s="491">
        <v>736.15348377999999</v>
      </c>
      <c r="H498" s="491">
        <v>0</v>
      </c>
    </row>
    <row r="499" spans="1:8">
      <c r="A499">
        <v>2027</v>
      </c>
      <c r="B499" t="s">
        <v>139</v>
      </c>
      <c r="C499" t="s">
        <v>245</v>
      </c>
      <c r="D499" t="s">
        <v>145</v>
      </c>
      <c r="E499" t="s">
        <v>47</v>
      </c>
      <c r="F499" s="491">
        <v>15564.05950453</v>
      </c>
      <c r="G499" s="491">
        <v>5381.3588857799996</v>
      </c>
      <c r="H499" s="491">
        <v>0</v>
      </c>
    </row>
    <row r="500" spans="1:8">
      <c r="A500">
        <v>2027</v>
      </c>
      <c r="B500" t="s">
        <v>410</v>
      </c>
      <c r="C500" t="s">
        <v>250</v>
      </c>
      <c r="D500" t="s">
        <v>298</v>
      </c>
      <c r="E500" t="s">
        <v>351</v>
      </c>
      <c r="F500" s="491">
        <v>0</v>
      </c>
      <c r="G500" s="491"/>
      <c r="H500" s="491"/>
    </row>
    <row r="501" spans="1:8">
      <c r="A501">
        <v>2027</v>
      </c>
      <c r="B501" t="s">
        <v>410</v>
      </c>
      <c r="C501" t="s">
        <v>250</v>
      </c>
      <c r="D501" t="s">
        <v>299</v>
      </c>
      <c r="E501" t="s">
        <v>352</v>
      </c>
      <c r="F501" s="491">
        <v>0</v>
      </c>
      <c r="G501" s="491"/>
      <c r="H501" s="491"/>
    </row>
    <row r="502" spans="1:8">
      <c r="A502">
        <v>2027</v>
      </c>
      <c r="B502" t="s">
        <v>410</v>
      </c>
      <c r="C502" t="s">
        <v>250</v>
      </c>
      <c r="D502" t="s">
        <v>300</v>
      </c>
      <c r="E502" t="s">
        <v>353</v>
      </c>
      <c r="F502" s="491">
        <v>0</v>
      </c>
      <c r="G502" s="491"/>
      <c r="H502" s="491"/>
    </row>
    <row r="503" spans="1:8">
      <c r="A503">
        <v>2027</v>
      </c>
      <c r="B503" t="s">
        <v>410</v>
      </c>
      <c r="C503" t="s">
        <v>250</v>
      </c>
      <c r="D503" t="s">
        <v>301</v>
      </c>
      <c r="E503" t="s">
        <v>57</v>
      </c>
      <c r="F503" s="491">
        <v>0</v>
      </c>
      <c r="G503" s="491"/>
      <c r="H503" s="491"/>
    </row>
    <row r="504" spans="1:8">
      <c r="A504">
        <v>2027</v>
      </c>
      <c r="B504" t="s">
        <v>410</v>
      </c>
      <c r="C504" t="s">
        <v>258</v>
      </c>
      <c r="D504" t="s">
        <v>308</v>
      </c>
      <c r="E504" t="s">
        <v>364</v>
      </c>
      <c r="F504" s="491">
        <v>0</v>
      </c>
      <c r="G504" s="491"/>
      <c r="H504" s="491"/>
    </row>
    <row r="505" spans="1:8">
      <c r="A505">
        <v>2027</v>
      </c>
      <c r="B505" t="s">
        <v>410</v>
      </c>
      <c r="C505" t="s">
        <v>258</v>
      </c>
      <c r="D505" t="s">
        <v>309</v>
      </c>
      <c r="E505" t="s">
        <v>365</v>
      </c>
      <c r="F505" s="491">
        <v>0</v>
      </c>
      <c r="G505" s="491"/>
      <c r="H505" s="491"/>
    </row>
    <row r="506" spans="1:8">
      <c r="A506">
        <v>2027</v>
      </c>
      <c r="B506" t="s">
        <v>410</v>
      </c>
      <c r="C506" t="s">
        <v>258</v>
      </c>
      <c r="D506" t="s">
        <v>310</v>
      </c>
      <c r="E506" t="s">
        <v>366</v>
      </c>
      <c r="F506" s="491">
        <v>0</v>
      </c>
      <c r="G506" s="491"/>
      <c r="H506" s="491"/>
    </row>
    <row r="507" spans="1:8">
      <c r="A507">
        <v>2027</v>
      </c>
      <c r="B507" t="s">
        <v>410</v>
      </c>
      <c r="C507" t="s">
        <v>264</v>
      </c>
      <c r="D507" t="s">
        <v>315</v>
      </c>
      <c r="E507" t="s">
        <v>375</v>
      </c>
      <c r="F507" s="491">
        <v>0</v>
      </c>
      <c r="G507" s="491"/>
      <c r="H507" s="491"/>
    </row>
    <row r="508" spans="1:8">
      <c r="A508">
        <v>2027</v>
      </c>
      <c r="B508" t="s">
        <v>410</v>
      </c>
      <c r="C508" t="s">
        <v>264</v>
      </c>
      <c r="D508" t="s">
        <v>965</v>
      </c>
      <c r="E508" t="s">
        <v>376</v>
      </c>
      <c r="F508" s="491">
        <v>0</v>
      </c>
      <c r="G508" s="491"/>
      <c r="H508" s="491"/>
    </row>
    <row r="509" spans="1:8">
      <c r="A509">
        <v>2027</v>
      </c>
      <c r="B509" t="s">
        <v>410</v>
      </c>
      <c r="C509" t="s">
        <v>281</v>
      </c>
      <c r="D509" t="s">
        <v>324</v>
      </c>
      <c r="E509" t="s">
        <v>396</v>
      </c>
      <c r="F509" s="491">
        <v>0</v>
      </c>
      <c r="G509" s="491"/>
      <c r="H509" s="491"/>
    </row>
    <row r="510" spans="1:8">
      <c r="A510">
        <v>2027</v>
      </c>
      <c r="B510" t="s">
        <v>410</v>
      </c>
      <c r="C510" t="s">
        <v>281</v>
      </c>
      <c r="D510" t="s">
        <v>325</v>
      </c>
      <c r="E510" t="s">
        <v>397</v>
      </c>
      <c r="F510" s="491">
        <v>0</v>
      </c>
      <c r="G510" s="491"/>
      <c r="H510" s="491"/>
    </row>
    <row r="511" spans="1:8">
      <c r="A511">
        <v>2027</v>
      </c>
      <c r="B511" t="s">
        <v>410</v>
      </c>
      <c r="C511" t="s">
        <v>281</v>
      </c>
      <c r="D511" t="s">
        <v>326</v>
      </c>
      <c r="E511" t="s">
        <v>398</v>
      </c>
      <c r="F511" s="491">
        <v>0</v>
      </c>
      <c r="G511" s="491"/>
      <c r="H511" s="491"/>
    </row>
    <row r="512" spans="1:8">
      <c r="A512">
        <v>2027</v>
      </c>
      <c r="B512" t="s">
        <v>410</v>
      </c>
      <c r="C512" t="s">
        <v>281</v>
      </c>
      <c r="D512" t="s">
        <v>327</v>
      </c>
      <c r="E512" t="s">
        <v>63</v>
      </c>
      <c r="F512" s="491">
        <v>0</v>
      </c>
      <c r="G512" s="491"/>
      <c r="H512" s="491"/>
    </row>
    <row r="513" spans="1:8">
      <c r="A513">
        <v>2027</v>
      </c>
      <c r="B513" t="s">
        <v>141</v>
      </c>
      <c r="C513" t="s">
        <v>647</v>
      </c>
      <c r="D513" t="s">
        <v>145</v>
      </c>
      <c r="E513" t="s">
        <v>51</v>
      </c>
      <c r="F513" s="491">
        <v>29799.121590719998</v>
      </c>
      <c r="G513" s="491">
        <v>14124.37148924</v>
      </c>
      <c r="H513" s="491">
        <v>1042.9692556800001</v>
      </c>
    </row>
    <row r="514" spans="1:8">
      <c r="A514">
        <v>2027</v>
      </c>
      <c r="B514" t="s">
        <v>141</v>
      </c>
      <c r="C514" t="s">
        <v>647</v>
      </c>
      <c r="D514" t="s">
        <v>146</v>
      </c>
      <c r="E514" t="s">
        <v>52</v>
      </c>
      <c r="F514" s="491">
        <v>29620.326861180001</v>
      </c>
      <c r="G514" s="491">
        <v>11965.42647896</v>
      </c>
      <c r="H514" s="491">
        <v>1036.7114401399999</v>
      </c>
    </row>
    <row r="515" spans="1:8">
      <c r="A515">
        <v>2027</v>
      </c>
      <c r="B515" t="s">
        <v>141</v>
      </c>
      <c r="C515" t="s">
        <v>647</v>
      </c>
      <c r="D515" t="s">
        <v>660</v>
      </c>
      <c r="E515" t="s">
        <v>630</v>
      </c>
      <c r="F515" s="491">
        <v>29620.326861180001</v>
      </c>
      <c r="G515" s="491">
        <v>5924.0653722400002</v>
      </c>
      <c r="H515" s="491">
        <v>1036.7114401399999</v>
      </c>
    </row>
    <row r="516" spans="1:8">
      <c r="A516">
        <v>2027</v>
      </c>
      <c r="B516" t="s">
        <v>141</v>
      </c>
      <c r="C516" t="s">
        <v>647</v>
      </c>
      <c r="D516" t="s">
        <v>661</v>
      </c>
      <c r="E516" t="s">
        <v>631</v>
      </c>
      <c r="F516" s="491">
        <v>29799.121590719998</v>
      </c>
      <c r="G516" s="491">
        <v>14061.16765288</v>
      </c>
      <c r="H516" s="491">
        <v>1042.9692556800001</v>
      </c>
    </row>
    <row r="517" spans="1:8">
      <c r="A517">
        <v>2027</v>
      </c>
      <c r="B517" t="s">
        <v>141</v>
      </c>
      <c r="C517" t="s">
        <v>647</v>
      </c>
      <c r="D517" t="s">
        <v>722</v>
      </c>
      <c r="E517" t="s">
        <v>721</v>
      </c>
      <c r="F517" s="491">
        <v>595.98243180999998</v>
      </c>
      <c r="G517" s="491">
        <v>268.77788489</v>
      </c>
      <c r="H517" s="491">
        <v>20.859385110000002</v>
      </c>
    </row>
    <row r="518" spans="1:8">
      <c r="A518">
        <v>2027</v>
      </c>
      <c r="B518" t="s">
        <v>141</v>
      </c>
      <c r="C518" t="s">
        <v>649</v>
      </c>
      <c r="D518" t="s">
        <v>145</v>
      </c>
      <c r="E518" t="s">
        <v>612</v>
      </c>
      <c r="F518" s="491">
        <v>10285.729101069999</v>
      </c>
      <c r="G518" s="491">
        <v>3250</v>
      </c>
      <c r="H518" s="491">
        <v>1028.5729101100001</v>
      </c>
    </row>
    <row r="519" spans="1:8">
      <c r="A519">
        <v>2027</v>
      </c>
      <c r="B519" t="s">
        <v>141</v>
      </c>
      <c r="C519" t="s">
        <v>649</v>
      </c>
      <c r="D519" t="s">
        <v>146</v>
      </c>
      <c r="E519" t="s">
        <v>613</v>
      </c>
      <c r="F519" s="491">
        <v>10224.01472646</v>
      </c>
      <c r="G519" s="491">
        <v>3250</v>
      </c>
      <c r="H519" s="491">
        <v>1022.40147265</v>
      </c>
    </row>
    <row r="520" spans="1:8">
      <c r="A520">
        <v>2027</v>
      </c>
      <c r="B520" t="s">
        <v>141</v>
      </c>
      <c r="C520" t="s">
        <v>649</v>
      </c>
      <c r="D520" t="s">
        <v>660</v>
      </c>
      <c r="E520" t="s">
        <v>624</v>
      </c>
      <c r="F520" s="491">
        <v>10224.01472646</v>
      </c>
      <c r="G520" s="491">
        <v>3250</v>
      </c>
      <c r="H520" s="491">
        <v>1022.40147265</v>
      </c>
    </row>
    <row r="521" spans="1:8">
      <c r="A521">
        <v>2027</v>
      </c>
      <c r="B521" t="s">
        <v>141</v>
      </c>
      <c r="C521" t="s">
        <v>649</v>
      </c>
      <c r="D521" t="s">
        <v>661</v>
      </c>
      <c r="E521" t="s">
        <v>625</v>
      </c>
      <c r="F521" s="491">
        <v>10285.729101069999</v>
      </c>
      <c r="G521" s="491">
        <v>0</v>
      </c>
      <c r="H521" s="491">
        <v>1028.5729101100001</v>
      </c>
    </row>
    <row r="522" spans="1:8">
      <c r="A522">
        <v>2027</v>
      </c>
      <c r="B522" t="s">
        <v>141</v>
      </c>
      <c r="C522" t="s">
        <v>649</v>
      </c>
      <c r="D522" t="s">
        <v>722</v>
      </c>
      <c r="E522" t="s">
        <v>724</v>
      </c>
      <c r="F522" s="491">
        <v>205.71458201999999</v>
      </c>
      <c r="G522" s="491">
        <v>0</v>
      </c>
      <c r="H522" s="491">
        <v>20.571458199999999</v>
      </c>
    </row>
    <row r="523" spans="1:8">
      <c r="A523">
        <v>2027</v>
      </c>
      <c r="B523" t="s">
        <v>141</v>
      </c>
      <c r="C523" t="s">
        <v>648</v>
      </c>
      <c r="D523" t="s">
        <v>145</v>
      </c>
      <c r="E523" t="s">
        <v>53</v>
      </c>
      <c r="F523" s="491">
        <v>9919.4533983099991</v>
      </c>
      <c r="G523" s="491">
        <v>4680.6445899399996</v>
      </c>
      <c r="H523" s="491">
        <v>9919.4533983099991</v>
      </c>
    </row>
    <row r="524" spans="1:8">
      <c r="A524">
        <v>2027</v>
      </c>
      <c r="B524" t="s">
        <v>141</v>
      </c>
      <c r="C524" t="s">
        <v>648</v>
      </c>
      <c r="D524" t="s">
        <v>146</v>
      </c>
      <c r="E524" t="s">
        <v>54</v>
      </c>
      <c r="F524" s="491">
        <v>9919.4533983099991</v>
      </c>
      <c r="G524" s="491">
        <v>4473.50385061</v>
      </c>
      <c r="H524" s="491">
        <v>347.18086893999998</v>
      </c>
    </row>
    <row r="525" spans="1:8">
      <c r="A525">
        <v>2027</v>
      </c>
      <c r="B525" t="s">
        <v>141</v>
      </c>
      <c r="C525" t="s">
        <v>648</v>
      </c>
      <c r="D525" t="s">
        <v>660</v>
      </c>
      <c r="E525" t="s">
        <v>622</v>
      </c>
      <c r="F525" s="491">
        <v>9919.4533983099991</v>
      </c>
      <c r="G525" s="491">
        <v>4473.50385061</v>
      </c>
      <c r="H525" s="491">
        <v>347.18086893999998</v>
      </c>
    </row>
    <row r="526" spans="1:8">
      <c r="A526">
        <v>2027</v>
      </c>
      <c r="B526" t="s">
        <v>141</v>
      </c>
      <c r="C526" t="s">
        <v>648</v>
      </c>
      <c r="D526" t="s">
        <v>661</v>
      </c>
      <c r="E526" t="s">
        <v>623</v>
      </c>
      <c r="F526" s="491">
        <v>9919.4533983099991</v>
      </c>
      <c r="G526" s="491">
        <v>8266.2111652599997</v>
      </c>
      <c r="H526" s="491">
        <v>347.18086893999998</v>
      </c>
    </row>
    <row r="527" spans="1:8">
      <c r="A527">
        <v>2027</v>
      </c>
      <c r="B527" t="s">
        <v>141</v>
      </c>
      <c r="C527" t="s">
        <v>648</v>
      </c>
      <c r="D527" t="s">
        <v>722</v>
      </c>
      <c r="E527" t="s">
        <v>723</v>
      </c>
      <c r="F527" s="491">
        <v>198.38906797000001</v>
      </c>
      <c r="G527" s="491">
        <v>0</v>
      </c>
      <c r="H527" s="491">
        <v>6.9436173800000001</v>
      </c>
    </row>
    <row r="528" spans="1:8">
      <c r="A528">
        <v>2027</v>
      </c>
      <c r="B528" t="s">
        <v>141</v>
      </c>
      <c r="C528" t="s">
        <v>650</v>
      </c>
      <c r="D528" t="s">
        <v>145</v>
      </c>
      <c r="E528" t="s">
        <v>626</v>
      </c>
      <c r="F528" s="491">
        <v>5389.4182836</v>
      </c>
      <c r="G528" s="491">
        <v>1734</v>
      </c>
      <c r="H528" s="491">
        <v>5389.4182836</v>
      </c>
    </row>
    <row r="529" spans="1:8">
      <c r="A529">
        <v>2027</v>
      </c>
      <c r="B529" t="s">
        <v>141</v>
      </c>
      <c r="C529" t="s">
        <v>650</v>
      </c>
      <c r="D529" t="s">
        <v>146</v>
      </c>
      <c r="E529" t="s">
        <v>627</v>
      </c>
      <c r="F529" s="491">
        <v>5389.4182836</v>
      </c>
      <c r="G529" s="491">
        <v>1734</v>
      </c>
      <c r="H529" s="491">
        <v>538.94182836000004</v>
      </c>
    </row>
    <row r="530" spans="1:8">
      <c r="A530">
        <v>2027</v>
      </c>
      <c r="B530" t="s">
        <v>141</v>
      </c>
      <c r="C530" t="s">
        <v>650</v>
      </c>
      <c r="D530" t="s">
        <v>660</v>
      </c>
      <c r="E530" t="s">
        <v>628</v>
      </c>
      <c r="F530" s="491">
        <v>5389.4182836</v>
      </c>
      <c r="G530" s="491">
        <v>1734</v>
      </c>
      <c r="H530" s="491">
        <v>538.94182836000004</v>
      </c>
    </row>
    <row r="531" spans="1:8">
      <c r="A531">
        <v>2027</v>
      </c>
      <c r="B531" t="s">
        <v>141</v>
      </c>
      <c r="C531" t="s">
        <v>650</v>
      </c>
      <c r="D531" t="s">
        <v>661</v>
      </c>
      <c r="E531" t="s">
        <v>629</v>
      </c>
      <c r="F531" s="491">
        <v>5389.4182836</v>
      </c>
      <c r="G531" s="491">
        <v>0</v>
      </c>
      <c r="H531" s="491">
        <v>538.94182836000004</v>
      </c>
    </row>
    <row r="532" spans="1:8">
      <c r="A532">
        <v>2027</v>
      </c>
      <c r="B532" t="s">
        <v>141</v>
      </c>
      <c r="C532" t="s">
        <v>650</v>
      </c>
      <c r="D532" t="s">
        <v>722</v>
      </c>
      <c r="E532" t="s">
        <v>725</v>
      </c>
      <c r="F532" s="491">
        <v>107.78836567</v>
      </c>
      <c r="G532" s="491">
        <v>0</v>
      </c>
      <c r="H532" s="491">
        <v>10.778836569999999</v>
      </c>
    </row>
    <row r="533" spans="1:8">
      <c r="A533">
        <v>2027</v>
      </c>
      <c r="B533" t="s">
        <v>2422</v>
      </c>
      <c r="C533" t="s">
        <v>2423</v>
      </c>
      <c r="D533" t="s">
        <v>2424</v>
      </c>
      <c r="E533" t="s">
        <v>2351</v>
      </c>
      <c r="F533" s="491">
        <v>278400</v>
      </c>
      <c r="G533" s="491">
        <v>0</v>
      </c>
      <c r="H533" s="491">
        <v>278400</v>
      </c>
    </row>
    <row r="534" spans="1:8">
      <c r="A534">
        <v>2027</v>
      </c>
      <c r="B534" t="s">
        <v>2422</v>
      </c>
      <c r="C534" t="s">
        <v>2448</v>
      </c>
      <c r="D534" t="s">
        <v>2429</v>
      </c>
      <c r="E534" t="s">
        <v>2452</v>
      </c>
      <c r="F534" s="491">
        <v>93533.019038450002</v>
      </c>
      <c r="G534" s="491">
        <v>46766.509519220002</v>
      </c>
      <c r="H534" s="491">
        <v>0</v>
      </c>
    </row>
    <row r="535" spans="1:8">
      <c r="A535">
        <v>2027</v>
      </c>
      <c r="B535" t="s">
        <v>2422</v>
      </c>
      <c r="C535" t="s">
        <v>2448</v>
      </c>
      <c r="D535" t="s">
        <v>2440</v>
      </c>
      <c r="E535" t="s">
        <v>2447</v>
      </c>
      <c r="F535" s="491">
        <v>693603.85807892994</v>
      </c>
      <c r="G535" s="491">
        <v>339865.89045867999</v>
      </c>
      <c r="H535" s="491">
        <v>13872.07716158</v>
      </c>
    </row>
    <row r="536" spans="1:8">
      <c r="A536">
        <v>2027</v>
      </c>
      <c r="B536" t="s">
        <v>2422</v>
      </c>
      <c r="C536" t="s">
        <v>2434</v>
      </c>
      <c r="D536" t="s">
        <v>2429</v>
      </c>
      <c r="E536" t="s">
        <v>2433</v>
      </c>
      <c r="F536" s="491">
        <v>0</v>
      </c>
      <c r="G536" s="491">
        <v>0</v>
      </c>
      <c r="H536" s="491">
        <v>0</v>
      </c>
    </row>
    <row r="537" spans="1:8">
      <c r="A537">
        <v>2027</v>
      </c>
      <c r="B537" t="s">
        <v>2422</v>
      </c>
      <c r="C537" t="s">
        <v>2439</v>
      </c>
      <c r="D537" t="s">
        <v>2429</v>
      </c>
      <c r="E537" t="s">
        <v>2444</v>
      </c>
      <c r="F537" s="491">
        <v>188642.66826942001</v>
      </c>
      <c r="G537" s="491">
        <v>94321.334134710007</v>
      </c>
      <c r="H537" s="491">
        <v>0</v>
      </c>
    </row>
    <row r="538" spans="1:8">
      <c r="A538">
        <v>2027</v>
      </c>
      <c r="B538" t="s">
        <v>2422</v>
      </c>
      <c r="C538" t="s">
        <v>2439</v>
      </c>
      <c r="D538" t="s">
        <v>2440</v>
      </c>
      <c r="E538" t="s">
        <v>2438</v>
      </c>
      <c r="F538" s="491">
        <v>59808.445513780003</v>
      </c>
      <c r="G538" s="491">
        <v>29306.138301750001</v>
      </c>
      <c r="H538" s="491">
        <v>1196.1689102800001</v>
      </c>
    </row>
    <row r="539" spans="1:8">
      <c r="A539">
        <v>2027</v>
      </c>
      <c r="B539" t="s">
        <v>2422</v>
      </c>
      <c r="C539" t="s">
        <v>2428</v>
      </c>
      <c r="D539" t="s">
        <v>2429</v>
      </c>
      <c r="E539" t="s">
        <v>2353</v>
      </c>
      <c r="F539" s="491">
        <v>0</v>
      </c>
      <c r="G539" s="491">
        <v>0</v>
      </c>
      <c r="H539" s="491">
        <v>0</v>
      </c>
    </row>
    <row r="540" spans="1:8">
      <c r="A540">
        <v>2027</v>
      </c>
      <c r="B540" t="s">
        <v>132</v>
      </c>
      <c r="C540" t="s">
        <v>132</v>
      </c>
      <c r="D540" t="s">
        <v>288</v>
      </c>
      <c r="E540" t="s">
        <v>26</v>
      </c>
      <c r="F540" s="491">
        <v>2.6376339400000002</v>
      </c>
      <c r="G540" s="491">
        <v>1.8463437599999999</v>
      </c>
      <c r="H540" s="491"/>
    </row>
    <row r="541" spans="1:8">
      <c r="A541">
        <v>2027</v>
      </c>
      <c r="B541" t="s">
        <v>680</v>
      </c>
      <c r="C541" t="s">
        <v>911</v>
      </c>
      <c r="D541" t="s">
        <v>751</v>
      </c>
      <c r="E541" t="s">
        <v>750</v>
      </c>
      <c r="F541" s="491">
        <v>0</v>
      </c>
      <c r="G541" s="491">
        <v>0</v>
      </c>
      <c r="H541" s="491"/>
    </row>
    <row r="542" spans="1:8">
      <c r="A542">
        <v>2027</v>
      </c>
      <c r="B542" t="s">
        <v>680</v>
      </c>
      <c r="C542" t="s">
        <v>911</v>
      </c>
      <c r="D542" t="s">
        <v>1270</v>
      </c>
      <c r="E542" t="s">
        <v>1660</v>
      </c>
      <c r="F542" s="491">
        <v>0</v>
      </c>
      <c r="G542" s="491">
        <v>0</v>
      </c>
      <c r="H542" s="491"/>
    </row>
    <row r="543" spans="1:8">
      <c r="A543">
        <v>2027</v>
      </c>
      <c r="B543" t="s">
        <v>680</v>
      </c>
      <c r="C543" t="s">
        <v>911</v>
      </c>
      <c r="D543" t="s">
        <v>913</v>
      </c>
      <c r="E543" t="s">
        <v>912</v>
      </c>
      <c r="F543" s="491">
        <v>5181.1381588800004</v>
      </c>
      <c r="G543" s="491">
        <v>0</v>
      </c>
      <c r="H543" s="491"/>
    </row>
    <row r="544" spans="1:8">
      <c r="A544">
        <v>2027</v>
      </c>
      <c r="B544" t="s">
        <v>680</v>
      </c>
      <c r="C544" t="s">
        <v>911</v>
      </c>
      <c r="D544" t="s">
        <v>869</v>
      </c>
      <c r="E544" t="s">
        <v>752</v>
      </c>
      <c r="F544" s="491">
        <v>430.40755824000001</v>
      </c>
      <c r="G544" s="491">
        <v>215.20377912000001</v>
      </c>
      <c r="H544" s="491"/>
    </row>
    <row r="545" spans="1:8">
      <c r="A545">
        <v>2027</v>
      </c>
      <c r="B545" t="s">
        <v>2729</v>
      </c>
      <c r="C545" t="s">
        <v>2312</v>
      </c>
      <c r="D545" t="s">
        <v>2107</v>
      </c>
      <c r="E545" t="s">
        <v>2315</v>
      </c>
      <c r="F545" s="491">
        <v>166.44728928999999</v>
      </c>
      <c r="G545" s="491"/>
      <c r="H545" s="491"/>
    </row>
    <row r="546" spans="1:8">
      <c r="A546">
        <v>2027</v>
      </c>
      <c r="B546" t="s">
        <v>2729</v>
      </c>
      <c r="C546" t="s">
        <v>2301</v>
      </c>
      <c r="D546" t="s">
        <v>2107</v>
      </c>
      <c r="E546" t="s">
        <v>2106</v>
      </c>
      <c r="F546" s="491">
        <v>5049.4441091899998</v>
      </c>
      <c r="G546" s="491"/>
      <c r="H546" s="491"/>
    </row>
    <row r="547" spans="1:8">
      <c r="A547">
        <v>2027</v>
      </c>
      <c r="B547" t="s">
        <v>2729</v>
      </c>
      <c r="C547" t="s">
        <v>2319</v>
      </c>
      <c r="D547" t="s">
        <v>2107</v>
      </c>
      <c r="E547" t="s">
        <v>2322</v>
      </c>
      <c r="F547" s="491">
        <v>300.27627594</v>
      </c>
      <c r="G547" s="491"/>
      <c r="H547" s="491"/>
    </row>
    <row r="548" spans="1:8">
      <c r="A548">
        <v>2027</v>
      </c>
      <c r="B548" t="s">
        <v>2729</v>
      </c>
      <c r="C548" t="s">
        <v>2306</v>
      </c>
      <c r="D548" t="s">
        <v>2107</v>
      </c>
      <c r="E548" t="s">
        <v>2110</v>
      </c>
      <c r="F548" s="491">
        <v>1248.64501685</v>
      </c>
      <c r="G548" s="491"/>
      <c r="H548" s="491"/>
    </row>
    <row r="549" spans="1:8">
      <c r="A549">
        <v>2027</v>
      </c>
      <c r="B549" t="s">
        <v>2729</v>
      </c>
      <c r="C549" t="s">
        <v>1254</v>
      </c>
      <c r="D549" t="s">
        <v>1275</v>
      </c>
      <c r="E549" t="s">
        <v>1586</v>
      </c>
      <c r="F549" s="491">
        <v>8104.4104121500004</v>
      </c>
      <c r="G549" s="491"/>
      <c r="H549" s="491"/>
    </row>
    <row r="550" spans="1:8">
      <c r="A550">
        <v>2027</v>
      </c>
      <c r="B550" t="s">
        <v>2729</v>
      </c>
      <c r="C550" t="s">
        <v>1255</v>
      </c>
      <c r="D550" t="s">
        <v>1275</v>
      </c>
      <c r="E550" t="s">
        <v>1587</v>
      </c>
      <c r="F550" s="491">
        <v>76067.337116149996</v>
      </c>
      <c r="G550" s="491"/>
      <c r="H550" s="491"/>
    </row>
    <row r="551" spans="1:8">
      <c r="A551">
        <v>2027</v>
      </c>
      <c r="B551" t="s">
        <v>134</v>
      </c>
      <c r="C551" t="s">
        <v>241</v>
      </c>
      <c r="D551" t="s">
        <v>288</v>
      </c>
      <c r="E551" t="s">
        <v>341</v>
      </c>
      <c r="F551" s="491">
        <v>0</v>
      </c>
      <c r="G551" s="491">
        <v>0</v>
      </c>
      <c r="H551" s="491">
        <v>0</v>
      </c>
    </row>
    <row r="552" spans="1:8">
      <c r="A552">
        <v>2027</v>
      </c>
      <c r="B552" t="s">
        <v>134</v>
      </c>
      <c r="C552" t="s">
        <v>254</v>
      </c>
      <c r="D552" t="s">
        <v>288</v>
      </c>
      <c r="E552" t="s">
        <v>362</v>
      </c>
      <c r="F552" s="491">
        <v>0</v>
      </c>
      <c r="G552" s="491">
        <v>0</v>
      </c>
      <c r="H552" s="491">
        <v>0</v>
      </c>
    </row>
    <row r="553" spans="1:8">
      <c r="A553">
        <v>2027</v>
      </c>
      <c r="B553" t="s">
        <v>1969</v>
      </c>
      <c r="C553" t="s">
        <v>250</v>
      </c>
      <c r="D553" t="s">
        <v>302</v>
      </c>
      <c r="E553" t="s">
        <v>58</v>
      </c>
      <c r="F553" s="491">
        <v>13482.63932923</v>
      </c>
      <c r="G553" s="491"/>
      <c r="H553" s="491"/>
    </row>
    <row r="554" spans="1:8">
      <c r="A554">
        <v>2027</v>
      </c>
      <c r="B554" t="s">
        <v>1969</v>
      </c>
      <c r="C554" t="s">
        <v>250</v>
      </c>
      <c r="D554" t="s">
        <v>311</v>
      </c>
      <c r="E554" t="s">
        <v>1611</v>
      </c>
      <c r="F554" s="491">
        <v>6741.3196646200004</v>
      </c>
      <c r="G554" s="491"/>
      <c r="H554" s="491"/>
    </row>
    <row r="555" spans="1:8">
      <c r="A555">
        <v>2027</v>
      </c>
      <c r="B555" t="s">
        <v>1969</v>
      </c>
      <c r="C555" t="s">
        <v>250</v>
      </c>
      <c r="D555" t="s">
        <v>695</v>
      </c>
      <c r="E555" t="s">
        <v>1612</v>
      </c>
      <c r="F555" s="491">
        <v>0</v>
      </c>
      <c r="G555" s="491"/>
      <c r="H555" s="491"/>
    </row>
    <row r="556" spans="1:8">
      <c r="A556">
        <v>2027</v>
      </c>
      <c r="B556" t="s">
        <v>1969</v>
      </c>
      <c r="C556" t="s">
        <v>250</v>
      </c>
      <c r="D556" t="s">
        <v>697</v>
      </c>
      <c r="E556" t="s">
        <v>1613</v>
      </c>
      <c r="F556" s="491">
        <v>0</v>
      </c>
      <c r="G556" s="491"/>
      <c r="H556" s="491"/>
    </row>
    <row r="557" spans="1:8">
      <c r="A557">
        <v>2027</v>
      </c>
      <c r="B557" t="s">
        <v>1969</v>
      </c>
      <c r="C557" t="s">
        <v>253</v>
      </c>
      <c r="D557" t="s">
        <v>298</v>
      </c>
      <c r="E557" t="s">
        <v>359</v>
      </c>
      <c r="F557" s="491">
        <v>0</v>
      </c>
      <c r="G557" s="491"/>
      <c r="H557" s="491"/>
    </row>
    <row r="558" spans="1:8">
      <c r="A558">
        <v>2027</v>
      </c>
      <c r="B558" t="s">
        <v>1969</v>
      </c>
      <c r="C558" t="s">
        <v>253</v>
      </c>
      <c r="D558" t="s">
        <v>299</v>
      </c>
      <c r="E558" t="s">
        <v>360</v>
      </c>
      <c r="F558" s="491">
        <v>0</v>
      </c>
      <c r="G558" s="491"/>
      <c r="H558" s="491"/>
    </row>
    <row r="559" spans="1:8">
      <c r="A559">
        <v>2027</v>
      </c>
      <c r="B559" t="s">
        <v>1969</v>
      </c>
      <c r="C559" t="s">
        <v>253</v>
      </c>
      <c r="D559" t="s">
        <v>300</v>
      </c>
      <c r="E559" t="s">
        <v>361</v>
      </c>
      <c r="F559" s="491">
        <v>0</v>
      </c>
      <c r="G559" s="491"/>
      <c r="H559" s="491"/>
    </row>
    <row r="560" spans="1:8">
      <c r="A560">
        <v>2027</v>
      </c>
      <c r="B560" t="s">
        <v>1969</v>
      </c>
      <c r="C560" t="s">
        <v>253</v>
      </c>
      <c r="D560" t="s">
        <v>301</v>
      </c>
      <c r="E560" t="s">
        <v>867</v>
      </c>
      <c r="F560" s="491">
        <v>0</v>
      </c>
      <c r="G560" s="491"/>
      <c r="H560" s="491"/>
    </row>
    <row r="561" spans="1:8">
      <c r="A561">
        <v>2027</v>
      </c>
      <c r="B561" t="s">
        <v>1969</v>
      </c>
      <c r="C561" t="s">
        <v>253</v>
      </c>
      <c r="D561" t="s">
        <v>302</v>
      </c>
      <c r="E561" t="s">
        <v>70</v>
      </c>
      <c r="F561" s="491">
        <v>2099.45814862</v>
      </c>
      <c r="G561" s="491"/>
      <c r="H561" s="491"/>
    </row>
    <row r="562" spans="1:8">
      <c r="A562">
        <v>2027</v>
      </c>
      <c r="B562" t="s">
        <v>1969</v>
      </c>
      <c r="C562" t="s">
        <v>253</v>
      </c>
      <c r="D562" t="s">
        <v>311</v>
      </c>
      <c r="E562" t="s">
        <v>966</v>
      </c>
      <c r="F562" s="491">
        <v>1049.72907431</v>
      </c>
      <c r="G562" s="491"/>
      <c r="H562" s="491"/>
    </row>
    <row r="563" spans="1:8">
      <c r="A563">
        <v>2027</v>
      </c>
      <c r="B563" t="s">
        <v>1969</v>
      </c>
      <c r="C563" t="s">
        <v>258</v>
      </c>
      <c r="D563" t="s">
        <v>302</v>
      </c>
      <c r="E563" t="s">
        <v>59</v>
      </c>
      <c r="F563" s="491">
        <v>2453.6216463999999</v>
      </c>
      <c r="G563" s="491"/>
      <c r="H563" s="491"/>
    </row>
    <row r="564" spans="1:8">
      <c r="A564">
        <v>2027</v>
      </c>
      <c r="B564" t="s">
        <v>1969</v>
      </c>
      <c r="C564" t="s">
        <v>258</v>
      </c>
      <c r="D564" t="s">
        <v>311</v>
      </c>
      <c r="E564" t="s">
        <v>60</v>
      </c>
      <c r="F564" s="491">
        <v>2453.6216463999999</v>
      </c>
      <c r="G564" s="491"/>
      <c r="H564" s="491"/>
    </row>
    <row r="565" spans="1:8">
      <c r="A565">
        <v>2027</v>
      </c>
      <c r="B565" t="s">
        <v>1969</v>
      </c>
      <c r="C565" t="s">
        <v>258</v>
      </c>
      <c r="D565" t="s">
        <v>695</v>
      </c>
      <c r="E565" t="s">
        <v>1617</v>
      </c>
      <c r="F565" s="491">
        <v>2453.6216463999999</v>
      </c>
      <c r="G565" s="491"/>
      <c r="H565" s="491"/>
    </row>
    <row r="566" spans="1:8">
      <c r="A566">
        <v>2027</v>
      </c>
      <c r="B566" t="s">
        <v>1969</v>
      </c>
      <c r="C566" t="s">
        <v>258</v>
      </c>
      <c r="D566" t="s">
        <v>697</v>
      </c>
      <c r="E566" t="s">
        <v>1618</v>
      </c>
      <c r="F566" s="491">
        <v>0</v>
      </c>
      <c r="G566" s="491"/>
      <c r="H566" s="491"/>
    </row>
    <row r="567" spans="1:8">
      <c r="A567">
        <v>2027</v>
      </c>
      <c r="B567" t="s">
        <v>1969</v>
      </c>
      <c r="C567" t="s">
        <v>261</v>
      </c>
      <c r="D567" t="s">
        <v>308</v>
      </c>
      <c r="E567" t="s">
        <v>371</v>
      </c>
      <c r="F567" s="491">
        <v>0</v>
      </c>
      <c r="G567" s="491"/>
      <c r="H567" s="491"/>
    </row>
    <row r="568" spans="1:8">
      <c r="A568">
        <v>2027</v>
      </c>
      <c r="B568" t="s">
        <v>1969</v>
      </c>
      <c r="C568" t="s">
        <v>261</v>
      </c>
      <c r="D568" t="s">
        <v>309</v>
      </c>
      <c r="E568" t="s">
        <v>372</v>
      </c>
      <c r="F568" s="491">
        <v>0</v>
      </c>
      <c r="G568" s="491"/>
      <c r="H568" s="491"/>
    </row>
    <row r="569" spans="1:8">
      <c r="A569">
        <v>2027</v>
      </c>
      <c r="B569" t="s">
        <v>1969</v>
      </c>
      <c r="C569" t="s">
        <v>261</v>
      </c>
      <c r="D569" t="s">
        <v>310</v>
      </c>
      <c r="E569" t="s">
        <v>373</v>
      </c>
      <c r="F569" s="491">
        <v>0</v>
      </c>
      <c r="G569" s="491"/>
      <c r="H569" s="491"/>
    </row>
    <row r="570" spans="1:8">
      <c r="A570">
        <v>2027</v>
      </c>
      <c r="B570" t="s">
        <v>1969</v>
      </c>
      <c r="C570" t="s">
        <v>261</v>
      </c>
      <c r="D570" t="s">
        <v>302</v>
      </c>
      <c r="E570" t="s">
        <v>71</v>
      </c>
      <c r="F570" s="491">
        <v>1354.4669369799999</v>
      </c>
      <c r="G570" s="491"/>
      <c r="H570" s="491"/>
    </row>
    <row r="571" spans="1:8">
      <c r="A571">
        <v>2027</v>
      </c>
      <c r="B571" t="s">
        <v>1969</v>
      </c>
      <c r="C571" t="s">
        <v>261</v>
      </c>
      <c r="D571" t="s">
        <v>311</v>
      </c>
      <c r="E571" t="s">
        <v>967</v>
      </c>
      <c r="F571" s="491">
        <v>1354.4669369799999</v>
      </c>
      <c r="G571" s="491"/>
      <c r="H571" s="491"/>
    </row>
    <row r="572" spans="1:8">
      <c r="A572">
        <v>2027</v>
      </c>
      <c r="B572" t="s">
        <v>1969</v>
      </c>
      <c r="C572" t="s">
        <v>264</v>
      </c>
      <c r="D572" t="s">
        <v>653</v>
      </c>
      <c r="E572" t="s">
        <v>81</v>
      </c>
      <c r="F572" s="491">
        <v>0</v>
      </c>
      <c r="G572" s="491"/>
      <c r="H572" s="491"/>
    </row>
    <row r="573" spans="1:8">
      <c r="A573">
        <v>2027</v>
      </c>
      <c r="B573" t="s">
        <v>1969</v>
      </c>
      <c r="C573" t="s">
        <v>264</v>
      </c>
      <c r="D573" t="s">
        <v>1005</v>
      </c>
      <c r="E573" t="s">
        <v>61</v>
      </c>
      <c r="F573" s="491">
        <v>9899.20695127</v>
      </c>
      <c r="G573" s="491"/>
      <c r="H573" s="491"/>
    </row>
    <row r="574" spans="1:8">
      <c r="A574">
        <v>2027</v>
      </c>
      <c r="B574" t="s">
        <v>1969</v>
      </c>
      <c r="C574" t="s">
        <v>264</v>
      </c>
      <c r="D574" t="s">
        <v>740</v>
      </c>
      <c r="E574" t="s">
        <v>62</v>
      </c>
      <c r="F574" s="491">
        <v>9879.4978296499994</v>
      </c>
      <c r="G574" s="491"/>
      <c r="H574" s="491"/>
    </row>
    <row r="575" spans="1:8">
      <c r="A575">
        <v>2027</v>
      </c>
      <c r="B575" t="s">
        <v>1969</v>
      </c>
      <c r="C575" t="s">
        <v>264</v>
      </c>
      <c r="D575" t="s">
        <v>1271</v>
      </c>
      <c r="E575" t="s">
        <v>1619</v>
      </c>
      <c r="F575" s="491">
        <v>4939.7489148200002</v>
      </c>
      <c r="G575" s="491"/>
      <c r="H575" s="491"/>
    </row>
    <row r="576" spans="1:8">
      <c r="A576">
        <v>2027</v>
      </c>
      <c r="B576" t="s">
        <v>1969</v>
      </c>
      <c r="C576" t="s">
        <v>264</v>
      </c>
      <c r="D576" t="s">
        <v>1272</v>
      </c>
      <c r="E576" t="s">
        <v>1620</v>
      </c>
      <c r="F576" s="491">
        <v>0</v>
      </c>
      <c r="G576" s="491"/>
      <c r="H576" s="491"/>
    </row>
    <row r="577" spans="1:8">
      <c r="A577">
        <v>2027</v>
      </c>
      <c r="B577" t="s">
        <v>1969</v>
      </c>
      <c r="C577" t="s">
        <v>267</v>
      </c>
      <c r="D577" t="s">
        <v>315</v>
      </c>
      <c r="E577" t="s">
        <v>382</v>
      </c>
      <c r="F577" s="491">
        <v>0</v>
      </c>
      <c r="G577" s="491"/>
      <c r="H577" s="491"/>
    </row>
    <row r="578" spans="1:8">
      <c r="A578">
        <v>2027</v>
      </c>
      <c r="B578" t="s">
        <v>1969</v>
      </c>
      <c r="C578" t="s">
        <v>267</v>
      </c>
      <c r="D578" t="s">
        <v>965</v>
      </c>
      <c r="E578" t="s">
        <v>968</v>
      </c>
      <c r="F578" s="491">
        <v>0</v>
      </c>
      <c r="G578" s="491"/>
      <c r="H578" s="491"/>
    </row>
    <row r="579" spans="1:8">
      <c r="A579">
        <v>2027</v>
      </c>
      <c r="B579" t="s">
        <v>1969</v>
      </c>
      <c r="C579" t="s">
        <v>267</v>
      </c>
      <c r="D579" t="s">
        <v>653</v>
      </c>
      <c r="E579" t="s">
        <v>615</v>
      </c>
      <c r="F579" s="491">
        <v>0</v>
      </c>
      <c r="G579" s="491"/>
      <c r="H579" s="491"/>
    </row>
    <row r="580" spans="1:8">
      <c r="A580">
        <v>2027</v>
      </c>
      <c r="B580" t="s">
        <v>1969</v>
      </c>
      <c r="C580" t="s">
        <v>267</v>
      </c>
      <c r="D580" t="s">
        <v>1005</v>
      </c>
      <c r="E580" t="s">
        <v>866</v>
      </c>
      <c r="F580" s="491">
        <v>3004.7393336999999</v>
      </c>
      <c r="G580" s="491"/>
      <c r="H580" s="491"/>
    </row>
    <row r="581" spans="1:8">
      <c r="A581">
        <v>2027</v>
      </c>
      <c r="B581" t="s">
        <v>1969</v>
      </c>
      <c r="C581" t="s">
        <v>267</v>
      </c>
      <c r="D581" t="s">
        <v>740</v>
      </c>
      <c r="E581" t="s">
        <v>971</v>
      </c>
      <c r="F581" s="491">
        <v>2998.75695821</v>
      </c>
      <c r="G581" s="491"/>
      <c r="H581" s="491"/>
    </row>
    <row r="582" spans="1:8">
      <c r="A582">
        <v>2027</v>
      </c>
      <c r="B582" t="s">
        <v>1969</v>
      </c>
      <c r="C582" t="s">
        <v>281</v>
      </c>
      <c r="D582" t="s">
        <v>328</v>
      </c>
      <c r="E582" t="s">
        <v>64</v>
      </c>
      <c r="F582" s="491">
        <v>0</v>
      </c>
      <c r="G582" s="491"/>
      <c r="H582" s="491"/>
    </row>
    <row r="583" spans="1:8">
      <c r="A583">
        <v>2027</v>
      </c>
      <c r="B583" t="s">
        <v>1969</v>
      </c>
      <c r="C583" t="s">
        <v>281</v>
      </c>
      <c r="D583" t="s">
        <v>705</v>
      </c>
      <c r="E583" t="s">
        <v>399</v>
      </c>
      <c r="F583" s="491">
        <v>19075.118136050001</v>
      </c>
      <c r="G583" s="491"/>
      <c r="H583" s="491"/>
    </row>
    <row r="584" spans="1:8">
      <c r="A584">
        <v>2027</v>
      </c>
      <c r="B584" t="s">
        <v>1969</v>
      </c>
      <c r="C584" t="s">
        <v>281</v>
      </c>
      <c r="D584" t="s">
        <v>708</v>
      </c>
      <c r="E584" t="s">
        <v>1621</v>
      </c>
      <c r="F584" s="491">
        <v>19075.118136050001</v>
      </c>
      <c r="G584" s="491"/>
      <c r="H584" s="491"/>
    </row>
    <row r="585" spans="1:8">
      <c r="A585">
        <v>2027</v>
      </c>
      <c r="B585" t="s">
        <v>1969</v>
      </c>
      <c r="C585" t="s">
        <v>281</v>
      </c>
      <c r="D585" t="s">
        <v>709</v>
      </c>
      <c r="E585" t="s">
        <v>1622</v>
      </c>
      <c r="F585" s="491">
        <v>0</v>
      </c>
      <c r="G585" s="491"/>
      <c r="H585" s="491"/>
    </row>
    <row r="586" spans="1:8">
      <c r="A586">
        <v>2027</v>
      </c>
      <c r="B586" t="s">
        <v>1969</v>
      </c>
      <c r="C586" t="s">
        <v>284</v>
      </c>
      <c r="D586" t="s">
        <v>324</v>
      </c>
      <c r="E586" t="s">
        <v>405</v>
      </c>
      <c r="F586" s="491">
        <v>0</v>
      </c>
      <c r="G586" s="491"/>
      <c r="H586" s="491"/>
    </row>
    <row r="587" spans="1:8">
      <c r="A587">
        <v>2027</v>
      </c>
      <c r="B587" t="s">
        <v>1969</v>
      </c>
      <c r="C587" t="s">
        <v>284</v>
      </c>
      <c r="D587" t="s">
        <v>325</v>
      </c>
      <c r="E587" t="s">
        <v>406</v>
      </c>
      <c r="F587" s="491">
        <v>0</v>
      </c>
      <c r="G587" s="491"/>
      <c r="H587" s="491"/>
    </row>
    <row r="588" spans="1:8">
      <c r="A588">
        <v>2027</v>
      </c>
      <c r="B588" t="s">
        <v>1969</v>
      </c>
      <c r="C588" t="s">
        <v>284</v>
      </c>
      <c r="D588" t="s">
        <v>326</v>
      </c>
      <c r="E588" t="s">
        <v>407</v>
      </c>
      <c r="F588" s="491">
        <v>0</v>
      </c>
      <c r="G588" s="491"/>
      <c r="H588" s="491"/>
    </row>
    <row r="589" spans="1:8">
      <c r="A589">
        <v>2027</v>
      </c>
      <c r="B589" t="s">
        <v>1969</v>
      </c>
      <c r="C589" t="s">
        <v>284</v>
      </c>
      <c r="D589" t="s">
        <v>327</v>
      </c>
      <c r="E589" t="s">
        <v>68</v>
      </c>
      <c r="F589" s="491">
        <v>0</v>
      </c>
      <c r="G589" s="491"/>
      <c r="H589" s="491"/>
    </row>
    <row r="590" spans="1:8">
      <c r="A590">
        <v>2027</v>
      </c>
      <c r="B590" t="s">
        <v>1969</v>
      </c>
      <c r="C590" t="s">
        <v>284</v>
      </c>
      <c r="D590" t="s">
        <v>328</v>
      </c>
      <c r="E590" t="s">
        <v>69</v>
      </c>
      <c r="F590" s="491">
        <v>0</v>
      </c>
      <c r="G590" s="491"/>
      <c r="H590" s="491"/>
    </row>
    <row r="591" spans="1:8">
      <c r="A591">
        <v>2027</v>
      </c>
      <c r="B591" t="s">
        <v>1969</v>
      </c>
      <c r="C591" t="s">
        <v>284</v>
      </c>
      <c r="D591" t="s">
        <v>705</v>
      </c>
      <c r="E591" t="s">
        <v>972</v>
      </c>
      <c r="F591" s="491">
        <v>6402.5524718200004</v>
      </c>
      <c r="G591" s="491"/>
      <c r="H591" s="491"/>
    </row>
    <row r="592" spans="1:8">
      <c r="A592">
        <v>2027</v>
      </c>
      <c r="B592" t="s">
        <v>142</v>
      </c>
      <c r="C592" t="s">
        <v>236</v>
      </c>
      <c r="D592" t="s">
        <v>987</v>
      </c>
      <c r="E592" t="s">
        <v>334</v>
      </c>
      <c r="F592" s="491">
        <v>194408.39075774001</v>
      </c>
      <c r="G592" s="491"/>
      <c r="H592" s="491"/>
    </row>
    <row r="593" spans="1:8">
      <c r="A593">
        <v>2027</v>
      </c>
      <c r="B593" t="s">
        <v>142</v>
      </c>
      <c r="C593" t="s">
        <v>236</v>
      </c>
      <c r="D593" t="s">
        <v>780</v>
      </c>
      <c r="E593" t="s">
        <v>1093</v>
      </c>
      <c r="F593" s="491">
        <v>34712.293615189999</v>
      </c>
      <c r="G593" s="491"/>
      <c r="H593" s="491"/>
    </row>
    <row r="594" spans="1:8">
      <c r="A594">
        <v>2027</v>
      </c>
      <c r="B594" t="s">
        <v>142</v>
      </c>
      <c r="C594" t="s">
        <v>980</v>
      </c>
      <c r="D594" t="s">
        <v>981</v>
      </c>
      <c r="E594" t="s">
        <v>979</v>
      </c>
      <c r="F594" s="491">
        <v>340979.00344176003</v>
      </c>
      <c r="G594" s="491">
        <v>0</v>
      </c>
      <c r="H594" s="491">
        <v>0</v>
      </c>
    </row>
    <row r="595" spans="1:8">
      <c r="A595">
        <v>2027</v>
      </c>
      <c r="B595" t="s">
        <v>142</v>
      </c>
      <c r="C595" t="s">
        <v>980</v>
      </c>
      <c r="D595" t="s">
        <v>780</v>
      </c>
      <c r="E595" t="s">
        <v>1632</v>
      </c>
      <c r="F595" s="491">
        <v>9954.7611655000001</v>
      </c>
      <c r="G595" s="491">
        <v>0</v>
      </c>
      <c r="H595" s="491">
        <v>0</v>
      </c>
    </row>
    <row r="596" spans="1:8">
      <c r="A596">
        <v>2027</v>
      </c>
      <c r="B596" t="s">
        <v>142</v>
      </c>
      <c r="C596" t="s">
        <v>980</v>
      </c>
      <c r="D596" t="s">
        <v>902</v>
      </c>
      <c r="E596" t="s">
        <v>982</v>
      </c>
      <c r="F596" s="491">
        <v>4353.0304062599998</v>
      </c>
      <c r="G596" s="491">
        <v>217.65152031</v>
      </c>
      <c r="H596" s="491">
        <v>0</v>
      </c>
    </row>
    <row r="597" spans="1:8">
      <c r="A597">
        <v>2027</v>
      </c>
      <c r="B597" t="s">
        <v>142</v>
      </c>
      <c r="C597" t="s">
        <v>980</v>
      </c>
      <c r="D597" t="s">
        <v>903</v>
      </c>
      <c r="E597" t="s">
        <v>983</v>
      </c>
      <c r="F597" s="491">
        <v>0</v>
      </c>
      <c r="G597" s="491">
        <v>0</v>
      </c>
      <c r="H597" s="491">
        <v>0</v>
      </c>
    </row>
    <row r="598" spans="1:8">
      <c r="A598">
        <v>2027</v>
      </c>
      <c r="B598" t="s">
        <v>142</v>
      </c>
      <c r="C598" t="s">
        <v>980</v>
      </c>
      <c r="D598" t="s">
        <v>904</v>
      </c>
      <c r="E598" t="s">
        <v>984</v>
      </c>
      <c r="F598" s="491">
        <v>4345.86594169</v>
      </c>
      <c r="G598" s="491">
        <v>217.29329708</v>
      </c>
      <c r="H598" s="491">
        <v>0</v>
      </c>
    </row>
    <row r="599" spans="1:8">
      <c r="A599">
        <v>2027</v>
      </c>
      <c r="B599" t="s">
        <v>142</v>
      </c>
      <c r="C599" t="s">
        <v>980</v>
      </c>
      <c r="D599" t="s">
        <v>905</v>
      </c>
      <c r="E599" t="s">
        <v>985</v>
      </c>
      <c r="F599" s="491">
        <v>0</v>
      </c>
      <c r="G599" s="491">
        <v>0</v>
      </c>
      <c r="H599" s="491">
        <v>0</v>
      </c>
    </row>
    <row r="600" spans="1:8">
      <c r="A600">
        <v>2027</v>
      </c>
      <c r="B600" t="s">
        <v>142</v>
      </c>
      <c r="C600" t="s">
        <v>980</v>
      </c>
      <c r="D600" t="s">
        <v>906</v>
      </c>
      <c r="E600" t="s">
        <v>986</v>
      </c>
      <c r="F600" s="491">
        <v>7.1644645799999997</v>
      </c>
      <c r="G600" s="491">
        <v>0.35822323</v>
      </c>
      <c r="H600" s="491">
        <v>0</v>
      </c>
    </row>
    <row r="601" spans="1:8">
      <c r="A601">
        <v>2027</v>
      </c>
      <c r="B601" t="s">
        <v>142</v>
      </c>
      <c r="C601" t="s">
        <v>144</v>
      </c>
      <c r="D601" t="s">
        <v>743</v>
      </c>
      <c r="E601" t="s">
        <v>93</v>
      </c>
      <c r="F601" s="491">
        <v>62.364594830000001</v>
      </c>
      <c r="G601" s="491"/>
      <c r="H601" s="491"/>
    </row>
    <row r="602" spans="1:8">
      <c r="A602">
        <v>2027</v>
      </c>
      <c r="B602" t="s">
        <v>142</v>
      </c>
      <c r="C602" t="s">
        <v>144</v>
      </c>
      <c r="D602" t="s">
        <v>1006</v>
      </c>
      <c r="E602" t="s">
        <v>94</v>
      </c>
      <c r="F602" s="491">
        <v>178660.95241485999</v>
      </c>
      <c r="G602" s="491">
        <v>0</v>
      </c>
      <c r="H602" s="491"/>
    </row>
    <row r="603" spans="1:8">
      <c r="A603">
        <v>2027</v>
      </c>
      <c r="B603" t="s">
        <v>142</v>
      </c>
      <c r="C603" t="s">
        <v>144</v>
      </c>
      <c r="D603" t="s">
        <v>1007</v>
      </c>
      <c r="E603" t="s">
        <v>95</v>
      </c>
      <c r="F603" s="491">
        <v>0</v>
      </c>
      <c r="G603" s="491">
        <v>0</v>
      </c>
      <c r="H603" s="491"/>
    </row>
    <row r="604" spans="1:8">
      <c r="A604">
        <v>2027</v>
      </c>
      <c r="B604" t="s">
        <v>142</v>
      </c>
      <c r="C604" t="s">
        <v>144</v>
      </c>
      <c r="D604" t="s">
        <v>780</v>
      </c>
      <c r="E604" t="s">
        <v>127</v>
      </c>
      <c r="F604" s="491">
        <v>46.642675429999997</v>
      </c>
      <c r="G604" s="491">
        <v>0</v>
      </c>
      <c r="H604" s="491"/>
    </row>
    <row r="605" spans="1:8">
      <c r="A605">
        <v>2027</v>
      </c>
      <c r="B605" t="s">
        <v>142</v>
      </c>
      <c r="C605" t="s">
        <v>240</v>
      </c>
      <c r="D605" t="s">
        <v>743</v>
      </c>
      <c r="E605" t="s">
        <v>230</v>
      </c>
      <c r="F605" s="491">
        <v>113293.20279801</v>
      </c>
      <c r="G605" s="491">
        <v>0</v>
      </c>
      <c r="H605" s="491"/>
    </row>
    <row r="606" spans="1:8">
      <c r="A606">
        <v>2027</v>
      </c>
      <c r="B606" t="s">
        <v>142</v>
      </c>
      <c r="C606" t="s">
        <v>240</v>
      </c>
      <c r="D606" t="s">
        <v>909</v>
      </c>
      <c r="E606" t="s">
        <v>231</v>
      </c>
      <c r="F606" s="491">
        <v>0</v>
      </c>
      <c r="G606" s="491"/>
      <c r="H606" s="491"/>
    </row>
    <row r="607" spans="1:8">
      <c r="A607">
        <v>2027</v>
      </c>
      <c r="B607" t="s">
        <v>142</v>
      </c>
      <c r="C607" t="s">
        <v>240</v>
      </c>
      <c r="D607" t="s">
        <v>908</v>
      </c>
      <c r="E607" t="s">
        <v>229</v>
      </c>
      <c r="F607" s="491">
        <v>96383.769544569994</v>
      </c>
      <c r="G607" s="491">
        <v>0</v>
      </c>
      <c r="H607" s="491"/>
    </row>
    <row r="608" spans="1:8">
      <c r="A608">
        <v>2027</v>
      </c>
      <c r="B608" t="s">
        <v>142</v>
      </c>
      <c r="C608" t="s">
        <v>240</v>
      </c>
      <c r="D608" t="s">
        <v>780</v>
      </c>
      <c r="E608" t="s">
        <v>1235</v>
      </c>
      <c r="F608" s="491">
        <v>128511.69272609999</v>
      </c>
      <c r="G608" s="491">
        <v>0</v>
      </c>
      <c r="H608" s="491"/>
    </row>
    <row r="609" spans="1:8">
      <c r="A609">
        <v>2027</v>
      </c>
      <c r="B609" t="s">
        <v>142</v>
      </c>
      <c r="C609" t="s">
        <v>749</v>
      </c>
      <c r="D609" t="s">
        <v>865</v>
      </c>
      <c r="E609" t="s">
        <v>103</v>
      </c>
      <c r="F609" s="491">
        <v>3327.31076463</v>
      </c>
      <c r="G609" s="491">
        <v>0</v>
      </c>
      <c r="H609" s="491"/>
    </row>
    <row r="610" spans="1:8">
      <c r="A610">
        <v>2027</v>
      </c>
      <c r="B610" t="s">
        <v>142</v>
      </c>
      <c r="C610" t="s">
        <v>749</v>
      </c>
      <c r="D610" t="s">
        <v>854</v>
      </c>
      <c r="E610" t="s">
        <v>104</v>
      </c>
      <c r="F610" s="491">
        <v>2E-8</v>
      </c>
      <c r="G610" s="491">
        <v>0</v>
      </c>
      <c r="H610" s="491"/>
    </row>
    <row r="611" spans="1:8">
      <c r="A611">
        <v>2027</v>
      </c>
      <c r="B611" t="s">
        <v>142</v>
      </c>
      <c r="C611" t="s">
        <v>749</v>
      </c>
      <c r="D611" t="s">
        <v>780</v>
      </c>
      <c r="E611" t="s">
        <v>102</v>
      </c>
      <c r="F611" s="491">
        <v>14019.543235380001</v>
      </c>
      <c r="G611" s="491"/>
      <c r="H611" s="491"/>
    </row>
    <row r="612" spans="1:8">
      <c r="A612">
        <v>2027</v>
      </c>
      <c r="B612" t="s">
        <v>142</v>
      </c>
      <c r="C612" t="s">
        <v>741</v>
      </c>
      <c r="D612" t="s">
        <v>865</v>
      </c>
      <c r="E612" t="s">
        <v>110</v>
      </c>
      <c r="F612" s="491">
        <v>10852.20291838</v>
      </c>
      <c r="G612" s="491">
        <v>0</v>
      </c>
      <c r="H612" s="491"/>
    </row>
    <row r="613" spans="1:8">
      <c r="A613">
        <v>2027</v>
      </c>
      <c r="B613" t="s">
        <v>142</v>
      </c>
      <c r="C613" t="s">
        <v>741</v>
      </c>
      <c r="D613" t="s">
        <v>854</v>
      </c>
      <c r="E613" t="s">
        <v>342</v>
      </c>
      <c r="F613" s="491">
        <v>2.9999999999999997E-8</v>
      </c>
      <c r="G613" s="491">
        <v>0</v>
      </c>
      <c r="H613" s="491"/>
    </row>
    <row r="614" spans="1:8">
      <c r="A614">
        <v>2027</v>
      </c>
      <c r="B614" t="s">
        <v>142</v>
      </c>
      <c r="C614" t="s">
        <v>741</v>
      </c>
      <c r="D614" t="s">
        <v>780</v>
      </c>
      <c r="E614" t="s">
        <v>111</v>
      </c>
      <c r="F614" s="491">
        <v>45471.480470139999</v>
      </c>
      <c r="G614" s="491"/>
      <c r="H614" s="491"/>
    </row>
    <row r="615" spans="1:8">
      <c r="A615">
        <v>2027</v>
      </c>
      <c r="B615" t="s">
        <v>142</v>
      </c>
      <c r="C615" t="s">
        <v>748</v>
      </c>
      <c r="D615" t="s">
        <v>865</v>
      </c>
      <c r="E615" t="s">
        <v>112</v>
      </c>
      <c r="F615" s="491">
        <v>22609.838616599998</v>
      </c>
      <c r="G615" s="491">
        <v>0</v>
      </c>
      <c r="H615" s="491"/>
    </row>
    <row r="616" spans="1:8">
      <c r="A616">
        <v>2027</v>
      </c>
      <c r="B616" t="s">
        <v>142</v>
      </c>
      <c r="C616" t="s">
        <v>748</v>
      </c>
      <c r="D616" t="s">
        <v>854</v>
      </c>
      <c r="E616" t="s">
        <v>988</v>
      </c>
      <c r="F616" s="491">
        <v>4.9999999999999998E-8</v>
      </c>
      <c r="G616" s="491">
        <v>0</v>
      </c>
      <c r="H616" s="491"/>
    </row>
    <row r="617" spans="1:8">
      <c r="A617">
        <v>2027</v>
      </c>
      <c r="B617" t="s">
        <v>142</v>
      </c>
      <c r="C617" t="s">
        <v>748</v>
      </c>
      <c r="D617" t="s">
        <v>780</v>
      </c>
      <c r="E617" t="s">
        <v>1652</v>
      </c>
      <c r="F617" s="491">
        <v>32390.16138342</v>
      </c>
      <c r="G617" s="491"/>
      <c r="H617" s="491"/>
    </row>
    <row r="618" spans="1:8">
      <c r="A618">
        <v>2027</v>
      </c>
      <c r="B618" t="s">
        <v>142</v>
      </c>
      <c r="C618" t="s">
        <v>748</v>
      </c>
      <c r="D618" t="s">
        <v>286</v>
      </c>
      <c r="E618" t="s">
        <v>395</v>
      </c>
      <c r="F618" s="491">
        <v>0</v>
      </c>
      <c r="G618" s="491"/>
      <c r="H618" s="491"/>
    </row>
    <row r="619" spans="1:8">
      <c r="A619">
        <v>2027</v>
      </c>
      <c r="B619" t="s">
        <v>142</v>
      </c>
      <c r="C619" t="s">
        <v>270</v>
      </c>
      <c r="D619" t="s">
        <v>151</v>
      </c>
      <c r="E619" t="s">
        <v>389</v>
      </c>
      <c r="F619" s="491">
        <v>169252.88150305999</v>
      </c>
      <c r="G619" s="491">
        <v>0</v>
      </c>
      <c r="H619" s="491"/>
    </row>
    <row r="620" spans="1:8">
      <c r="A620">
        <v>2027</v>
      </c>
      <c r="B620" t="s">
        <v>142</v>
      </c>
      <c r="C620" t="s">
        <v>270</v>
      </c>
      <c r="D620" t="s">
        <v>865</v>
      </c>
      <c r="E620" t="s">
        <v>388</v>
      </c>
      <c r="F620" s="491">
        <v>101714.9821559</v>
      </c>
      <c r="G620" s="491">
        <v>0</v>
      </c>
      <c r="H620" s="491"/>
    </row>
    <row r="621" spans="1:8">
      <c r="A621">
        <v>2027</v>
      </c>
      <c r="B621" t="s">
        <v>142</v>
      </c>
      <c r="C621" t="s">
        <v>270</v>
      </c>
      <c r="D621" t="s">
        <v>780</v>
      </c>
      <c r="E621" t="s">
        <v>1628</v>
      </c>
      <c r="F621" s="491">
        <v>4.0000000000000001E-8</v>
      </c>
      <c r="G621" s="491">
        <v>0</v>
      </c>
      <c r="H621" s="491"/>
    </row>
    <row r="622" spans="1:8">
      <c r="A622">
        <v>2027</v>
      </c>
      <c r="B622" t="s">
        <v>142</v>
      </c>
      <c r="C622" t="s">
        <v>271</v>
      </c>
      <c r="D622" t="s">
        <v>2346</v>
      </c>
      <c r="E622" t="s">
        <v>91</v>
      </c>
      <c r="F622" s="491">
        <v>157695.51094134999</v>
      </c>
      <c r="G622" s="491">
        <v>0</v>
      </c>
      <c r="H622" s="491"/>
    </row>
    <row r="623" spans="1:8">
      <c r="A623">
        <v>2027</v>
      </c>
      <c r="B623" t="s">
        <v>142</v>
      </c>
      <c r="C623" t="s">
        <v>271</v>
      </c>
      <c r="D623" t="s">
        <v>780</v>
      </c>
      <c r="E623" t="s">
        <v>1653</v>
      </c>
      <c r="F623" s="491">
        <v>45305.427956849999</v>
      </c>
      <c r="G623" s="491">
        <v>0</v>
      </c>
      <c r="H623" s="491"/>
    </row>
    <row r="624" spans="1:8">
      <c r="A624">
        <v>2027</v>
      </c>
      <c r="B624" t="s">
        <v>142</v>
      </c>
      <c r="C624" t="s">
        <v>271</v>
      </c>
      <c r="D624" t="s">
        <v>286</v>
      </c>
      <c r="E624" t="s">
        <v>92</v>
      </c>
      <c r="F624" s="491">
        <v>0</v>
      </c>
      <c r="G624" s="491">
        <v>0</v>
      </c>
      <c r="H624" s="491"/>
    </row>
    <row r="625" spans="1:8">
      <c r="A625">
        <v>2027</v>
      </c>
      <c r="B625" t="s">
        <v>142</v>
      </c>
      <c r="C625" t="s">
        <v>272</v>
      </c>
      <c r="D625" t="s">
        <v>151</v>
      </c>
      <c r="E625" t="s">
        <v>391</v>
      </c>
      <c r="F625" s="491">
        <v>21813.69018985</v>
      </c>
      <c r="G625" s="491">
        <v>0</v>
      </c>
      <c r="H625" s="491"/>
    </row>
    <row r="626" spans="1:8">
      <c r="A626">
        <v>2027</v>
      </c>
      <c r="B626" t="s">
        <v>142</v>
      </c>
      <c r="C626" t="s">
        <v>272</v>
      </c>
      <c r="D626" t="s">
        <v>865</v>
      </c>
      <c r="E626" t="s">
        <v>390</v>
      </c>
      <c r="F626" s="491">
        <v>19102.016572910001</v>
      </c>
      <c r="G626" s="491">
        <v>0</v>
      </c>
      <c r="H626" s="491"/>
    </row>
    <row r="627" spans="1:8">
      <c r="A627">
        <v>2027</v>
      </c>
      <c r="B627" t="s">
        <v>142</v>
      </c>
      <c r="C627" t="s">
        <v>272</v>
      </c>
      <c r="D627" t="s">
        <v>780</v>
      </c>
      <c r="E627" t="s">
        <v>1630</v>
      </c>
      <c r="F627" s="491">
        <v>41742.286697349999</v>
      </c>
      <c r="G627" s="491">
        <v>0</v>
      </c>
      <c r="H627" s="491"/>
    </row>
    <row r="628" spans="1:8">
      <c r="A628">
        <v>2027</v>
      </c>
      <c r="B628" t="s">
        <v>142</v>
      </c>
      <c r="C628" t="s">
        <v>439</v>
      </c>
      <c r="D628" t="s">
        <v>151</v>
      </c>
      <c r="E628" t="s">
        <v>910</v>
      </c>
      <c r="F628" s="491">
        <v>27949.171561210002</v>
      </c>
      <c r="G628" s="491"/>
      <c r="H628" s="491"/>
    </row>
    <row r="629" spans="1:8">
      <c r="A629">
        <v>2027</v>
      </c>
      <c r="B629" t="s">
        <v>142</v>
      </c>
      <c r="C629" t="s">
        <v>439</v>
      </c>
      <c r="D629" t="s">
        <v>744</v>
      </c>
      <c r="E629" t="s">
        <v>116</v>
      </c>
      <c r="F629" s="491">
        <v>6488.8478721900001</v>
      </c>
      <c r="G629" s="491"/>
      <c r="H629" s="491"/>
    </row>
    <row r="630" spans="1:8">
      <c r="A630">
        <v>2027</v>
      </c>
      <c r="B630" t="s">
        <v>142</v>
      </c>
      <c r="C630" t="s">
        <v>439</v>
      </c>
      <c r="D630" t="s">
        <v>780</v>
      </c>
      <c r="E630" t="s">
        <v>1649</v>
      </c>
      <c r="F630" s="491">
        <v>1812.5273385999999</v>
      </c>
      <c r="G630" s="491"/>
      <c r="H630" s="491"/>
    </row>
    <row r="631" spans="1:8">
      <c r="A631">
        <v>2027</v>
      </c>
      <c r="B631" t="s">
        <v>142</v>
      </c>
      <c r="C631" t="s">
        <v>2095</v>
      </c>
      <c r="D631" t="s">
        <v>2096</v>
      </c>
      <c r="E631" t="s">
        <v>82</v>
      </c>
      <c r="F631" s="491">
        <v>795969.71594138001</v>
      </c>
      <c r="G631" s="491"/>
      <c r="H631" s="491">
        <v>450359.64326404</v>
      </c>
    </row>
    <row r="632" spans="1:8">
      <c r="A632">
        <v>2027</v>
      </c>
      <c r="B632" t="s">
        <v>142</v>
      </c>
      <c r="C632" t="s">
        <v>2102</v>
      </c>
      <c r="D632" t="s">
        <v>2096</v>
      </c>
      <c r="E632" t="s">
        <v>2101</v>
      </c>
      <c r="F632" s="491">
        <v>795969.71594138001</v>
      </c>
      <c r="G632" s="491"/>
      <c r="H632" s="491">
        <v>450359.64326404</v>
      </c>
    </row>
    <row r="633" spans="1:8">
      <c r="A633">
        <v>2027</v>
      </c>
      <c r="B633" t="s">
        <v>844</v>
      </c>
      <c r="C633" t="s">
        <v>1950</v>
      </c>
      <c r="D633" t="s">
        <v>145</v>
      </c>
      <c r="E633" t="s">
        <v>2339</v>
      </c>
      <c r="F633" s="491">
        <v>0</v>
      </c>
      <c r="G633" s="491">
        <v>0</v>
      </c>
      <c r="H633" s="491">
        <v>0</v>
      </c>
    </row>
    <row r="634" spans="1:8">
      <c r="A634">
        <v>2027</v>
      </c>
      <c r="B634" t="s">
        <v>1101</v>
      </c>
      <c r="C634" t="s">
        <v>1013</v>
      </c>
      <c r="D634" t="s">
        <v>288</v>
      </c>
      <c r="E634" t="s">
        <v>1001</v>
      </c>
      <c r="F634" s="491">
        <v>2627.85363542</v>
      </c>
      <c r="G634" s="491">
        <v>0</v>
      </c>
      <c r="H634" s="491">
        <v>0</v>
      </c>
    </row>
    <row r="635" spans="1:8">
      <c r="A635">
        <v>2027</v>
      </c>
      <c r="B635" t="s">
        <v>1101</v>
      </c>
      <c r="C635" t="s">
        <v>1011</v>
      </c>
      <c r="D635" t="s">
        <v>145</v>
      </c>
      <c r="E635" t="s">
        <v>998</v>
      </c>
      <c r="F635" s="491">
        <v>27.181439999999998</v>
      </c>
      <c r="G635" s="491">
        <v>0</v>
      </c>
      <c r="H635" s="491">
        <v>0</v>
      </c>
    </row>
    <row r="636" spans="1:8">
      <c r="A636">
        <v>2027</v>
      </c>
      <c r="B636" t="s">
        <v>1101</v>
      </c>
      <c r="C636" t="s">
        <v>1011</v>
      </c>
      <c r="D636" t="s">
        <v>146</v>
      </c>
      <c r="E636" t="s">
        <v>999</v>
      </c>
      <c r="F636" s="491">
        <v>29</v>
      </c>
      <c r="G636" s="491">
        <v>0</v>
      </c>
      <c r="H636" s="491">
        <v>0</v>
      </c>
    </row>
    <row r="637" spans="1:8">
      <c r="A637">
        <v>2027</v>
      </c>
      <c r="B637" t="s">
        <v>1101</v>
      </c>
      <c r="C637" t="s">
        <v>1011</v>
      </c>
      <c r="D637" t="s">
        <v>660</v>
      </c>
      <c r="E637" t="s">
        <v>1000</v>
      </c>
      <c r="F637" s="491">
        <v>108.72575999999999</v>
      </c>
      <c r="G637" s="491">
        <v>0.17671234999999999</v>
      </c>
      <c r="H637" s="491">
        <v>0</v>
      </c>
    </row>
    <row r="638" spans="1:8">
      <c r="A638">
        <v>2027</v>
      </c>
      <c r="B638" t="s">
        <v>1101</v>
      </c>
      <c r="C638" t="s">
        <v>1009</v>
      </c>
      <c r="D638" t="s">
        <v>145</v>
      </c>
      <c r="E638" t="s">
        <v>993</v>
      </c>
      <c r="F638" s="491">
        <v>8.3635199999999994</v>
      </c>
      <c r="G638" s="491">
        <v>0</v>
      </c>
      <c r="H638" s="491">
        <v>0</v>
      </c>
    </row>
    <row r="639" spans="1:8">
      <c r="A639">
        <v>2027</v>
      </c>
      <c r="B639" t="s">
        <v>1101</v>
      </c>
      <c r="C639" t="s">
        <v>1009</v>
      </c>
      <c r="D639" t="s">
        <v>146</v>
      </c>
      <c r="E639" t="s">
        <v>994</v>
      </c>
      <c r="F639" s="491">
        <v>420.26688000000001</v>
      </c>
      <c r="G639" s="491">
        <v>0</v>
      </c>
      <c r="H639" s="491">
        <v>0</v>
      </c>
    </row>
    <row r="640" spans="1:8">
      <c r="A640">
        <v>2027</v>
      </c>
      <c r="B640" t="s">
        <v>1101</v>
      </c>
      <c r="C640" t="s">
        <v>1092</v>
      </c>
      <c r="D640" t="s">
        <v>145</v>
      </c>
      <c r="E640" t="s">
        <v>1002</v>
      </c>
      <c r="F640" s="491">
        <v>489.25079878999998</v>
      </c>
      <c r="G640" s="491">
        <v>0</v>
      </c>
      <c r="H640" s="491">
        <v>0</v>
      </c>
    </row>
    <row r="641" spans="1:8">
      <c r="A641">
        <v>2027</v>
      </c>
      <c r="B641" t="s">
        <v>1101</v>
      </c>
      <c r="C641" t="s">
        <v>1092</v>
      </c>
      <c r="D641" t="s">
        <v>146</v>
      </c>
      <c r="E641" t="s">
        <v>1003</v>
      </c>
      <c r="F641" s="491">
        <v>555.48125627000002</v>
      </c>
      <c r="G641" s="491">
        <v>0</v>
      </c>
      <c r="H641" s="491">
        <v>0</v>
      </c>
    </row>
    <row r="642" spans="1:8">
      <c r="A642">
        <v>2027</v>
      </c>
      <c r="B642" t="s">
        <v>1101</v>
      </c>
      <c r="C642" t="s">
        <v>1010</v>
      </c>
      <c r="D642" t="s">
        <v>145</v>
      </c>
      <c r="E642" t="s">
        <v>995</v>
      </c>
      <c r="F642" s="491">
        <v>1655.97696</v>
      </c>
      <c r="G642" s="491">
        <v>0</v>
      </c>
      <c r="H642" s="491">
        <v>0</v>
      </c>
    </row>
    <row r="643" spans="1:8">
      <c r="A643">
        <v>2027</v>
      </c>
      <c r="B643" t="s">
        <v>1101</v>
      </c>
      <c r="C643" t="s">
        <v>1010</v>
      </c>
      <c r="D643" t="s">
        <v>146</v>
      </c>
      <c r="E643" t="s">
        <v>996</v>
      </c>
      <c r="F643" s="491">
        <v>1856.70144</v>
      </c>
      <c r="G643" s="491">
        <v>0</v>
      </c>
      <c r="H643" s="491">
        <v>0</v>
      </c>
    </row>
    <row r="644" spans="1:8">
      <c r="A644">
        <v>2027</v>
      </c>
      <c r="B644" t="s">
        <v>1101</v>
      </c>
      <c r="C644" t="s">
        <v>1010</v>
      </c>
      <c r="D644" t="s">
        <v>660</v>
      </c>
      <c r="E644" t="s">
        <v>997</v>
      </c>
      <c r="F644" s="491">
        <v>4959.56736</v>
      </c>
      <c r="G644" s="491">
        <v>3.2307400400000001</v>
      </c>
      <c r="H644" s="491">
        <v>0</v>
      </c>
    </row>
    <row r="645" spans="1:8">
      <c r="A645">
        <v>2027</v>
      </c>
      <c r="B645" t="s">
        <v>1101</v>
      </c>
      <c r="C645" t="s">
        <v>1008</v>
      </c>
      <c r="D645" t="s">
        <v>145</v>
      </c>
      <c r="E645" t="s">
        <v>991</v>
      </c>
      <c r="F645" s="491">
        <v>2178.6969600000002</v>
      </c>
      <c r="G645" s="491">
        <v>41.608796480000002</v>
      </c>
      <c r="H645" s="491">
        <v>0</v>
      </c>
    </row>
    <row r="646" spans="1:8">
      <c r="A646">
        <v>2027</v>
      </c>
      <c r="B646" t="s">
        <v>1101</v>
      </c>
      <c r="C646" t="s">
        <v>1008</v>
      </c>
      <c r="D646" t="s">
        <v>146</v>
      </c>
      <c r="E646" t="s">
        <v>992</v>
      </c>
      <c r="F646" s="491">
        <v>8472.2457599999998</v>
      </c>
      <c r="G646" s="491">
        <v>0</v>
      </c>
      <c r="H646" s="491">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6B494-9086-4F4F-B43B-AF6526CA1716}">
  <sheetPr>
    <tabColor theme="1"/>
  </sheetPr>
  <dimension ref="A1:K1482"/>
  <sheetViews>
    <sheetView workbookViewId="0">
      <selection activeCell="I30" sqref="I30"/>
    </sheetView>
  </sheetViews>
  <sheetFormatPr defaultRowHeight="15"/>
  <cols>
    <col min="1" max="1" width="7.28515625" bestFit="1" customWidth="1"/>
    <col min="2" max="2" width="18.7109375" bestFit="1" customWidth="1"/>
    <col min="3" max="3" width="9.7109375" bestFit="1" customWidth="1"/>
    <col min="4" max="4" width="13" bestFit="1" customWidth="1"/>
    <col min="5" max="5" width="19.28515625" bestFit="1" customWidth="1"/>
    <col min="6" max="6" width="18.7109375" bestFit="1" customWidth="1"/>
    <col min="7" max="7" width="22.7109375" bestFit="1" customWidth="1"/>
    <col min="8" max="8" width="20.42578125" bestFit="1" customWidth="1"/>
    <col min="9" max="9" width="81.140625" bestFit="1" customWidth="1"/>
  </cols>
  <sheetData>
    <row r="1" spans="1:11">
      <c r="A1" t="s">
        <v>8</v>
      </c>
      <c r="B1" t="s">
        <v>0</v>
      </c>
      <c r="C1" t="s">
        <v>2655</v>
      </c>
      <c r="D1" t="s">
        <v>2656</v>
      </c>
      <c r="E1" t="s">
        <v>2658</v>
      </c>
      <c r="F1" t="s">
        <v>2657</v>
      </c>
      <c r="G1" t="s">
        <v>2659</v>
      </c>
      <c r="H1" t="s">
        <v>2660</v>
      </c>
      <c r="I1" t="s">
        <v>7</v>
      </c>
    </row>
    <row r="2" spans="1:11">
      <c r="A2">
        <v>2026</v>
      </c>
      <c r="B2" t="s">
        <v>2133</v>
      </c>
      <c r="C2" t="s">
        <v>2653</v>
      </c>
      <c r="D2" t="s">
        <v>2653</v>
      </c>
      <c r="E2" t="s">
        <v>2654</v>
      </c>
      <c r="F2" t="s">
        <v>2654</v>
      </c>
      <c r="G2" t="s">
        <v>2654</v>
      </c>
      <c r="H2" t="s">
        <v>2654</v>
      </c>
      <c r="I2" t="s">
        <v>2296</v>
      </c>
      <c r="K2" t="str">
        <f>B2&amp;A2</f>
        <v>COM_200702_P1T12026</v>
      </c>
    </row>
    <row r="3" spans="1:11">
      <c r="A3">
        <v>2026</v>
      </c>
      <c r="B3" t="s">
        <v>1594</v>
      </c>
      <c r="C3" t="s">
        <v>2653</v>
      </c>
      <c r="D3" t="s">
        <v>2653</v>
      </c>
      <c r="E3" t="s">
        <v>2654</v>
      </c>
      <c r="F3" t="s">
        <v>2654</v>
      </c>
      <c r="G3" t="s">
        <v>2654</v>
      </c>
      <c r="H3" t="s">
        <v>2654</v>
      </c>
      <c r="I3" t="s">
        <v>2343</v>
      </c>
      <c r="K3" t="str">
        <f t="shared" ref="K3:K66" si="0">B3&amp;A3</f>
        <v>RES_199802_P1T12026</v>
      </c>
    </row>
    <row r="4" spans="1:11">
      <c r="A4">
        <v>2026</v>
      </c>
      <c r="B4" t="s">
        <v>2186</v>
      </c>
      <c r="C4" t="s">
        <v>2653</v>
      </c>
      <c r="D4" t="s">
        <v>2653</v>
      </c>
      <c r="E4" t="s">
        <v>2654</v>
      </c>
      <c r="F4" t="s">
        <v>2654</v>
      </c>
      <c r="G4" t="s">
        <v>2654</v>
      </c>
      <c r="H4" t="s">
        <v>2654</v>
      </c>
      <c r="I4" t="s">
        <v>2189</v>
      </c>
      <c r="K4" t="str">
        <f t="shared" si="0"/>
        <v>IND_199901_P1T12026</v>
      </c>
    </row>
    <row r="5" spans="1:11">
      <c r="A5">
        <v>2026</v>
      </c>
      <c r="B5" t="s">
        <v>2136</v>
      </c>
      <c r="C5" t="s">
        <v>2653</v>
      </c>
      <c r="D5" t="s">
        <v>2653</v>
      </c>
      <c r="E5" t="s">
        <v>2654</v>
      </c>
      <c r="F5" t="s">
        <v>2654</v>
      </c>
      <c r="G5" t="s">
        <v>2654</v>
      </c>
      <c r="H5" t="s">
        <v>2654</v>
      </c>
      <c r="I5" t="s">
        <v>2297</v>
      </c>
      <c r="K5" t="str">
        <f t="shared" si="0"/>
        <v>COM_200801_P1T12026</v>
      </c>
    </row>
    <row r="6" spans="1:11">
      <c r="A6">
        <v>2026</v>
      </c>
      <c r="B6" t="s">
        <v>2153</v>
      </c>
      <c r="C6" t="s">
        <v>2653</v>
      </c>
      <c r="D6" t="s">
        <v>2653</v>
      </c>
      <c r="E6" t="s">
        <v>2654</v>
      </c>
      <c r="F6" t="s">
        <v>2654</v>
      </c>
      <c r="G6" t="s">
        <v>2654</v>
      </c>
      <c r="H6" t="s">
        <v>2654</v>
      </c>
      <c r="I6" t="s">
        <v>2299</v>
      </c>
      <c r="K6" t="str">
        <f t="shared" si="0"/>
        <v>COM_200901_P1T12026</v>
      </c>
    </row>
    <row r="7" spans="1:11">
      <c r="A7">
        <v>2026</v>
      </c>
      <c r="B7" t="s">
        <v>24</v>
      </c>
      <c r="C7" t="s">
        <v>2653</v>
      </c>
      <c r="D7" t="s">
        <v>2653</v>
      </c>
      <c r="E7" t="s">
        <v>2654</v>
      </c>
      <c r="F7" t="s">
        <v>2654</v>
      </c>
      <c r="G7" t="s">
        <v>2654</v>
      </c>
      <c r="H7" t="s">
        <v>2654</v>
      </c>
      <c r="I7" t="s">
        <v>2164</v>
      </c>
      <c r="K7" t="str">
        <f t="shared" si="0"/>
        <v>COM_201201_P1T12026</v>
      </c>
    </row>
    <row r="8" spans="1:11">
      <c r="A8">
        <v>2026</v>
      </c>
      <c r="B8" t="s">
        <v>229</v>
      </c>
      <c r="C8" t="s">
        <v>2653</v>
      </c>
      <c r="D8" t="s">
        <v>2653</v>
      </c>
      <c r="E8" t="s">
        <v>2654</v>
      </c>
      <c r="F8" t="s">
        <v>2654</v>
      </c>
      <c r="G8" t="s">
        <v>2654</v>
      </c>
      <c r="H8" t="s">
        <v>2654</v>
      </c>
      <c r="I8" t="s">
        <v>2359</v>
      </c>
      <c r="K8" t="str">
        <f t="shared" si="0"/>
        <v>RES_201403_P11T12026</v>
      </c>
    </row>
    <row r="9" spans="1:11">
      <c r="A9">
        <v>2026</v>
      </c>
      <c r="B9" t="s">
        <v>231</v>
      </c>
      <c r="C9" t="s">
        <v>2653</v>
      </c>
      <c r="D9" t="s">
        <v>2653</v>
      </c>
      <c r="E9" t="s">
        <v>2654</v>
      </c>
      <c r="F9" t="s">
        <v>2654</v>
      </c>
      <c r="G9" t="s">
        <v>2654</v>
      </c>
      <c r="H9" t="s">
        <v>2654</v>
      </c>
      <c r="I9" t="s">
        <v>2361</v>
      </c>
      <c r="K9" t="str">
        <f t="shared" si="0"/>
        <v>RES_201403_P11T32026</v>
      </c>
    </row>
    <row r="10" spans="1:11">
      <c r="A10">
        <v>2026</v>
      </c>
      <c r="B10" t="s">
        <v>230</v>
      </c>
      <c r="C10" t="s">
        <v>2653</v>
      </c>
      <c r="D10" t="s">
        <v>2653</v>
      </c>
      <c r="E10" t="s">
        <v>2654</v>
      </c>
      <c r="F10" t="s">
        <v>2654</v>
      </c>
      <c r="G10" t="s">
        <v>2654</v>
      </c>
      <c r="H10" t="s">
        <v>2654</v>
      </c>
      <c r="I10" t="s">
        <v>2360</v>
      </c>
      <c r="K10" t="str">
        <f t="shared" si="0"/>
        <v>RES_201403_P11T22026</v>
      </c>
    </row>
    <row r="11" spans="1:11">
      <c r="A11">
        <v>2026</v>
      </c>
      <c r="B11" t="s">
        <v>16</v>
      </c>
      <c r="C11" t="s">
        <v>2653</v>
      </c>
      <c r="D11" t="s">
        <v>2653</v>
      </c>
      <c r="E11" t="s">
        <v>2654</v>
      </c>
      <c r="F11" t="s">
        <v>2654</v>
      </c>
      <c r="G11" t="s">
        <v>2654</v>
      </c>
      <c r="H11" t="s">
        <v>2654</v>
      </c>
      <c r="I11" t="s">
        <v>1118</v>
      </c>
      <c r="K11" t="str">
        <f t="shared" si="0"/>
        <v>COM_200002_P1T12026</v>
      </c>
    </row>
    <row r="12" spans="1:11">
      <c r="A12">
        <v>2026</v>
      </c>
      <c r="B12" t="s">
        <v>1591</v>
      </c>
      <c r="C12" t="s">
        <v>2653</v>
      </c>
      <c r="D12" t="s">
        <v>2653</v>
      </c>
      <c r="E12" t="s">
        <v>2654</v>
      </c>
      <c r="F12" t="s">
        <v>2654</v>
      </c>
      <c r="G12" t="s">
        <v>2654</v>
      </c>
      <c r="H12" t="s">
        <v>2654</v>
      </c>
      <c r="I12" t="s">
        <v>1508</v>
      </c>
      <c r="K12" t="str">
        <f t="shared" si="0"/>
        <v>IND_200004_P1T12026</v>
      </c>
    </row>
    <row r="13" spans="1:11">
      <c r="A13">
        <v>2026</v>
      </c>
      <c r="B13" t="s">
        <v>49</v>
      </c>
      <c r="C13" t="s">
        <v>2653</v>
      </c>
      <c r="D13" t="s">
        <v>2653</v>
      </c>
      <c r="E13" t="s">
        <v>2654</v>
      </c>
      <c r="F13" t="s">
        <v>2654</v>
      </c>
      <c r="G13" t="s">
        <v>2654</v>
      </c>
      <c r="H13" t="s">
        <v>2654</v>
      </c>
      <c r="I13" t="s">
        <v>1130</v>
      </c>
      <c r="K13" t="str">
        <f t="shared" si="0"/>
        <v>RES_200804_P3T12026</v>
      </c>
    </row>
    <row r="14" spans="1:11">
      <c r="A14">
        <v>2026</v>
      </c>
      <c r="B14" t="s">
        <v>48</v>
      </c>
      <c r="C14" t="s">
        <v>2653</v>
      </c>
      <c r="D14" t="s">
        <v>2653</v>
      </c>
      <c r="E14" t="s">
        <v>2654</v>
      </c>
      <c r="F14" t="s">
        <v>2654</v>
      </c>
      <c r="G14" t="s">
        <v>2654</v>
      </c>
      <c r="H14" t="s">
        <v>2654</v>
      </c>
      <c r="I14" t="s">
        <v>1128</v>
      </c>
      <c r="K14" t="str">
        <f t="shared" si="0"/>
        <v>RES_200804_P2T12026</v>
      </c>
    </row>
    <row r="15" spans="1:11">
      <c r="A15">
        <v>2026</v>
      </c>
      <c r="B15" t="s">
        <v>2198</v>
      </c>
      <c r="C15" t="s">
        <v>2653</v>
      </c>
      <c r="D15" t="s">
        <v>2653</v>
      </c>
      <c r="E15" t="s">
        <v>2654</v>
      </c>
      <c r="F15" t="s">
        <v>2654</v>
      </c>
      <c r="G15" t="s">
        <v>2654</v>
      </c>
      <c r="H15" t="s">
        <v>2654</v>
      </c>
      <c r="I15" t="s">
        <v>2199</v>
      </c>
      <c r="K15" t="str">
        <f t="shared" si="0"/>
        <v>IND_200702_P1T12026</v>
      </c>
    </row>
    <row r="16" spans="1:11">
      <c r="A16">
        <v>2026</v>
      </c>
      <c r="B16" t="s">
        <v>1590</v>
      </c>
      <c r="C16" t="s">
        <v>2653</v>
      </c>
      <c r="D16" t="s">
        <v>2653</v>
      </c>
      <c r="E16" t="s">
        <v>2654</v>
      </c>
      <c r="F16" t="s">
        <v>2654</v>
      </c>
      <c r="G16" t="s">
        <v>2654</v>
      </c>
      <c r="H16" t="s">
        <v>2654</v>
      </c>
      <c r="I16" t="s">
        <v>1574</v>
      </c>
      <c r="K16" t="str">
        <f t="shared" si="0"/>
        <v>IND_199801_P1T12026</v>
      </c>
    </row>
    <row r="17" spans="1:11">
      <c r="A17">
        <v>2026</v>
      </c>
      <c r="B17" t="s">
        <v>54</v>
      </c>
      <c r="C17" t="s">
        <v>2653</v>
      </c>
      <c r="D17" t="s">
        <v>2653</v>
      </c>
      <c r="E17" t="s">
        <v>2654</v>
      </c>
      <c r="F17" t="s">
        <v>2654</v>
      </c>
      <c r="G17" t="s">
        <v>2654</v>
      </c>
      <c r="H17" t="s">
        <v>2654</v>
      </c>
      <c r="I17" t="s">
        <v>1780</v>
      </c>
      <c r="K17" t="str">
        <f t="shared" si="0"/>
        <v>RES_201202_P2T22026</v>
      </c>
    </row>
    <row r="18" spans="1:11">
      <c r="A18">
        <v>2026</v>
      </c>
      <c r="B18" t="s">
        <v>622</v>
      </c>
      <c r="C18" t="s">
        <v>2653</v>
      </c>
      <c r="D18" t="s">
        <v>2653</v>
      </c>
      <c r="E18" t="s">
        <v>2654</v>
      </c>
      <c r="F18" t="s">
        <v>2654</v>
      </c>
      <c r="G18" t="s">
        <v>2654</v>
      </c>
      <c r="H18" t="s">
        <v>2654</v>
      </c>
      <c r="I18" t="s">
        <v>1781</v>
      </c>
      <c r="K18" t="str">
        <f t="shared" si="0"/>
        <v>RES_201202_P2T32026</v>
      </c>
    </row>
    <row r="19" spans="1:11">
      <c r="A19">
        <v>2026</v>
      </c>
      <c r="B19" t="s">
        <v>623</v>
      </c>
      <c r="C19" t="s">
        <v>2653</v>
      </c>
      <c r="D19" t="s">
        <v>2653</v>
      </c>
      <c r="E19" t="s">
        <v>2654</v>
      </c>
      <c r="F19" t="s">
        <v>2654</v>
      </c>
      <c r="G19" t="s">
        <v>2654</v>
      </c>
      <c r="H19" t="s">
        <v>2654</v>
      </c>
      <c r="I19" t="s">
        <v>1782</v>
      </c>
      <c r="K19" t="str">
        <f t="shared" si="0"/>
        <v>RES_201202_P2T42026</v>
      </c>
    </row>
    <row r="20" spans="1:11">
      <c r="A20">
        <v>2026</v>
      </c>
      <c r="B20" t="s">
        <v>723</v>
      </c>
      <c r="C20" t="s">
        <v>2653</v>
      </c>
      <c r="D20" t="s">
        <v>2653</v>
      </c>
      <c r="E20" t="s">
        <v>2654</v>
      </c>
      <c r="F20" t="s">
        <v>2654</v>
      </c>
      <c r="G20" t="s">
        <v>2654</v>
      </c>
      <c r="H20" t="s">
        <v>2654</v>
      </c>
      <c r="I20" t="s">
        <v>1783</v>
      </c>
      <c r="K20" t="str">
        <f t="shared" si="0"/>
        <v>RES_201202_P2T52026</v>
      </c>
    </row>
    <row r="21" spans="1:11">
      <c r="A21">
        <v>2026</v>
      </c>
      <c r="B21" t="s">
        <v>51</v>
      </c>
      <c r="C21" t="s">
        <v>2653</v>
      </c>
      <c r="D21" t="s">
        <v>2653</v>
      </c>
      <c r="E21" t="s">
        <v>2654</v>
      </c>
      <c r="F21" t="s">
        <v>2654</v>
      </c>
      <c r="G21" t="s">
        <v>2654</v>
      </c>
      <c r="H21" t="s">
        <v>2654</v>
      </c>
      <c r="I21" t="s">
        <v>1774</v>
      </c>
      <c r="K21" t="str">
        <f t="shared" si="0"/>
        <v>RES_201202_P1T12026</v>
      </c>
    </row>
    <row r="22" spans="1:11">
      <c r="A22">
        <v>2026</v>
      </c>
      <c r="B22" t="s">
        <v>52</v>
      </c>
      <c r="C22" t="s">
        <v>2653</v>
      </c>
      <c r="D22" t="s">
        <v>2653</v>
      </c>
      <c r="E22" t="s">
        <v>2654</v>
      </c>
      <c r="F22" t="s">
        <v>2654</v>
      </c>
      <c r="G22" t="s">
        <v>2654</v>
      </c>
      <c r="H22" t="s">
        <v>2654</v>
      </c>
      <c r="I22" t="s">
        <v>1775</v>
      </c>
      <c r="K22" t="str">
        <f t="shared" si="0"/>
        <v>RES_201202_P1T22026</v>
      </c>
    </row>
    <row r="23" spans="1:11">
      <c r="A23">
        <v>2026</v>
      </c>
      <c r="B23" t="s">
        <v>630</v>
      </c>
      <c r="C23" t="s">
        <v>2653</v>
      </c>
      <c r="D23" t="s">
        <v>2653</v>
      </c>
      <c r="E23" t="s">
        <v>2654</v>
      </c>
      <c r="F23" t="s">
        <v>2654</v>
      </c>
      <c r="G23" t="s">
        <v>2654</v>
      </c>
      <c r="H23" t="s">
        <v>2654</v>
      </c>
      <c r="I23" t="s">
        <v>1776</v>
      </c>
      <c r="K23" t="str">
        <f t="shared" si="0"/>
        <v>RES_201202_P1T32026</v>
      </c>
    </row>
    <row r="24" spans="1:11">
      <c r="A24">
        <v>2026</v>
      </c>
      <c r="B24" t="s">
        <v>631</v>
      </c>
      <c r="C24" t="s">
        <v>2653</v>
      </c>
      <c r="D24" t="s">
        <v>2653</v>
      </c>
      <c r="E24" t="s">
        <v>2654</v>
      </c>
      <c r="F24" t="s">
        <v>2654</v>
      </c>
      <c r="G24" t="s">
        <v>2654</v>
      </c>
      <c r="H24" t="s">
        <v>2654</v>
      </c>
      <c r="I24" t="s">
        <v>1777</v>
      </c>
      <c r="K24" t="str">
        <f t="shared" si="0"/>
        <v>RES_201202_P1T42026</v>
      </c>
    </row>
    <row r="25" spans="1:11">
      <c r="A25">
        <v>2026</v>
      </c>
      <c r="B25" t="s">
        <v>721</v>
      </c>
      <c r="C25" t="s">
        <v>2653</v>
      </c>
      <c r="D25" t="s">
        <v>2653</v>
      </c>
      <c r="E25" t="s">
        <v>2654</v>
      </c>
      <c r="F25" t="s">
        <v>2654</v>
      </c>
      <c r="G25" t="s">
        <v>2654</v>
      </c>
      <c r="H25" t="s">
        <v>2654</v>
      </c>
      <c r="I25" t="s">
        <v>1778</v>
      </c>
      <c r="K25" t="str">
        <f t="shared" si="0"/>
        <v>RES_201202_P1T52026</v>
      </c>
    </row>
    <row r="26" spans="1:11">
      <c r="A26">
        <v>2026</v>
      </c>
      <c r="B26" t="s">
        <v>627</v>
      </c>
      <c r="C26" t="s">
        <v>2653</v>
      </c>
      <c r="D26" t="s">
        <v>2653</v>
      </c>
      <c r="E26" t="s">
        <v>2654</v>
      </c>
      <c r="F26" t="s">
        <v>2654</v>
      </c>
      <c r="G26" t="s">
        <v>2654</v>
      </c>
      <c r="H26" t="s">
        <v>2654</v>
      </c>
      <c r="I26" t="s">
        <v>1790</v>
      </c>
      <c r="K26" t="str">
        <f t="shared" si="0"/>
        <v>RES_201202_P4T22026</v>
      </c>
    </row>
    <row r="27" spans="1:11">
      <c r="A27">
        <v>2026</v>
      </c>
      <c r="B27" t="s">
        <v>628</v>
      </c>
      <c r="C27" t="s">
        <v>2653</v>
      </c>
      <c r="D27" t="s">
        <v>2653</v>
      </c>
      <c r="E27" t="s">
        <v>2654</v>
      </c>
      <c r="F27" t="s">
        <v>2654</v>
      </c>
      <c r="G27" t="s">
        <v>2654</v>
      </c>
      <c r="H27" t="s">
        <v>2654</v>
      </c>
      <c r="I27" t="s">
        <v>1791</v>
      </c>
      <c r="K27" t="str">
        <f t="shared" si="0"/>
        <v>RES_201202_P4T32026</v>
      </c>
    </row>
    <row r="28" spans="1:11">
      <c r="A28">
        <v>2026</v>
      </c>
      <c r="B28" t="s">
        <v>629</v>
      </c>
      <c r="C28" t="s">
        <v>2653</v>
      </c>
      <c r="D28" t="s">
        <v>2653</v>
      </c>
      <c r="E28" t="s">
        <v>2654</v>
      </c>
      <c r="F28" t="s">
        <v>2654</v>
      </c>
      <c r="G28" t="s">
        <v>2654</v>
      </c>
      <c r="H28" t="s">
        <v>2654</v>
      </c>
      <c r="I28" t="s">
        <v>1792</v>
      </c>
      <c r="K28" t="str">
        <f t="shared" si="0"/>
        <v>RES_201202_P4T42026</v>
      </c>
    </row>
    <row r="29" spans="1:11">
      <c r="A29">
        <v>2026</v>
      </c>
      <c r="B29" t="s">
        <v>725</v>
      </c>
      <c r="C29" t="s">
        <v>2653</v>
      </c>
      <c r="D29" t="s">
        <v>2653</v>
      </c>
      <c r="E29" t="s">
        <v>2654</v>
      </c>
      <c r="F29" t="s">
        <v>2654</v>
      </c>
      <c r="G29" t="s">
        <v>2654</v>
      </c>
      <c r="H29" t="s">
        <v>2654</v>
      </c>
      <c r="I29" t="s">
        <v>1793</v>
      </c>
      <c r="K29" t="str">
        <f t="shared" si="0"/>
        <v>RES_201202_P4T52026</v>
      </c>
    </row>
    <row r="30" spans="1:11">
      <c r="A30">
        <v>2026</v>
      </c>
      <c r="B30" t="s">
        <v>612</v>
      </c>
      <c r="C30" t="s">
        <v>2653</v>
      </c>
      <c r="D30" t="s">
        <v>2653</v>
      </c>
      <c r="E30" t="s">
        <v>2654</v>
      </c>
      <c r="F30" t="s">
        <v>2654</v>
      </c>
      <c r="G30" t="s">
        <v>2654</v>
      </c>
      <c r="H30" t="s">
        <v>2654</v>
      </c>
      <c r="I30" t="s">
        <v>1784</v>
      </c>
      <c r="K30" t="str">
        <f t="shared" si="0"/>
        <v>RES_201202_P3T12026</v>
      </c>
    </row>
    <row r="31" spans="1:11">
      <c r="A31">
        <v>2026</v>
      </c>
      <c r="B31" t="s">
        <v>613</v>
      </c>
      <c r="C31" t="s">
        <v>2653</v>
      </c>
      <c r="D31" t="s">
        <v>2653</v>
      </c>
      <c r="E31" t="s">
        <v>2654</v>
      </c>
      <c r="F31" t="s">
        <v>2654</v>
      </c>
      <c r="G31" t="s">
        <v>2654</v>
      </c>
      <c r="H31" t="s">
        <v>2654</v>
      </c>
      <c r="I31" t="s">
        <v>1785</v>
      </c>
      <c r="K31" t="str">
        <f t="shared" si="0"/>
        <v>RES_201202_P3T22026</v>
      </c>
    </row>
    <row r="32" spans="1:11">
      <c r="A32">
        <v>2026</v>
      </c>
      <c r="B32" t="s">
        <v>624</v>
      </c>
      <c r="C32" t="s">
        <v>2653</v>
      </c>
      <c r="D32" t="s">
        <v>2653</v>
      </c>
      <c r="E32" t="s">
        <v>2654</v>
      </c>
      <c r="F32" t="s">
        <v>2654</v>
      </c>
      <c r="G32" t="s">
        <v>2654</v>
      </c>
      <c r="H32" t="s">
        <v>2654</v>
      </c>
      <c r="I32" t="s">
        <v>1786</v>
      </c>
      <c r="K32" t="str">
        <f t="shared" si="0"/>
        <v>RES_201202_P3T32026</v>
      </c>
    </row>
    <row r="33" spans="1:11">
      <c r="A33">
        <v>2026</v>
      </c>
      <c r="B33" t="s">
        <v>625</v>
      </c>
      <c r="C33" t="s">
        <v>2653</v>
      </c>
      <c r="D33" t="s">
        <v>2653</v>
      </c>
      <c r="E33" t="s">
        <v>2654</v>
      </c>
      <c r="F33" t="s">
        <v>2654</v>
      </c>
      <c r="G33" t="s">
        <v>2654</v>
      </c>
      <c r="H33" t="s">
        <v>2654</v>
      </c>
      <c r="I33" t="s">
        <v>1787</v>
      </c>
      <c r="K33" t="str">
        <f t="shared" si="0"/>
        <v>RES_201202_P3T42026</v>
      </c>
    </row>
    <row r="34" spans="1:11">
      <c r="A34">
        <v>2026</v>
      </c>
      <c r="B34" t="s">
        <v>724</v>
      </c>
      <c r="C34" t="s">
        <v>2653</v>
      </c>
      <c r="D34" t="s">
        <v>2653</v>
      </c>
      <c r="E34" t="s">
        <v>2654</v>
      </c>
      <c r="F34" t="s">
        <v>2654</v>
      </c>
      <c r="G34" t="s">
        <v>2654</v>
      </c>
      <c r="H34" t="s">
        <v>2654</v>
      </c>
      <c r="I34" t="s">
        <v>1788</v>
      </c>
      <c r="K34" t="str">
        <f t="shared" si="0"/>
        <v>RES_201202_P3T52026</v>
      </c>
    </row>
    <row r="35" spans="1:11">
      <c r="A35">
        <v>2026</v>
      </c>
      <c r="B35" t="s">
        <v>1595</v>
      </c>
      <c r="C35" t="s">
        <v>2653</v>
      </c>
      <c r="D35" t="s">
        <v>2653</v>
      </c>
      <c r="E35" t="s">
        <v>2654</v>
      </c>
      <c r="F35" t="s">
        <v>2654</v>
      </c>
      <c r="G35" t="s">
        <v>2654</v>
      </c>
      <c r="H35" t="s">
        <v>2654</v>
      </c>
      <c r="I35" t="s">
        <v>1723</v>
      </c>
      <c r="K35" t="str">
        <f t="shared" si="0"/>
        <v>RES_200401_P12T12026</v>
      </c>
    </row>
    <row r="36" spans="1:11">
      <c r="A36">
        <v>2026</v>
      </c>
      <c r="B36" t="s">
        <v>114</v>
      </c>
      <c r="C36" t="s">
        <v>2653</v>
      </c>
      <c r="D36" t="s">
        <v>2653</v>
      </c>
      <c r="E36" t="s">
        <v>2654</v>
      </c>
      <c r="F36" t="s">
        <v>2654</v>
      </c>
      <c r="G36" t="s">
        <v>2654</v>
      </c>
      <c r="H36" t="s">
        <v>2654</v>
      </c>
      <c r="I36" t="s">
        <v>1810</v>
      </c>
      <c r="K36" t="str">
        <f t="shared" si="0"/>
        <v>RES_201301_P17T12026</v>
      </c>
    </row>
    <row r="37" spans="1:11">
      <c r="A37">
        <v>2026</v>
      </c>
      <c r="B37" t="s">
        <v>65</v>
      </c>
      <c r="C37" t="s">
        <v>2653</v>
      </c>
      <c r="D37" t="s">
        <v>2653</v>
      </c>
      <c r="E37" t="s">
        <v>2654</v>
      </c>
      <c r="F37" t="s">
        <v>2654</v>
      </c>
      <c r="G37" t="s">
        <v>2654</v>
      </c>
      <c r="H37" t="s">
        <v>2654</v>
      </c>
      <c r="I37" t="s">
        <v>1840</v>
      </c>
      <c r="K37" t="str">
        <f t="shared" si="0"/>
        <v>RES_201301_P8T12026</v>
      </c>
    </row>
    <row r="38" spans="1:11">
      <c r="A38">
        <v>2026</v>
      </c>
      <c r="B38" t="s">
        <v>358</v>
      </c>
      <c r="C38" t="s">
        <v>2653</v>
      </c>
      <c r="D38" t="s">
        <v>2653</v>
      </c>
      <c r="E38" t="s">
        <v>2654</v>
      </c>
      <c r="F38" t="s">
        <v>2654</v>
      </c>
      <c r="G38" t="s">
        <v>2654</v>
      </c>
      <c r="H38" t="s">
        <v>2654</v>
      </c>
      <c r="I38" t="s">
        <v>1837</v>
      </c>
      <c r="K38" t="str">
        <f t="shared" si="0"/>
        <v>RES_201301_P5T12026</v>
      </c>
    </row>
    <row r="39" spans="1:11">
      <c r="A39">
        <v>2026</v>
      </c>
      <c r="B39" t="s">
        <v>617</v>
      </c>
      <c r="C39" t="s">
        <v>2653</v>
      </c>
      <c r="D39" t="s">
        <v>2653</v>
      </c>
      <c r="E39" t="s">
        <v>2654</v>
      </c>
      <c r="F39" t="s">
        <v>2654</v>
      </c>
      <c r="G39" t="s">
        <v>2654</v>
      </c>
      <c r="H39" t="s">
        <v>2654</v>
      </c>
      <c r="I39" t="s">
        <v>1818</v>
      </c>
      <c r="K39" t="str">
        <f t="shared" si="0"/>
        <v>RES_201301_P21T12026</v>
      </c>
    </row>
    <row r="40" spans="1:11">
      <c r="A40">
        <v>2026</v>
      </c>
      <c r="B40" t="s">
        <v>688</v>
      </c>
      <c r="C40" t="s">
        <v>2653</v>
      </c>
      <c r="D40" t="s">
        <v>2653</v>
      </c>
      <c r="E40" t="s">
        <v>2654</v>
      </c>
      <c r="F40" t="s">
        <v>2654</v>
      </c>
      <c r="G40" t="s">
        <v>2654</v>
      </c>
      <c r="H40" t="s">
        <v>2654</v>
      </c>
      <c r="I40" t="s">
        <v>1661</v>
      </c>
      <c r="K40" t="str">
        <f t="shared" si="0"/>
        <v>COM_200002_P3T12026</v>
      </c>
    </row>
    <row r="41" spans="1:11">
      <c r="A41">
        <v>2026</v>
      </c>
      <c r="B41" t="s">
        <v>690</v>
      </c>
      <c r="C41" t="s">
        <v>2653</v>
      </c>
      <c r="D41" t="s">
        <v>2653</v>
      </c>
      <c r="E41" t="s">
        <v>2654</v>
      </c>
      <c r="F41" t="s">
        <v>2654</v>
      </c>
      <c r="G41" t="s">
        <v>2654</v>
      </c>
      <c r="H41" t="s">
        <v>2654</v>
      </c>
      <c r="I41" t="s">
        <v>1662</v>
      </c>
      <c r="K41" t="str">
        <f t="shared" si="0"/>
        <v>COM_200002_P4T12026</v>
      </c>
    </row>
    <row r="42" spans="1:11">
      <c r="A42">
        <v>2026</v>
      </c>
      <c r="B42" t="s">
        <v>2119</v>
      </c>
      <c r="C42" t="s">
        <v>2653</v>
      </c>
      <c r="D42" t="s">
        <v>2653</v>
      </c>
      <c r="E42" t="s">
        <v>2654</v>
      </c>
      <c r="F42" t="s">
        <v>2654</v>
      </c>
      <c r="G42" t="s">
        <v>2654</v>
      </c>
      <c r="H42" t="s">
        <v>2654</v>
      </c>
      <c r="I42" t="s">
        <v>2123</v>
      </c>
      <c r="K42" t="str">
        <f t="shared" si="0"/>
        <v>AGR_200201_P1T12026</v>
      </c>
    </row>
    <row r="43" spans="1:11">
      <c r="A43">
        <v>2026</v>
      </c>
      <c r="B43" t="s">
        <v>30</v>
      </c>
      <c r="C43" t="s">
        <v>2653</v>
      </c>
      <c r="D43" t="s">
        <v>2653</v>
      </c>
      <c r="E43" t="s">
        <v>2654</v>
      </c>
      <c r="F43" t="s">
        <v>2654</v>
      </c>
      <c r="G43" t="s">
        <v>2654</v>
      </c>
      <c r="H43" t="s">
        <v>2654</v>
      </c>
      <c r="I43" t="s">
        <v>2191</v>
      </c>
      <c r="K43" t="str">
        <f t="shared" si="0"/>
        <v>IND_199902_P1T12026</v>
      </c>
    </row>
    <row r="44" spans="1:11">
      <c r="A44">
        <v>2026</v>
      </c>
      <c r="B44" t="s">
        <v>31</v>
      </c>
      <c r="C44" t="s">
        <v>2653</v>
      </c>
      <c r="D44" t="s">
        <v>2653</v>
      </c>
      <c r="E44" t="s">
        <v>2654</v>
      </c>
      <c r="F44" t="s">
        <v>2654</v>
      </c>
      <c r="G44" t="s">
        <v>2654</v>
      </c>
      <c r="H44" t="s">
        <v>2654</v>
      </c>
      <c r="I44" t="s">
        <v>2194</v>
      </c>
      <c r="K44" t="str">
        <f t="shared" si="0"/>
        <v>IND_199902_P2T12026</v>
      </c>
    </row>
    <row r="45" spans="1:11">
      <c r="A45">
        <v>2026</v>
      </c>
      <c r="B45" t="s">
        <v>66</v>
      </c>
      <c r="C45" t="s">
        <v>2653</v>
      </c>
      <c r="D45" t="s">
        <v>2653</v>
      </c>
      <c r="E45" t="s">
        <v>2654</v>
      </c>
      <c r="F45" t="s">
        <v>2654</v>
      </c>
      <c r="G45" t="s">
        <v>2654</v>
      </c>
      <c r="H45" t="s">
        <v>2654</v>
      </c>
      <c r="I45" t="s">
        <v>1841</v>
      </c>
      <c r="K45" t="str">
        <f t="shared" si="0"/>
        <v>RES_201301_P9T12026</v>
      </c>
    </row>
    <row r="46" spans="1:11">
      <c r="A46">
        <v>2026</v>
      </c>
      <c r="B46" t="s">
        <v>370</v>
      </c>
      <c r="C46" t="s">
        <v>2653</v>
      </c>
      <c r="D46" t="s">
        <v>2653</v>
      </c>
      <c r="E46" t="s">
        <v>2654</v>
      </c>
      <c r="F46" t="s">
        <v>2654</v>
      </c>
      <c r="G46" t="s">
        <v>2654</v>
      </c>
      <c r="H46" t="s">
        <v>2654</v>
      </c>
      <c r="I46" t="s">
        <v>1838</v>
      </c>
      <c r="K46" t="str">
        <f t="shared" si="0"/>
        <v>RES_201301_P6T12026</v>
      </c>
    </row>
    <row r="47" spans="1:11">
      <c r="A47">
        <v>2026</v>
      </c>
      <c r="B47" t="s">
        <v>618</v>
      </c>
      <c r="C47" t="s">
        <v>2653</v>
      </c>
      <c r="D47" t="s">
        <v>2653</v>
      </c>
      <c r="E47" t="s">
        <v>2654</v>
      </c>
      <c r="F47" t="s">
        <v>2654</v>
      </c>
      <c r="G47" t="s">
        <v>2654</v>
      </c>
      <c r="H47" t="s">
        <v>2654</v>
      </c>
      <c r="I47" t="s">
        <v>1819</v>
      </c>
      <c r="K47" t="str">
        <f t="shared" si="0"/>
        <v>RES_201301_P22T12026</v>
      </c>
    </row>
    <row r="48" spans="1:11">
      <c r="A48">
        <v>2026</v>
      </c>
      <c r="B48" t="s">
        <v>1580</v>
      </c>
      <c r="C48" t="s">
        <v>2653</v>
      </c>
      <c r="D48" t="s">
        <v>2653</v>
      </c>
      <c r="E48" t="s">
        <v>2654</v>
      </c>
      <c r="F48" t="s">
        <v>2654</v>
      </c>
      <c r="G48" t="s">
        <v>2654</v>
      </c>
      <c r="H48" t="s">
        <v>2654</v>
      </c>
      <c r="I48" t="s">
        <v>1575</v>
      </c>
      <c r="K48" t="str">
        <f t="shared" si="0"/>
        <v>COM_200203_P1T12026</v>
      </c>
    </row>
    <row r="49" spans="1:11">
      <c r="A49">
        <v>2026</v>
      </c>
      <c r="B49" t="s">
        <v>336</v>
      </c>
      <c r="C49" t="s">
        <v>2653</v>
      </c>
      <c r="D49" t="s">
        <v>2653</v>
      </c>
      <c r="E49" t="s">
        <v>2654</v>
      </c>
      <c r="F49" t="s">
        <v>2654</v>
      </c>
      <c r="G49" t="s">
        <v>2654</v>
      </c>
      <c r="H49" t="s">
        <v>2654</v>
      </c>
      <c r="I49" t="s">
        <v>2131</v>
      </c>
      <c r="K49" t="str">
        <f t="shared" si="0"/>
        <v>COM_199701_P1T12026</v>
      </c>
    </row>
    <row r="50" spans="1:11">
      <c r="A50">
        <v>2026</v>
      </c>
      <c r="B50" t="s">
        <v>616</v>
      </c>
      <c r="C50" t="s">
        <v>2653</v>
      </c>
      <c r="D50" t="s">
        <v>2653</v>
      </c>
      <c r="E50" t="s">
        <v>2654</v>
      </c>
      <c r="F50" t="s">
        <v>2654</v>
      </c>
      <c r="G50" t="s">
        <v>2654</v>
      </c>
      <c r="H50" t="s">
        <v>2654</v>
      </c>
      <c r="I50" t="s">
        <v>1826</v>
      </c>
      <c r="K50" t="str">
        <f t="shared" si="0"/>
        <v>RES_201301_P26T52026</v>
      </c>
    </row>
    <row r="51" spans="1:11">
      <c r="A51">
        <v>2026</v>
      </c>
      <c r="B51" t="s">
        <v>563</v>
      </c>
      <c r="C51" t="s">
        <v>2653</v>
      </c>
      <c r="D51" t="s">
        <v>2653</v>
      </c>
      <c r="E51" t="s">
        <v>2654</v>
      </c>
      <c r="F51" t="s">
        <v>2654</v>
      </c>
      <c r="G51" t="s">
        <v>2654</v>
      </c>
      <c r="H51" t="s">
        <v>2654</v>
      </c>
      <c r="I51" t="s">
        <v>1812</v>
      </c>
      <c r="K51" t="str">
        <f t="shared" si="0"/>
        <v>Res_201301_P19T12026</v>
      </c>
    </row>
    <row r="52" spans="1:11">
      <c r="A52">
        <v>2026</v>
      </c>
      <c r="B52" t="s">
        <v>1596</v>
      </c>
      <c r="C52" t="s">
        <v>2653</v>
      </c>
      <c r="D52" t="s">
        <v>2653</v>
      </c>
      <c r="E52" t="s">
        <v>2654</v>
      </c>
      <c r="F52" t="s">
        <v>2654</v>
      </c>
      <c r="G52" t="s">
        <v>2654</v>
      </c>
      <c r="H52" t="s">
        <v>2654</v>
      </c>
      <c r="I52" t="s">
        <v>1725</v>
      </c>
      <c r="K52" t="str">
        <f t="shared" si="0"/>
        <v>RES_200401_P14T12026</v>
      </c>
    </row>
    <row r="53" spans="1:11">
      <c r="A53">
        <v>2026</v>
      </c>
      <c r="B53" t="s">
        <v>55</v>
      </c>
      <c r="C53" t="s">
        <v>2653</v>
      </c>
      <c r="D53" t="s">
        <v>2653</v>
      </c>
      <c r="E53" t="s">
        <v>2654</v>
      </c>
      <c r="F53" t="s">
        <v>2654</v>
      </c>
      <c r="G53" t="s">
        <v>2654</v>
      </c>
      <c r="H53" t="s">
        <v>2654</v>
      </c>
      <c r="I53" t="s">
        <v>1794</v>
      </c>
      <c r="K53" t="str">
        <f t="shared" si="0"/>
        <v>RES_201301_P10T12026</v>
      </c>
    </row>
    <row r="54" spans="1:11">
      <c r="A54">
        <v>2026</v>
      </c>
      <c r="B54" t="s">
        <v>381</v>
      </c>
      <c r="C54" t="s">
        <v>2653</v>
      </c>
      <c r="D54" t="s">
        <v>2653</v>
      </c>
      <c r="E54" t="s">
        <v>2654</v>
      </c>
      <c r="F54" t="s">
        <v>2654</v>
      </c>
      <c r="G54" t="s">
        <v>2654</v>
      </c>
      <c r="H54" t="s">
        <v>2654</v>
      </c>
      <c r="I54" t="s">
        <v>1839</v>
      </c>
      <c r="K54" t="str">
        <f t="shared" si="0"/>
        <v>RES_201301_P7T12026</v>
      </c>
    </row>
    <row r="55" spans="1:11">
      <c r="A55">
        <v>2026</v>
      </c>
      <c r="B55" t="s">
        <v>619</v>
      </c>
      <c r="C55" t="s">
        <v>2653</v>
      </c>
      <c r="D55" t="s">
        <v>2653</v>
      </c>
      <c r="E55" t="s">
        <v>2654</v>
      </c>
      <c r="F55" t="s">
        <v>2654</v>
      </c>
      <c r="G55" t="s">
        <v>2654</v>
      </c>
      <c r="H55" t="s">
        <v>2654</v>
      </c>
      <c r="I55" t="s">
        <v>1820</v>
      </c>
      <c r="K55" t="str">
        <f t="shared" si="0"/>
        <v>RES_201301_P23T12026</v>
      </c>
    </row>
    <row r="56" spans="1:11">
      <c r="A56">
        <v>2026</v>
      </c>
      <c r="B56" t="s">
        <v>2158</v>
      </c>
      <c r="C56" t="s">
        <v>2653</v>
      </c>
      <c r="D56" t="s">
        <v>2653</v>
      </c>
      <c r="E56" t="s">
        <v>2654</v>
      </c>
      <c r="F56" t="s">
        <v>2654</v>
      </c>
      <c r="G56" t="s">
        <v>2654</v>
      </c>
      <c r="H56" t="s">
        <v>2654</v>
      </c>
      <c r="I56" t="s">
        <v>2161</v>
      </c>
      <c r="K56" t="str">
        <f t="shared" si="0"/>
        <v>COM_201101_P1T12026</v>
      </c>
    </row>
    <row r="57" spans="1:11">
      <c r="A57">
        <v>2026</v>
      </c>
      <c r="B57" t="s">
        <v>374</v>
      </c>
      <c r="C57" t="s">
        <v>2653</v>
      </c>
      <c r="D57" t="s">
        <v>2653</v>
      </c>
      <c r="E57" t="s">
        <v>2654</v>
      </c>
      <c r="F57" t="s">
        <v>2654</v>
      </c>
      <c r="G57" t="s">
        <v>2654</v>
      </c>
      <c r="H57" t="s">
        <v>2654</v>
      </c>
      <c r="I57" t="s">
        <v>1724</v>
      </c>
      <c r="K57" t="str">
        <f t="shared" si="0"/>
        <v>RES_200401_P13T12026</v>
      </c>
    </row>
    <row r="58" spans="1:11">
      <c r="A58">
        <v>2026</v>
      </c>
      <c r="B58" t="s">
        <v>50</v>
      </c>
      <c r="C58" t="s">
        <v>2653</v>
      </c>
      <c r="D58" t="s">
        <v>2653</v>
      </c>
      <c r="E58" t="s">
        <v>2654</v>
      </c>
      <c r="F58" t="s">
        <v>2654</v>
      </c>
      <c r="G58" t="s">
        <v>2654</v>
      </c>
      <c r="H58" t="s">
        <v>2654</v>
      </c>
      <c r="I58" t="s">
        <v>1768</v>
      </c>
      <c r="K58" t="str">
        <f t="shared" si="0"/>
        <v>RES_201101_P1T12026</v>
      </c>
    </row>
    <row r="59" spans="1:11">
      <c r="A59">
        <v>2026</v>
      </c>
      <c r="B59" t="s">
        <v>84</v>
      </c>
      <c r="C59" t="s">
        <v>2653</v>
      </c>
      <c r="D59" t="s">
        <v>2653</v>
      </c>
      <c r="E59" t="s">
        <v>2654</v>
      </c>
      <c r="F59" t="s">
        <v>2654</v>
      </c>
      <c r="G59" t="s">
        <v>2654</v>
      </c>
      <c r="H59" t="s">
        <v>2654</v>
      </c>
      <c r="I59" t="s">
        <v>1769</v>
      </c>
      <c r="K59" t="str">
        <f t="shared" si="0"/>
        <v>RES_201101_P1T22026</v>
      </c>
    </row>
    <row r="60" spans="1:11">
      <c r="A60">
        <v>2026</v>
      </c>
      <c r="B60" t="s">
        <v>85</v>
      </c>
      <c r="C60" t="s">
        <v>2653</v>
      </c>
      <c r="D60" t="s">
        <v>2653</v>
      </c>
      <c r="E60" t="s">
        <v>2654</v>
      </c>
      <c r="F60" t="s">
        <v>2654</v>
      </c>
      <c r="G60" t="s">
        <v>2654</v>
      </c>
      <c r="H60" t="s">
        <v>2654</v>
      </c>
      <c r="I60" t="s">
        <v>1770</v>
      </c>
      <c r="K60" t="str">
        <f t="shared" si="0"/>
        <v>RES_201101_P1T32026</v>
      </c>
    </row>
    <row r="61" spans="1:11">
      <c r="A61">
        <v>2026</v>
      </c>
      <c r="B61" t="s">
        <v>86</v>
      </c>
      <c r="C61" t="s">
        <v>2653</v>
      </c>
      <c r="D61" t="s">
        <v>2653</v>
      </c>
      <c r="E61" t="s">
        <v>2654</v>
      </c>
      <c r="F61" t="s">
        <v>2654</v>
      </c>
      <c r="G61" t="s">
        <v>2654</v>
      </c>
      <c r="H61" t="s">
        <v>2654</v>
      </c>
      <c r="I61" t="s">
        <v>1771</v>
      </c>
      <c r="K61" t="str">
        <f t="shared" si="0"/>
        <v>RES_201101_P1T42026</v>
      </c>
    </row>
    <row r="62" spans="1:11">
      <c r="A62">
        <v>2026</v>
      </c>
      <c r="B62" t="s">
        <v>87</v>
      </c>
      <c r="C62" t="s">
        <v>2653</v>
      </c>
      <c r="D62" t="s">
        <v>2653</v>
      </c>
      <c r="E62" t="s">
        <v>2654</v>
      </c>
      <c r="F62" t="s">
        <v>2654</v>
      </c>
      <c r="G62" t="s">
        <v>2654</v>
      </c>
      <c r="H62" t="s">
        <v>2654</v>
      </c>
      <c r="I62" t="s">
        <v>1772</v>
      </c>
      <c r="K62" t="str">
        <f t="shared" si="0"/>
        <v>RES_201101_P1T52026</v>
      </c>
    </row>
    <row r="63" spans="1:11">
      <c r="A63">
        <v>2026</v>
      </c>
      <c r="B63" t="s">
        <v>113</v>
      </c>
      <c r="C63" t="s">
        <v>2653</v>
      </c>
      <c r="D63" t="s">
        <v>2653</v>
      </c>
      <c r="E63" t="s">
        <v>2654</v>
      </c>
      <c r="F63" t="s">
        <v>2654</v>
      </c>
      <c r="G63" t="s">
        <v>2654</v>
      </c>
      <c r="H63" t="s">
        <v>2654</v>
      </c>
      <c r="I63" t="s">
        <v>1773</v>
      </c>
      <c r="K63" t="str">
        <f t="shared" si="0"/>
        <v>RES_201101_P1T62026</v>
      </c>
    </row>
    <row r="64" spans="1:11">
      <c r="A64">
        <v>2026</v>
      </c>
      <c r="B64" t="s">
        <v>117</v>
      </c>
      <c r="C64" t="s">
        <v>2653</v>
      </c>
      <c r="D64" t="s">
        <v>2653</v>
      </c>
      <c r="E64" t="s">
        <v>2654</v>
      </c>
      <c r="F64" t="s">
        <v>2654</v>
      </c>
      <c r="G64" t="s">
        <v>2654</v>
      </c>
      <c r="H64" t="s">
        <v>2654</v>
      </c>
      <c r="I64" t="s">
        <v>1869</v>
      </c>
      <c r="K64" t="str">
        <f t="shared" si="0"/>
        <v>RES_201403_P4T12026</v>
      </c>
    </row>
    <row r="65" spans="1:11">
      <c r="A65">
        <v>2026</v>
      </c>
      <c r="B65" t="s">
        <v>88</v>
      </c>
      <c r="C65" t="s">
        <v>2653</v>
      </c>
      <c r="D65" t="s">
        <v>2653</v>
      </c>
      <c r="E65" t="s">
        <v>2654</v>
      </c>
      <c r="F65" t="s">
        <v>2654</v>
      </c>
      <c r="G65" t="s">
        <v>2654</v>
      </c>
      <c r="H65" t="s">
        <v>2654</v>
      </c>
      <c r="I65" t="s">
        <v>1871</v>
      </c>
      <c r="K65" t="str">
        <f t="shared" si="0"/>
        <v>RES_201403_P4T32026</v>
      </c>
    </row>
    <row r="66" spans="1:11">
      <c r="A66">
        <v>2026</v>
      </c>
      <c r="B66" t="s">
        <v>979</v>
      </c>
      <c r="C66" t="s">
        <v>2653</v>
      </c>
      <c r="D66" t="s">
        <v>2653</v>
      </c>
      <c r="E66" t="s">
        <v>2654</v>
      </c>
      <c r="F66" t="s">
        <v>2654</v>
      </c>
      <c r="G66" t="s">
        <v>2654</v>
      </c>
      <c r="H66" t="s">
        <v>2654</v>
      </c>
      <c r="I66" t="s">
        <v>1223</v>
      </c>
      <c r="K66" t="str">
        <f t="shared" si="0"/>
        <v>RES_201403_P14T12026</v>
      </c>
    </row>
    <row r="67" spans="1:11">
      <c r="A67">
        <v>2026</v>
      </c>
      <c r="B67" t="s">
        <v>350</v>
      </c>
      <c r="C67" t="s">
        <v>2653</v>
      </c>
      <c r="D67" t="s">
        <v>2653</v>
      </c>
      <c r="E67" t="s">
        <v>2654</v>
      </c>
      <c r="F67" t="s">
        <v>2654</v>
      </c>
      <c r="G67" t="s">
        <v>2654</v>
      </c>
      <c r="H67" t="s">
        <v>2654</v>
      </c>
      <c r="I67" t="s">
        <v>1870</v>
      </c>
      <c r="K67" t="str">
        <f t="shared" ref="K67:K130" si="1">B67&amp;A67</f>
        <v>RES_201403_P4T22026</v>
      </c>
    </row>
    <row r="68" spans="1:11">
      <c r="A68">
        <v>2026</v>
      </c>
      <c r="B68" t="s">
        <v>17</v>
      </c>
      <c r="C68" t="s">
        <v>2653</v>
      </c>
      <c r="D68" t="s">
        <v>2653</v>
      </c>
      <c r="E68" t="s">
        <v>2654</v>
      </c>
      <c r="F68" t="s">
        <v>2654</v>
      </c>
      <c r="G68" t="s">
        <v>2654</v>
      </c>
      <c r="H68" t="s">
        <v>2654</v>
      </c>
      <c r="I68" t="s">
        <v>1120</v>
      </c>
      <c r="K68" t="str">
        <f t="shared" si="1"/>
        <v>COM_200002_P2T12026</v>
      </c>
    </row>
    <row r="69" spans="1:11">
      <c r="A69">
        <v>2026</v>
      </c>
      <c r="B69" t="s">
        <v>22</v>
      </c>
      <c r="C69" t="s">
        <v>2653</v>
      </c>
      <c r="D69" t="s">
        <v>2653</v>
      </c>
      <c r="E69" t="s">
        <v>2654</v>
      </c>
      <c r="F69" t="s">
        <v>2654</v>
      </c>
      <c r="G69" t="s">
        <v>2654</v>
      </c>
      <c r="H69" t="s">
        <v>2654</v>
      </c>
      <c r="I69" t="s">
        <v>2298</v>
      </c>
      <c r="K69" t="str">
        <f t="shared" si="1"/>
        <v>COM_200802_P1T12026</v>
      </c>
    </row>
    <row r="70" spans="1:11">
      <c r="A70">
        <v>2026</v>
      </c>
      <c r="B70" t="s">
        <v>1593</v>
      </c>
      <c r="C70" t="s">
        <v>2653</v>
      </c>
      <c r="D70" t="s">
        <v>2653</v>
      </c>
      <c r="E70" t="s">
        <v>2654</v>
      </c>
      <c r="F70" t="s">
        <v>2654</v>
      </c>
      <c r="G70" t="s">
        <v>2654</v>
      </c>
      <c r="H70" t="s">
        <v>2654</v>
      </c>
      <c r="I70" t="s">
        <v>2341</v>
      </c>
      <c r="K70" t="str">
        <f t="shared" si="1"/>
        <v>IND_200603_P1T12026</v>
      </c>
    </row>
    <row r="71" spans="1:11">
      <c r="A71">
        <v>2026</v>
      </c>
      <c r="B71" t="s">
        <v>34</v>
      </c>
      <c r="C71" t="s">
        <v>2653</v>
      </c>
      <c r="D71" t="s">
        <v>2653</v>
      </c>
      <c r="E71" t="s">
        <v>2654</v>
      </c>
      <c r="F71" t="s">
        <v>2654</v>
      </c>
      <c r="G71" t="s">
        <v>2654</v>
      </c>
      <c r="H71" t="s">
        <v>2654</v>
      </c>
      <c r="I71" t="s">
        <v>2195</v>
      </c>
      <c r="K71" t="str">
        <f t="shared" si="1"/>
        <v>IND_200602_P1T12026</v>
      </c>
    </row>
    <row r="72" spans="1:11">
      <c r="A72">
        <v>2026</v>
      </c>
      <c r="B72" t="s">
        <v>431</v>
      </c>
      <c r="C72" t="s">
        <v>2653</v>
      </c>
      <c r="D72" t="s">
        <v>2653</v>
      </c>
      <c r="E72" t="s">
        <v>2654</v>
      </c>
      <c r="F72" t="s">
        <v>2654</v>
      </c>
      <c r="G72" t="s">
        <v>2654</v>
      </c>
      <c r="H72" t="s">
        <v>2654</v>
      </c>
      <c r="I72" t="s">
        <v>2229</v>
      </c>
      <c r="K72" t="str">
        <f t="shared" si="1"/>
        <v>RES_199705_P1T12026</v>
      </c>
    </row>
    <row r="73" spans="1:11">
      <c r="A73">
        <v>2026</v>
      </c>
      <c r="B73" t="s">
        <v>437</v>
      </c>
      <c r="C73" t="s">
        <v>2653</v>
      </c>
      <c r="D73" t="s">
        <v>2653</v>
      </c>
      <c r="E73" t="s">
        <v>2654</v>
      </c>
      <c r="F73" t="s">
        <v>2654</v>
      </c>
      <c r="G73" t="s">
        <v>2654</v>
      </c>
      <c r="H73" t="s">
        <v>2654</v>
      </c>
      <c r="I73" t="s">
        <v>1817</v>
      </c>
      <c r="K73" t="str">
        <f t="shared" si="1"/>
        <v>Res_201301_P20T32026</v>
      </c>
    </row>
    <row r="74" spans="1:11">
      <c r="A74">
        <v>2026</v>
      </c>
      <c r="B74" t="s">
        <v>1597</v>
      </c>
      <c r="C74" t="s">
        <v>2653</v>
      </c>
      <c r="D74" t="s">
        <v>2653</v>
      </c>
      <c r="E74" t="s">
        <v>2654</v>
      </c>
      <c r="F74" t="s">
        <v>2654</v>
      </c>
      <c r="G74" t="s">
        <v>2654</v>
      </c>
      <c r="H74" t="s">
        <v>2654</v>
      </c>
      <c r="I74" t="s">
        <v>1726</v>
      </c>
      <c r="K74" t="str">
        <f t="shared" si="1"/>
        <v>RES_200401_P15T12026</v>
      </c>
    </row>
    <row r="75" spans="1:11">
      <c r="A75">
        <v>2026</v>
      </c>
      <c r="B75" t="s">
        <v>115</v>
      </c>
      <c r="C75" t="s">
        <v>2653</v>
      </c>
      <c r="D75" t="s">
        <v>2653</v>
      </c>
      <c r="E75" t="s">
        <v>2654</v>
      </c>
      <c r="F75" t="s">
        <v>2654</v>
      </c>
      <c r="G75" t="s">
        <v>2654</v>
      </c>
      <c r="H75" t="s">
        <v>2654</v>
      </c>
      <c r="I75" t="s">
        <v>1811</v>
      </c>
      <c r="K75" t="str">
        <f t="shared" si="1"/>
        <v>RES_201301_P18T12026</v>
      </c>
    </row>
    <row r="76" spans="1:11">
      <c r="A76">
        <v>2026</v>
      </c>
      <c r="B76" t="s">
        <v>56</v>
      </c>
      <c r="C76" t="s">
        <v>2653</v>
      </c>
      <c r="D76" t="s">
        <v>2653</v>
      </c>
      <c r="E76" t="s">
        <v>2654</v>
      </c>
      <c r="F76" t="s">
        <v>2654</v>
      </c>
      <c r="G76" t="s">
        <v>2654</v>
      </c>
      <c r="H76" t="s">
        <v>2654</v>
      </c>
      <c r="I76" t="s">
        <v>1796</v>
      </c>
      <c r="K76" t="str">
        <f t="shared" si="1"/>
        <v>RES_201301_P12T12026</v>
      </c>
    </row>
    <row r="77" spans="1:11">
      <c r="A77">
        <v>2026</v>
      </c>
      <c r="B77" t="s">
        <v>404</v>
      </c>
      <c r="C77" t="s">
        <v>2653</v>
      </c>
      <c r="D77" t="s">
        <v>2653</v>
      </c>
      <c r="E77" t="s">
        <v>2654</v>
      </c>
      <c r="F77" t="s">
        <v>2654</v>
      </c>
      <c r="G77" t="s">
        <v>2654</v>
      </c>
      <c r="H77" t="s">
        <v>2654</v>
      </c>
      <c r="I77" t="s">
        <v>1795</v>
      </c>
      <c r="K77" t="str">
        <f t="shared" si="1"/>
        <v>RES_201301_P11T12026</v>
      </c>
    </row>
    <row r="78" spans="1:11">
      <c r="A78">
        <v>2026</v>
      </c>
      <c r="B78" t="s">
        <v>620</v>
      </c>
      <c r="C78" t="s">
        <v>2653</v>
      </c>
      <c r="D78" t="s">
        <v>2653</v>
      </c>
      <c r="E78" t="s">
        <v>2654</v>
      </c>
      <c r="F78" t="s">
        <v>2654</v>
      </c>
      <c r="G78" t="s">
        <v>2654</v>
      </c>
      <c r="H78" t="s">
        <v>2654</v>
      </c>
      <c r="I78" t="s">
        <v>1821</v>
      </c>
      <c r="K78" t="str">
        <f t="shared" si="1"/>
        <v>RES_201301_P24T12026</v>
      </c>
    </row>
    <row r="79" spans="1:11">
      <c r="A79">
        <v>2026</v>
      </c>
      <c r="B79" t="s">
        <v>1598</v>
      </c>
      <c r="C79" t="s">
        <v>2653</v>
      </c>
      <c r="D79" t="s">
        <v>2653</v>
      </c>
      <c r="E79" t="s">
        <v>2654</v>
      </c>
      <c r="F79" t="s">
        <v>2654</v>
      </c>
      <c r="G79" t="s">
        <v>2654</v>
      </c>
      <c r="H79" t="s">
        <v>2654</v>
      </c>
      <c r="I79" t="s">
        <v>1727</v>
      </c>
      <c r="K79" t="str">
        <f t="shared" si="1"/>
        <v>RES_200401_P16T12026</v>
      </c>
    </row>
    <row r="80" spans="1:11">
      <c r="A80">
        <v>2026</v>
      </c>
      <c r="B80" t="s">
        <v>2339</v>
      </c>
      <c r="C80" t="s">
        <v>2653</v>
      </c>
      <c r="D80" t="s">
        <v>2653</v>
      </c>
      <c r="E80" t="s">
        <v>2654</v>
      </c>
      <c r="F80" t="s">
        <v>2654</v>
      </c>
      <c r="G80" t="s">
        <v>2654</v>
      </c>
      <c r="H80" t="s">
        <v>2654</v>
      </c>
      <c r="I80" t="s">
        <v>1950</v>
      </c>
      <c r="K80" t="str">
        <f t="shared" si="1"/>
        <v>COM_201601_P1T12026</v>
      </c>
    </row>
    <row r="81" spans="1:11">
      <c r="A81">
        <v>2026</v>
      </c>
      <c r="B81" t="s">
        <v>2438</v>
      </c>
      <c r="C81" t="s">
        <v>2653</v>
      </c>
      <c r="D81" t="s">
        <v>2653</v>
      </c>
      <c r="E81" t="s">
        <v>2654</v>
      </c>
      <c r="F81" t="s">
        <v>2654</v>
      </c>
      <c r="G81" t="s">
        <v>2654</v>
      </c>
      <c r="H81" t="s">
        <v>2654</v>
      </c>
      <c r="I81" t="s">
        <v>2441</v>
      </c>
      <c r="K81" t="str">
        <f t="shared" si="1"/>
        <v>COM_202201_P3T12026</v>
      </c>
    </row>
    <row r="82" spans="1:11">
      <c r="A82">
        <v>2026</v>
      </c>
      <c r="B82" t="s">
        <v>2433</v>
      </c>
      <c r="C82" t="s">
        <v>2653</v>
      </c>
      <c r="D82" t="s">
        <v>2653</v>
      </c>
      <c r="E82" t="s">
        <v>2654</v>
      </c>
      <c r="F82" t="s">
        <v>2654</v>
      </c>
      <c r="G82" t="s">
        <v>2654</v>
      </c>
      <c r="H82" t="s">
        <v>2654</v>
      </c>
      <c r="I82" t="s">
        <v>2435</v>
      </c>
      <c r="K82" t="str">
        <f t="shared" si="1"/>
        <v>COM_202201_P2T12026</v>
      </c>
    </row>
    <row r="83" spans="1:11">
      <c r="A83">
        <v>2026</v>
      </c>
      <c r="B83" t="s">
        <v>2353</v>
      </c>
      <c r="C83" t="s">
        <v>2653</v>
      </c>
      <c r="D83" t="s">
        <v>2653</v>
      </c>
      <c r="E83" t="s">
        <v>2654</v>
      </c>
      <c r="F83" t="s">
        <v>2654</v>
      </c>
      <c r="G83" t="s">
        <v>2654</v>
      </c>
      <c r="H83" t="s">
        <v>2654</v>
      </c>
      <c r="I83" t="s">
        <v>2430</v>
      </c>
      <c r="K83" t="str">
        <f t="shared" si="1"/>
        <v>COM_202201_P1T22026</v>
      </c>
    </row>
    <row r="84" spans="1:11">
      <c r="A84">
        <v>2026</v>
      </c>
      <c r="B84" t="s">
        <v>2444</v>
      </c>
      <c r="C84" t="s">
        <v>2653</v>
      </c>
      <c r="D84" t="s">
        <v>2653</v>
      </c>
      <c r="E84" t="s">
        <v>2654</v>
      </c>
      <c r="F84" t="s">
        <v>2654</v>
      </c>
      <c r="G84" t="s">
        <v>2654</v>
      </c>
      <c r="H84" t="s">
        <v>2654</v>
      </c>
      <c r="I84" t="s">
        <v>2445</v>
      </c>
      <c r="K84" t="str">
        <f t="shared" si="1"/>
        <v>COM_202201_P4T12026</v>
      </c>
    </row>
    <row r="85" spans="1:11">
      <c r="A85">
        <v>2026</v>
      </c>
      <c r="B85" t="s">
        <v>2447</v>
      </c>
      <c r="C85" t="s">
        <v>2653</v>
      </c>
      <c r="D85" t="s">
        <v>2653</v>
      </c>
      <c r="E85" t="s">
        <v>2654</v>
      </c>
      <c r="F85" t="s">
        <v>2654</v>
      </c>
      <c r="G85" t="s">
        <v>2654</v>
      </c>
      <c r="H85" t="s">
        <v>2654</v>
      </c>
      <c r="I85" t="s">
        <v>2449</v>
      </c>
      <c r="K85" t="str">
        <f t="shared" si="1"/>
        <v>COM_202201_P5T12026</v>
      </c>
    </row>
    <row r="86" spans="1:11">
      <c r="A86">
        <v>2026</v>
      </c>
      <c r="B86" t="s">
        <v>2452</v>
      </c>
      <c r="C86" t="s">
        <v>2653</v>
      </c>
      <c r="D86" t="s">
        <v>2653</v>
      </c>
      <c r="E86" t="s">
        <v>2654</v>
      </c>
      <c r="F86" t="s">
        <v>2654</v>
      </c>
      <c r="G86" t="s">
        <v>2654</v>
      </c>
      <c r="H86" t="s">
        <v>2654</v>
      </c>
      <c r="I86" t="s">
        <v>2453</v>
      </c>
      <c r="K86" t="str">
        <f t="shared" si="1"/>
        <v>COM_202201_P6T12026</v>
      </c>
    </row>
    <row r="87" spans="1:11">
      <c r="A87">
        <v>2027</v>
      </c>
      <c r="B87" t="s">
        <v>2133</v>
      </c>
      <c r="C87" t="s">
        <v>2653</v>
      </c>
      <c r="D87" t="s">
        <v>2653</v>
      </c>
      <c r="E87" t="s">
        <v>2654</v>
      </c>
      <c r="F87" t="s">
        <v>2654</v>
      </c>
      <c r="G87" t="s">
        <v>2654</v>
      </c>
      <c r="H87" t="s">
        <v>2654</v>
      </c>
      <c r="I87" t="s">
        <v>2296</v>
      </c>
      <c r="K87" t="str">
        <f t="shared" si="1"/>
        <v>COM_200702_P1T12027</v>
      </c>
    </row>
    <row r="88" spans="1:11">
      <c r="A88">
        <v>2027</v>
      </c>
      <c r="B88" t="s">
        <v>1594</v>
      </c>
      <c r="C88" t="s">
        <v>2653</v>
      </c>
      <c r="D88" t="s">
        <v>2653</v>
      </c>
      <c r="E88" t="s">
        <v>2654</v>
      </c>
      <c r="F88" t="s">
        <v>2654</v>
      </c>
      <c r="G88" t="s">
        <v>2654</v>
      </c>
      <c r="H88" t="s">
        <v>2654</v>
      </c>
      <c r="I88" t="s">
        <v>2343</v>
      </c>
      <c r="K88" t="str">
        <f t="shared" si="1"/>
        <v>RES_199802_P1T12027</v>
      </c>
    </row>
    <row r="89" spans="1:11">
      <c r="A89">
        <v>2027</v>
      </c>
      <c r="B89" t="s">
        <v>2186</v>
      </c>
      <c r="C89" t="s">
        <v>2653</v>
      </c>
      <c r="D89" t="s">
        <v>2653</v>
      </c>
      <c r="E89" t="s">
        <v>2654</v>
      </c>
      <c r="F89" t="s">
        <v>2654</v>
      </c>
      <c r="G89" t="s">
        <v>2654</v>
      </c>
      <c r="H89" t="s">
        <v>2654</v>
      </c>
      <c r="I89" t="s">
        <v>2189</v>
      </c>
      <c r="K89" t="str">
        <f t="shared" si="1"/>
        <v>IND_199901_P1T12027</v>
      </c>
    </row>
    <row r="90" spans="1:11">
      <c r="A90">
        <v>2027</v>
      </c>
      <c r="B90" t="s">
        <v>2136</v>
      </c>
      <c r="C90" t="s">
        <v>2653</v>
      </c>
      <c r="D90" t="s">
        <v>2653</v>
      </c>
      <c r="E90" t="s">
        <v>2654</v>
      </c>
      <c r="F90" t="s">
        <v>2654</v>
      </c>
      <c r="G90" t="s">
        <v>2654</v>
      </c>
      <c r="H90" t="s">
        <v>2654</v>
      </c>
      <c r="I90" t="s">
        <v>2297</v>
      </c>
      <c r="K90" t="str">
        <f t="shared" si="1"/>
        <v>COM_200801_P1T12027</v>
      </c>
    </row>
    <row r="91" spans="1:11">
      <c r="A91">
        <v>2027</v>
      </c>
      <c r="B91" t="s">
        <v>2153</v>
      </c>
      <c r="C91" t="s">
        <v>2653</v>
      </c>
      <c r="D91" t="s">
        <v>2653</v>
      </c>
      <c r="E91" t="s">
        <v>2654</v>
      </c>
      <c r="F91" t="s">
        <v>2654</v>
      </c>
      <c r="G91" t="s">
        <v>2654</v>
      </c>
      <c r="H91" t="s">
        <v>2654</v>
      </c>
      <c r="I91" t="s">
        <v>2299</v>
      </c>
      <c r="K91" t="str">
        <f t="shared" si="1"/>
        <v>COM_200901_P1T12027</v>
      </c>
    </row>
    <row r="92" spans="1:11">
      <c r="A92">
        <v>2027</v>
      </c>
      <c r="B92" t="s">
        <v>24</v>
      </c>
      <c r="C92" t="s">
        <v>2653</v>
      </c>
      <c r="D92" t="s">
        <v>2653</v>
      </c>
      <c r="E92" t="s">
        <v>2654</v>
      </c>
      <c r="F92" t="s">
        <v>2654</v>
      </c>
      <c r="G92" t="s">
        <v>2654</v>
      </c>
      <c r="H92" t="s">
        <v>2654</v>
      </c>
      <c r="I92" t="s">
        <v>2164</v>
      </c>
      <c r="K92" t="str">
        <f t="shared" si="1"/>
        <v>COM_201201_P1T12027</v>
      </c>
    </row>
    <row r="93" spans="1:11">
      <c r="A93">
        <v>2027</v>
      </c>
      <c r="B93" t="s">
        <v>229</v>
      </c>
      <c r="C93" t="s">
        <v>2653</v>
      </c>
      <c r="D93" t="s">
        <v>2653</v>
      </c>
      <c r="E93" t="s">
        <v>2654</v>
      </c>
      <c r="F93" t="s">
        <v>2654</v>
      </c>
      <c r="G93" t="s">
        <v>2654</v>
      </c>
      <c r="H93" t="s">
        <v>2654</v>
      </c>
      <c r="I93" t="s">
        <v>2359</v>
      </c>
      <c r="K93" t="str">
        <f t="shared" si="1"/>
        <v>RES_201403_P11T12027</v>
      </c>
    </row>
    <row r="94" spans="1:11">
      <c r="A94">
        <v>2027</v>
      </c>
      <c r="B94" t="s">
        <v>231</v>
      </c>
      <c r="C94" t="s">
        <v>2653</v>
      </c>
      <c r="D94" t="s">
        <v>2653</v>
      </c>
      <c r="E94" t="s">
        <v>2654</v>
      </c>
      <c r="F94" t="s">
        <v>2654</v>
      </c>
      <c r="G94" t="s">
        <v>2654</v>
      </c>
      <c r="H94" t="s">
        <v>2654</v>
      </c>
      <c r="I94" t="s">
        <v>2361</v>
      </c>
      <c r="K94" t="str">
        <f t="shared" si="1"/>
        <v>RES_201403_P11T32027</v>
      </c>
    </row>
    <row r="95" spans="1:11">
      <c r="A95">
        <v>2027</v>
      </c>
      <c r="B95" t="s">
        <v>230</v>
      </c>
      <c r="C95" t="s">
        <v>2653</v>
      </c>
      <c r="D95" t="s">
        <v>2653</v>
      </c>
      <c r="E95" t="s">
        <v>2654</v>
      </c>
      <c r="F95" t="s">
        <v>2654</v>
      </c>
      <c r="G95" t="s">
        <v>2654</v>
      </c>
      <c r="H95" t="s">
        <v>2654</v>
      </c>
      <c r="I95" t="s">
        <v>2360</v>
      </c>
      <c r="K95" t="str">
        <f t="shared" si="1"/>
        <v>RES_201403_P11T22027</v>
      </c>
    </row>
    <row r="96" spans="1:11">
      <c r="A96">
        <v>2027</v>
      </c>
      <c r="B96" t="s">
        <v>16</v>
      </c>
      <c r="C96" t="s">
        <v>2653</v>
      </c>
      <c r="D96" t="s">
        <v>2653</v>
      </c>
      <c r="E96" t="s">
        <v>2654</v>
      </c>
      <c r="F96" t="s">
        <v>2654</v>
      </c>
      <c r="G96" t="s">
        <v>2654</v>
      </c>
      <c r="H96" t="s">
        <v>2654</v>
      </c>
      <c r="I96" t="s">
        <v>1118</v>
      </c>
      <c r="K96" t="str">
        <f t="shared" si="1"/>
        <v>COM_200002_P1T12027</v>
      </c>
    </row>
    <row r="97" spans="1:11">
      <c r="A97">
        <v>2027</v>
      </c>
      <c r="B97" t="s">
        <v>1591</v>
      </c>
      <c r="C97" t="s">
        <v>2653</v>
      </c>
      <c r="D97" t="s">
        <v>2653</v>
      </c>
      <c r="E97" t="s">
        <v>2654</v>
      </c>
      <c r="F97" t="s">
        <v>2654</v>
      </c>
      <c r="G97" t="s">
        <v>2654</v>
      </c>
      <c r="H97" t="s">
        <v>2654</v>
      </c>
      <c r="I97" t="s">
        <v>1508</v>
      </c>
      <c r="K97" t="str">
        <f t="shared" si="1"/>
        <v>IND_200004_P1T12027</v>
      </c>
    </row>
    <row r="98" spans="1:11">
      <c r="A98">
        <v>2027</v>
      </c>
      <c r="B98" t="s">
        <v>49</v>
      </c>
      <c r="C98" t="s">
        <v>2653</v>
      </c>
      <c r="D98" t="s">
        <v>2653</v>
      </c>
      <c r="E98" t="s">
        <v>2654</v>
      </c>
      <c r="F98" t="s">
        <v>2654</v>
      </c>
      <c r="G98" t="s">
        <v>2654</v>
      </c>
      <c r="H98" t="s">
        <v>2654</v>
      </c>
      <c r="I98" t="s">
        <v>1130</v>
      </c>
      <c r="K98" t="str">
        <f t="shared" si="1"/>
        <v>RES_200804_P3T12027</v>
      </c>
    </row>
    <row r="99" spans="1:11">
      <c r="A99">
        <v>2027</v>
      </c>
      <c r="B99" t="s">
        <v>48</v>
      </c>
      <c r="C99" t="s">
        <v>2653</v>
      </c>
      <c r="D99" t="s">
        <v>2653</v>
      </c>
      <c r="E99" t="s">
        <v>2654</v>
      </c>
      <c r="F99" t="s">
        <v>2654</v>
      </c>
      <c r="G99" t="s">
        <v>2654</v>
      </c>
      <c r="H99" t="s">
        <v>2654</v>
      </c>
      <c r="I99" t="s">
        <v>1128</v>
      </c>
      <c r="K99" t="str">
        <f t="shared" si="1"/>
        <v>RES_200804_P2T12027</v>
      </c>
    </row>
    <row r="100" spans="1:11">
      <c r="A100">
        <v>2027</v>
      </c>
      <c r="B100" t="s">
        <v>2198</v>
      </c>
      <c r="C100" t="s">
        <v>2653</v>
      </c>
      <c r="D100" t="s">
        <v>2653</v>
      </c>
      <c r="E100" t="s">
        <v>2654</v>
      </c>
      <c r="F100" t="s">
        <v>2654</v>
      </c>
      <c r="G100" t="s">
        <v>2654</v>
      </c>
      <c r="H100" t="s">
        <v>2654</v>
      </c>
      <c r="I100" t="s">
        <v>2199</v>
      </c>
      <c r="K100" t="str">
        <f t="shared" si="1"/>
        <v>IND_200702_P1T12027</v>
      </c>
    </row>
    <row r="101" spans="1:11">
      <c r="A101">
        <v>2027</v>
      </c>
      <c r="B101" t="s">
        <v>1590</v>
      </c>
      <c r="C101" t="s">
        <v>2653</v>
      </c>
      <c r="D101" t="s">
        <v>2653</v>
      </c>
      <c r="E101" t="s">
        <v>2654</v>
      </c>
      <c r="F101" t="s">
        <v>2654</v>
      </c>
      <c r="G101" t="s">
        <v>2654</v>
      </c>
      <c r="H101" t="s">
        <v>2654</v>
      </c>
      <c r="I101" t="s">
        <v>1574</v>
      </c>
      <c r="K101" t="str">
        <f t="shared" si="1"/>
        <v>IND_199801_P1T12027</v>
      </c>
    </row>
    <row r="102" spans="1:11">
      <c r="A102">
        <v>2027</v>
      </c>
      <c r="B102" t="s">
        <v>54</v>
      </c>
      <c r="C102" t="s">
        <v>2653</v>
      </c>
      <c r="D102" t="s">
        <v>2653</v>
      </c>
      <c r="E102" t="s">
        <v>2654</v>
      </c>
      <c r="F102" t="s">
        <v>2654</v>
      </c>
      <c r="G102" t="s">
        <v>2654</v>
      </c>
      <c r="H102" t="s">
        <v>2654</v>
      </c>
      <c r="I102" t="s">
        <v>1780</v>
      </c>
      <c r="K102" t="str">
        <f t="shared" si="1"/>
        <v>RES_201202_P2T22027</v>
      </c>
    </row>
    <row r="103" spans="1:11">
      <c r="A103">
        <v>2027</v>
      </c>
      <c r="B103" t="s">
        <v>622</v>
      </c>
      <c r="C103" t="s">
        <v>2653</v>
      </c>
      <c r="D103" t="s">
        <v>2653</v>
      </c>
      <c r="E103" t="s">
        <v>2654</v>
      </c>
      <c r="F103" t="s">
        <v>2654</v>
      </c>
      <c r="G103" t="s">
        <v>2654</v>
      </c>
      <c r="H103" t="s">
        <v>2654</v>
      </c>
      <c r="I103" t="s">
        <v>1781</v>
      </c>
      <c r="K103" t="str">
        <f t="shared" si="1"/>
        <v>RES_201202_P2T32027</v>
      </c>
    </row>
    <row r="104" spans="1:11">
      <c r="A104">
        <v>2027</v>
      </c>
      <c r="B104" t="s">
        <v>623</v>
      </c>
      <c r="C104" t="s">
        <v>2653</v>
      </c>
      <c r="D104" t="s">
        <v>2653</v>
      </c>
      <c r="E104" t="s">
        <v>2654</v>
      </c>
      <c r="F104" t="s">
        <v>2654</v>
      </c>
      <c r="G104" t="s">
        <v>2654</v>
      </c>
      <c r="H104" t="s">
        <v>2654</v>
      </c>
      <c r="I104" t="s">
        <v>1782</v>
      </c>
      <c r="K104" t="str">
        <f t="shared" si="1"/>
        <v>RES_201202_P2T42027</v>
      </c>
    </row>
    <row r="105" spans="1:11">
      <c r="A105">
        <v>2027</v>
      </c>
      <c r="B105" t="s">
        <v>723</v>
      </c>
      <c r="C105" t="s">
        <v>2653</v>
      </c>
      <c r="D105" t="s">
        <v>2653</v>
      </c>
      <c r="E105" t="s">
        <v>2654</v>
      </c>
      <c r="F105" t="s">
        <v>2654</v>
      </c>
      <c r="G105" t="s">
        <v>2654</v>
      </c>
      <c r="H105" t="s">
        <v>2654</v>
      </c>
      <c r="I105" t="s">
        <v>1783</v>
      </c>
      <c r="K105" t="str">
        <f t="shared" si="1"/>
        <v>RES_201202_P2T52027</v>
      </c>
    </row>
    <row r="106" spans="1:11">
      <c r="A106">
        <v>2027</v>
      </c>
      <c r="B106" t="s">
        <v>51</v>
      </c>
      <c r="C106" t="s">
        <v>2653</v>
      </c>
      <c r="D106" t="s">
        <v>2653</v>
      </c>
      <c r="E106" t="s">
        <v>2654</v>
      </c>
      <c r="F106" t="s">
        <v>2654</v>
      </c>
      <c r="G106" t="s">
        <v>2654</v>
      </c>
      <c r="H106" t="s">
        <v>2654</v>
      </c>
      <c r="I106" t="s">
        <v>1774</v>
      </c>
      <c r="K106" t="str">
        <f t="shared" si="1"/>
        <v>RES_201202_P1T12027</v>
      </c>
    </row>
    <row r="107" spans="1:11">
      <c r="A107">
        <v>2027</v>
      </c>
      <c r="B107" t="s">
        <v>52</v>
      </c>
      <c r="C107" t="s">
        <v>2653</v>
      </c>
      <c r="D107" t="s">
        <v>2653</v>
      </c>
      <c r="E107" t="s">
        <v>2654</v>
      </c>
      <c r="F107" t="s">
        <v>2654</v>
      </c>
      <c r="G107" t="s">
        <v>2654</v>
      </c>
      <c r="H107" t="s">
        <v>2654</v>
      </c>
      <c r="I107" t="s">
        <v>1775</v>
      </c>
      <c r="K107" t="str">
        <f t="shared" si="1"/>
        <v>RES_201202_P1T22027</v>
      </c>
    </row>
    <row r="108" spans="1:11">
      <c r="A108">
        <v>2027</v>
      </c>
      <c r="B108" t="s">
        <v>630</v>
      </c>
      <c r="C108" t="s">
        <v>2653</v>
      </c>
      <c r="D108" t="s">
        <v>2653</v>
      </c>
      <c r="E108" t="s">
        <v>2654</v>
      </c>
      <c r="F108" t="s">
        <v>2654</v>
      </c>
      <c r="G108" t="s">
        <v>2654</v>
      </c>
      <c r="H108" t="s">
        <v>2654</v>
      </c>
      <c r="I108" t="s">
        <v>1776</v>
      </c>
      <c r="K108" t="str">
        <f t="shared" si="1"/>
        <v>RES_201202_P1T32027</v>
      </c>
    </row>
    <row r="109" spans="1:11">
      <c r="A109">
        <v>2027</v>
      </c>
      <c r="B109" t="s">
        <v>631</v>
      </c>
      <c r="C109" t="s">
        <v>2653</v>
      </c>
      <c r="D109" t="s">
        <v>2653</v>
      </c>
      <c r="E109" t="s">
        <v>2654</v>
      </c>
      <c r="F109" t="s">
        <v>2654</v>
      </c>
      <c r="G109" t="s">
        <v>2654</v>
      </c>
      <c r="H109" t="s">
        <v>2654</v>
      </c>
      <c r="I109" t="s">
        <v>1777</v>
      </c>
      <c r="K109" t="str">
        <f t="shared" si="1"/>
        <v>RES_201202_P1T42027</v>
      </c>
    </row>
    <row r="110" spans="1:11">
      <c r="A110">
        <v>2027</v>
      </c>
      <c r="B110" t="s">
        <v>721</v>
      </c>
      <c r="C110" t="s">
        <v>2653</v>
      </c>
      <c r="D110" t="s">
        <v>2653</v>
      </c>
      <c r="E110" t="s">
        <v>2654</v>
      </c>
      <c r="F110" t="s">
        <v>2654</v>
      </c>
      <c r="G110" t="s">
        <v>2654</v>
      </c>
      <c r="H110" t="s">
        <v>2654</v>
      </c>
      <c r="I110" t="s">
        <v>1778</v>
      </c>
      <c r="K110" t="str">
        <f t="shared" si="1"/>
        <v>RES_201202_P1T52027</v>
      </c>
    </row>
    <row r="111" spans="1:11">
      <c r="A111">
        <v>2027</v>
      </c>
      <c r="B111" t="s">
        <v>627</v>
      </c>
      <c r="C111" t="s">
        <v>2653</v>
      </c>
      <c r="D111" t="s">
        <v>2653</v>
      </c>
      <c r="E111" t="s">
        <v>2654</v>
      </c>
      <c r="F111" t="s">
        <v>2654</v>
      </c>
      <c r="G111" t="s">
        <v>2654</v>
      </c>
      <c r="H111" t="s">
        <v>2654</v>
      </c>
      <c r="I111" t="s">
        <v>1790</v>
      </c>
      <c r="K111" t="str">
        <f t="shared" si="1"/>
        <v>RES_201202_P4T22027</v>
      </c>
    </row>
    <row r="112" spans="1:11">
      <c r="A112">
        <v>2027</v>
      </c>
      <c r="B112" t="s">
        <v>628</v>
      </c>
      <c r="C112" t="s">
        <v>2653</v>
      </c>
      <c r="D112" t="s">
        <v>2653</v>
      </c>
      <c r="E112" t="s">
        <v>2654</v>
      </c>
      <c r="F112" t="s">
        <v>2654</v>
      </c>
      <c r="G112" t="s">
        <v>2654</v>
      </c>
      <c r="H112" t="s">
        <v>2654</v>
      </c>
      <c r="I112" t="s">
        <v>1791</v>
      </c>
      <c r="K112" t="str">
        <f t="shared" si="1"/>
        <v>RES_201202_P4T32027</v>
      </c>
    </row>
    <row r="113" spans="1:11">
      <c r="A113">
        <v>2027</v>
      </c>
      <c r="B113" t="s">
        <v>629</v>
      </c>
      <c r="C113" t="s">
        <v>2653</v>
      </c>
      <c r="D113" t="s">
        <v>2653</v>
      </c>
      <c r="E113" t="s">
        <v>2654</v>
      </c>
      <c r="F113" t="s">
        <v>2654</v>
      </c>
      <c r="G113" t="s">
        <v>2654</v>
      </c>
      <c r="H113" t="s">
        <v>2654</v>
      </c>
      <c r="I113" t="s">
        <v>1792</v>
      </c>
      <c r="K113" t="str">
        <f t="shared" si="1"/>
        <v>RES_201202_P4T42027</v>
      </c>
    </row>
    <row r="114" spans="1:11">
      <c r="A114">
        <v>2027</v>
      </c>
      <c r="B114" t="s">
        <v>725</v>
      </c>
      <c r="C114" t="s">
        <v>2653</v>
      </c>
      <c r="D114" t="s">
        <v>2653</v>
      </c>
      <c r="E114" t="s">
        <v>2654</v>
      </c>
      <c r="F114" t="s">
        <v>2654</v>
      </c>
      <c r="G114" t="s">
        <v>2654</v>
      </c>
      <c r="H114" t="s">
        <v>2654</v>
      </c>
      <c r="I114" t="s">
        <v>1793</v>
      </c>
      <c r="K114" t="str">
        <f t="shared" si="1"/>
        <v>RES_201202_P4T52027</v>
      </c>
    </row>
    <row r="115" spans="1:11">
      <c r="A115">
        <v>2027</v>
      </c>
      <c r="B115" t="s">
        <v>612</v>
      </c>
      <c r="C115" t="s">
        <v>2653</v>
      </c>
      <c r="D115" t="s">
        <v>2653</v>
      </c>
      <c r="E115" t="s">
        <v>2654</v>
      </c>
      <c r="F115" t="s">
        <v>2654</v>
      </c>
      <c r="G115" t="s">
        <v>2654</v>
      </c>
      <c r="H115" t="s">
        <v>2654</v>
      </c>
      <c r="I115" t="s">
        <v>1784</v>
      </c>
      <c r="K115" t="str">
        <f t="shared" si="1"/>
        <v>RES_201202_P3T12027</v>
      </c>
    </row>
    <row r="116" spans="1:11">
      <c r="A116">
        <v>2027</v>
      </c>
      <c r="B116" t="s">
        <v>613</v>
      </c>
      <c r="C116" t="s">
        <v>2653</v>
      </c>
      <c r="D116" t="s">
        <v>2653</v>
      </c>
      <c r="E116" t="s">
        <v>2654</v>
      </c>
      <c r="F116" t="s">
        <v>2654</v>
      </c>
      <c r="G116" t="s">
        <v>2654</v>
      </c>
      <c r="H116" t="s">
        <v>2654</v>
      </c>
      <c r="I116" t="s">
        <v>1785</v>
      </c>
      <c r="K116" t="str">
        <f t="shared" si="1"/>
        <v>RES_201202_P3T22027</v>
      </c>
    </row>
    <row r="117" spans="1:11">
      <c r="A117">
        <v>2027</v>
      </c>
      <c r="B117" t="s">
        <v>624</v>
      </c>
      <c r="C117" t="s">
        <v>2653</v>
      </c>
      <c r="D117" t="s">
        <v>2653</v>
      </c>
      <c r="E117" t="s">
        <v>2654</v>
      </c>
      <c r="F117" t="s">
        <v>2654</v>
      </c>
      <c r="G117" t="s">
        <v>2654</v>
      </c>
      <c r="H117" t="s">
        <v>2654</v>
      </c>
      <c r="I117" t="s">
        <v>1786</v>
      </c>
      <c r="K117" t="str">
        <f t="shared" si="1"/>
        <v>RES_201202_P3T32027</v>
      </c>
    </row>
    <row r="118" spans="1:11">
      <c r="A118">
        <v>2027</v>
      </c>
      <c r="B118" t="s">
        <v>625</v>
      </c>
      <c r="C118" t="s">
        <v>2653</v>
      </c>
      <c r="D118" t="s">
        <v>2653</v>
      </c>
      <c r="E118" t="s">
        <v>2654</v>
      </c>
      <c r="F118" t="s">
        <v>2654</v>
      </c>
      <c r="G118" t="s">
        <v>2654</v>
      </c>
      <c r="H118" t="s">
        <v>2654</v>
      </c>
      <c r="I118" t="s">
        <v>1787</v>
      </c>
      <c r="K118" t="str">
        <f t="shared" si="1"/>
        <v>RES_201202_P3T42027</v>
      </c>
    </row>
    <row r="119" spans="1:11">
      <c r="A119">
        <v>2027</v>
      </c>
      <c r="B119" t="s">
        <v>724</v>
      </c>
      <c r="C119" t="s">
        <v>2653</v>
      </c>
      <c r="D119" t="s">
        <v>2653</v>
      </c>
      <c r="E119" t="s">
        <v>2654</v>
      </c>
      <c r="F119" t="s">
        <v>2654</v>
      </c>
      <c r="G119" t="s">
        <v>2654</v>
      </c>
      <c r="H119" t="s">
        <v>2654</v>
      </c>
      <c r="I119" t="s">
        <v>1788</v>
      </c>
      <c r="K119" t="str">
        <f t="shared" si="1"/>
        <v>RES_201202_P3T52027</v>
      </c>
    </row>
    <row r="120" spans="1:11">
      <c r="A120">
        <v>2027</v>
      </c>
      <c r="B120" t="s">
        <v>1595</v>
      </c>
      <c r="C120" t="s">
        <v>2653</v>
      </c>
      <c r="D120" t="s">
        <v>2653</v>
      </c>
      <c r="E120" t="s">
        <v>2654</v>
      </c>
      <c r="F120" t="s">
        <v>2654</v>
      </c>
      <c r="G120" t="s">
        <v>2654</v>
      </c>
      <c r="H120" t="s">
        <v>2654</v>
      </c>
      <c r="I120" t="s">
        <v>1723</v>
      </c>
      <c r="K120" t="str">
        <f t="shared" si="1"/>
        <v>RES_200401_P12T12027</v>
      </c>
    </row>
    <row r="121" spans="1:11">
      <c r="A121">
        <v>2027</v>
      </c>
      <c r="B121" t="s">
        <v>114</v>
      </c>
      <c r="C121" t="s">
        <v>2653</v>
      </c>
      <c r="D121" t="s">
        <v>2653</v>
      </c>
      <c r="E121" t="s">
        <v>2654</v>
      </c>
      <c r="F121" t="s">
        <v>2654</v>
      </c>
      <c r="G121" t="s">
        <v>2654</v>
      </c>
      <c r="H121" t="s">
        <v>2654</v>
      </c>
      <c r="I121" t="s">
        <v>1810</v>
      </c>
      <c r="K121" t="str">
        <f t="shared" si="1"/>
        <v>RES_201301_P17T12027</v>
      </c>
    </row>
    <row r="122" spans="1:11">
      <c r="A122">
        <v>2027</v>
      </c>
      <c r="B122" t="s">
        <v>65</v>
      </c>
      <c r="C122" t="s">
        <v>2653</v>
      </c>
      <c r="D122" t="s">
        <v>2653</v>
      </c>
      <c r="E122" t="s">
        <v>2654</v>
      </c>
      <c r="F122" t="s">
        <v>2654</v>
      </c>
      <c r="G122" t="s">
        <v>2654</v>
      </c>
      <c r="H122" t="s">
        <v>2654</v>
      </c>
      <c r="I122" t="s">
        <v>1840</v>
      </c>
      <c r="K122" t="str">
        <f t="shared" si="1"/>
        <v>RES_201301_P8T12027</v>
      </c>
    </row>
    <row r="123" spans="1:11">
      <c r="A123">
        <v>2027</v>
      </c>
      <c r="B123" t="s">
        <v>358</v>
      </c>
      <c r="C123" t="s">
        <v>2653</v>
      </c>
      <c r="D123" t="s">
        <v>2653</v>
      </c>
      <c r="E123" t="s">
        <v>2654</v>
      </c>
      <c r="F123" t="s">
        <v>2654</v>
      </c>
      <c r="G123" t="s">
        <v>2654</v>
      </c>
      <c r="H123" t="s">
        <v>2654</v>
      </c>
      <c r="I123" t="s">
        <v>1837</v>
      </c>
      <c r="K123" t="str">
        <f t="shared" si="1"/>
        <v>RES_201301_P5T12027</v>
      </c>
    </row>
    <row r="124" spans="1:11">
      <c r="A124">
        <v>2027</v>
      </c>
      <c r="B124" t="s">
        <v>617</v>
      </c>
      <c r="C124" t="s">
        <v>2653</v>
      </c>
      <c r="D124" t="s">
        <v>2653</v>
      </c>
      <c r="E124" t="s">
        <v>2654</v>
      </c>
      <c r="F124" t="s">
        <v>2654</v>
      </c>
      <c r="G124" t="s">
        <v>2654</v>
      </c>
      <c r="H124" t="s">
        <v>2654</v>
      </c>
      <c r="I124" t="s">
        <v>1818</v>
      </c>
      <c r="K124" t="str">
        <f t="shared" si="1"/>
        <v>RES_201301_P21T12027</v>
      </c>
    </row>
    <row r="125" spans="1:11">
      <c r="A125">
        <v>2027</v>
      </c>
      <c r="B125" t="s">
        <v>688</v>
      </c>
      <c r="C125" t="s">
        <v>2653</v>
      </c>
      <c r="D125" t="s">
        <v>2653</v>
      </c>
      <c r="E125" t="s">
        <v>2654</v>
      </c>
      <c r="F125" t="s">
        <v>2654</v>
      </c>
      <c r="G125" t="s">
        <v>2654</v>
      </c>
      <c r="H125" t="s">
        <v>2654</v>
      </c>
      <c r="I125" t="s">
        <v>1661</v>
      </c>
      <c r="K125" t="str">
        <f t="shared" si="1"/>
        <v>COM_200002_P3T12027</v>
      </c>
    </row>
    <row r="126" spans="1:11">
      <c r="A126">
        <v>2027</v>
      </c>
      <c r="B126" t="s">
        <v>690</v>
      </c>
      <c r="C126" t="s">
        <v>2653</v>
      </c>
      <c r="D126" t="s">
        <v>2653</v>
      </c>
      <c r="E126" t="s">
        <v>2654</v>
      </c>
      <c r="F126" t="s">
        <v>2654</v>
      </c>
      <c r="G126" t="s">
        <v>2654</v>
      </c>
      <c r="H126" t="s">
        <v>2654</v>
      </c>
      <c r="I126" t="s">
        <v>1662</v>
      </c>
      <c r="K126" t="str">
        <f t="shared" si="1"/>
        <v>COM_200002_P4T12027</v>
      </c>
    </row>
    <row r="127" spans="1:11">
      <c r="A127">
        <v>2027</v>
      </c>
      <c r="B127" t="s">
        <v>2119</v>
      </c>
      <c r="C127" t="s">
        <v>2653</v>
      </c>
      <c r="D127" t="s">
        <v>2653</v>
      </c>
      <c r="E127" t="s">
        <v>2654</v>
      </c>
      <c r="F127" t="s">
        <v>2654</v>
      </c>
      <c r="G127" t="s">
        <v>2654</v>
      </c>
      <c r="H127" t="s">
        <v>2654</v>
      </c>
      <c r="I127" t="s">
        <v>2123</v>
      </c>
      <c r="K127" t="str">
        <f t="shared" si="1"/>
        <v>AGR_200201_P1T12027</v>
      </c>
    </row>
    <row r="128" spans="1:11">
      <c r="A128">
        <v>2027</v>
      </c>
      <c r="B128" t="s">
        <v>30</v>
      </c>
      <c r="C128" t="s">
        <v>2653</v>
      </c>
      <c r="D128" t="s">
        <v>2653</v>
      </c>
      <c r="E128" t="s">
        <v>2654</v>
      </c>
      <c r="F128" t="s">
        <v>2654</v>
      </c>
      <c r="G128" t="s">
        <v>2654</v>
      </c>
      <c r="H128" t="s">
        <v>2654</v>
      </c>
      <c r="I128" t="s">
        <v>2191</v>
      </c>
      <c r="K128" t="str">
        <f t="shared" si="1"/>
        <v>IND_199902_P1T12027</v>
      </c>
    </row>
    <row r="129" spans="1:11">
      <c r="A129">
        <v>2027</v>
      </c>
      <c r="B129" t="s">
        <v>31</v>
      </c>
      <c r="C129" t="s">
        <v>2653</v>
      </c>
      <c r="D129" t="s">
        <v>2653</v>
      </c>
      <c r="E129" t="s">
        <v>2654</v>
      </c>
      <c r="F129" t="s">
        <v>2654</v>
      </c>
      <c r="G129" t="s">
        <v>2654</v>
      </c>
      <c r="H129" t="s">
        <v>2654</v>
      </c>
      <c r="I129" t="s">
        <v>2194</v>
      </c>
      <c r="K129" t="str">
        <f t="shared" si="1"/>
        <v>IND_199902_P2T12027</v>
      </c>
    </row>
    <row r="130" spans="1:11">
      <c r="A130">
        <v>2027</v>
      </c>
      <c r="B130" t="s">
        <v>66</v>
      </c>
      <c r="C130" t="s">
        <v>2653</v>
      </c>
      <c r="D130" t="s">
        <v>2653</v>
      </c>
      <c r="E130" t="s">
        <v>2654</v>
      </c>
      <c r="F130" t="s">
        <v>2654</v>
      </c>
      <c r="G130" t="s">
        <v>2654</v>
      </c>
      <c r="H130" t="s">
        <v>2654</v>
      </c>
      <c r="I130" t="s">
        <v>1841</v>
      </c>
      <c r="K130" t="str">
        <f t="shared" si="1"/>
        <v>RES_201301_P9T12027</v>
      </c>
    </row>
    <row r="131" spans="1:11">
      <c r="A131">
        <v>2027</v>
      </c>
      <c r="B131" t="s">
        <v>370</v>
      </c>
      <c r="C131" t="s">
        <v>2653</v>
      </c>
      <c r="D131" t="s">
        <v>2653</v>
      </c>
      <c r="E131" t="s">
        <v>2654</v>
      </c>
      <c r="F131" t="s">
        <v>2654</v>
      </c>
      <c r="G131" t="s">
        <v>2654</v>
      </c>
      <c r="H131" t="s">
        <v>2654</v>
      </c>
      <c r="I131" t="s">
        <v>1838</v>
      </c>
      <c r="K131" t="str">
        <f t="shared" ref="K131:K194" si="2">B131&amp;A131</f>
        <v>RES_201301_P6T12027</v>
      </c>
    </row>
    <row r="132" spans="1:11">
      <c r="A132">
        <v>2027</v>
      </c>
      <c r="B132" t="s">
        <v>618</v>
      </c>
      <c r="C132" t="s">
        <v>2653</v>
      </c>
      <c r="D132" t="s">
        <v>2653</v>
      </c>
      <c r="E132" t="s">
        <v>2654</v>
      </c>
      <c r="F132" t="s">
        <v>2654</v>
      </c>
      <c r="G132" t="s">
        <v>2654</v>
      </c>
      <c r="H132" t="s">
        <v>2654</v>
      </c>
      <c r="I132" t="s">
        <v>1819</v>
      </c>
      <c r="K132" t="str">
        <f t="shared" si="2"/>
        <v>RES_201301_P22T12027</v>
      </c>
    </row>
    <row r="133" spans="1:11">
      <c r="A133">
        <v>2027</v>
      </c>
      <c r="B133" t="s">
        <v>1580</v>
      </c>
      <c r="C133" t="s">
        <v>2653</v>
      </c>
      <c r="D133" t="s">
        <v>2653</v>
      </c>
      <c r="E133" t="s">
        <v>2654</v>
      </c>
      <c r="F133" t="s">
        <v>2654</v>
      </c>
      <c r="G133" t="s">
        <v>2654</v>
      </c>
      <c r="H133" t="s">
        <v>2654</v>
      </c>
      <c r="I133" t="s">
        <v>1575</v>
      </c>
      <c r="K133" t="str">
        <f t="shared" si="2"/>
        <v>COM_200203_P1T12027</v>
      </c>
    </row>
    <row r="134" spans="1:11">
      <c r="A134">
        <v>2027</v>
      </c>
      <c r="B134" t="s">
        <v>336</v>
      </c>
      <c r="C134" t="s">
        <v>2653</v>
      </c>
      <c r="D134" t="s">
        <v>2653</v>
      </c>
      <c r="E134" t="s">
        <v>2654</v>
      </c>
      <c r="F134" t="s">
        <v>2654</v>
      </c>
      <c r="G134" t="s">
        <v>2654</v>
      </c>
      <c r="H134" t="s">
        <v>2654</v>
      </c>
      <c r="I134" t="s">
        <v>2131</v>
      </c>
      <c r="K134" t="str">
        <f t="shared" si="2"/>
        <v>COM_199701_P1T12027</v>
      </c>
    </row>
    <row r="135" spans="1:11">
      <c r="A135">
        <v>2027</v>
      </c>
      <c r="B135" t="s">
        <v>616</v>
      </c>
      <c r="C135" t="s">
        <v>2653</v>
      </c>
      <c r="D135" t="s">
        <v>2653</v>
      </c>
      <c r="E135" t="s">
        <v>2654</v>
      </c>
      <c r="F135" t="s">
        <v>2654</v>
      </c>
      <c r="G135" t="s">
        <v>2654</v>
      </c>
      <c r="H135" t="s">
        <v>2654</v>
      </c>
      <c r="I135" t="s">
        <v>1826</v>
      </c>
      <c r="K135" t="str">
        <f t="shared" si="2"/>
        <v>RES_201301_P26T52027</v>
      </c>
    </row>
    <row r="136" spans="1:11">
      <c r="A136">
        <v>2027</v>
      </c>
      <c r="B136" t="s">
        <v>563</v>
      </c>
      <c r="C136" t="s">
        <v>2653</v>
      </c>
      <c r="D136" t="s">
        <v>2653</v>
      </c>
      <c r="E136" t="s">
        <v>2654</v>
      </c>
      <c r="F136" t="s">
        <v>2654</v>
      </c>
      <c r="G136" t="s">
        <v>2654</v>
      </c>
      <c r="H136" t="s">
        <v>2654</v>
      </c>
      <c r="I136" t="s">
        <v>1812</v>
      </c>
      <c r="K136" t="str">
        <f t="shared" si="2"/>
        <v>Res_201301_P19T12027</v>
      </c>
    </row>
    <row r="137" spans="1:11">
      <c r="A137">
        <v>2027</v>
      </c>
      <c r="B137" t="s">
        <v>1596</v>
      </c>
      <c r="C137" t="s">
        <v>2653</v>
      </c>
      <c r="D137" t="s">
        <v>2653</v>
      </c>
      <c r="E137" t="s">
        <v>2654</v>
      </c>
      <c r="F137" t="s">
        <v>2654</v>
      </c>
      <c r="G137" t="s">
        <v>2654</v>
      </c>
      <c r="H137" t="s">
        <v>2654</v>
      </c>
      <c r="I137" t="s">
        <v>1725</v>
      </c>
      <c r="K137" t="str">
        <f t="shared" si="2"/>
        <v>RES_200401_P14T12027</v>
      </c>
    </row>
    <row r="138" spans="1:11">
      <c r="A138">
        <v>2027</v>
      </c>
      <c r="B138" t="s">
        <v>55</v>
      </c>
      <c r="C138" t="s">
        <v>2653</v>
      </c>
      <c r="D138" t="s">
        <v>2653</v>
      </c>
      <c r="E138" t="s">
        <v>2654</v>
      </c>
      <c r="F138" t="s">
        <v>2654</v>
      </c>
      <c r="G138" t="s">
        <v>2654</v>
      </c>
      <c r="H138" t="s">
        <v>2654</v>
      </c>
      <c r="I138" t="s">
        <v>1794</v>
      </c>
      <c r="K138" t="str">
        <f t="shared" si="2"/>
        <v>RES_201301_P10T12027</v>
      </c>
    </row>
    <row r="139" spans="1:11">
      <c r="A139">
        <v>2027</v>
      </c>
      <c r="B139" t="s">
        <v>381</v>
      </c>
      <c r="C139" t="s">
        <v>2653</v>
      </c>
      <c r="D139" t="s">
        <v>2653</v>
      </c>
      <c r="E139" t="s">
        <v>2654</v>
      </c>
      <c r="F139" t="s">
        <v>2654</v>
      </c>
      <c r="G139" t="s">
        <v>2654</v>
      </c>
      <c r="H139" t="s">
        <v>2654</v>
      </c>
      <c r="I139" t="s">
        <v>1839</v>
      </c>
      <c r="K139" t="str">
        <f t="shared" si="2"/>
        <v>RES_201301_P7T12027</v>
      </c>
    </row>
    <row r="140" spans="1:11">
      <c r="A140">
        <v>2027</v>
      </c>
      <c r="B140" t="s">
        <v>619</v>
      </c>
      <c r="C140" t="s">
        <v>2653</v>
      </c>
      <c r="D140" t="s">
        <v>2653</v>
      </c>
      <c r="E140" t="s">
        <v>2654</v>
      </c>
      <c r="F140" t="s">
        <v>2654</v>
      </c>
      <c r="G140" t="s">
        <v>2654</v>
      </c>
      <c r="H140" t="s">
        <v>2654</v>
      </c>
      <c r="I140" t="s">
        <v>1820</v>
      </c>
      <c r="K140" t="str">
        <f t="shared" si="2"/>
        <v>RES_201301_P23T12027</v>
      </c>
    </row>
    <row r="141" spans="1:11">
      <c r="A141">
        <v>2027</v>
      </c>
      <c r="B141" t="s">
        <v>2158</v>
      </c>
      <c r="C141" t="s">
        <v>2653</v>
      </c>
      <c r="D141" t="s">
        <v>2653</v>
      </c>
      <c r="E141" t="s">
        <v>2654</v>
      </c>
      <c r="F141" t="s">
        <v>2654</v>
      </c>
      <c r="G141" t="s">
        <v>2654</v>
      </c>
      <c r="H141" t="s">
        <v>2654</v>
      </c>
      <c r="I141" t="s">
        <v>2161</v>
      </c>
      <c r="K141" t="str">
        <f t="shared" si="2"/>
        <v>COM_201101_P1T12027</v>
      </c>
    </row>
    <row r="142" spans="1:11">
      <c r="A142">
        <v>2027</v>
      </c>
      <c r="B142" t="s">
        <v>374</v>
      </c>
      <c r="C142" t="s">
        <v>2653</v>
      </c>
      <c r="D142" t="s">
        <v>2653</v>
      </c>
      <c r="E142" t="s">
        <v>2654</v>
      </c>
      <c r="F142" t="s">
        <v>2654</v>
      </c>
      <c r="G142" t="s">
        <v>2654</v>
      </c>
      <c r="H142" t="s">
        <v>2654</v>
      </c>
      <c r="I142" t="s">
        <v>1724</v>
      </c>
      <c r="K142" t="str">
        <f t="shared" si="2"/>
        <v>RES_200401_P13T12027</v>
      </c>
    </row>
    <row r="143" spans="1:11">
      <c r="A143">
        <v>2027</v>
      </c>
      <c r="B143" t="s">
        <v>50</v>
      </c>
      <c r="C143" t="s">
        <v>2653</v>
      </c>
      <c r="D143" t="s">
        <v>2653</v>
      </c>
      <c r="E143" t="s">
        <v>2654</v>
      </c>
      <c r="F143" t="s">
        <v>2654</v>
      </c>
      <c r="G143" t="s">
        <v>2654</v>
      </c>
      <c r="H143" t="s">
        <v>2654</v>
      </c>
      <c r="I143" t="s">
        <v>1768</v>
      </c>
      <c r="K143" t="str">
        <f t="shared" si="2"/>
        <v>RES_201101_P1T12027</v>
      </c>
    </row>
    <row r="144" spans="1:11">
      <c r="A144">
        <v>2027</v>
      </c>
      <c r="B144" t="s">
        <v>84</v>
      </c>
      <c r="C144" t="s">
        <v>2653</v>
      </c>
      <c r="D144" t="s">
        <v>2653</v>
      </c>
      <c r="E144" t="s">
        <v>2654</v>
      </c>
      <c r="F144" t="s">
        <v>2654</v>
      </c>
      <c r="G144" t="s">
        <v>2654</v>
      </c>
      <c r="H144" t="s">
        <v>2654</v>
      </c>
      <c r="I144" t="s">
        <v>1769</v>
      </c>
      <c r="K144" t="str">
        <f t="shared" si="2"/>
        <v>RES_201101_P1T22027</v>
      </c>
    </row>
    <row r="145" spans="1:11">
      <c r="A145">
        <v>2027</v>
      </c>
      <c r="B145" t="s">
        <v>85</v>
      </c>
      <c r="C145" t="s">
        <v>2653</v>
      </c>
      <c r="D145" t="s">
        <v>2653</v>
      </c>
      <c r="E145" t="s">
        <v>2654</v>
      </c>
      <c r="F145" t="s">
        <v>2654</v>
      </c>
      <c r="G145" t="s">
        <v>2654</v>
      </c>
      <c r="H145" t="s">
        <v>2654</v>
      </c>
      <c r="I145" t="s">
        <v>1770</v>
      </c>
      <c r="K145" t="str">
        <f t="shared" si="2"/>
        <v>RES_201101_P1T32027</v>
      </c>
    </row>
    <row r="146" spans="1:11">
      <c r="A146">
        <v>2027</v>
      </c>
      <c r="B146" t="s">
        <v>86</v>
      </c>
      <c r="C146" t="s">
        <v>2653</v>
      </c>
      <c r="D146" t="s">
        <v>2653</v>
      </c>
      <c r="E146" t="s">
        <v>2654</v>
      </c>
      <c r="F146" t="s">
        <v>2654</v>
      </c>
      <c r="G146" t="s">
        <v>2654</v>
      </c>
      <c r="H146" t="s">
        <v>2654</v>
      </c>
      <c r="I146" t="s">
        <v>1771</v>
      </c>
      <c r="K146" t="str">
        <f t="shared" si="2"/>
        <v>RES_201101_P1T42027</v>
      </c>
    </row>
    <row r="147" spans="1:11">
      <c r="A147">
        <v>2027</v>
      </c>
      <c r="B147" t="s">
        <v>87</v>
      </c>
      <c r="C147" t="s">
        <v>2653</v>
      </c>
      <c r="D147" t="s">
        <v>2653</v>
      </c>
      <c r="E147" t="s">
        <v>2654</v>
      </c>
      <c r="F147" t="s">
        <v>2654</v>
      </c>
      <c r="G147" t="s">
        <v>2654</v>
      </c>
      <c r="H147" t="s">
        <v>2654</v>
      </c>
      <c r="I147" t="s">
        <v>1772</v>
      </c>
      <c r="K147" t="str">
        <f t="shared" si="2"/>
        <v>RES_201101_P1T52027</v>
      </c>
    </row>
    <row r="148" spans="1:11">
      <c r="A148">
        <v>2027</v>
      </c>
      <c r="B148" t="s">
        <v>113</v>
      </c>
      <c r="C148" t="s">
        <v>2653</v>
      </c>
      <c r="D148" t="s">
        <v>2653</v>
      </c>
      <c r="E148" t="s">
        <v>2654</v>
      </c>
      <c r="F148" t="s">
        <v>2654</v>
      </c>
      <c r="G148" t="s">
        <v>2654</v>
      </c>
      <c r="H148" t="s">
        <v>2654</v>
      </c>
      <c r="I148" t="s">
        <v>1773</v>
      </c>
      <c r="K148" t="str">
        <f t="shared" si="2"/>
        <v>RES_201101_P1T62027</v>
      </c>
    </row>
    <row r="149" spans="1:11">
      <c r="A149">
        <v>2027</v>
      </c>
      <c r="B149" t="s">
        <v>117</v>
      </c>
      <c r="C149" t="s">
        <v>2653</v>
      </c>
      <c r="D149" t="s">
        <v>2653</v>
      </c>
      <c r="E149" t="s">
        <v>2654</v>
      </c>
      <c r="F149" t="s">
        <v>2654</v>
      </c>
      <c r="G149" t="s">
        <v>2654</v>
      </c>
      <c r="H149" t="s">
        <v>2654</v>
      </c>
      <c r="I149" t="s">
        <v>1869</v>
      </c>
      <c r="K149" t="str">
        <f t="shared" si="2"/>
        <v>RES_201403_P4T12027</v>
      </c>
    </row>
    <row r="150" spans="1:11">
      <c r="A150">
        <v>2027</v>
      </c>
      <c r="B150" t="s">
        <v>88</v>
      </c>
      <c r="C150" t="s">
        <v>2653</v>
      </c>
      <c r="D150" t="s">
        <v>2653</v>
      </c>
      <c r="E150" t="s">
        <v>2654</v>
      </c>
      <c r="F150" t="s">
        <v>2654</v>
      </c>
      <c r="G150" t="s">
        <v>2654</v>
      </c>
      <c r="H150" t="s">
        <v>2654</v>
      </c>
      <c r="I150" t="s">
        <v>1871</v>
      </c>
      <c r="K150" t="str">
        <f t="shared" si="2"/>
        <v>RES_201403_P4T32027</v>
      </c>
    </row>
    <row r="151" spans="1:11">
      <c r="A151">
        <v>2027</v>
      </c>
      <c r="B151" t="s">
        <v>979</v>
      </c>
      <c r="C151" t="s">
        <v>2653</v>
      </c>
      <c r="D151" t="s">
        <v>2653</v>
      </c>
      <c r="E151" t="s">
        <v>2654</v>
      </c>
      <c r="F151" t="s">
        <v>2654</v>
      </c>
      <c r="G151" t="s">
        <v>2654</v>
      </c>
      <c r="H151" t="s">
        <v>2654</v>
      </c>
      <c r="I151" t="s">
        <v>1223</v>
      </c>
      <c r="K151" t="str">
        <f t="shared" si="2"/>
        <v>RES_201403_P14T12027</v>
      </c>
    </row>
    <row r="152" spans="1:11">
      <c r="A152">
        <v>2027</v>
      </c>
      <c r="B152" t="s">
        <v>350</v>
      </c>
      <c r="C152" t="s">
        <v>2653</v>
      </c>
      <c r="D152" t="s">
        <v>2653</v>
      </c>
      <c r="E152" t="s">
        <v>2654</v>
      </c>
      <c r="F152" t="s">
        <v>2654</v>
      </c>
      <c r="G152" t="s">
        <v>2654</v>
      </c>
      <c r="H152" t="s">
        <v>2654</v>
      </c>
      <c r="I152" t="s">
        <v>1870</v>
      </c>
      <c r="K152" t="str">
        <f t="shared" si="2"/>
        <v>RES_201403_P4T22027</v>
      </c>
    </row>
    <row r="153" spans="1:11">
      <c r="A153">
        <v>2027</v>
      </c>
      <c r="B153" t="s">
        <v>17</v>
      </c>
      <c r="C153" t="s">
        <v>2653</v>
      </c>
      <c r="D153" t="s">
        <v>2653</v>
      </c>
      <c r="E153" t="s">
        <v>2654</v>
      </c>
      <c r="F153" t="s">
        <v>2654</v>
      </c>
      <c r="G153" t="s">
        <v>2654</v>
      </c>
      <c r="H153" t="s">
        <v>2654</v>
      </c>
      <c r="I153" t="s">
        <v>1120</v>
      </c>
      <c r="K153" t="str">
        <f t="shared" si="2"/>
        <v>COM_200002_P2T12027</v>
      </c>
    </row>
    <row r="154" spans="1:11">
      <c r="A154">
        <v>2027</v>
      </c>
      <c r="B154" t="s">
        <v>22</v>
      </c>
      <c r="C154" t="s">
        <v>2653</v>
      </c>
      <c r="D154" t="s">
        <v>2653</v>
      </c>
      <c r="E154" t="s">
        <v>2654</v>
      </c>
      <c r="F154" t="s">
        <v>2654</v>
      </c>
      <c r="G154" t="s">
        <v>2654</v>
      </c>
      <c r="H154" t="s">
        <v>2654</v>
      </c>
      <c r="I154" t="s">
        <v>2298</v>
      </c>
      <c r="K154" t="str">
        <f t="shared" si="2"/>
        <v>COM_200802_P1T12027</v>
      </c>
    </row>
    <row r="155" spans="1:11">
      <c r="A155">
        <v>2027</v>
      </c>
      <c r="B155" t="s">
        <v>1593</v>
      </c>
      <c r="C155" t="s">
        <v>2653</v>
      </c>
      <c r="D155" t="s">
        <v>2653</v>
      </c>
      <c r="E155" t="s">
        <v>2654</v>
      </c>
      <c r="F155" t="s">
        <v>2654</v>
      </c>
      <c r="G155" t="s">
        <v>2654</v>
      </c>
      <c r="H155" t="s">
        <v>2654</v>
      </c>
      <c r="I155" t="s">
        <v>2341</v>
      </c>
      <c r="K155" t="str">
        <f t="shared" si="2"/>
        <v>IND_200603_P1T12027</v>
      </c>
    </row>
    <row r="156" spans="1:11">
      <c r="A156">
        <v>2027</v>
      </c>
      <c r="B156" t="s">
        <v>34</v>
      </c>
      <c r="C156" t="s">
        <v>2653</v>
      </c>
      <c r="D156" t="s">
        <v>2653</v>
      </c>
      <c r="E156" t="s">
        <v>2654</v>
      </c>
      <c r="F156" t="s">
        <v>2654</v>
      </c>
      <c r="G156" t="s">
        <v>2654</v>
      </c>
      <c r="H156" t="s">
        <v>2654</v>
      </c>
      <c r="I156" t="s">
        <v>2195</v>
      </c>
      <c r="K156" t="str">
        <f t="shared" si="2"/>
        <v>IND_200602_P1T12027</v>
      </c>
    </row>
    <row r="157" spans="1:11">
      <c r="A157">
        <v>2027</v>
      </c>
      <c r="B157" t="s">
        <v>431</v>
      </c>
      <c r="C157" t="s">
        <v>2653</v>
      </c>
      <c r="D157" t="s">
        <v>2653</v>
      </c>
      <c r="E157" t="s">
        <v>2654</v>
      </c>
      <c r="F157" t="s">
        <v>2654</v>
      </c>
      <c r="G157" t="s">
        <v>2654</v>
      </c>
      <c r="H157" t="s">
        <v>2654</v>
      </c>
      <c r="I157" t="s">
        <v>2229</v>
      </c>
      <c r="K157" t="str">
        <f t="shared" si="2"/>
        <v>RES_199705_P1T12027</v>
      </c>
    </row>
    <row r="158" spans="1:11">
      <c r="A158">
        <v>2027</v>
      </c>
      <c r="B158" t="s">
        <v>437</v>
      </c>
      <c r="C158" t="s">
        <v>2653</v>
      </c>
      <c r="D158" t="s">
        <v>2653</v>
      </c>
      <c r="E158" t="s">
        <v>2654</v>
      </c>
      <c r="F158" t="s">
        <v>2654</v>
      </c>
      <c r="G158" t="s">
        <v>2654</v>
      </c>
      <c r="H158" t="s">
        <v>2654</v>
      </c>
      <c r="I158" t="s">
        <v>1817</v>
      </c>
      <c r="K158" t="str">
        <f t="shared" si="2"/>
        <v>Res_201301_P20T32027</v>
      </c>
    </row>
    <row r="159" spans="1:11">
      <c r="A159">
        <v>2027</v>
      </c>
      <c r="B159" t="s">
        <v>1597</v>
      </c>
      <c r="C159" t="s">
        <v>2653</v>
      </c>
      <c r="D159" t="s">
        <v>2653</v>
      </c>
      <c r="E159" t="s">
        <v>2654</v>
      </c>
      <c r="F159" t="s">
        <v>2654</v>
      </c>
      <c r="G159" t="s">
        <v>2654</v>
      </c>
      <c r="H159" t="s">
        <v>2654</v>
      </c>
      <c r="I159" t="s">
        <v>1726</v>
      </c>
      <c r="K159" t="str">
        <f t="shared" si="2"/>
        <v>RES_200401_P15T12027</v>
      </c>
    </row>
    <row r="160" spans="1:11">
      <c r="A160">
        <v>2027</v>
      </c>
      <c r="B160" t="s">
        <v>115</v>
      </c>
      <c r="C160" t="s">
        <v>2653</v>
      </c>
      <c r="D160" t="s">
        <v>2653</v>
      </c>
      <c r="E160" t="s">
        <v>2654</v>
      </c>
      <c r="F160" t="s">
        <v>2654</v>
      </c>
      <c r="G160" t="s">
        <v>2654</v>
      </c>
      <c r="H160" t="s">
        <v>2654</v>
      </c>
      <c r="I160" t="s">
        <v>1811</v>
      </c>
      <c r="K160" t="str">
        <f t="shared" si="2"/>
        <v>RES_201301_P18T12027</v>
      </c>
    </row>
    <row r="161" spans="1:11">
      <c r="A161">
        <v>2027</v>
      </c>
      <c r="B161" t="s">
        <v>56</v>
      </c>
      <c r="C161" t="s">
        <v>2653</v>
      </c>
      <c r="D161" t="s">
        <v>2653</v>
      </c>
      <c r="E161" t="s">
        <v>2654</v>
      </c>
      <c r="F161" t="s">
        <v>2654</v>
      </c>
      <c r="G161" t="s">
        <v>2654</v>
      </c>
      <c r="H161" t="s">
        <v>2654</v>
      </c>
      <c r="I161" t="s">
        <v>1796</v>
      </c>
      <c r="K161" t="str">
        <f t="shared" si="2"/>
        <v>RES_201301_P12T12027</v>
      </c>
    </row>
    <row r="162" spans="1:11">
      <c r="A162">
        <v>2027</v>
      </c>
      <c r="B162" t="s">
        <v>404</v>
      </c>
      <c r="C162" t="s">
        <v>2653</v>
      </c>
      <c r="D162" t="s">
        <v>2653</v>
      </c>
      <c r="E162" t="s">
        <v>2654</v>
      </c>
      <c r="F162" t="s">
        <v>2654</v>
      </c>
      <c r="G162" t="s">
        <v>2654</v>
      </c>
      <c r="H162" t="s">
        <v>2654</v>
      </c>
      <c r="I162" t="s">
        <v>1795</v>
      </c>
      <c r="K162" t="str">
        <f t="shared" si="2"/>
        <v>RES_201301_P11T12027</v>
      </c>
    </row>
    <row r="163" spans="1:11">
      <c r="A163">
        <v>2027</v>
      </c>
      <c r="B163" t="s">
        <v>620</v>
      </c>
      <c r="C163" t="s">
        <v>2653</v>
      </c>
      <c r="D163" t="s">
        <v>2653</v>
      </c>
      <c r="E163" t="s">
        <v>2654</v>
      </c>
      <c r="F163" t="s">
        <v>2654</v>
      </c>
      <c r="G163" t="s">
        <v>2654</v>
      </c>
      <c r="H163" t="s">
        <v>2654</v>
      </c>
      <c r="I163" t="s">
        <v>1821</v>
      </c>
      <c r="K163" t="str">
        <f t="shared" si="2"/>
        <v>RES_201301_P24T12027</v>
      </c>
    </row>
    <row r="164" spans="1:11">
      <c r="A164">
        <v>2027</v>
      </c>
      <c r="B164" t="s">
        <v>1598</v>
      </c>
      <c r="C164" t="s">
        <v>2653</v>
      </c>
      <c r="D164" t="s">
        <v>2653</v>
      </c>
      <c r="E164" t="s">
        <v>2654</v>
      </c>
      <c r="F164" t="s">
        <v>2654</v>
      </c>
      <c r="G164" t="s">
        <v>2654</v>
      </c>
      <c r="H164" t="s">
        <v>2654</v>
      </c>
      <c r="I164" t="s">
        <v>1727</v>
      </c>
      <c r="K164" t="str">
        <f t="shared" si="2"/>
        <v>RES_200401_P16T12027</v>
      </c>
    </row>
    <row r="165" spans="1:11">
      <c r="A165">
        <v>2027</v>
      </c>
      <c r="B165" t="s">
        <v>2339</v>
      </c>
      <c r="C165" t="s">
        <v>2653</v>
      </c>
      <c r="D165" t="s">
        <v>2653</v>
      </c>
      <c r="E165" t="s">
        <v>2654</v>
      </c>
      <c r="F165" t="s">
        <v>2654</v>
      </c>
      <c r="G165" t="s">
        <v>2654</v>
      </c>
      <c r="H165" t="s">
        <v>2654</v>
      </c>
      <c r="I165" t="s">
        <v>1950</v>
      </c>
      <c r="K165" t="str">
        <f t="shared" si="2"/>
        <v>COM_201601_P1T12027</v>
      </c>
    </row>
    <row r="166" spans="1:11">
      <c r="A166">
        <v>2027</v>
      </c>
      <c r="B166" t="s">
        <v>2438</v>
      </c>
      <c r="C166" t="s">
        <v>2653</v>
      </c>
      <c r="D166" t="s">
        <v>2653</v>
      </c>
      <c r="E166" t="s">
        <v>2654</v>
      </c>
      <c r="F166" t="s">
        <v>2654</v>
      </c>
      <c r="G166" t="s">
        <v>2654</v>
      </c>
      <c r="H166" t="s">
        <v>2654</v>
      </c>
      <c r="I166" t="s">
        <v>2441</v>
      </c>
      <c r="K166" t="str">
        <f t="shared" si="2"/>
        <v>COM_202201_P3T12027</v>
      </c>
    </row>
    <row r="167" spans="1:11">
      <c r="A167">
        <v>2027</v>
      </c>
      <c r="B167" t="s">
        <v>2433</v>
      </c>
      <c r="C167" t="s">
        <v>2653</v>
      </c>
      <c r="D167" t="s">
        <v>2653</v>
      </c>
      <c r="E167" t="s">
        <v>2654</v>
      </c>
      <c r="F167" t="s">
        <v>2654</v>
      </c>
      <c r="G167" t="s">
        <v>2654</v>
      </c>
      <c r="H167" t="s">
        <v>2654</v>
      </c>
      <c r="I167" t="s">
        <v>2435</v>
      </c>
      <c r="K167" t="str">
        <f t="shared" si="2"/>
        <v>COM_202201_P2T12027</v>
      </c>
    </row>
    <row r="168" spans="1:11">
      <c r="A168">
        <v>2027</v>
      </c>
      <c r="B168" t="s">
        <v>2353</v>
      </c>
      <c r="C168" t="s">
        <v>2653</v>
      </c>
      <c r="D168" t="s">
        <v>2653</v>
      </c>
      <c r="E168" t="s">
        <v>2654</v>
      </c>
      <c r="F168" t="s">
        <v>2654</v>
      </c>
      <c r="G168" t="s">
        <v>2654</v>
      </c>
      <c r="H168" t="s">
        <v>2654</v>
      </c>
      <c r="I168" t="s">
        <v>2430</v>
      </c>
      <c r="K168" t="str">
        <f t="shared" si="2"/>
        <v>COM_202201_P1T22027</v>
      </c>
    </row>
    <row r="169" spans="1:11">
      <c r="A169">
        <v>2027</v>
      </c>
      <c r="B169" t="s">
        <v>2444</v>
      </c>
      <c r="C169" t="s">
        <v>2653</v>
      </c>
      <c r="D169" t="s">
        <v>2653</v>
      </c>
      <c r="E169" t="s">
        <v>2654</v>
      </c>
      <c r="F169" t="s">
        <v>2654</v>
      </c>
      <c r="G169" t="s">
        <v>2654</v>
      </c>
      <c r="H169" t="s">
        <v>2654</v>
      </c>
      <c r="I169" t="s">
        <v>2445</v>
      </c>
      <c r="K169" t="str">
        <f t="shared" si="2"/>
        <v>COM_202201_P4T12027</v>
      </c>
    </row>
    <row r="170" spans="1:11">
      <c r="A170">
        <v>2027</v>
      </c>
      <c r="B170" t="s">
        <v>2447</v>
      </c>
      <c r="C170" t="s">
        <v>2653</v>
      </c>
      <c r="D170" t="s">
        <v>2653</v>
      </c>
      <c r="E170" t="s">
        <v>2654</v>
      </c>
      <c r="F170" t="s">
        <v>2654</v>
      </c>
      <c r="G170" t="s">
        <v>2654</v>
      </c>
      <c r="H170" t="s">
        <v>2654</v>
      </c>
      <c r="I170" t="s">
        <v>2449</v>
      </c>
      <c r="K170" t="str">
        <f t="shared" si="2"/>
        <v>COM_202201_P5T12027</v>
      </c>
    </row>
    <row r="171" spans="1:11">
      <c r="A171">
        <v>2027</v>
      </c>
      <c r="B171" t="s">
        <v>2452</v>
      </c>
      <c r="C171" t="s">
        <v>2653</v>
      </c>
      <c r="D171" t="s">
        <v>2653</v>
      </c>
      <c r="E171" t="s">
        <v>2654</v>
      </c>
      <c r="F171" t="s">
        <v>2654</v>
      </c>
      <c r="G171" t="s">
        <v>2654</v>
      </c>
      <c r="H171" t="s">
        <v>2654</v>
      </c>
      <c r="I171" t="s">
        <v>2453</v>
      </c>
      <c r="K171" t="str">
        <f t="shared" si="2"/>
        <v>COM_202201_P6T12027</v>
      </c>
    </row>
    <row r="172" spans="1:11">
      <c r="A172">
        <v>2025</v>
      </c>
      <c r="B172" t="s">
        <v>2133</v>
      </c>
      <c r="C172" t="s">
        <v>2653</v>
      </c>
      <c r="D172" t="s">
        <v>2653</v>
      </c>
      <c r="E172" t="s">
        <v>2654</v>
      </c>
      <c r="F172" t="s">
        <v>2654</v>
      </c>
      <c r="G172" t="s">
        <v>2654</v>
      </c>
      <c r="H172" t="s">
        <v>2654</v>
      </c>
      <c r="I172" t="s">
        <v>2296</v>
      </c>
      <c r="K172" t="str">
        <f t="shared" si="2"/>
        <v>COM_200702_P1T12025</v>
      </c>
    </row>
    <row r="173" spans="1:11">
      <c r="A173">
        <v>2025</v>
      </c>
      <c r="B173" t="s">
        <v>1594</v>
      </c>
      <c r="C173" t="s">
        <v>2653</v>
      </c>
      <c r="D173" t="s">
        <v>2653</v>
      </c>
      <c r="E173" t="s">
        <v>2654</v>
      </c>
      <c r="F173" t="s">
        <v>2654</v>
      </c>
      <c r="G173" t="s">
        <v>2654</v>
      </c>
      <c r="H173" t="s">
        <v>2654</v>
      </c>
      <c r="I173" t="s">
        <v>2343</v>
      </c>
      <c r="K173" t="str">
        <f t="shared" si="2"/>
        <v>RES_199802_P1T12025</v>
      </c>
    </row>
    <row r="174" spans="1:11">
      <c r="A174">
        <v>2025</v>
      </c>
      <c r="B174" t="s">
        <v>2186</v>
      </c>
      <c r="C174" t="s">
        <v>2653</v>
      </c>
      <c r="D174" t="s">
        <v>2653</v>
      </c>
      <c r="E174" t="s">
        <v>2654</v>
      </c>
      <c r="F174" t="s">
        <v>2654</v>
      </c>
      <c r="G174" t="s">
        <v>2654</v>
      </c>
      <c r="H174" t="s">
        <v>2654</v>
      </c>
      <c r="I174" t="s">
        <v>2189</v>
      </c>
      <c r="K174" t="str">
        <f t="shared" si="2"/>
        <v>IND_199901_P1T12025</v>
      </c>
    </row>
    <row r="175" spans="1:11">
      <c r="A175">
        <v>2025</v>
      </c>
      <c r="B175" t="s">
        <v>2136</v>
      </c>
      <c r="C175" t="s">
        <v>2653</v>
      </c>
      <c r="D175" t="s">
        <v>2653</v>
      </c>
      <c r="E175" t="s">
        <v>2654</v>
      </c>
      <c r="F175" t="s">
        <v>2654</v>
      </c>
      <c r="G175" t="s">
        <v>2654</v>
      </c>
      <c r="H175" t="s">
        <v>2654</v>
      </c>
      <c r="I175" t="s">
        <v>2297</v>
      </c>
      <c r="K175" t="str">
        <f t="shared" si="2"/>
        <v>COM_200801_P1T12025</v>
      </c>
    </row>
    <row r="176" spans="1:11">
      <c r="A176">
        <v>2025</v>
      </c>
      <c r="B176" t="s">
        <v>2153</v>
      </c>
      <c r="C176" t="s">
        <v>2653</v>
      </c>
      <c r="D176" t="s">
        <v>2653</v>
      </c>
      <c r="E176" t="s">
        <v>2654</v>
      </c>
      <c r="F176" t="s">
        <v>2654</v>
      </c>
      <c r="G176" t="s">
        <v>2654</v>
      </c>
      <c r="H176" t="s">
        <v>2654</v>
      </c>
      <c r="I176" t="s">
        <v>2299</v>
      </c>
      <c r="K176" t="str">
        <f t="shared" si="2"/>
        <v>COM_200901_P1T12025</v>
      </c>
    </row>
    <row r="177" spans="1:11">
      <c r="A177">
        <v>2025</v>
      </c>
      <c r="B177" t="s">
        <v>24</v>
      </c>
      <c r="C177" t="s">
        <v>2653</v>
      </c>
      <c r="D177" t="s">
        <v>2653</v>
      </c>
      <c r="E177" t="s">
        <v>2654</v>
      </c>
      <c r="F177" t="s">
        <v>2654</v>
      </c>
      <c r="G177" t="s">
        <v>2654</v>
      </c>
      <c r="H177" t="s">
        <v>2654</v>
      </c>
      <c r="I177" t="s">
        <v>2164</v>
      </c>
      <c r="K177" t="str">
        <f t="shared" si="2"/>
        <v>COM_201201_P1T12025</v>
      </c>
    </row>
    <row r="178" spans="1:11">
      <c r="A178">
        <v>2025</v>
      </c>
      <c r="B178" t="s">
        <v>229</v>
      </c>
      <c r="C178" t="s">
        <v>2653</v>
      </c>
      <c r="D178" t="s">
        <v>2653</v>
      </c>
      <c r="E178" t="s">
        <v>2654</v>
      </c>
      <c r="F178" t="s">
        <v>2654</v>
      </c>
      <c r="G178" t="s">
        <v>2654</v>
      </c>
      <c r="H178" t="s">
        <v>2654</v>
      </c>
      <c r="I178" t="s">
        <v>2359</v>
      </c>
      <c r="K178" t="str">
        <f t="shared" si="2"/>
        <v>RES_201403_P11T12025</v>
      </c>
    </row>
    <row r="179" spans="1:11">
      <c r="A179">
        <v>2025</v>
      </c>
      <c r="B179" t="s">
        <v>231</v>
      </c>
      <c r="C179" t="s">
        <v>2653</v>
      </c>
      <c r="D179" t="s">
        <v>2653</v>
      </c>
      <c r="E179" t="s">
        <v>2654</v>
      </c>
      <c r="F179" t="s">
        <v>2654</v>
      </c>
      <c r="G179" t="s">
        <v>2654</v>
      </c>
      <c r="H179" t="s">
        <v>2654</v>
      </c>
      <c r="I179" t="s">
        <v>2361</v>
      </c>
      <c r="K179" t="str">
        <f t="shared" si="2"/>
        <v>RES_201403_P11T32025</v>
      </c>
    </row>
    <row r="180" spans="1:11">
      <c r="A180">
        <v>2025</v>
      </c>
      <c r="B180" t="s">
        <v>230</v>
      </c>
      <c r="C180" t="s">
        <v>2653</v>
      </c>
      <c r="D180" t="s">
        <v>2653</v>
      </c>
      <c r="E180" t="s">
        <v>2654</v>
      </c>
      <c r="F180" t="s">
        <v>2654</v>
      </c>
      <c r="G180" t="s">
        <v>2654</v>
      </c>
      <c r="H180" t="s">
        <v>2654</v>
      </c>
      <c r="I180" t="s">
        <v>2360</v>
      </c>
      <c r="K180" t="str">
        <f t="shared" si="2"/>
        <v>RES_201403_P11T22025</v>
      </c>
    </row>
    <row r="181" spans="1:11">
      <c r="A181">
        <v>2025</v>
      </c>
      <c r="B181" t="s">
        <v>16</v>
      </c>
      <c r="C181" t="s">
        <v>2653</v>
      </c>
      <c r="D181" t="s">
        <v>2653</v>
      </c>
      <c r="E181" t="s">
        <v>2654</v>
      </c>
      <c r="F181" t="s">
        <v>2654</v>
      </c>
      <c r="G181" t="s">
        <v>2654</v>
      </c>
      <c r="H181" t="s">
        <v>2654</v>
      </c>
      <c r="I181" t="s">
        <v>1118</v>
      </c>
      <c r="K181" t="str">
        <f t="shared" si="2"/>
        <v>COM_200002_P1T12025</v>
      </c>
    </row>
    <row r="182" spans="1:11">
      <c r="A182">
        <v>2025</v>
      </c>
      <c r="B182" t="s">
        <v>1591</v>
      </c>
      <c r="C182" t="s">
        <v>2653</v>
      </c>
      <c r="D182" t="s">
        <v>2653</v>
      </c>
      <c r="E182" t="s">
        <v>2654</v>
      </c>
      <c r="F182" t="s">
        <v>2654</v>
      </c>
      <c r="G182" t="s">
        <v>2654</v>
      </c>
      <c r="H182" t="s">
        <v>2654</v>
      </c>
      <c r="I182" t="s">
        <v>1508</v>
      </c>
      <c r="K182" t="str">
        <f t="shared" si="2"/>
        <v>IND_200004_P1T12025</v>
      </c>
    </row>
    <row r="183" spans="1:11">
      <c r="A183">
        <v>2025</v>
      </c>
      <c r="B183" t="s">
        <v>49</v>
      </c>
      <c r="C183" t="s">
        <v>2653</v>
      </c>
      <c r="D183" t="s">
        <v>2653</v>
      </c>
      <c r="E183" t="s">
        <v>2654</v>
      </c>
      <c r="F183" t="s">
        <v>2654</v>
      </c>
      <c r="G183" t="s">
        <v>2654</v>
      </c>
      <c r="H183" t="s">
        <v>2654</v>
      </c>
      <c r="I183" t="s">
        <v>1130</v>
      </c>
      <c r="K183" t="str">
        <f t="shared" si="2"/>
        <v>RES_200804_P3T12025</v>
      </c>
    </row>
    <row r="184" spans="1:11">
      <c r="A184">
        <v>2025</v>
      </c>
      <c r="B184" t="s">
        <v>48</v>
      </c>
      <c r="C184" t="s">
        <v>2653</v>
      </c>
      <c r="D184" t="s">
        <v>2653</v>
      </c>
      <c r="E184" t="s">
        <v>2654</v>
      </c>
      <c r="F184" t="s">
        <v>2654</v>
      </c>
      <c r="G184" t="s">
        <v>2654</v>
      </c>
      <c r="H184" t="s">
        <v>2654</v>
      </c>
      <c r="I184" t="s">
        <v>1128</v>
      </c>
      <c r="K184" t="str">
        <f t="shared" si="2"/>
        <v>RES_200804_P2T12025</v>
      </c>
    </row>
    <row r="185" spans="1:11">
      <c r="A185">
        <v>2025</v>
      </c>
      <c r="B185" t="s">
        <v>2198</v>
      </c>
      <c r="C185" t="s">
        <v>2653</v>
      </c>
      <c r="D185" t="s">
        <v>2653</v>
      </c>
      <c r="E185" t="s">
        <v>2654</v>
      </c>
      <c r="F185" t="s">
        <v>2654</v>
      </c>
      <c r="G185" t="s">
        <v>2654</v>
      </c>
      <c r="H185" t="s">
        <v>2654</v>
      </c>
      <c r="I185" t="s">
        <v>2199</v>
      </c>
      <c r="K185" t="str">
        <f t="shared" si="2"/>
        <v>IND_200702_P1T12025</v>
      </c>
    </row>
    <row r="186" spans="1:11">
      <c r="A186">
        <v>2025</v>
      </c>
      <c r="B186" t="s">
        <v>1590</v>
      </c>
      <c r="C186" t="s">
        <v>2653</v>
      </c>
      <c r="D186" t="s">
        <v>2653</v>
      </c>
      <c r="E186" t="s">
        <v>2654</v>
      </c>
      <c r="F186" t="s">
        <v>2654</v>
      </c>
      <c r="G186" t="s">
        <v>2654</v>
      </c>
      <c r="H186" t="s">
        <v>2654</v>
      </c>
      <c r="I186" t="s">
        <v>1574</v>
      </c>
      <c r="K186" t="str">
        <f t="shared" si="2"/>
        <v>IND_199801_P1T12025</v>
      </c>
    </row>
    <row r="187" spans="1:11">
      <c r="A187">
        <v>2025</v>
      </c>
      <c r="B187" t="s">
        <v>54</v>
      </c>
      <c r="C187" t="s">
        <v>2653</v>
      </c>
      <c r="D187" t="s">
        <v>2653</v>
      </c>
      <c r="E187" t="s">
        <v>2654</v>
      </c>
      <c r="F187" t="s">
        <v>2654</v>
      </c>
      <c r="G187" t="s">
        <v>2654</v>
      </c>
      <c r="H187" t="s">
        <v>2654</v>
      </c>
      <c r="I187" t="s">
        <v>1780</v>
      </c>
      <c r="K187" t="str">
        <f t="shared" si="2"/>
        <v>RES_201202_P2T22025</v>
      </c>
    </row>
    <row r="188" spans="1:11">
      <c r="A188">
        <v>2025</v>
      </c>
      <c r="B188" t="s">
        <v>622</v>
      </c>
      <c r="C188" t="s">
        <v>2653</v>
      </c>
      <c r="D188" t="s">
        <v>2653</v>
      </c>
      <c r="E188" t="s">
        <v>2654</v>
      </c>
      <c r="F188" t="s">
        <v>2654</v>
      </c>
      <c r="G188" t="s">
        <v>2654</v>
      </c>
      <c r="H188" t="s">
        <v>2654</v>
      </c>
      <c r="I188" t="s">
        <v>1781</v>
      </c>
      <c r="K188" t="str">
        <f t="shared" si="2"/>
        <v>RES_201202_P2T32025</v>
      </c>
    </row>
    <row r="189" spans="1:11">
      <c r="A189">
        <v>2025</v>
      </c>
      <c r="B189" t="s">
        <v>623</v>
      </c>
      <c r="C189" t="s">
        <v>2653</v>
      </c>
      <c r="D189" t="s">
        <v>2653</v>
      </c>
      <c r="E189" t="s">
        <v>2654</v>
      </c>
      <c r="F189" t="s">
        <v>2654</v>
      </c>
      <c r="G189" t="s">
        <v>2654</v>
      </c>
      <c r="H189" t="s">
        <v>2654</v>
      </c>
      <c r="I189" t="s">
        <v>1782</v>
      </c>
      <c r="K189" t="str">
        <f t="shared" si="2"/>
        <v>RES_201202_P2T42025</v>
      </c>
    </row>
    <row r="190" spans="1:11">
      <c r="A190">
        <v>2025</v>
      </c>
      <c r="B190" t="s">
        <v>723</v>
      </c>
      <c r="C190" t="s">
        <v>2653</v>
      </c>
      <c r="D190" t="s">
        <v>2653</v>
      </c>
      <c r="E190" t="s">
        <v>2654</v>
      </c>
      <c r="F190" t="s">
        <v>2654</v>
      </c>
      <c r="G190" t="s">
        <v>2654</v>
      </c>
      <c r="H190" t="s">
        <v>2654</v>
      </c>
      <c r="I190" t="s">
        <v>1783</v>
      </c>
      <c r="K190" t="str">
        <f t="shared" si="2"/>
        <v>RES_201202_P2T52025</v>
      </c>
    </row>
    <row r="191" spans="1:11">
      <c r="A191">
        <v>2025</v>
      </c>
      <c r="B191" t="s">
        <v>51</v>
      </c>
      <c r="C191" t="s">
        <v>2653</v>
      </c>
      <c r="D191" t="s">
        <v>2653</v>
      </c>
      <c r="E191" t="s">
        <v>2654</v>
      </c>
      <c r="F191" t="s">
        <v>2654</v>
      </c>
      <c r="G191" t="s">
        <v>2654</v>
      </c>
      <c r="H191" t="s">
        <v>2654</v>
      </c>
      <c r="I191" t="s">
        <v>1774</v>
      </c>
      <c r="K191" t="str">
        <f t="shared" si="2"/>
        <v>RES_201202_P1T12025</v>
      </c>
    </row>
    <row r="192" spans="1:11">
      <c r="A192">
        <v>2025</v>
      </c>
      <c r="B192" t="s">
        <v>52</v>
      </c>
      <c r="C192" t="s">
        <v>2653</v>
      </c>
      <c r="D192" t="s">
        <v>2653</v>
      </c>
      <c r="E192" t="s">
        <v>2654</v>
      </c>
      <c r="F192" t="s">
        <v>2654</v>
      </c>
      <c r="G192" t="s">
        <v>2654</v>
      </c>
      <c r="H192" t="s">
        <v>2654</v>
      </c>
      <c r="I192" t="s">
        <v>1775</v>
      </c>
      <c r="K192" t="str">
        <f t="shared" si="2"/>
        <v>RES_201202_P1T22025</v>
      </c>
    </row>
    <row r="193" spans="1:11">
      <c r="A193">
        <v>2025</v>
      </c>
      <c r="B193" t="s">
        <v>630</v>
      </c>
      <c r="C193" t="s">
        <v>2653</v>
      </c>
      <c r="D193" t="s">
        <v>2653</v>
      </c>
      <c r="E193" t="s">
        <v>2654</v>
      </c>
      <c r="F193" t="s">
        <v>2654</v>
      </c>
      <c r="G193" t="s">
        <v>2654</v>
      </c>
      <c r="H193" t="s">
        <v>2654</v>
      </c>
      <c r="I193" t="s">
        <v>1776</v>
      </c>
      <c r="K193" t="str">
        <f t="shared" si="2"/>
        <v>RES_201202_P1T32025</v>
      </c>
    </row>
    <row r="194" spans="1:11">
      <c r="A194">
        <v>2025</v>
      </c>
      <c r="B194" t="s">
        <v>631</v>
      </c>
      <c r="C194" t="s">
        <v>2653</v>
      </c>
      <c r="D194" t="s">
        <v>2653</v>
      </c>
      <c r="E194" t="s">
        <v>2654</v>
      </c>
      <c r="F194" t="s">
        <v>2654</v>
      </c>
      <c r="G194" t="s">
        <v>2654</v>
      </c>
      <c r="H194" t="s">
        <v>2654</v>
      </c>
      <c r="I194" t="s">
        <v>1777</v>
      </c>
      <c r="K194" t="str">
        <f t="shared" si="2"/>
        <v>RES_201202_P1T42025</v>
      </c>
    </row>
    <row r="195" spans="1:11">
      <c r="A195">
        <v>2025</v>
      </c>
      <c r="B195" t="s">
        <v>721</v>
      </c>
      <c r="C195" t="s">
        <v>2653</v>
      </c>
      <c r="D195" t="s">
        <v>2653</v>
      </c>
      <c r="E195" t="s">
        <v>2654</v>
      </c>
      <c r="F195" t="s">
        <v>2654</v>
      </c>
      <c r="G195" t="s">
        <v>2654</v>
      </c>
      <c r="H195" t="s">
        <v>2654</v>
      </c>
      <c r="I195" t="s">
        <v>1778</v>
      </c>
      <c r="K195" t="str">
        <f t="shared" ref="K195:K258" si="3">B195&amp;A195</f>
        <v>RES_201202_P1T52025</v>
      </c>
    </row>
    <row r="196" spans="1:11">
      <c r="A196">
        <v>2025</v>
      </c>
      <c r="B196" t="s">
        <v>627</v>
      </c>
      <c r="C196" t="s">
        <v>2653</v>
      </c>
      <c r="D196" t="s">
        <v>2653</v>
      </c>
      <c r="E196" t="s">
        <v>2654</v>
      </c>
      <c r="F196" t="s">
        <v>2654</v>
      </c>
      <c r="G196" t="s">
        <v>2654</v>
      </c>
      <c r="H196" t="s">
        <v>2654</v>
      </c>
      <c r="I196" t="s">
        <v>1790</v>
      </c>
      <c r="K196" t="str">
        <f t="shared" si="3"/>
        <v>RES_201202_P4T22025</v>
      </c>
    </row>
    <row r="197" spans="1:11">
      <c r="A197">
        <v>2025</v>
      </c>
      <c r="B197" t="s">
        <v>628</v>
      </c>
      <c r="C197" t="s">
        <v>2653</v>
      </c>
      <c r="D197" t="s">
        <v>2653</v>
      </c>
      <c r="E197" t="s">
        <v>2654</v>
      </c>
      <c r="F197" t="s">
        <v>2654</v>
      </c>
      <c r="G197" t="s">
        <v>2654</v>
      </c>
      <c r="H197" t="s">
        <v>2654</v>
      </c>
      <c r="I197" t="s">
        <v>1791</v>
      </c>
      <c r="K197" t="str">
        <f t="shared" si="3"/>
        <v>RES_201202_P4T32025</v>
      </c>
    </row>
    <row r="198" spans="1:11">
      <c r="A198">
        <v>2025</v>
      </c>
      <c r="B198" t="s">
        <v>629</v>
      </c>
      <c r="C198" t="s">
        <v>2653</v>
      </c>
      <c r="D198" t="s">
        <v>2653</v>
      </c>
      <c r="E198" t="s">
        <v>2654</v>
      </c>
      <c r="F198" t="s">
        <v>2654</v>
      </c>
      <c r="G198" t="s">
        <v>2654</v>
      </c>
      <c r="H198" t="s">
        <v>2654</v>
      </c>
      <c r="I198" t="s">
        <v>1792</v>
      </c>
      <c r="K198" t="str">
        <f t="shared" si="3"/>
        <v>RES_201202_P4T42025</v>
      </c>
    </row>
    <row r="199" spans="1:11">
      <c r="A199">
        <v>2025</v>
      </c>
      <c r="B199" t="s">
        <v>725</v>
      </c>
      <c r="C199" t="s">
        <v>2653</v>
      </c>
      <c r="D199" t="s">
        <v>2653</v>
      </c>
      <c r="E199" t="s">
        <v>2654</v>
      </c>
      <c r="F199" t="s">
        <v>2654</v>
      </c>
      <c r="G199" t="s">
        <v>2654</v>
      </c>
      <c r="H199" t="s">
        <v>2654</v>
      </c>
      <c r="I199" t="s">
        <v>1793</v>
      </c>
      <c r="K199" t="str">
        <f t="shared" si="3"/>
        <v>RES_201202_P4T52025</v>
      </c>
    </row>
    <row r="200" spans="1:11">
      <c r="A200">
        <v>2025</v>
      </c>
      <c r="B200" t="s">
        <v>612</v>
      </c>
      <c r="C200" t="s">
        <v>2653</v>
      </c>
      <c r="D200" t="s">
        <v>2653</v>
      </c>
      <c r="E200" t="s">
        <v>2654</v>
      </c>
      <c r="F200" t="s">
        <v>2654</v>
      </c>
      <c r="G200" t="s">
        <v>2654</v>
      </c>
      <c r="H200" t="s">
        <v>2654</v>
      </c>
      <c r="I200" t="s">
        <v>1784</v>
      </c>
      <c r="K200" t="str">
        <f t="shared" si="3"/>
        <v>RES_201202_P3T12025</v>
      </c>
    </row>
    <row r="201" spans="1:11">
      <c r="A201">
        <v>2025</v>
      </c>
      <c r="B201" t="s">
        <v>613</v>
      </c>
      <c r="C201" t="s">
        <v>2653</v>
      </c>
      <c r="D201" t="s">
        <v>2653</v>
      </c>
      <c r="E201" t="s">
        <v>2654</v>
      </c>
      <c r="F201" t="s">
        <v>2654</v>
      </c>
      <c r="G201" t="s">
        <v>2654</v>
      </c>
      <c r="H201" t="s">
        <v>2654</v>
      </c>
      <c r="I201" t="s">
        <v>1785</v>
      </c>
      <c r="K201" t="str">
        <f t="shared" si="3"/>
        <v>RES_201202_P3T22025</v>
      </c>
    </row>
    <row r="202" spans="1:11">
      <c r="A202">
        <v>2025</v>
      </c>
      <c r="B202" t="s">
        <v>624</v>
      </c>
      <c r="C202" t="s">
        <v>2653</v>
      </c>
      <c r="D202" t="s">
        <v>2653</v>
      </c>
      <c r="E202" t="s">
        <v>2654</v>
      </c>
      <c r="F202" t="s">
        <v>2654</v>
      </c>
      <c r="G202" t="s">
        <v>2654</v>
      </c>
      <c r="H202" t="s">
        <v>2654</v>
      </c>
      <c r="I202" t="s">
        <v>1786</v>
      </c>
      <c r="K202" t="str">
        <f t="shared" si="3"/>
        <v>RES_201202_P3T32025</v>
      </c>
    </row>
    <row r="203" spans="1:11">
      <c r="A203">
        <v>2025</v>
      </c>
      <c r="B203" t="s">
        <v>625</v>
      </c>
      <c r="C203" t="s">
        <v>2653</v>
      </c>
      <c r="D203" t="s">
        <v>2653</v>
      </c>
      <c r="E203" t="s">
        <v>2654</v>
      </c>
      <c r="F203" t="s">
        <v>2654</v>
      </c>
      <c r="G203" t="s">
        <v>2654</v>
      </c>
      <c r="H203" t="s">
        <v>2654</v>
      </c>
      <c r="I203" t="s">
        <v>1787</v>
      </c>
      <c r="K203" t="str">
        <f t="shared" si="3"/>
        <v>RES_201202_P3T42025</v>
      </c>
    </row>
    <row r="204" spans="1:11">
      <c r="A204">
        <v>2025</v>
      </c>
      <c r="B204" t="s">
        <v>724</v>
      </c>
      <c r="C204" t="s">
        <v>2653</v>
      </c>
      <c r="D204" t="s">
        <v>2653</v>
      </c>
      <c r="E204" t="s">
        <v>2654</v>
      </c>
      <c r="F204" t="s">
        <v>2654</v>
      </c>
      <c r="G204" t="s">
        <v>2654</v>
      </c>
      <c r="H204" t="s">
        <v>2654</v>
      </c>
      <c r="I204" t="s">
        <v>1788</v>
      </c>
      <c r="K204" t="str">
        <f t="shared" si="3"/>
        <v>RES_201202_P3T52025</v>
      </c>
    </row>
    <row r="205" spans="1:11">
      <c r="A205">
        <v>2025</v>
      </c>
      <c r="B205" t="s">
        <v>1595</v>
      </c>
      <c r="C205" t="s">
        <v>2653</v>
      </c>
      <c r="D205" t="s">
        <v>2653</v>
      </c>
      <c r="E205" t="s">
        <v>2654</v>
      </c>
      <c r="F205" t="s">
        <v>2654</v>
      </c>
      <c r="G205" t="s">
        <v>2654</v>
      </c>
      <c r="H205" t="s">
        <v>2654</v>
      </c>
      <c r="I205" t="s">
        <v>1723</v>
      </c>
      <c r="K205" t="str">
        <f t="shared" si="3"/>
        <v>RES_200401_P12T12025</v>
      </c>
    </row>
    <row r="206" spans="1:11">
      <c r="A206">
        <v>2025</v>
      </c>
      <c r="B206" t="s">
        <v>114</v>
      </c>
      <c r="C206" t="s">
        <v>2653</v>
      </c>
      <c r="D206" t="s">
        <v>2653</v>
      </c>
      <c r="E206" t="s">
        <v>2654</v>
      </c>
      <c r="F206" t="s">
        <v>2654</v>
      </c>
      <c r="G206" t="s">
        <v>2654</v>
      </c>
      <c r="H206" t="s">
        <v>2654</v>
      </c>
      <c r="I206" t="s">
        <v>1810</v>
      </c>
      <c r="K206" t="str">
        <f t="shared" si="3"/>
        <v>RES_201301_P17T12025</v>
      </c>
    </row>
    <row r="207" spans="1:11">
      <c r="A207">
        <v>2025</v>
      </c>
      <c r="B207" t="s">
        <v>65</v>
      </c>
      <c r="C207" t="s">
        <v>2653</v>
      </c>
      <c r="D207" t="s">
        <v>2653</v>
      </c>
      <c r="E207" t="s">
        <v>2654</v>
      </c>
      <c r="F207" t="s">
        <v>2654</v>
      </c>
      <c r="G207" t="s">
        <v>2654</v>
      </c>
      <c r="H207" t="s">
        <v>2654</v>
      </c>
      <c r="I207" t="s">
        <v>1840</v>
      </c>
      <c r="K207" t="str">
        <f t="shared" si="3"/>
        <v>RES_201301_P8T12025</v>
      </c>
    </row>
    <row r="208" spans="1:11">
      <c r="A208">
        <v>2025</v>
      </c>
      <c r="B208" t="s">
        <v>358</v>
      </c>
      <c r="C208" t="s">
        <v>2653</v>
      </c>
      <c r="D208" t="s">
        <v>2653</v>
      </c>
      <c r="E208" t="s">
        <v>2654</v>
      </c>
      <c r="F208" t="s">
        <v>2654</v>
      </c>
      <c r="G208" t="s">
        <v>2654</v>
      </c>
      <c r="H208" t="s">
        <v>2654</v>
      </c>
      <c r="I208" t="s">
        <v>1837</v>
      </c>
      <c r="K208" t="str">
        <f t="shared" si="3"/>
        <v>RES_201301_P5T12025</v>
      </c>
    </row>
    <row r="209" spans="1:11">
      <c r="A209">
        <v>2025</v>
      </c>
      <c r="B209" t="s">
        <v>617</v>
      </c>
      <c r="C209" t="s">
        <v>2653</v>
      </c>
      <c r="D209" t="s">
        <v>2653</v>
      </c>
      <c r="E209" t="s">
        <v>2654</v>
      </c>
      <c r="F209" t="s">
        <v>2654</v>
      </c>
      <c r="G209" t="s">
        <v>2654</v>
      </c>
      <c r="H209" t="s">
        <v>2654</v>
      </c>
      <c r="I209" t="s">
        <v>1818</v>
      </c>
      <c r="K209" t="str">
        <f t="shared" si="3"/>
        <v>RES_201301_P21T12025</v>
      </c>
    </row>
    <row r="210" spans="1:11">
      <c r="A210">
        <v>2025</v>
      </c>
      <c r="B210" t="s">
        <v>688</v>
      </c>
      <c r="C210" t="s">
        <v>2653</v>
      </c>
      <c r="D210" t="s">
        <v>2653</v>
      </c>
      <c r="E210" t="s">
        <v>2654</v>
      </c>
      <c r="F210" t="s">
        <v>2654</v>
      </c>
      <c r="G210" t="s">
        <v>2654</v>
      </c>
      <c r="H210" t="s">
        <v>2654</v>
      </c>
      <c r="I210" t="s">
        <v>1661</v>
      </c>
      <c r="K210" t="str">
        <f t="shared" si="3"/>
        <v>COM_200002_P3T12025</v>
      </c>
    </row>
    <row r="211" spans="1:11">
      <c r="A211">
        <v>2025</v>
      </c>
      <c r="B211" t="s">
        <v>690</v>
      </c>
      <c r="C211" t="s">
        <v>2653</v>
      </c>
      <c r="D211" t="s">
        <v>2653</v>
      </c>
      <c r="E211" t="s">
        <v>2654</v>
      </c>
      <c r="F211" t="s">
        <v>2654</v>
      </c>
      <c r="G211" t="s">
        <v>2654</v>
      </c>
      <c r="H211" t="s">
        <v>2654</v>
      </c>
      <c r="I211" t="s">
        <v>1662</v>
      </c>
      <c r="K211" t="str">
        <f t="shared" si="3"/>
        <v>COM_200002_P4T12025</v>
      </c>
    </row>
    <row r="212" spans="1:11">
      <c r="A212">
        <v>2025</v>
      </c>
      <c r="B212" t="s">
        <v>2119</v>
      </c>
      <c r="C212" t="s">
        <v>2653</v>
      </c>
      <c r="D212" t="s">
        <v>2653</v>
      </c>
      <c r="E212" t="s">
        <v>2654</v>
      </c>
      <c r="F212" t="s">
        <v>2654</v>
      </c>
      <c r="G212" t="s">
        <v>2654</v>
      </c>
      <c r="H212" t="s">
        <v>2654</v>
      </c>
      <c r="I212" t="s">
        <v>2123</v>
      </c>
      <c r="K212" t="str">
        <f t="shared" si="3"/>
        <v>AGR_200201_P1T12025</v>
      </c>
    </row>
    <row r="213" spans="1:11">
      <c r="A213">
        <v>2025</v>
      </c>
      <c r="B213" t="s">
        <v>30</v>
      </c>
      <c r="C213" t="s">
        <v>2653</v>
      </c>
      <c r="D213" t="s">
        <v>2653</v>
      </c>
      <c r="E213" t="s">
        <v>2654</v>
      </c>
      <c r="F213" t="s">
        <v>2654</v>
      </c>
      <c r="G213" t="s">
        <v>2654</v>
      </c>
      <c r="H213" t="s">
        <v>2654</v>
      </c>
      <c r="I213" t="s">
        <v>2191</v>
      </c>
      <c r="K213" t="str">
        <f t="shared" si="3"/>
        <v>IND_199902_P1T12025</v>
      </c>
    </row>
    <row r="214" spans="1:11">
      <c r="A214">
        <v>2025</v>
      </c>
      <c r="B214" t="s">
        <v>31</v>
      </c>
      <c r="C214" t="s">
        <v>2653</v>
      </c>
      <c r="D214" t="s">
        <v>2653</v>
      </c>
      <c r="E214" t="s">
        <v>2654</v>
      </c>
      <c r="F214" t="s">
        <v>2654</v>
      </c>
      <c r="G214" t="s">
        <v>2654</v>
      </c>
      <c r="H214" t="s">
        <v>2654</v>
      </c>
      <c r="I214" t="s">
        <v>2194</v>
      </c>
      <c r="K214" t="str">
        <f t="shared" si="3"/>
        <v>IND_199902_P2T12025</v>
      </c>
    </row>
    <row r="215" spans="1:11">
      <c r="A215">
        <v>2025</v>
      </c>
      <c r="B215" t="s">
        <v>66</v>
      </c>
      <c r="C215" t="s">
        <v>2653</v>
      </c>
      <c r="D215" t="s">
        <v>2653</v>
      </c>
      <c r="E215" t="s">
        <v>2654</v>
      </c>
      <c r="F215" t="s">
        <v>2654</v>
      </c>
      <c r="G215" t="s">
        <v>2654</v>
      </c>
      <c r="H215" t="s">
        <v>2654</v>
      </c>
      <c r="I215" t="s">
        <v>1841</v>
      </c>
      <c r="K215" t="str">
        <f t="shared" si="3"/>
        <v>RES_201301_P9T12025</v>
      </c>
    </row>
    <row r="216" spans="1:11">
      <c r="A216">
        <v>2025</v>
      </c>
      <c r="B216" t="s">
        <v>370</v>
      </c>
      <c r="C216" t="s">
        <v>2653</v>
      </c>
      <c r="D216" t="s">
        <v>2653</v>
      </c>
      <c r="E216" t="s">
        <v>2654</v>
      </c>
      <c r="F216" t="s">
        <v>2654</v>
      </c>
      <c r="G216" t="s">
        <v>2654</v>
      </c>
      <c r="H216" t="s">
        <v>2654</v>
      </c>
      <c r="I216" t="s">
        <v>1838</v>
      </c>
      <c r="K216" t="str">
        <f t="shared" si="3"/>
        <v>RES_201301_P6T12025</v>
      </c>
    </row>
    <row r="217" spans="1:11">
      <c r="A217">
        <v>2025</v>
      </c>
      <c r="B217" t="s">
        <v>618</v>
      </c>
      <c r="C217" t="s">
        <v>2653</v>
      </c>
      <c r="D217" t="s">
        <v>2653</v>
      </c>
      <c r="E217" t="s">
        <v>2654</v>
      </c>
      <c r="F217" t="s">
        <v>2654</v>
      </c>
      <c r="G217" t="s">
        <v>2654</v>
      </c>
      <c r="H217" t="s">
        <v>2654</v>
      </c>
      <c r="I217" t="s">
        <v>1819</v>
      </c>
      <c r="K217" t="str">
        <f t="shared" si="3"/>
        <v>RES_201301_P22T12025</v>
      </c>
    </row>
    <row r="218" spans="1:11">
      <c r="A218">
        <v>2025</v>
      </c>
      <c r="B218" t="s">
        <v>1580</v>
      </c>
      <c r="C218" t="s">
        <v>2653</v>
      </c>
      <c r="D218" t="s">
        <v>2653</v>
      </c>
      <c r="E218" t="s">
        <v>2654</v>
      </c>
      <c r="F218" t="s">
        <v>2654</v>
      </c>
      <c r="G218" t="s">
        <v>2654</v>
      </c>
      <c r="H218" t="s">
        <v>2654</v>
      </c>
      <c r="I218" t="s">
        <v>1575</v>
      </c>
      <c r="K218" t="str">
        <f t="shared" si="3"/>
        <v>COM_200203_P1T12025</v>
      </c>
    </row>
    <row r="219" spans="1:11">
      <c r="A219">
        <v>2025</v>
      </c>
      <c r="B219" t="s">
        <v>336</v>
      </c>
      <c r="C219" t="s">
        <v>2653</v>
      </c>
      <c r="D219" t="s">
        <v>2653</v>
      </c>
      <c r="E219" t="s">
        <v>2654</v>
      </c>
      <c r="F219" t="s">
        <v>2654</v>
      </c>
      <c r="G219" t="s">
        <v>2654</v>
      </c>
      <c r="H219" t="s">
        <v>2654</v>
      </c>
      <c r="I219" t="s">
        <v>2131</v>
      </c>
      <c r="K219" t="str">
        <f t="shared" si="3"/>
        <v>COM_199701_P1T12025</v>
      </c>
    </row>
    <row r="220" spans="1:11">
      <c r="A220">
        <v>2025</v>
      </c>
      <c r="B220" t="s">
        <v>616</v>
      </c>
      <c r="C220" t="s">
        <v>2653</v>
      </c>
      <c r="D220" t="s">
        <v>2653</v>
      </c>
      <c r="E220" t="s">
        <v>2654</v>
      </c>
      <c r="F220" t="s">
        <v>2654</v>
      </c>
      <c r="G220" t="s">
        <v>2654</v>
      </c>
      <c r="H220" t="s">
        <v>2654</v>
      </c>
      <c r="I220" t="s">
        <v>1826</v>
      </c>
      <c r="K220" t="str">
        <f t="shared" si="3"/>
        <v>RES_201301_P26T52025</v>
      </c>
    </row>
    <row r="221" spans="1:11">
      <c r="A221">
        <v>2025</v>
      </c>
      <c r="B221" t="s">
        <v>563</v>
      </c>
      <c r="C221" t="s">
        <v>2653</v>
      </c>
      <c r="D221" t="s">
        <v>2653</v>
      </c>
      <c r="E221" t="s">
        <v>2654</v>
      </c>
      <c r="F221" t="s">
        <v>2654</v>
      </c>
      <c r="G221" t="s">
        <v>2654</v>
      </c>
      <c r="H221" t="s">
        <v>2654</v>
      </c>
      <c r="I221" t="s">
        <v>1812</v>
      </c>
      <c r="K221" t="str">
        <f t="shared" si="3"/>
        <v>Res_201301_P19T12025</v>
      </c>
    </row>
    <row r="222" spans="1:11">
      <c r="A222">
        <v>2025</v>
      </c>
      <c r="B222" t="s">
        <v>1596</v>
      </c>
      <c r="C222" t="s">
        <v>2653</v>
      </c>
      <c r="D222" t="s">
        <v>2653</v>
      </c>
      <c r="E222" t="s">
        <v>2654</v>
      </c>
      <c r="F222" t="s">
        <v>2654</v>
      </c>
      <c r="G222" t="s">
        <v>2654</v>
      </c>
      <c r="H222" t="s">
        <v>2654</v>
      </c>
      <c r="I222" t="s">
        <v>1725</v>
      </c>
      <c r="K222" t="str">
        <f t="shared" si="3"/>
        <v>RES_200401_P14T12025</v>
      </c>
    </row>
    <row r="223" spans="1:11">
      <c r="A223">
        <v>2025</v>
      </c>
      <c r="B223" t="s">
        <v>55</v>
      </c>
      <c r="C223" t="s">
        <v>2653</v>
      </c>
      <c r="D223" t="s">
        <v>2653</v>
      </c>
      <c r="E223" t="s">
        <v>2654</v>
      </c>
      <c r="F223" t="s">
        <v>2654</v>
      </c>
      <c r="G223" t="s">
        <v>2654</v>
      </c>
      <c r="H223" t="s">
        <v>2654</v>
      </c>
      <c r="I223" t="s">
        <v>1794</v>
      </c>
      <c r="K223" t="str">
        <f t="shared" si="3"/>
        <v>RES_201301_P10T12025</v>
      </c>
    </row>
    <row r="224" spans="1:11">
      <c r="A224">
        <v>2025</v>
      </c>
      <c r="B224" t="s">
        <v>381</v>
      </c>
      <c r="C224" t="s">
        <v>2653</v>
      </c>
      <c r="D224" t="s">
        <v>2653</v>
      </c>
      <c r="E224" t="s">
        <v>2654</v>
      </c>
      <c r="F224" t="s">
        <v>2654</v>
      </c>
      <c r="G224" t="s">
        <v>2654</v>
      </c>
      <c r="H224" t="s">
        <v>2654</v>
      </c>
      <c r="I224" t="s">
        <v>1839</v>
      </c>
      <c r="K224" t="str">
        <f t="shared" si="3"/>
        <v>RES_201301_P7T12025</v>
      </c>
    </row>
    <row r="225" spans="1:11">
      <c r="A225">
        <v>2025</v>
      </c>
      <c r="B225" t="s">
        <v>619</v>
      </c>
      <c r="C225" t="s">
        <v>2653</v>
      </c>
      <c r="D225" t="s">
        <v>2653</v>
      </c>
      <c r="E225" t="s">
        <v>2654</v>
      </c>
      <c r="F225" t="s">
        <v>2654</v>
      </c>
      <c r="G225" t="s">
        <v>2654</v>
      </c>
      <c r="H225" t="s">
        <v>2654</v>
      </c>
      <c r="I225" t="s">
        <v>1820</v>
      </c>
      <c r="K225" t="str">
        <f t="shared" si="3"/>
        <v>RES_201301_P23T12025</v>
      </c>
    </row>
    <row r="226" spans="1:11">
      <c r="A226">
        <v>2025</v>
      </c>
      <c r="B226" t="s">
        <v>2158</v>
      </c>
      <c r="C226" t="s">
        <v>2653</v>
      </c>
      <c r="D226" t="s">
        <v>2653</v>
      </c>
      <c r="E226" t="s">
        <v>2654</v>
      </c>
      <c r="F226" t="s">
        <v>2654</v>
      </c>
      <c r="G226" t="s">
        <v>2654</v>
      </c>
      <c r="H226" t="s">
        <v>2654</v>
      </c>
      <c r="I226" t="s">
        <v>2161</v>
      </c>
      <c r="K226" t="str">
        <f t="shared" si="3"/>
        <v>COM_201101_P1T12025</v>
      </c>
    </row>
    <row r="227" spans="1:11">
      <c r="A227">
        <v>2025</v>
      </c>
      <c r="B227" t="s">
        <v>374</v>
      </c>
      <c r="C227" t="s">
        <v>2653</v>
      </c>
      <c r="D227" t="s">
        <v>2653</v>
      </c>
      <c r="E227" t="s">
        <v>2654</v>
      </c>
      <c r="F227" t="s">
        <v>2654</v>
      </c>
      <c r="G227" t="s">
        <v>2654</v>
      </c>
      <c r="H227" t="s">
        <v>2654</v>
      </c>
      <c r="I227" t="s">
        <v>1724</v>
      </c>
      <c r="K227" t="str">
        <f t="shared" si="3"/>
        <v>RES_200401_P13T12025</v>
      </c>
    </row>
    <row r="228" spans="1:11">
      <c r="A228">
        <v>2025</v>
      </c>
      <c r="B228" t="s">
        <v>50</v>
      </c>
      <c r="C228" t="s">
        <v>2653</v>
      </c>
      <c r="D228" t="s">
        <v>2653</v>
      </c>
      <c r="E228" t="s">
        <v>2654</v>
      </c>
      <c r="F228" t="s">
        <v>2654</v>
      </c>
      <c r="G228" t="s">
        <v>2654</v>
      </c>
      <c r="H228" t="s">
        <v>2654</v>
      </c>
      <c r="I228" t="s">
        <v>1768</v>
      </c>
      <c r="K228" t="str">
        <f t="shared" si="3"/>
        <v>RES_201101_P1T12025</v>
      </c>
    </row>
    <row r="229" spans="1:11">
      <c r="A229">
        <v>2025</v>
      </c>
      <c r="B229" t="s">
        <v>84</v>
      </c>
      <c r="C229" t="s">
        <v>2653</v>
      </c>
      <c r="D229" t="s">
        <v>2653</v>
      </c>
      <c r="E229" t="s">
        <v>2654</v>
      </c>
      <c r="F229" t="s">
        <v>2654</v>
      </c>
      <c r="G229" t="s">
        <v>2654</v>
      </c>
      <c r="H229" t="s">
        <v>2654</v>
      </c>
      <c r="I229" t="s">
        <v>1769</v>
      </c>
      <c r="K229" t="str">
        <f t="shared" si="3"/>
        <v>RES_201101_P1T22025</v>
      </c>
    </row>
    <row r="230" spans="1:11">
      <c r="A230">
        <v>2025</v>
      </c>
      <c r="B230" t="s">
        <v>85</v>
      </c>
      <c r="C230" t="s">
        <v>2653</v>
      </c>
      <c r="D230" t="s">
        <v>2653</v>
      </c>
      <c r="E230" t="s">
        <v>2654</v>
      </c>
      <c r="F230" t="s">
        <v>2654</v>
      </c>
      <c r="G230" t="s">
        <v>2654</v>
      </c>
      <c r="H230" t="s">
        <v>2654</v>
      </c>
      <c r="I230" t="s">
        <v>1770</v>
      </c>
      <c r="K230" t="str">
        <f t="shared" si="3"/>
        <v>RES_201101_P1T32025</v>
      </c>
    </row>
    <row r="231" spans="1:11">
      <c r="A231">
        <v>2025</v>
      </c>
      <c r="B231" t="s">
        <v>86</v>
      </c>
      <c r="C231" t="s">
        <v>2653</v>
      </c>
      <c r="D231" t="s">
        <v>2653</v>
      </c>
      <c r="E231" t="s">
        <v>2654</v>
      </c>
      <c r="F231" t="s">
        <v>2654</v>
      </c>
      <c r="G231" t="s">
        <v>2654</v>
      </c>
      <c r="H231" t="s">
        <v>2654</v>
      </c>
      <c r="I231" t="s">
        <v>1771</v>
      </c>
      <c r="K231" t="str">
        <f t="shared" si="3"/>
        <v>RES_201101_P1T42025</v>
      </c>
    </row>
    <row r="232" spans="1:11">
      <c r="A232">
        <v>2025</v>
      </c>
      <c r="B232" t="s">
        <v>87</v>
      </c>
      <c r="C232" t="s">
        <v>2653</v>
      </c>
      <c r="D232" t="s">
        <v>2653</v>
      </c>
      <c r="E232" t="s">
        <v>2654</v>
      </c>
      <c r="F232" t="s">
        <v>2654</v>
      </c>
      <c r="G232" t="s">
        <v>2654</v>
      </c>
      <c r="H232" t="s">
        <v>2654</v>
      </c>
      <c r="I232" t="s">
        <v>1772</v>
      </c>
      <c r="K232" t="str">
        <f t="shared" si="3"/>
        <v>RES_201101_P1T52025</v>
      </c>
    </row>
    <row r="233" spans="1:11">
      <c r="A233">
        <v>2025</v>
      </c>
      <c r="B233" t="s">
        <v>113</v>
      </c>
      <c r="C233" t="s">
        <v>2653</v>
      </c>
      <c r="D233" t="s">
        <v>2653</v>
      </c>
      <c r="E233" t="s">
        <v>2654</v>
      </c>
      <c r="F233" t="s">
        <v>2654</v>
      </c>
      <c r="G233" t="s">
        <v>2654</v>
      </c>
      <c r="H233" t="s">
        <v>2654</v>
      </c>
      <c r="I233" t="s">
        <v>1773</v>
      </c>
      <c r="K233" t="str">
        <f t="shared" si="3"/>
        <v>RES_201101_P1T62025</v>
      </c>
    </row>
    <row r="234" spans="1:11">
      <c r="A234">
        <v>2025</v>
      </c>
      <c r="B234" t="s">
        <v>88</v>
      </c>
      <c r="C234" t="s">
        <v>2653</v>
      </c>
      <c r="D234" t="s">
        <v>2653</v>
      </c>
      <c r="E234" t="s">
        <v>2654</v>
      </c>
      <c r="F234" t="s">
        <v>2654</v>
      </c>
      <c r="G234" t="s">
        <v>2654</v>
      </c>
      <c r="H234" t="s">
        <v>2654</v>
      </c>
      <c r="I234" t="s">
        <v>1871</v>
      </c>
      <c r="K234" t="str">
        <f t="shared" si="3"/>
        <v>RES_201403_P4T32025</v>
      </c>
    </row>
    <row r="235" spans="1:11">
      <c r="A235">
        <v>2025</v>
      </c>
      <c r="B235" t="s">
        <v>979</v>
      </c>
      <c r="C235" t="s">
        <v>2653</v>
      </c>
      <c r="D235" t="s">
        <v>2653</v>
      </c>
      <c r="E235" t="s">
        <v>2654</v>
      </c>
      <c r="F235" t="s">
        <v>2654</v>
      </c>
      <c r="G235" t="s">
        <v>2654</v>
      </c>
      <c r="H235" t="s">
        <v>2654</v>
      </c>
      <c r="I235" t="s">
        <v>1223</v>
      </c>
      <c r="K235" t="str">
        <f t="shared" si="3"/>
        <v>RES_201403_P14T12025</v>
      </c>
    </row>
    <row r="236" spans="1:11">
      <c r="A236">
        <v>2025</v>
      </c>
      <c r="B236" t="s">
        <v>350</v>
      </c>
      <c r="C236" t="s">
        <v>2653</v>
      </c>
      <c r="D236" t="s">
        <v>2653</v>
      </c>
      <c r="E236" t="s">
        <v>2654</v>
      </c>
      <c r="F236" t="s">
        <v>2654</v>
      </c>
      <c r="G236" t="s">
        <v>2654</v>
      </c>
      <c r="H236" t="s">
        <v>2654</v>
      </c>
      <c r="I236" t="s">
        <v>1870</v>
      </c>
      <c r="K236" t="str">
        <f t="shared" si="3"/>
        <v>RES_201403_P4T22025</v>
      </c>
    </row>
    <row r="237" spans="1:11">
      <c r="A237">
        <v>2025</v>
      </c>
      <c r="B237" t="s">
        <v>17</v>
      </c>
      <c r="C237" t="s">
        <v>2653</v>
      </c>
      <c r="D237" t="s">
        <v>2653</v>
      </c>
      <c r="E237" t="s">
        <v>2654</v>
      </c>
      <c r="F237" t="s">
        <v>2654</v>
      </c>
      <c r="G237" t="s">
        <v>2654</v>
      </c>
      <c r="H237" t="s">
        <v>2654</v>
      </c>
      <c r="I237" t="s">
        <v>1120</v>
      </c>
      <c r="K237" t="str">
        <f t="shared" si="3"/>
        <v>COM_200002_P2T12025</v>
      </c>
    </row>
    <row r="238" spans="1:11">
      <c r="A238">
        <v>2025</v>
      </c>
      <c r="B238" t="s">
        <v>22</v>
      </c>
      <c r="C238" t="s">
        <v>2653</v>
      </c>
      <c r="D238" t="s">
        <v>2653</v>
      </c>
      <c r="E238" t="s">
        <v>2654</v>
      </c>
      <c r="F238" t="s">
        <v>2654</v>
      </c>
      <c r="G238" t="s">
        <v>2654</v>
      </c>
      <c r="H238" t="s">
        <v>2654</v>
      </c>
      <c r="I238" t="s">
        <v>2298</v>
      </c>
      <c r="K238" t="str">
        <f t="shared" si="3"/>
        <v>COM_200802_P1T12025</v>
      </c>
    </row>
    <row r="239" spans="1:11">
      <c r="A239">
        <v>2025</v>
      </c>
      <c r="B239" t="s">
        <v>1593</v>
      </c>
      <c r="C239" t="s">
        <v>2653</v>
      </c>
      <c r="D239" t="s">
        <v>2653</v>
      </c>
      <c r="E239" t="s">
        <v>2654</v>
      </c>
      <c r="F239" t="s">
        <v>2654</v>
      </c>
      <c r="G239" t="s">
        <v>2654</v>
      </c>
      <c r="H239" t="s">
        <v>2654</v>
      </c>
      <c r="I239" t="s">
        <v>2341</v>
      </c>
      <c r="K239" t="str">
        <f t="shared" si="3"/>
        <v>IND_200603_P1T12025</v>
      </c>
    </row>
    <row r="240" spans="1:11">
      <c r="A240">
        <v>2025</v>
      </c>
      <c r="B240" t="s">
        <v>34</v>
      </c>
      <c r="C240" t="s">
        <v>2653</v>
      </c>
      <c r="D240" t="s">
        <v>2653</v>
      </c>
      <c r="E240" t="s">
        <v>2654</v>
      </c>
      <c r="F240" t="s">
        <v>2654</v>
      </c>
      <c r="G240" t="s">
        <v>2654</v>
      </c>
      <c r="H240" t="s">
        <v>2654</v>
      </c>
      <c r="I240" t="s">
        <v>2195</v>
      </c>
      <c r="K240" t="str">
        <f t="shared" si="3"/>
        <v>IND_200602_P1T12025</v>
      </c>
    </row>
    <row r="241" spans="1:11">
      <c r="A241">
        <v>2025</v>
      </c>
      <c r="B241" t="s">
        <v>431</v>
      </c>
      <c r="C241" t="s">
        <v>2653</v>
      </c>
      <c r="D241" t="s">
        <v>2653</v>
      </c>
      <c r="E241" t="s">
        <v>2654</v>
      </c>
      <c r="F241" t="s">
        <v>2654</v>
      </c>
      <c r="G241" t="s">
        <v>2654</v>
      </c>
      <c r="H241" t="s">
        <v>2654</v>
      </c>
      <c r="I241" t="s">
        <v>2229</v>
      </c>
      <c r="K241" t="str">
        <f t="shared" si="3"/>
        <v>RES_199705_P1T12025</v>
      </c>
    </row>
    <row r="242" spans="1:11">
      <c r="A242">
        <v>2025</v>
      </c>
      <c r="B242" t="s">
        <v>437</v>
      </c>
      <c r="C242" t="s">
        <v>2653</v>
      </c>
      <c r="D242" t="s">
        <v>2653</v>
      </c>
      <c r="E242" t="s">
        <v>2654</v>
      </c>
      <c r="F242" t="s">
        <v>2654</v>
      </c>
      <c r="G242" t="s">
        <v>2654</v>
      </c>
      <c r="H242" t="s">
        <v>2654</v>
      </c>
      <c r="I242" t="s">
        <v>1817</v>
      </c>
      <c r="K242" t="str">
        <f t="shared" si="3"/>
        <v>Res_201301_P20T32025</v>
      </c>
    </row>
    <row r="243" spans="1:11">
      <c r="A243">
        <v>2025</v>
      </c>
      <c r="B243" t="s">
        <v>1597</v>
      </c>
      <c r="C243" t="s">
        <v>2653</v>
      </c>
      <c r="D243" t="s">
        <v>2653</v>
      </c>
      <c r="E243" t="s">
        <v>2654</v>
      </c>
      <c r="F243" t="s">
        <v>2654</v>
      </c>
      <c r="G243" t="s">
        <v>2654</v>
      </c>
      <c r="H243" t="s">
        <v>2654</v>
      </c>
      <c r="I243" t="s">
        <v>1726</v>
      </c>
      <c r="K243" t="str">
        <f t="shared" si="3"/>
        <v>RES_200401_P15T12025</v>
      </c>
    </row>
    <row r="244" spans="1:11">
      <c r="A244">
        <v>2025</v>
      </c>
      <c r="B244" t="s">
        <v>115</v>
      </c>
      <c r="C244" t="s">
        <v>2653</v>
      </c>
      <c r="D244" t="s">
        <v>2653</v>
      </c>
      <c r="E244" t="s">
        <v>2654</v>
      </c>
      <c r="F244" t="s">
        <v>2654</v>
      </c>
      <c r="G244" t="s">
        <v>2654</v>
      </c>
      <c r="H244" t="s">
        <v>2654</v>
      </c>
      <c r="I244" t="s">
        <v>1811</v>
      </c>
      <c r="K244" t="str">
        <f t="shared" si="3"/>
        <v>RES_201301_P18T12025</v>
      </c>
    </row>
    <row r="245" spans="1:11">
      <c r="A245">
        <v>2025</v>
      </c>
      <c r="B245" t="s">
        <v>56</v>
      </c>
      <c r="C245" t="s">
        <v>2653</v>
      </c>
      <c r="D245" t="s">
        <v>2653</v>
      </c>
      <c r="E245" t="s">
        <v>2654</v>
      </c>
      <c r="F245" t="s">
        <v>2654</v>
      </c>
      <c r="G245" t="s">
        <v>2654</v>
      </c>
      <c r="H245" t="s">
        <v>2654</v>
      </c>
      <c r="I245" t="s">
        <v>1796</v>
      </c>
      <c r="K245" t="str">
        <f t="shared" si="3"/>
        <v>RES_201301_P12T12025</v>
      </c>
    </row>
    <row r="246" spans="1:11">
      <c r="A246">
        <v>2025</v>
      </c>
      <c r="B246" t="s">
        <v>404</v>
      </c>
      <c r="C246" t="s">
        <v>2653</v>
      </c>
      <c r="D246" t="s">
        <v>2653</v>
      </c>
      <c r="E246" t="s">
        <v>2654</v>
      </c>
      <c r="F246" t="s">
        <v>2654</v>
      </c>
      <c r="G246" t="s">
        <v>2654</v>
      </c>
      <c r="H246" t="s">
        <v>2654</v>
      </c>
      <c r="I246" t="s">
        <v>1795</v>
      </c>
      <c r="K246" t="str">
        <f t="shared" si="3"/>
        <v>RES_201301_P11T12025</v>
      </c>
    </row>
    <row r="247" spans="1:11">
      <c r="A247">
        <v>2025</v>
      </c>
      <c r="B247" t="s">
        <v>620</v>
      </c>
      <c r="C247" t="s">
        <v>2653</v>
      </c>
      <c r="D247" t="s">
        <v>2653</v>
      </c>
      <c r="E247" t="s">
        <v>2654</v>
      </c>
      <c r="F247" t="s">
        <v>2654</v>
      </c>
      <c r="G247" t="s">
        <v>2654</v>
      </c>
      <c r="H247" t="s">
        <v>2654</v>
      </c>
      <c r="I247" t="s">
        <v>1821</v>
      </c>
      <c r="K247" t="str">
        <f t="shared" si="3"/>
        <v>RES_201301_P24T12025</v>
      </c>
    </row>
    <row r="248" spans="1:11">
      <c r="A248">
        <v>2025</v>
      </c>
      <c r="B248" t="s">
        <v>1598</v>
      </c>
      <c r="C248" t="s">
        <v>2653</v>
      </c>
      <c r="D248" t="s">
        <v>2653</v>
      </c>
      <c r="E248" t="s">
        <v>2654</v>
      </c>
      <c r="F248" t="s">
        <v>2654</v>
      </c>
      <c r="G248" t="s">
        <v>2654</v>
      </c>
      <c r="H248" t="s">
        <v>2654</v>
      </c>
      <c r="I248" t="s">
        <v>1727</v>
      </c>
      <c r="K248" t="str">
        <f t="shared" si="3"/>
        <v>RES_200401_P16T12025</v>
      </c>
    </row>
    <row r="249" spans="1:11">
      <c r="A249">
        <v>2025</v>
      </c>
      <c r="B249" t="s">
        <v>2339</v>
      </c>
      <c r="C249" t="s">
        <v>2653</v>
      </c>
      <c r="D249" t="s">
        <v>2653</v>
      </c>
      <c r="E249" t="s">
        <v>2654</v>
      </c>
      <c r="F249" t="s">
        <v>2654</v>
      </c>
      <c r="G249" t="s">
        <v>2654</v>
      </c>
      <c r="H249" t="s">
        <v>2654</v>
      </c>
      <c r="I249" t="s">
        <v>1950</v>
      </c>
      <c r="K249" t="str">
        <f t="shared" si="3"/>
        <v>COM_201601_P1T12025</v>
      </c>
    </row>
    <row r="250" spans="1:11">
      <c r="A250">
        <v>2025</v>
      </c>
      <c r="B250" t="s">
        <v>2438</v>
      </c>
      <c r="C250" t="s">
        <v>2653</v>
      </c>
      <c r="D250" t="s">
        <v>2653</v>
      </c>
      <c r="E250" t="s">
        <v>2654</v>
      </c>
      <c r="F250" t="s">
        <v>2654</v>
      </c>
      <c r="G250" t="s">
        <v>2654</v>
      </c>
      <c r="H250" t="s">
        <v>2654</v>
      </c>
      <c r="I250" t="s">
        <v>2441</v>
      </c>
      <c r="K250" t="str">
        <f t="shared" si="3"/>
        <v>COM_202201_P3T12025</v>
      </c>
    </row>
    <row r="251" spans="1:11">
      <c r="A251">
        <v>2025</v>
      </c>
      <c r="B251" t="s">
        <v>2433</v>
      </c>
      <c r="C251" t="s">
        <v>2653</v>
      </c>
      <c r="D251" t="s">
        <v>2653</v>
      </c>
      <c r="E251" t="s">
        <v>2654</v>
      </c>
      <c r="F251" t="s">
        <v>2654</v>
      </c>
      <c r="G251" t="s">
        <v>2654</v>
      </c>
      <c r="H251" t="s">
        <v>2654</v>
      </c>
      <c r="I251" t="s">
        <v>2435</v>
      </c>
      <c r="K251" t="str">
        <f t="shared" si="3"/>
        <v>COM_202201_P2T12025</v>
      </c>
    </row>
    <row r="252" spans="1:11">
      <c r="A252">
        <v>2025</v>
      </c>
      <c r="B252" t="s">
        <v>2353</v>
      </c>
      <c r="C252" t="s">
        <v>2653</v>
      </c>
      <c r="D252" t="s">
        <v>2653</v>
      </c>
      <c r="E252" t="s">
        <v>2654</v>
      </c>
      <c r="F252" t="s">
        <v>2654</v>
      </c>
      <c r="G252" t="s">
        <v>2654</v>
      </c>
      <c r="H252" t="s">
        <v>2654</v>
      </c>
      <c r="I252" t="s">
        <v>2430</v>
      </c>
      <c r="K252" t="str">
        <f t="shared" si="3"/>
        <v>COM_202201_P1T22025</v>
      </c>
    </row>
    <row r="253" spans="1:11">
      <c r="A253">
        <v>2025</v>
      </c>
      <c r="B253" t="s">
        <v>2444</v>
      </c>
      <c r="C253" t="s">
        <v>2653</v>
      </c>
      <c r="D253" t="s">
        <v>2653</v>
      </c>
      <c r="E253" t="s">
        <v>2654</v>
      </c>
      <c r="F253" t="s">
        <v>2654</v>
      </c>
      <c r="G253" t="s">
        <v>2654</v>
      </c>
      <c r="H253" t="s">
        <v>2654</v>
      </c>
      <c r="I253" t="s">
        <v>2445</v>
      </c>
      <c r="K253" t="str">
        <f t="shared" si="3"/>
        <v>COM_202201_P4T12025</v>
      </c>
    </row>
    <row r="254" spans="1:11">
      <c r="A254">
        <v>2025</v>
      </c>
      <c r="B254" t="s">
        <v>2447</v>
      </c>
      <c r="C254" t="s">
        <v>2653</v>
      </c>
      <c r="D254" t="s">
        <v>2653</v>
      </c>
      <c r="E254" t="s">
        <v>2654</v>
      </c>
      <c r="F254" t="s">
        <v>2654</v>
      </c>
      <c r="G254" t="s">
        <v>2654</v>
      </c>
      <c r="H254" t="s">
        <v>2654</v>
      </c>
      <c r="I254" t="s">
        <v>2449</v>
      </c>
      <c r="K254" t="str">
        <f t="shared" si="3"/>
        <v>COM_202201_P5T12025</v>
      </c>
    </row>
    <row r="255" spans="1:11">
      <c r="A255">
        <v>2025</v>
      </c>
      <c r="B255" t="s">
        <v>2452</v>
      </c>
      <c r="C255" t="s">
        <v>2653</v>
      </c>
      <c r="D255" t="s">
        <v>2653</v>
      </c>
      <c r="E255" t="s">
        <v>2654</v>
      </c>
      <c r="F255" t="s">
        <v>2654</v>
      </c>
      <c r="G255" t="s">
        <v>2654</v>
      </c>
      <c r="H255" t="s">
        <v>2654</v>
      </c>
      <c r="I255" t="s">
        <v>2453</v>
      </c>
      <c r="K255" t="str">
        <f t="shared" si="3"/>
        <v>COM_202201_P6T12025</v>
      </c>
    </row>
    <row r="256" spans="1:11">
      <c r="A256">
        <v>2024</v>
      </c>
      <c r="B256" t="s">
        <v>2133</v>
      </c>
      <c r="C256" t="s">
        <v>2653</v>
      </c>
      <c r="D256" t="s">
        <v>2653</v>
      </c>
      <c r="E256" t="s">
        <v>2654</v>
      </c>
      <c r="F256" t="s">
        <v>2654</v>
      </c>
      <c r="G256" t="s">
        <v>2654</v>
      </c>
      <c r="H256" t="s">
        <v>2654</v>
      </c>
      <c r="I256" t="s">
        <v>2296</v>
      </c>
      <c r="K256" t="str">
        <f t="shared" si="3"/>
        <v>COM_200702_P1T12024</v>
      </c>
    </row>
    <row r="257" spans="1:11">
      <c r="A257">
        <v>2024</v>
      </c>
      <c r="B257" t="s">
        <v>1594</v>
      </c>
      <c r="C257" t="s">
        <v>2653</v>
      </c>
      <c r="D257" t="s">
        <v>2653</v>
      </c>
      <c r="E257" t="s">
        <v>2654</v>
      </c>
      <c r="F257" t="s">
        <v>2654</v>
      </c>
      <c r="G257" t="s">
        <v>2654</v>
      </c>
      <c r="H257" t="s">
        <v>2654</v>
      </c>
      <c r="I257" t="s">
        <v>2343</v>
      </c>
      <c r="K257" t="str">
        <f t="shared" si="3"/>
        <v>RES_199802_P1T12024</v>
      </c>
    </row>
    <row r="258" spans="1:11">
      <c r="A258">
        <v>2024</v>
      </c>
      <c r="B258" t="s">
        <v>2186</v>
      </c>
      <c r="C258" t="s">
        <v>2653</v>
      </c>
      <c r="D258" t="s">
        <v>2653</v>
      </c>
      <c r="E258" t="s">
        <v>2654</v>
      </c>
      <c r="F258" t="s">
        <v>2654</v>
      </c>
      <c r="G258" t="s">
        <v>2654</v>
      </c>
      <c r="H258" t="s">
        <v>2654</v>
      </c>
      <c r="I258" t="s">
        <v>2189</v>
      </c>
      <c r="K258" t="str">
        <f t="shared" si="3"/>
        <v>IND_199901_P1T12024</v>
      </c>
    </row>
    <row r="259" spans="1:11">
      <c r="A259">
        <v>2024</v>
      </c>
      <c r="B259" t="s">
        <v>2136</v>
      </c>
      <c r="C259" t="s">
        <v>2653</v>
      </c>
      <c r="D259" t="s">
        <v>2653</v>
      </c>
      <c r="E259" t="s">
        <v>2654</v>
      </c>
      <c r="F259" t="s">
        <v>2654</v>
      </c>
      <c r="G259" t="s">
        <v>2654</v>
      </c>
      <c r="H259" t="s">
        <v>2654</v>
      </c>
      <c r="I259" t="s">
        <v>2297</v>
      </c>
      <c r="K259" t="str">
        <f t="shared" ref="K259:K322" si="4">B259&amp;A259</f>
        <v>COM_200801_P1T12024</v>
      </c>
    </row>
    <row r="260" spans="1:11">
      <c r="A260">
        <v>2024</v>
      </c>
      <c r="B260" t="s">
        <v>2153</v>
      </c>
      <c r="C260" t="s">
        <v>2653</v>
      </c>
      <c r="D260" t="s">
        <v>2653</v>
      </c>
      <c r="E260" t="s">
        <v>2654</v>
      </c>
      <c r="F260" t="s">
        <v>2654</v>
      </c>
      <c r="G260" t="s">
        <v>2654</v>
      </c>
      <c r="H260" t="s">
        <v>2654</v>
      </c>
      <c r="I260" t="s">
        <v>2299</v>
      </c>
      <c r="K260" t="str">
        <f t="shared" si="4"/>
        <v>COM_200901_P1T12024</v>
      </c>
    </row>
    <row r="261" spans="1:11">
      <c r="A261">
        <v>2024</v>
      </c>
      <c r="B261" t="s">
        <v>24</v>
      </c>
      <c r="C261" t="s">
        <v>2653</v>
      </c>
      <c r="D261" t="s">
        <v>2653</v>
      </c>
      <c r="E261" t="s">
        <v>2654</v>
      </c>
      <c r="F261" t="s">
        <v>2654</v>
      </c>
      <c r="G261" t="s">
        <v>2654</v>
      </c>
      <c r="H261" t="s">
        <v>2654</v>
      </c>
      <c r="I261" t="s">
        <v>2164</v>
      </c>
      <c r="K261" t="str">
        <f t="shared" si="4"/>
        <v>COM_201201_P1T12024</v>
      </c>
    </row>
    <row r="262" spans="1:11">
      <c r="A262">
        <v>2024</v>
      </c>
      <c r="B262" t="s">
        <v>229</v>
      </c>
      <c r="C262" t="s">
        <v>2653</v>
      </c>
      <c r="D262" t="s">
        <v>2653</v>
      </c>
      <c r="E262" t="s">
        <v>2654</v>
      </c>
      <c r="F262" t="s">
        <v>2654</v>
      </c>
      <c r="G262" t="s">
        <v>2654</v>
      </c>
      <c r="H262" t="s">
        <v>2654</v>
      </c>
      <c r="I262" t="s">
        <v>2359</v>
      </c>
      <c r="K262" t="str">
        <f t="shared" si="4"/>
        <v>RES_201403_P11T12024</v>
      </c>
    </row>
    <row r="263" spans="1:11">
      <c r="A263">
        <v>2024</v>
      </c>
      <c r="B263" t="s">
        <v>231</v>
      </c>
      <c r="C263" t="s">
        <v>2653</v>
      </c>
      <c r="D263" t="s">
        <v>2653</v>
      </c>
      <c r="E263" t="s">
        <v>2654</v>
      </c>
      <c r="F263" t="s">
        <v>2654</v>
      </c>
      <c r="G263" t="s">
        <v>2654</v>
      </c>
      <c r="H263" t="s">
        <v>2654</v>
      </c>
      <c r="I263" t="s">
        <v>2361</v>
      </c>
      <c r="K263" t="str">
        <f t="shared" si="4"/>
        <v>RES_201403_P11T32024</v>
      </c>
    </row>
    <row r="264" spans="1:11">
      <c r="A264">
        <v>2024</v>
      </c>
      <c r="B264" t="s">
        <v>230</v>
      </c>
      <c r="C264" t="s">
        <v>2653</v>
      </c>
      <c r="D264" t="s">
        <v>2653</v>
      </c>
      <c r="E264" t="s">
        <v>2654</v>
      </c>
      <c r="F264" t="s">
        <v>2654</v>
      </c>
      <c r="G264" t="s">
        <v>2654</v>
      </c>
      <c r="H264" t="s">
        <v>2654</v>
      </c>
      <c r="I264" t="s">
        <v>2360</v>
      </c>
      <c r="K264" t="str">
        <f t="shared" si="4"/>
        <v>RES_201403_P11T22024</v>
      </c>
    </row>
    <row r="265" spans="1:11">
      <c r="A265">
        <v>2024</v>
      </c>
      <c r="B265" t="s">
        <v>16</v>
      </c>
      <c r="C265" t="s">
        <v>2653</v>
      </c>
      <c r="D265" t="s">
        <v>2653</v>
      </c>
      <c r="E265" t="s">
        <v>2654</v>
      </c>
      <c r="F265" t="s">
        <v>2654</v>
      </c>
      <c r="G265" t="s">
        <v>2654</v>
      </c>
      <c r="H265" t="s">
        <v>2654</v>
      </c>
      <c r="I265" t="s">
        <v>1118</v>
      </c>
      <c r="K265" t="str">
        <f t="shared" si="4"/>
        <v>COM_200002_P1T12024</v>
      </c>
    </row>
    <row r="266" spans="1:11">
      <c r="A266">
        <v>2024</v>
      </c>
      <c r="B266" t="s">
        <v>1591</v>
      </c>
      <c r="C266" t="s">
        <v>2653</v>
      </c>
      <c r="D266" t="s">
        <v>2653</v>
      </c>
      <c r="E266" t="s">
        <v>2654</v>
      </c>
      <c r="F266" t="s">
        <v>2654</v>
      </c>
      <c r="G266" t="s">
        <v>2654</v>
      </c>
      <c r="H266" t="s">
        <v>2654</v>
      </c>
      <c r="I266" t="s">
        <v>1508</v>
      </c>
      <c r="K266" t="str">
        <f t="shared" si="4"/>
        <v>IND_200004_P1T12024</v>
      </c>
    </row>
    <row r="267" spans="1:11">
      <c r="A267">
        <v>2024</v>
      </c>
      <c r="B267" t="s">
        <v>49</v>
      </c>
      <c r="C267" t="s">
        <v>2653</v>
      </c>
      <c r="D267" t="s">
        <v>2653</v>
      </c>
      <c r="E267" t="s">
        <v>2654</v>
      </c>
      <c r="F267" t="s">
        <v>2654</v>
      </c>
      <c r="G267" t="s">
        <v>2654</v>
      </c>
      <c r="H267" t="s">
        <v>2654</v>
      </c>
      <c r="I267" t="s">
        <v>1130</v>
      </c>
      <c r="K267" t="str">
        <f t="shared" si="4"/>
        <v>RES_200804_P3T12024</v>
      </c>
    </row>
    <row r="268" spans="1:11">
      <c r="A268">
        <v>2024</v>
      </c>
      <c r="B268" t="s">
        <v>48</v>
      </c>
      <c r="C268" t="s">
        <v>2653</v>
      </c>
      <c r="D268" t="s">
        <v>2653</v>
      </c>
      <c r="E268" t="s">
        <v>2654</v>
      </c>
      <c r="F268" t="s">
        <v>2654</v>
      </c>
      <c r="G268" t="s">
        <v>2654</v>
      </c>
      <c r="H268" t="s">
        <v>2654</v>
      </c>
      <c r="I268" t="s">
        <v>1128</v>
      </c>
      <c r="K268" t="str">
        <f t="shared" si="4"/>
        <v>RES_200804_P2T12024</v>
      </c>
    </row>
    <row r="269" spans="1:11">
      <c r="A269">
        <v>2024</v>
      </c>
      <c r="B269" t="s">
        <v>2198</v>
      </c>
      <c r="C269" t="s">
        <v>2653</v>
      </c>
      <c r="D269" t="s">
        <v>2653</v>
      </c>
      <c r="E269" t="s">
        <v>2654</v>
      </c>
      <c r="F269" t="s">
        <v>2654</v>
      </c>
      <c r="G269" t="s">
        <v>2654</v>
      </c>
      <c r="H269" t="s">
        <v>2654</v>
      </c>
      <c r="I269" t="s">
        <v>2199</v>
      </c>
      <c r="K269" t="str">
        <f t="shared" si="4"/>
        <v>IND_200702_P1T12024</v>
      </c>
    </row>
    <row r="270" spans="1:11">
      <c r="A270">
        <v>2024</v>
      </c>
      <c r="B270" t="s">
        <v>1590</v>
      </c>
      <c r="C270" t="s">
        <v>2653</v>
      </c>
      <c r="D270" t="s">
        <v>2653</v>
      </c>
      <c r="E270" t="s">
        <v>2654</v>
      </c>
      <c r="F270" t="s">
        <v>2654</v>
      </c>
      <c r="G270" t="s">
        <v>2654</v>
      </c>
      <c r="H270" t="s">
        <v>2654</v>
      </c>
      <c r="I270" t="s">
        <v>1574</v>
      </c>
      <c r="K270" t="str">
        <f t="shared" si="4"/>
        <v>IND_199801_P1T12024</v>
      </c>
    </row>
    <row r="271" spans="1:11">
      <c r="A271">
        <v>2024</v>
      </c>
      <c r="B271" t="s">
        <v>1595</v>
      </c>
      <c r="C271" t="s">
        <v>2653</v>
      </c>
      <c r="D271" t="s">
        <v>2653</v>
      </c>
      <c r="E271" t="s">
        <v>2654</v>
      </c>
      <c r="F271" t="s">
        <v>2654</v>
      </c>
      <c r="G271" t="s">
        <v>2654</v>
      </c>
      <c r="H271" t="s">
        <v>2654</v>
      </c>
      <c r="I271" t="s">
        <v>1723</v>
      </c>
      <c r="K271" t="str">
        <f t="shared" si="4"/>
        <v>RES_200401_P12T12024</v>
      </c>
    </row>
    <row r="272" spans="1:11">
      <c r="A272">
        <v>2024</v>
      </c>
      <c r="B272" t="s">
        <v>114</v>
      </c>
      <c r="C272" t="s">
        <v>2653</v>
      </c>
      <c r="D272" t="s">
        <v>2653</v>
      </c>
      <c r="E272" t="s">
        <v>2654</v>
      </c>
      <c r="F272" t="s">
        <v>2654</v>
      </c>
      <c r="G272" t="s">
        <v>2654</v>
      </c>
      <c r="H272" t="s">
        <v>2654</v>
      </c>
      <c r="I272" t="s">
        <v>1810</v>
      </c>
      <c r="K272" t="str">
        <f t="shared" si="4"/>
        <v>RES_201301_P17T12024</v>
      </c>
    </row>
    <row r="273" spans="1:11">
      <c r="A273">
        <v>2024</v>
      </c>
      <c r="B273" t="s">
        <v>65</v>
      </c>
      <c r="C273" t="s">
        <v>2653</v>
      </c>
      <c r="D273" t="s">
        <v>2653</v>
      </c>
      <c r="E273" t="s">
        <v>2654</v>
      </c>
      <c r="F273" t="s">
        <v>2654</v>
      </c>
      <c r="G273" t="s">
        <v>2654</v>
      </c>
      <c r="H273" t="s">
        <v>2654</v>
      </c>
      <c r="I273" t="s">
        <v>1840</v>
      </c>
      <c r="K273" t="str">
        <f t="shared" si="4"/>
        <v>RES_201301_P8T12024</v>
      </c>
    </row>
    <row r="274" spans="1:11">
      <c r="A274">
        <v>2024</v>
      </c>
      <c r="B274" t="s">
        <v>358</v>
      </c>
      <c r="C274" t="s">
        <v>2653</v>
      </c>
      <c r="D274" t="s">
        <v>2653</v>
      </c>
      <c r="E274" t="s">
        <v>2654</v>
      </c>
      <c r="F274" t="s">
        <v>2654</v>
      </c>
      <c r="G274" t="s">
        <v>2654</v>
      </c>
      <c r="H274" t="s">
        <v>2654</v>
      </c>
      <c r="I274" t="s">
        <v>1837</v>
      </c>
      <c r="K274" t="str">
        <f t="shared" si="4"/>
        <v>RES_201301_P5T12024</v>
      </c>
    </row>
    <row r="275" spans="1:11">
      <c r="A275">
        <v>2024</v>
      </c>
      <c r="B275" t="s">
        <v>617</v>
      </c>
      <c r="C275" t="s">
        <v>2653</v>
      </c>
      <c r="D275" t="s">
        <v>2653</v>
      </c>
      <c r="E275" t="s">
        <v>2654</v>
      </c>
      <c r="F275" t="s">
        <v>2654</v>
      </c>
      <c r="G275" t="s">
        <v>2654</v>
      </c>
      <c r="H275" t="s">
        <v>2654</v>
      </c>
      <c r="I275" t="s">
        <v>1818</v>
      </c>
      <c r="K275" t="str">
        <f t="shared" si="4"/>
        <v>RES_201301_P21T12024</v>
      </c>
    </row>
    <row r="276" spans="1:11">
      <c r="A276">
        <v>2024</v>
      </c>
      <c r="B276" t="s">
        <v>688</v>
      </c>
      <c r="C276" t="s">
        <v>2653</v>
      </c>
      <c r="D276" t="s">
        <v>2653</v>
      </c>
      <c r="E276" t="s">
        <v>2654</v>
      </c>
      <c r="F276" t="s">
        <v>2654</v>
      </c>
      <c r="G276" t="s">
        <v>2654</v>
      </c>
      <c r="H276" t="s">
        <v>2654</v>
      </c>
      <c r="I276" t="s">
        <v>1661</v>
      </c>
      <c r="K276" t="str">
        <f t="shared" si="4"/>
        <v>COM_200002_P3T12024</v>
      </c>
    </row>
    <row r="277" spans="1:11">
      <c r="A277">
        <v>2024</v>
      </c>
      <c r="B277" t="s">
        <v>690</v>
      </c>
      <c r="C277" t="s">
        <v>2653</v>
      </c>
      <c r="D277" t="s">
        <v>2653</v>
      </c>
      <c r="E277" t="s">
        <v>2654</v>
      </c>
      <c r="F277" t="s">
        <v>2654</v>
      </c>
      <c r="G277" t="s">
        <v>2654</v>
      </c>
      <c r="H277" t="s">
        <v>2654</v>
      </c>
      <c r="I277" t="s">
        <v>1662</v>
      </c>
      <c r="K277" t="str">
        <f t="shared" si="4"/>
        <v>COM_200002_P4T12024</v>
      </c>
    </row>
    <row r="278" spans="1:11">
      <c r="A278">
        <v>2024</v>
      </c>
      <c r="B278" t="s">
        <v>2119</v>
      </c>
      <c r="C278" t="s">
        <v>2653</v>
      </c>
      <c r="D278" t="s">
        <v>2653</v>
      </c>
      <c r="E278" t="s">
        <v>2654</v>
      </c>
      <c r="F278" t="s">
        <v>2654</v>
      </c>
      <c r="G278" t="s">
        <v>2654</v>
      </c>
      <c r="H278" t="s">
        <v>2654</v>
      </c>
      <c r="I278" t="s">
        <v>2123</v>
      </c>
      <c r="K278" t="str">
        <f t="shared" si="4"/>
        <v>AGR_200201_P1T12024</v>
      </c>
    </row>
    <row r="279" spans="1:11">
      <c r="A279">
        <v>2024</v>
      </c>
      <c r="B279" t="s">
        <v>30</v>
      </c>
      <c r="C279" t="s">
        <v>2653</v>
      </c>
      <c r="D279" t="s">
        <v>2653</v>
      </c>
      <c r="E279" t="s">
        <v>2654</v>
      </c>
      <c r="F279" t="s">
        <v>2654</v>
      </c>
      <c r="G279" t="s">
        <v>2654</v>
      </c>
      <c r="H279" t="s">
        <v>2654</v>
      </c>
      <c r="I279" t="s">
        <v>2191</v>
      </c>
      <c r="K279" t="str">
        <f t="shared" si="4"/>
        <v>IND_199902_P1T12024</v>
      </c>
    </row>
    <row r="280" spans="1:11">
      <c r="A280">
        <v>2024</v>
      </c>
      <c r="B280" t="s">
        <v>31</v>
      </c>
      <c r="C280" t="s">
        <v>2653</v>
      </c>
      <c r="D280" t="s">
        <v>2653</v>
      </c>
      <c r="E280" t="s">
        <v>2654</v>
      </c>
      <c r="F280" t="s">
        <v>2654</v>
      </c>
      <c r="G280" t="s">
        <v>2654</v>
      </c>
      <c r="H280" t="s">
        <v>2654</v>
      </c>
      <c r="I280" t="s">
        <v>2194</v>
      </c>
      <c r="K280" t="str">
        <f t="shared" si="4"/>
        <v>IND_199902_P2T12024</v>
      </c>
    </row>
    <row r="281" spans="1:11">
      <c r="A281">
        <v>2024</v>
      </c>
      <c r="B281" t="s">
        <v>66</v>
      </c>
      <c r="C281" t="s">
        <v>2653</v>
      </c>
      <c r="D281" t="s">
        <v>2653</v>
      </c>
      <c r="E281" t="s">
        <v>2654</v>
      </c>
      <c r="F281" t="s">
        <v>2654</v>
      </c>
      <c r="G281" t="s">
        <v>2654</v>
      </c>
      <c r="H281" t="s">
        <v>2654</v>
      </c>
      <c r="I281" t="s">
        <v>1841</v>
      </c>
      <c r="K281" t="str">
        <f t="shared" si="4"/>
        <v>RES_201301_P9T12024</v>
      </c>
    </row>
    <row r="282" spans="1:11">
      <c r="A282">
        <v>2024</v>
      </c>
      <c r="B282" t="s">
        <v>370</v>
      </c>
      <c r="C282" t="s">
        <v>2653</v>
      </c>
      <c r="D282" t="s">
        <v>2653</v>
      </c>
      <c r="E282" t="s">
        <v>2654</v>
      </c>
      <c r="F282" t="s">
        <v>2654</v>
      </c>
      <c r="G282" t="s">
        <v>2654</v>
      </c>
      <c r="H282" t="s">
        <v>2654</v>
      </c>
      <c r="I282" t="s">
        <v>1838</v>
      </c>
      <c r="K282" t="str">
        <f t="shared" si="4"/>
        <v>RES_201301_P6T12024</v>
      </c>
    </row>
    <row r="283" spans="1:11">
      <c r="A283">
        <v>2024</v>
      </c>
      <c r="B283" t="s">
        <v>618</v>
      </c>
      <c r="C283" t="s">
        <v>2653</v>
      </c>
      <c r="D283" t="s">
        <v>2653</v>
      </c>
      <c r="E283" t="s">
        <v>2654</v>
      </c>
      <c r="F283" t="s">
        <v>2654</v>
      </c>
      <c r="G283" t="s">
        <v>2654</v>
      </c>
      <c r="H283" t="s">
        <v>2654</v>
      </c>
      <c r="I283" t="s">
        <v>1819</v>
      </c>
      <c r="K283" t="str">
        <f t="shared" si="4"/>
        <v>RES_201301_P22T12024</v>
      </c>
    </row>
    <row r="284" spans="1:11">
      <c r="A284">
        <v>2024</v>
      </c>
      <c r="B284" t="s">
        <v>1580</v>
      </c>
      <c r="C284" t="s">
        <v>2653</v>
      </c>
      <c r="D284" t="s">
        <v>2653</v>
      </c>
      <c r="E284" t="s">
        <v>2654</v>
      </c>
      <c r="F284" t="s">
        <v>2654</v>
      </c>
      <c r="G284" t="s">
        <v>2654</v>
      </c>
      <c r="H284" t="s">
        <v>2654</v>
      </c>
      <c r="I284" t="s">
        <v>1575</v>
      </c>
      <c r="K284" t="str">
        <f t="shared" si="4"/>
        <v>COM_200203_P1T12024</v>
      </c>
    </row>
    <row r="285" spans="1:11">
      <c r="A285">
        <v>2024</v>
      </c>
      <c r="B285" t="s">
        <v>336</v>
      </c>
      <c r="C285" t="s">
        <v>2653</v>
      </c>
      <c r="D285" t="s">
        <v>2653</v>
      </c>
      <c r="E285" t="s">
        <v>2654</v>
      </c>
      <c r="F285" t="s">
        <v>2654</v>
      </c>
      <c r="G285" t="s">
        <v>2654</v>
      </c>
      <c r="H285" t="s">
        <v>2654</v>
      </c>
      <c r="I285" t="s">
        <v>2131</v>
      </c>
      <c r="K285" t="str">
        <f t="shared" si="4"/>
        <v>COM_199701_P1T12024</v>
      </c>
    </row>
    <row r="286" spans="1:11">
      <c r="A286">
        <v>2024</v>
      </c>
      <c r="B286" t="s">
        <v>616</v>
      </c>
      <c r="C286" t="s">
        <v>2653</v>
      </c>
      <c r="D286" t="s">
        <v>2653</v>
      </c>
      <c r="E286" t="s">
        <v>2654</v>
      </c>
      <c r="F286" t="s">
        <v>2654</v>
      </c>
      <c r="G286" t="s">
        <v>2654</v>
      </c>
      <c r="H286" t="s">
        <v>2654</v>
      </c>
      <c r="I286" t="s">
        <v>1826</v>
      </c>
      <c r="K286" t="str">
        <f t="shared" si="4"/>
        <v>RES_201301_P26T52024</v>
      </c>
    </row>
    <row r="287" spans="1:11">
      <c r="A287">
        <v>2024</v>
      </c>
      <c r="B287" t="s">
        <v>563</v>
      </c>
      <c r="C287" t="s">
        <v>2653</v>
      </c>
      <c r="D287" t="s">
        <v>2653</v>
      </c>
      <c r="E287" t="s">
        <v>2654</v>
      </c>
      <c r="F287" t="s">
        <v>2654</v>
      </c>
      <c r="G287" t="s">
        <v>2654</v>
      </c>
      <c r="H287" t="s">
        <v>2654</v>
      </c>
      <c r="I287" t="s">
        <v>1812</v>
      </c>
      <c r="K287" t="str">
        <f t="shared" si="4"/>
        <v>Res_201301_P19T12024</v>
      </c>
    </row>
    <row r="288" spans="1:11">
      <c r="A288">
        <v>2024</v>
      </c>
      <c r="B288" t="s">
        <v>1596</v>
      </c>
      <c r="C288" t="s">
        <v>2653</v>
      </c>
      <c r="D288" t="s">
        <v>2653</v>
      </c>
      <c r="E288" t="s">
        <v>2654</v>
      </c>
      <c r="F288" t="s">
        <v>2654</v>
      </c>
      <c r="G288" t="s">
        <v>2654</v>
      </c>
      <c r="H288" t="s">
        <v>2654</v>
      </c>
      <c r="I288" t="s">
        <v>1725</v>
      </c>
      <c r="K288" t="str">
        <f t="shared" si="4"/>
        <v>RES_200401_P14T12024</v>
      </c>
    </row>
    <row r="289" spans="1:11">
      <c r="A289">
        <v>2024</v>
      </c>
      <c r="B289" t="s">
        <v>55</v>
      </c>
      <c r="C289" t="s">
        <v>2653</v>
      </c>
      <c r="D289" t="s">
        <v>2653</v>
      </c>
      <c r="E289" t="s">
        <v>2654</v>
      </c>
      <c r="F289" t="s">
        <v>2654</v>
      </c>
      <c r="G289" t="s">
        <v>2654</v>
      </c>
      <c r="H289" t="s">
        <v>2654</v>
      </c>
      <c r="I289" t="s">
        <v>1794</v>
      </c>
      <c r="K289" t="str">
        <f t="shared" si="4"/>
        <v>RES_201301_P10T12024</v>
      </c>
    </row>
    <row r="290" spans="1:11">
      <c r="A290">
        <v>2024</v>
      </c>
      <c r="B290" t="s">
        <v>381</v>
      </c>
      <c r="C290" t="s">
        <v>2653</v>
      </c>
      <c r="D290" t="s">
        <v>2653</v>
      </c>
      <c r="E290" t="s">
        <v>2654</v>
      </c>
      <c r="F290" t="s">
        <v>2654</v>
      </c>
      <c r="G290" t="s">
        <v>2654</v>
      </c>
      <c r="H290" t="s">
        <v>2654</v>
      </c>
      <c r="I290" t="s">
        <v>1839</v>
      </c>
      <c r="K290" t="str">
        <f t="shared" si="4"/>
        <v>RES_201301_P7T12024</v>
      </c>
    </row>
    <row r="291" spans="1:11">
      <c r="A291">
        <v>2024</v>
      </c>
      <c r="B291" t="s">
        <v>619</v>
      </c>
      <c r="C291" t="s">
        <v>2653</v>
      </c>
      <c r="D291" t="s">
        <v>2653</v>
      </c>
      <c r="E291" t="s">
        <v>2654</v>
      </c>
      <c r="F291" t="s">
        <v>2654</v>
      </c>
      <c r="G291" t="s">
        <v>2654</v>
      </c>
      <c r="H291" t="s">
        <v>2654</v>
      </c>
      <c r="I291" t="s">
        <v>1820</v>
      </c>
      <c r="K291" t="str">
        <f t="shared" si="4"/>
        <v>RES_201301_P23T12024</v>
      </c>
    </row>
    <row r="292" spans="1:11">
      <c r="A292">
        <v>2024</v>
      </c>
      <c r="B292" t="s">
        <v>2158</v>
      </c>
      <c r="C292" t="s">
        <v>2653</v>
      </c>
      <c r="D292" t="s">
        <v>2653</v>
      </c>
      <c r="E292" t="s">
        <v>2654</v>
      </c>
      <c r="F292" t="s">
        <v>2654</v>
      </c>
      <c r="G292" t="s">
        <v>2654</v>
      </c>
      <c r="H292" t="s">
        <v>2654</v>
      </c>
      <c r="I292" t="s">
        <v>2161</v>
      </c>
      <c r="K292" t="str">
        <f t="shared" si="4"/>
        <v>COM_201101_P1T12024</v>
      </c>
    </row>
    <row r="293" spans="1:11">
      <c r="A293">
        <v>2024</v>
      </c>
      <c r="B293" t="s">
        <v>35</v>
      </c>
      <c r="C293" t="s">
        <v>2653</v>
      </c>
      <c r="D293" t="s">
        <v>2653</v>
      </c>
      <c r="E293" t="s">
        <v>2654</v>
      </c>
      <c r="F293" t="s">
        <v>2654</v>
      </c>
      <c r="G293" t="s">
        <v>2654</v>
      </c>
      <c r="H293" t="s">
        <v>2654</v>
      </c>
      <c r="I293" t="s">
        <v>1117</v>
      </c>
      <c r="K293" t="str">
        <f t="shared" si="4"/>
        <v>IND_201301_P1T12024</v>
      </c>
    </row>
    <row r="294" spans="1:11">
      <c r="A294">
        <v>2024</v>
      </c>
      <c r="B294" t="s">
        <v>374</v>
      </c>
      <c r="C294" t="s">
        <v>2653</v>
      </c>
      <c r="D294" t="s">
        <v>2653</v>
      </c>
      <c r="E294" t="s">
        <v>2654</v>
      </c>
      <c r="F294" t="s">
        <v>2654</v>
      </c>
      <c r="G294" t="s">
        <v>2654</v>
      </c>
      <c r="H294" t="s">
        <v>2654</v>
      </c>
      <c r="I294" t="s">
        <v>1724</v>
      </c>
      <c r="K294" t="str">
        <f t="shared" si="4"/>
        <v>RES_200401_P13T12024</v>
      </c>
    </row>
    <row r="295" spans="1:11">
      <c r="A295">
        <v>2024</v>
      </c>
      <c r="B295" t="s">
        <v>50</v>
      </c>
      <c r="C295" t="s">
        <v>2653</v>
      </c>
      <c r="D295" t="s">
        <v>2653</v>
      </c>
      <c r="E295" t="s">
        <v>2654</v>
      </c>
      <c r="F295" t="s">
        <v>2654</v>
      </c>
      <c r="G295" t="s">
        <v>2654</v>
      </c>
      <c r="H295" t="s">
        <v>2654</v>
      </c>
      <c r="I295" t="s">
        <v>1768</v>
      </c>
      <c r="K295" t="str">
        <f t="shared" si="4"/>
        <v>RES_201101_P1T12024</v>
      </c>
    </row>
    <row r="296" spans="1:11">
      <c r="A296">
        <v>2024</v>
      </c>
      <c r="B296" t="s">
        <v>84</v>
      </c>
      <c r="C296" t="s">
        <v>2653</v>
      </c>
      <c r="D296" t="s">
        <v>2653</v>
      </c>
      <c r="E296" t="s">
        <v>2654</v>
      </c>
      <c r="F296" t="s">
        <v>2654</v>
      </c>
      <c r="G296" t="s">
        <v>2654</v>
      </c>
      <c r="H296" t="s">
        <v>2654</v>
      </c>
      <c r="I296" t="s">
        <v>1769</v>
      </c>
      <c r="K296" t="str">
        <f t="shared" si="4"/>
        <v>RES_201101_P1T22024</v>
      </c>
    </row>
    <row r="297" spans="1:11">
      <c r="A297">
        <v>2024</v>
      </c>
      <c r="B297" t="s">
        <v>85</v>
      </c>
      <c r="C297" t="s">
        <v>2653</v>
      </c>
      <c r="D297" t="s">
        <v>2653</v>
      </c>
      <c r="E297" t="s">
        <v>2654</v>
      </c>
      <c r="F297" t="s">
        <v>2654</v>
      </c>
      <c r="G297" t="s">
        <v>2654</v>
      </c>
      <c r="H297" t="s">
        <v>2654</v>
      </c>
      <c r="I297" t="s">
        <v>1770</v>
      </c>
      <c r="K297" t="str">
        <f t="shared" si="4"/>
        <v>RES_201101_P1T32024</v>
      </c>
    </row>
    <row r="298" spans="1:11">
      <c r="A298">
        <v>2024</v>
      </c>
      <c r="B298" t="s">
        <v>86</v>
      </c>
      <c r="C298" t="s">
        <v>2653</v>
      </c>
      <c r="D298" t="s">
        <v>2653</v>
      </c>
      <c r="E298" t="s">
        <v>2654</v>
      </c>
      <c r="F298" t="s">
        <v>2654</v>
      </c>
      <c r="G298" t="s">
        <v>2654</v>
      </c>
      <c r="H298" t="s">
        <v>2654</v>
      </c>
      <c r="I298" t="s">
        <v>1771</v>
      </c>
      <c r="K298" t="str">
        <f t="shared" si="4"/>
        <v>RES_201101_P1T42024</v>
      </c>
    </row>
    <row r="299" spans="1:11">
      <c r="A299">
        <v>2024</v>
      </c>
      <c r="B299" t="s">
        <v>87</v>
      </c>
      <c r="C299" t="s">
        <v>2653</v>
      </c>
      <c r="D299" t="s">
        <v>2653</v>
      </c>
      <c r="E299" t="s">
        <v>2654</v>
      </c>
      <c r="F299" t="s">
        <v>2654</v>
      </c>
      <c r="G299" t="s">
        <v>2654</v>
      </c>
      <c r="H299" t="s">
        <v>2654</v>
      </c>
      <c r="I299" t="s">
        <v>1772</v>
      </c>
      <c r="K299" t="str">
        <f t="shared" si="4"/>
        <v>RES_201101_P1T52024</v>
      </c>
    </row>
    <row r="300" spans="1:11">
      <c r="A300">
        <v>2024</v>
      </c>
      <c r="B300" t="s">
        <v>113</v>
      </c>
      <c r="C300" t="s">
        <v>2653</v>
      </c>
      <c r="D300" t="s">
        <v>2653</v>
      </c>
      <c r="E300" t="s">
        <v>2654</v>
      </c>
      <c r="F300" t="s">
        <v>2654</v>
      </c>
      <c r="G300" t="s">
        <v>2654</v>
      </c>
      <c r="H300" t="s">
        <v>2654</v>
      </c>
      <c r="I300" t="s">
        <v>1773</v>
      </c>
      <c r="K300" t="str">
        <f t="shared" si="4"/>
        <v>RES_201101_P1T62024</v>
      </c>
    </row>
    <row r="301" spans="1:11">
      <c r="A301">
        <v>2024</v>
      </c>
      <c r="B301" t="s">
        <v>88</v>
      </c>
      <c r="C301" t="s">
        <v>2653</v>
      </c>
      <c r="D301" t="s">
        <v>2653</v>
      </c>
      <c r="E301" t="s">
        <v>2654</v>
      </c>
      <c r="F301" t="s">
        <v>2654</v>
      </c>
      <c r="G301" t="s">
        <v>2654</v>
      </c>
      <c r="H301" t="s">
        <v>2654</v>
      </c>
      <c r="I301" t="s">
        <v>1871</v>
      </c>
      <c r="K301" t="str">
        <f t="shared" si="4"/>
        <v>RES_201403_P4T32024</v>
      </c>
    </row>
    <row r="302" spans="1:11">
      <c r="A302">
        <v>2024</v>
      </c>
      <c r="B302" t="s">
        <v>979</v>
      </c>
      <c r="C302" t="s">
        <v>2653</v>
      </c>
      <c r="D302" t="s">
        <v>2653</v>
      </c>
      <c r="E302" t="s">
        <v>2654</v>
      </c>
      <c r="F302" t="s">
        <v>2654</v>
      </c>
      <c r="G302" t="s">
        <v>2654</v>
      </c>
      <c r="H302" t="s">
        <v>2654</v>
      </c>
      <c r="I302" t="s">
        <v>1223</v>
      </c>
      <c r="K302" t="str">
        <f t="shared" si="4"/>
        <v>RES_201403_P14T12024</v>
      </c>
    </row>
    <row r="303" spans="1:11">
      <c r="A303">
        <v>2024</v>
      </c>
      <c r="B303" t="s">
        <v>350</v>
      </c>
      <c r="C303" t="s">
        <v>2653</v>
      </c>
      <c r="D303" t="s">
        <v>2653</v>
      </c>
      <c r="E303" t="s">
        <v>2654</v>
      </c>
      <c r="F303" t="s">
        <v>2654</v>
      </c>
      <c r="G303" t="s">
        <v>2654</v>
      </c>
      <c r="H303" t="s">
        <v>2654</v>
      </c>
      <c r="I303" t="s">
        <v>1870</v>
      </c>
      <c r="K303" t="str">
        <f t="shared" si="4"/>
        <v>RES_201403_P4T22024</v>
      </c>
    </row>
    <row r="304" spans="1:11">
      <c r="A304">
        <v>2024</v>
      </c>
      <c r="B304" t="s">
        <v>110</v>
      </c>
      <c r="C304" t="s">
        <v>2653</v>
      </c>
      <c r="D304" t="s">
        <v>2653</v>
      </c>
      <c r="E304" t="s">
        <v>2654</v>
      </c>
      <c r="F304" t="s">
        <v>2654</v>
      </c>
      <c r="G304" t="s">
        <v>2654</v>
      </c>
      <c r="H304" t="s">
        <v>2654</v>
      </c>
      <c r="I304" t="s">
        <v>1214</v>
      </c>
      <c r="K304" t="str">
        <f t="shared" si="4"/>
        <v>RES_201403_P10T12024</v>
      </c>
    </row>
    <row r="305" spans="1:11">
      <c r="A305">
        <v>2024</v>
      </c>
      <c r="B305" t="s">
        <v>342</v>
      </c>
      <c r="C305" t="s">
        <v>2653</v>
      </c>
      <c r="D305" t="s">
        <v>2653</v>
      </c>
      <c r="E305" t="s">
        <v>2654</v>
      </c>
      <c r="F305" t="s">
        <v>2654</v>
      </c>
      <c r="G305" t="s">
        <v>2654</v>
      </c>
      <c r="H305" t="s">
        <v>2654</v>
      </c>
      <c r="I305" t="s">
        <v>1215</v>
      </c>
      <c r="K305" t="str">
        <f t="shared" si="4"/>
        <v>RES_201403_P10T22024</v>
      </c>
    </row>
    <row r="306" spans="1:11">
      <c r="A306">
        <v>2024</v>
      </c>
      <c r="B306" t="s">
        <v>17</v>
      </c>
      <c r="C306" t="s">
        <v>2653</v>
      </c>
      <c r="D306" t="s">
        <v>2653</v>
      </c>
      <c r="E306" t="s">
        <v>2654</v>
      </c>
      <c r="F306" t="s">
        <v>2654</v>
      </c>
      <c r="G306" t="s">
        <v>2654</v>
      </c>
      <c r="H306" t="s">
        <v>2654</v>
      </c>
      <c r="I306" t="s">
        <v>1120</v>
      </c>
      <c r="K306" t="str">
        <f t="shared" si="4"/>
        <v>COM_200002_P2T12024</v>
      </c>
    </row>
    <row r="307" spans="1:11">
      <c r="A307">
        <v>2024</v>
      </c>
      <c r="B307" t="s">
        <v>22</v>
      </c>
      <c r="C307" t="s">
        <v>2653</v>
      </c>
      <c r="D307" t="s">
        <v>2653</v>
      </c>
      <c r="E307" t="s">
        <v>2654</v>
      </c>
      <c r="F307" t="s">
        <v>2654</v>
      </c>
      <c r="G307" t="s">
        <v>2654</v>
      </c>
      <c r="H307" t="s">
        <v>2654</v>
      </c>
      <c r="I307" t="s">
        <v>2298</v>
      </c>
      <c r="K307" t="str">
        <f t="shared" si="4"/>
        <v>COM_200802_P1T12024</v>
      </c>
    </row>
    <row r="308" spans="1:11">
      <c r="A308">
        <v>2024</v>
      </c>
      <c r="B308" t="s">
        <v>1593</v>
      </c>
      <c r="C308" t="s">
        <v>2653</v>
      </c>
      <c r="D308" t="s">
        <v>2653</v>
      </c>
      <c r="E308" t="s">
        <v>2654</v>
      </c>
      <c r="F308" t="s">
        <v>2654</v>
      </c>
      <c r="G308" t="s">
        <v>2654</v>
      </c>
      <c r="H308" t="s">
        <v>2654</v>
      </c>
      <c r="I308" t="s">
        <v>2341</v>
      </c>
      <c r="K308" t="str">
        <f t="shared" si="4"/>
        <v>IND_200603_P1T12024</v>
      </c>
    </row>
    <row r="309" spans="1:11">
      <c r="A309">
        <v>2024</v>
      </c>
      <c r="B309" t="s">
        <v>34</v>
      </c>
      <c r="C309" t="s">
        <v>2653</v>
      </c>
      <c r="D309" t="s">
        <v>2653</v>
      </c>
      <c r="E309" t="s">
        <v>2654</v>
      </c>
      <c r="F309" t="s">
        <v>2654</v>
      </c>
      <c r="G309" t="s">
        <v>2654</v>
      </c>
      <c r="H309" t="s">
        <v>2654</v>
      </c>
      <c r="I309" t="s">
        <v>2195</v>
      </c>
      <c r="K309" t="str">
        <f t="shared" si="4"/>
        <v>IND_200602_P1T12024</v>
      </c>
    </row>
    <row r="310" spans="1:11">
      <c r="A310">
        <v>2024</v>
      </c>
      <c r="B310" t="s">
        <v>431</v>
      </c>
      <c r="C310" t="s">
        <v>2653</v>
      </c>
      <c r="D310" t="s">
        <v>2653</v>
      </c>
      <c r="E310" t="s">
        <v>2654</v>
      </c>
      <c r="F310" t="s">
        <v>2654</v>
      </c>
      <c r="G310" t="s">
        <v>2654</v>
      </c>
      <c r="H310" t="s">
        <v>2654</v>
      </c>
      <c r="I310" t="s">
        <v>2229</v>
      </c>
      <c r="K310" t="str">
        <f t="shared" si="4"/>
        <v>RES_199705_P1T12024</v>
      </c>
    </row>
    <row r="311" spans="1:11">
      <c r="A311">
        <v>2024</v>
      </c>
      <c r="B311" t="s">
        <v>437</v>
      </c>
      <c r="C311" t="s">
        <v>2653</v>
      </c>
      <c r="D311" t="s">
        <v>2653</v>
      </c>
      <c r="E311" t="s">
        <v>2654</v>
      </c>
      <c r="F311" t="s">
        <v>2654</v>
      </c>
      <c r="G311" t="s">
        <v>2654</v>
      </c>
      <c r="H311" t="s">
        <v>2654</v>
      </c>
      <c r="I311" t="s">
        <v>1817</v>
      </c>
      <c r="K311" t="str">
        <f t="shared" si="4"/>
        <v>Res_201301_P20T32024</v>
      </c>
    </row>
    <row r="312" spans="1:11">
      <c r="A312">
        <v>2024</v>
      </c>
      <c r="B312" t="s">
        <v>1597</v>
      </c>
      <c r="C312" t="s">
        <v>2653</v>
      </c>
      <c r="D312" t="s">
        <v>2653</v>
      </c>
      <c r="E312" t="s">
        <v>2654</v>
      </c>
      <c r="F312" t="s">
        <v>2654</v>
      </c>
      <c r="G312" t="s">
        <v>2654</v>
      </c>
      <c r="H312" t="s">
        <v>2654</v>
      </c>
      <c r="I312" t="s">
        <v>1726</v>
      </c>
      <c r="K312" t="str">
        <f t="shared" si="4"/>
        <v>RES_200401_P15T12024</v>
      </c>
    </row>
    <row r="313" spans="1:11">
      <c r="A313">
        <v>2024</v>
      </c>
      <c r="B313" t="s">
        <v>115</v>
      </c>
      <c r="C313" t="s">
        <v>2653</v>
      </c>
      <c r="D313" t="s">
        <v>2653</v>
      </c>
      <c r="E313" t="s">
        <v>2654</v>
      </c>
      <c r="F313" t="s">
        <v>2654</v>
      </c>
      <c r="G313" t="s">
        <v>2654</v>
      </c>
      <c r="H313" t="s">
        <v>2654</v>
      </c>
      <c r="I313" t="s">
        <v>1811</v>
      </c>
      <c r="K313" t="str">
        <f t="shared" si="4"/>
        <v>RES_201301_P18T12024</v>
      </c>
    </row>
    <row r="314" spans="1:11">
      <c r="A314">
        <v>2024</v>
      </c>
      <c r="B314" t="s">
        <v>56</v>
      </c>
      <c r="C314" t="s">
        <v>2653</v>
      </c>
      <c r="D314" t="s">
        <v>2653</v>
      </c>
      <c r="E314" t="s">
        <v>2654</v>
      </c>
      <c r="F314" t="s">
        <v>2654</v>
      </c>
      <c r="G314" t="s">
        <v>2654</v>
      </c>
      <c r="H314" t="s">
        <v>2654</v>
      </c>
      <c r="I314" t="s">
        <v>1796</v>
      </c>
      <c r="K314" t="str">
        <f t="shared" si="4"/>
        <v>RES_201301_P12T12024</v>
      </c>
    </row>
    <row r="315" spans="1:11">
      <c r="A315">
        <v>2024</v>
      </c>
      <c r="B315" t="s">
        <v>404</v>
      </c>
      <c r="C315" t="s">
        <v>2653</v>
      </c>
      <c r="D315" t="s">
        <v>2653</v>
      </c>
      <c r="E315" t="s">
        <v>2654</v>
      </c>
      <c r="F315" t="s">
        <v>2654</v>
      </c>
      <c r="G315" t="s">
        <v>2654</v>
      </c>
      <c r="H315" t="s">
        <v>2654</v>
      </c>
      <c r="I315" t="s">
        <v>1795</v>
      </c>
      <c r="K315" t="str">
        <f t="shared" si="4"/>
        <v>RES_201301_P11T12024</v>
      </c>
    </row>
    <row r="316" spans="1:11">
      <c r="A316">
        <v>2024</v>
      </c>
      <c r="B316" t="s">
        <v>620</v>
      </c>
      <c r="C316" t="s">
        <v>2653</v>
      </c>
      <c r="D316" t="s">
        <v>2653</v>
      </c>
      <c r="E316" t="s">
        <v>2654</v>
      </c>
      <c r="F316" t="s">
        <v>2654</v>
      </c>
      <c r="G316" t="s">
        <v>2654</v>
      </c>
      <c r="H316" t="s">
        <v>2654</v>
      </c>
      <c r="I316" t="s">
        <v>1821</v>
      </c>
      <c r="K316" t="str">
        <f t="shared" si="4"/>
        <v>RES_201301_P24T12024</v>
      </c>
    </row>
    <row r="317" spans="1:11">
      <c r="A317">
        <v>2024</v>
      </c>
      <c r="B317" t="s">
        <v>1598</v>
      </c>
      <c r="C317" t="s">
        <v>2653</v>
      </c>
      <c r="D317" t="s">
        <v>2653</v>
      </c>
      <c r="E317" t="s">
        <v>2654</v>
      </c>
      <c r="F317" t="s">
        <v>2654</v>
      </c>
      <c r="G317" t="s">
        <v>2654</v>
      </c>
      <c r="H317" t="s">
        <v>2654</v>
      </c>
      <c r="I317" t="s">
        <v>1727</v>
      </c>
      <c r="K317" t="str">
        <f t="shared" si="4"/>
        <v>RES_200401_P16T12024</v>
      </c>
    </row>
    <row r="318" spans="1:11">
      <c r="A318">
        <v>2024</v>
      </c>
      <c r="B318" t="s">
        <v>2339</v>
      </c>
      <c r="C318" t="s">
        <v>2653</v>
      </c>
      <c r="D318" t="s">
        <v>2653</v>
      </c>
      <c r="E318" t="s">
        <v>2654</v>
      </c>
      <c r="F318" t="s">
        <v>2654</v>
      </c>
      <c r="G318" t="s">
        <v>2654</v>
      </c>
      <c r="H318" t="s">
        <v>2654</v>
      </c>
      <c r="I318" t="s">
        <v>1950</v>
      </c>
      <c r="K318" t="str">
        <f t="shared" si="4"/>
        <v>COM_201601_P1T12024</v>
      </c>
    </row>
    <row r="319" spans="1:11">
      <c r="A319">
        <v>2024</v>
      </c>
      <c r="B319" t="s">
        <v>2438</v>
      </c>
      <c r="C319" t="s">
        <v>2653</v>
      </c>
      <c r="D319" t="s">
        <v>2653</v>
      </c>
      <c r="E319" t="s">
        <v>2654</v>
      </c>
      <c r="F319" t="s">
        <v>2654</v>
      </c>
      <c r="G319" t="s">
        <v>2654</v>
      </c>
      <c r="H319" t="s">
        <v>2654</v>
      </c>
      <c r="I319" t="s">
        <v>2441</v>
      </c>
      <c r="K319" t="str">
        <f t="shared" si="4"/>
        <v>COM_202201_P3T12024</v>
      </c>
    </row>
    <row r="320" spans="1:11">
      <c r="A320">
        <v>2024</v>
      </c>
      <c r="B320" t="s">
        <v>2433</v>
      </c>
      <c r="C320" t="s">
        <v>2653</v>
      </c>
      <c r="D320" t="s">
        <v>2653</v>
      </c>
      <c r="E320" t="s">
        <v>2654</v>
      </c>
      <c r="F320" t="s">
        <v>2654</v>
      </c>
      <c r="G320" t="s">
        <v>2654</v>
      </c>
      <c r="H320" t="s">
        <v>2654</v>
      </c>
      <c r="I320" t="s">
        <v>2435</v>
      </c>
      <c r="K320" t="str">
        <f t="shared" si="4"/>
        <v>COM_202201_P2T12024</v>
      </c>
    </row>
    <row r="321" spans="1:11">
      <c r="A321">
        <v>2024</v>
      </c>
      <c r="B321" t="s">
        <v>2353</v>
      </c>
      <c r="C321" t="s">
        <v>2653</v>
      </c>
      <c r="D321" t="s">
        <v>2653</v>
      </c>
      <c r="E321" t="s">
        <v>2654</v>
      </c>
      <c r="F321" t="s">
        <v>2654</v>
      </c>
      <c r="G321" t="s">
        <v>2654</v>
      </c>
      <c r="H321" t="s">
        <v>2654</v>
      </c>
      <c r="I321" t="s">
        <v>2430</v>
      </c>
      <c r="K321" t="str">
        <f t="shared" si="4"/>
        <v>COM_202201_P1T22024</v>
      </c>
    </row>
    <row r="322" spans="1:11">
      <c r="A322">
        <v>2024</v>
      </c>
      <c r="B322" t="s">
        <v>2444</v>
      </c>
      <c r="C322" t="s">
        <v>2653</v>
      </c>
      <c r="D322" t="s">
        <v>2653</v>
      </c>
      <c r="E322" t="s">
        <v>2654</v>
      </c>
      <c r="F322" t="s">
        <v>2654</v>
      </c>
      <c r="G322" t="s">
        <v>2654</v>
      </c>
      <c r="H322" t="s">
        <v>2654</v>
      </c>
      <c r="I322" t="s">
        <v>2445</v>
      </c>
      <c r="K322" t="str">
        <f t="shared" si="4"/>
        <v>COM_202201_P4T12024</v>
      </c>
    </row>
    <row r="323" spans="1:11">
      <c r="A323">
        <v>2024</v>
      </c>
      <c r="B323" t="s">
        <v>2447</v>
      </c>
      <c r="C323" t="s">
        <v>2653</v>
      </c>
      <c r="D323" t="s">
        <v>2653</v>
      </c>
      <c r="E323" t="s">
        <v>2654</v>
      </c>
      <c r="F323" t="s">
        <v>2654</v>
      </c>
      <c r="G323" t="s">
        <v>2654</v>
      </c>
      <c r="H323" t="s">
        <v>2654</v>
      </c>
      <c r="I323" t="s">
        <v>2449</v>
      </c>
      <c r="K323" t="str">
        <f t="shared" ref="K323:K386" si="5">B323&amp;A323</f>
        <v>COM_202201_P5T12024</v>
      </c>
    </row>
    <row r="324" spans="1:11">
      <c r="A324">
        <v>2024</v>
      </c>
      <c r="B324" t="s">
        <v>2452</v>
      </c>
      <c r="C324" t="s">
        <v>2653</v>
      </c>
      <c r="D324" t="s">
        <v>2653</v>
      </c>
      <c r="E324" t="s">
        <v>2654</v>
      </c>
      <c r="F324" t="s">
        <v>2654</v>
      </c>
      <c r="G324" t="s">
        <v>2654</v>
      </c>
      <c r="H324" t="s">
        <v>2654</v>
      </c>
      <c r="I324" t="s">
        <v>2453</v>
      </c>
      <c r="K324" t="str">
        <f t="shared" si="5"/>
        <v>COM_202201_P6T12024</v>
      </c>
    </row>
    <row r="325" spans="1:11">
      <c r="A325">
        <v>2024</v>
      </c>
      <c r="B325" t="s">
        <v>41</v>
      </c>
      <c r="C325" t="s">
        <v>2653</v>
      </c>
      <c r="D325" t="s">
        <v>2653</v>
      </c>
      <c r="E325" t="s">
        <v>2654</v>
      </c>
      <c r="F325" t="s">
        <v>2654</v>
      </c>
      <c r="G325" t="s">
        <v>2654</v>
      </c>
      <c r="H325" t="s">
        <v>2653</v>
      </c>
      <c r="I325" t="s">
        <v>1201</v>
      </c>
      <c r="K325" t="str">
        <f t="shared" si="5"/>
        <v>RES_199703_P1T12024</v>
      </c>
    </row>
    <row r="326" spans="1:11">
      <c r="A326">
        <v>2025</v>
      </c>
      <c r="B326" t="s">
        <v>41</v>
      </c>
      <c r="C326" t="s">
        <v>2653</v>
      </c>
      <c r="D326" t="s">
        <v>2653</v>
      </c>
      <c r="E326" t="s">
        <v>2654</v>
      </c>
      <c r="F326" t="s">
        <v>2654</v>
      </c>
      <c r="G326" t="s">
        <v>2654</v>
      </c>
      <c r="H326" t="s">
        <v>2653</v>
      </c>
      <c r="I326" t="s">
        <v>1201</v>
      </c>
      <c r="K326" t="str">
        <f t="shared" si="5"/>
        <v>RES_199703_P1T12025</v>
      </c>
    </row>
    <row r="327" spans="1:11">
      <c r="A327">
        <v>2026</v>
      </c>
      <c r="B327" t="s">
        <v>41</v>
      </c>
      <c r="C327" t="s">
        <v>2653</v>
      </c>
      <c r="D327" t="s">
        <v>2653</v>
      </c>
      <c r="E327" t="s">
        <v>2654</v>
      </c>
      <c r="F327" t="s">
        <v>2654</v>
      </c>
      <c r="G327" t="s">
        <v>2654</v>
      </c>
      <c r="H327" t="s">
        <v>2653</v>
      </c>
      <c r="I327" t="s">
        <v>1201</v>
      </c>
      <c r="K327" t="str">
        <f t="shared" si="5"/>
        <v>RES_199703_P1T12026</v>
      </c>
    </row>
    <row r="328" spans="1:11">
      <c r="A328">
        <v>2027</v>
      </c>
      <c r="B328" t="s">
        <v>41</v>
      </c>
      <c r="C328" t="s">
        <v>2653</v>
      </c>
      <c r="D328" t="s">
        <v>2653</v>
      </c>
      <c r="E328" t="s">
        <v>2654</v>
      </c>
      <c r="F328" t="s">
        <v>2654</v>
      </c>
      <c r="G328" t="s">
        <v>2654</v>
      </c>
      <c r="H328" t="s">
        <v>2653</v>
      </c>
      <c r="I328" t="s">
        <v>1201</v>
      </c>
      <c r="K328" t="str">
        <f t="shared" si="5"/>
        <v>RES_199703_P1T12027</v>
      </c>
    </row>
    <row r="329" spans="1:11">
      <c r="A329">
        <v>2024</v>
      </c>
      <c r="B329" t="s">
        <v>42</v>
      </c>
      <c r="C329" t="s">
        <v>2653</v>
      </c>
      <c r="D329" t="s">
        <v>2653</v>
      </c>
      <c r="E329" t="s">
        <v>2654</v>
      </c>
      <c r="F329" t="s">
        <v>2654</v>
      </c>
      <c r="G329" t="s">
        <v>2654</v>
      </c>
      <c r="H329" t="s">
        <v>2653</v>
      </c>
      <c r="I329" t="s">
        <v>1203</v>
      </c>
      <c r="K329" t="str">
        <f t="shared" si="5"/>
        <v>RES_199703_P2T12024</v>
      </c>
    </row>
    <row r="330" spans="1:11">
      <c r="A330">
        <v>2025</v>
      </c>
      <c r="B330" t="s">
        <v>42</v>
      </c>
      <c r="C330" t="s">
        <v>2653</v>
      </c>
      <c r="D330" t="s">
        <v>2653</v>
      </c>
      <c r="E330" t="s">
        <v>2654</v>
      </c>
      <c r="F330" t="s">
        <v>2654</v>
      </c>
      <c r="G330" t="s">
        <v>2654</v>
      </c>
      <c r="H330" t="s">
        <v>2653</v>
      </c>
      <c r="I330" t="s">
        <v>1203</v>
      </c>
      <c r="K330" t="str">
        <f t="shared" si="5"/>
        <v>RES_199703_P2T12025</v>
      </c>
    </row>
    <row r="331" spans="1:11">
      <c r="A331">
        <v>2026</v>
      </c>
      <c r="B331" t="s">
        <v>42</v>
      </c>
      <c r="C331" t="s">
        <v>2653</v>
      </c>
      <c r="D331" t="s">
        <v>2653</v>
      </c>
      <c r="E331" t="s">
        <v>2654</v>
      </c>
      <c r="F331" t="s">
        <v>2654</v>
      </c>
      <c r="G331" t="s">
        <v>2654</v>
      </c>
      <c r="H331" t="s">
        <v>2653</v>
      </c>
      <c r="I331" t="s">
        <v>1203</v>
      </c>
      <c r="K331" t="str">
        <f t="shared" si="5"/>
        <v>RES_199703_P2T12026</v>
      </c>
    </row>
    <row r="332" spans="1:11">
      <c r="A332">
        <v>2027</v>
      </c>
      <c r="B332" t="s">
        <v>42</v>
      </c>
      <c r="C332" t="s">
        <v>2653</v>
      </c>
      <c r="D332" t="s">
        <v>2653</v>
      </c>
      <c r="E332" t="s">
        <v>2654</v>
      </c>
      <c r="F332" t="s">
        <v>2654</v>
      </c>
      <c r="G332" t="s">
        <v>2654</v>
      </c>
      <c r="H332" t="s">
        <v>2653</v>
      </c>
      <c r="I332" t="s">
        <v>1203</v>
      </c>
      <c r="K332" t="str">
        <f t="shared" si="5"/>
        <v>RES_199703_P2T12027</v>
      </c>
    </row>
    <row r="333" spans="1:11">
      <c r="A333">
        <v>2025</v>
      </c>
      <c r="B333" t="s">
        <v>110</v>
      </c>
      <c r="C333" t="s">
        <v>2653</v>
      </c>
      <c r="D333" t="s">
        <v>2653</v>
      </c>
      <c r="E333" t="s">
        <v>2654</v>
      </c>
      <c r="F333" t="s">
        <v>2654</v>
      </c>
      <c r="G333" t="s">
        <v>2654</v>
      </c>
      <c r="H333" t="s">
        <v>2653</v>
      </c>
      <c r="I333" t="s">
        <v>1214</v>
      </c>
      <c r="K333" t="str">
        <f t="shared" si="5"/>
        <v>RES_201403_P10T12025</v>
      </c>
    </row>
    <row r="334" spans="1:11">
      <c r="A334">
        <v>2026</v>
      </c>
      <c r="B334" t="s">
        <v>110</v>
      </c>
      <c r="C334" t="s">
        <v>2653</v>
      </c>
      <c r="D334" t="s">
        <v>2653</v>
      </c>
      <c r="E334" t="s">
        <v>2654</v>
      </c>
      <c r="F334" t="s">
        <v>2654</v>
      </c>
      <c r="G334" t="s">
        <v>2654</v>
      </c>
      <c r="H334" t="s">
        <v>2653</v>
      </c>
      <c r="I334" t="s">
        <v>1214</v>
      </c>
      <c r="K334" t="str">
        <f t="shared" si="5"/>
        <v>RES_201403_P10T12026</v>
      </c>
    </row>
    <row r="335" spans="1:11">
      <c r="A335">
        <v>2027</v>
      </c>
      <c r="B335" t="s">
        <v>110</v>
      </c>
      <c r="C335" t="s">
        <v>2653</v>
      </c>
      <c r="D335" t="s">
        <v>2653</v>
      </c>
      <c r="E335" t="s">
        <v>2654</v>
      </c>
      <c r="F335" t="s">
        <v>2654</v>
      </c>
      <c r="G335" t="s">
        <v>2654</v>
      </c>
      <c r="H335" t="s">
        <v>2653</v>
      </c>
      <c r="I335" t="s">
        <v>1214</v>
      </c>
      <c r="K335" t="str">
        <f t="shared" si="5"/>
        <v>RES_201403_P10T12027</v>
      </c>
    </row>
    <row r="336" spans="1:11">
      <c r="A336">
        <v>2025</v>
      </c>
      <c r="B336" t="s">
        <v>342</v>
      </c>
      <c r="C336" t="s">
        <v>2653</v>
      </c>
      <c r="D336" t="s">
        <v>2653</v>
      </c>
      <c r="E336" t="s">
        <v>2654</v>
      </c>
      <c r="F336" t="s">
        <v>2654</v>
      </c>
      <c r="G336" t="s">
        <v>2654</v>
      </c>
      <c r="H336" t="s">
        <v>2653</v>
      </c>
      <c r="I336" t="s">
        <v>1215</v>
      </c>
      <c r="K336" t="str">
        <f t="shared" si="5"/>
        <v>RES_201403_P10T22025</v>
      </c>
    </row>
    <row r="337" spans="1:11">
      <c r="A337">
        <v>2026</v>
      </c>
      <c r="B337" t="s">
        <v>342</v>
      </c>
      <c r="C337" t="s">
        <v>2653</v>
      </c>
      <c r="D337" t="s">
        <v>2653</v>
      </c>
      <c r="E337" t="s">
        <v>2654</v>
      </c>
      <c r="F337" t="s">
        <v>2654</v>
      </c>
      <c r="G337" t="s">
        <v>2654</v>
      </c>
      <c r="H337" t="s">
        <v>2653</v>
      </c>
      <c r="I337" t="s">
        <v>1215</v>
      </c>
      <c r="K337" t="str">
        <f t="shared" si="5"/>
        <v>RES_201403_P10T22026</v>
      </c>
    </row>
    <row r="338" spans="1:11">
      <c r="A338">
        <v>2027</v>
      </c>
      <c r="B338" t="s">
        <v>342</v>
      </c>
      <c r="C338" t="s">
        <v>2653</v>
      </c>
      <c r="D338" t="s">
        <v>2653</v>
      </c>
      <c r="E338" t="s">
        <v>2654</v>
      </c>
      <c r="F338" t="s">
        <v>2654</v>
      </c>
      <c r="G338" t="s">
        <v>2654</v>
      </c>
      <c r="H338" t="s">
        <v>2653</v>
      </c>
      <c r="I338" t="s">
        <v>1215</v>
      </c>
      <c r="K338" t="str">
        <f t="shared" si="5"/>
        <v>RES_201403_P10T22027</v>
      </c>
    </row>
    <row r="339" spans="1:11">
      <c r="A339">
        <v>2024</v>
      </c>
      <c r="B339" t="s">
        <v>997</v>
      </c>
      <c r="C339" t="s">
        <v>2653</v>
      </c>
      <c r="D339" t="s">
        <v>2653</v>
      </c>
      <c r="E339" t="s">
        <v>2654</v>
      </c>
      <c r="F339" t="s">
        <v>2654</v>
      </c>
      <c r="G339" t="s">
        <v>2654</v>
      </c>
      <c r="H339" t="s">
        <v>2653</v>
      </c>
      <c r="I339" t="s">
        <v>1883</v>
      </c>
      <c r="K339" t="str">
        <f t="shared" si="5"/>
        <v>XMP_202001_P3T32024</v>
      </c>
    </row>
    <row r="340" spans="1:11">
      <c r="A340">
        <v>2025</v>
      </c>
      <c r="B340" t="s">
        <v>997</v>
      </c>
      <c r="C340" t="s">
        <v>2653</v>
      </c>
      <c r="D340" t="s">
        <v>2653</v>
      </c>
      <c r="E340" t="s">
        <v>2654</v>
      </c>
      <c r="F340" t="s">
        <v>2654</v>
      </c>
      <c r="G340" t="s">
        <v>2654</v>
      </c>
      <c r="H340" t="s">
        <v>2653</v>
      </c>
      <c r="I340" t="s">
        <v>1883</v>
      </c>
      <c r="K340" t="str">
        <f t="shared" si="5"/>
        <v>XMP_202001_P3T32025</v>
      </c>
    </row>
    <row r="341" spans="1:11">
      <c r="A341">
        <v>2026</v>
      </c>
      <c r="B341" t="s">
        <v>997</v>
      </c>
      <c r="C341" t="s">
        <v>2653</v>
      </c>
      <c r="D341" t="s">
        <v>2653</v>
      </c>
      <c r="E341" t="s">
        <v>2654</v>
      </c>
      <c r="F341" t="s">
        <v>2654</v>
      </c>
      <c r="G341" t="s">
        <v>2654</v>
      </c>
      <c r="H341" t="s">
        <v>2653</v>
      </c>
      <c r="I341" t="s">
        <v>1883</v>
      </c>
      <c r="K341" t="str">
        <f t="shared" si="5"/>
        <v>XMP_202001_P3T32026</v>
      </c>
    </row>
    <row r="342" spans="1:11">
      <c r="A342">
        <v>2027</v>
      </c>
      <c r="B342" t="s">
        <v>997</v>
      </c>
      <c r="C342" t="s">
        <v>2653</v>
      </c>
      <c r="D342" t="s">
        <v>2653</v>
      </c>
      <c r="E342" t="s">
        <v>2654</v>
      </c>
      <c r="F342" t="s">
        <v>2654</v>
      </c>
      <c r="G342" t="s">
        <v>2654</v>
      </c>
      <c r="H342" t="s">
        <v>2653</v>
      </c>
      <c r="I342" t="s">
        <v>1883</v>
      </c>
      <c r="K342" t="str">
        <f t="shared" si="5"/>
        <v>XMP_202001_P3T32027</v>
      </c>
    </row>
    <row r="343" spans="1:11">
      <c r="A343">
        <v>2024</v>
      </c>
      <c r="B343" t="s">
        <v>996</v>
      </c>
      <c r="C343" t="s">
        <v>2653</v>
      </c>
      <c r="D343" t="s">
        <v>2653</v>
      </c>
      <c r="E343" t="s">
        <v>2654</v>
      </c>
      <c r="F343" t="s">
        <v>2654</v>
      </c>
      <c r="G343" t="s">
        <v>2654</v>
      </c>
      <c r="H343" t="s">
        <v>2653</v>
      </c>
      <c r="I343" t="s">
        <v>1882</v>
      </c>
      <c r="K343" t="str">
        <f t="shared" si="5"/>
        <v>XMP_202001_P3T22024</v>
      </c>
    </row>
    <row r="344" spans="1:11">
      <c r="A344">
        <v>2025</v>
      </c>
      <c r="B344" t="s">
        <v>996</v>
      </c>
      <c r="C344" t="s">
        <v>2653</v>
      </c>
      <c r="D344" t="s">
        <v>2653</v>
      </c>
      <c r="E344" t="s">
        <v>2654</v>
      </c>
      <c r="F344" t="s">
        <v>2654</v>
      </c>
      <c r="G344" t="s">
        <v>2654</v>
      </c>
      <c r="H344" t="s">
        <v>2653</v>
      </c>
      <c r="I344" t="s">
        <v>1882</v>
      </c>
      <c r="K344" t="str">
        <f t="shared" si="5"/>
        <v>XMP_202001_P3T22025</v>
      </c>
    </row>
    <row r="345" spans="1:11">
      <c r="A345">
        <v>2026</v>
      </c>
      <c r="B345" t="s">
        <v>996</v>
      </c>
      <c r="C345" t="s">
        <v>2653</v>
      </c>
      <c r="D345" t="s">
        <v>2653</v>
      </c>
      <c r="E345" t="s">
        <v>2654</v>
      </c>
      <c r="F345" t="s">
        <v>2654</v>
      </c>
      <c r="G345" t="s">
        <v>2654</v>
      </c>
      <c r="H345" t="s">
        <v>2653</v>
      </c>
      <c r="I345" t="s">
        <v>1882</v>
      </c>
      <c r="K345" t="str">
        <f t="shared" si="5"/>
        <v>XMP_202001_P3T22026</v>
      </c>
    </row>
    <row r="346" spans="1:11">
      <c r="A346">
        <v>2027</v>
      </c>
      <c r="B346" t="s">
        <v>996</v>
      </c>
      <c r="C346" t="s">
        <v>2653</v>
      </c>
      <c r="D346" t="s">
        <v>2653</v>
      </c>
      <c r="E346" t="s">
        <v>2654</v>
      </c>
      <c r="F346" t="s">
        <v>2654</v>
      </c>
      <c r="G346" t="s">
        <v>2654</v>
      </c>
      <c r="H346" t="s">
        <v>2653</v>
      </c>
      <c r="I346" t="s">
        <v>1882</v>
      </c>
      <c r="K346" t="str">
        <f t="shared" si="5"/>
        <v>XMP_202001_P3T22027</v>
      </c>
    </row>
    <row r="347" spans="1:11">
      <c r="A347">
        <v>2024</v>
      </c>
      <c r="B347" t="s">
        <v>995</v>
      </c>
      <c r="C347" t="s">
        <v>2653</v>
      </c>
      <c r="D347" t="s">
        <v>2653</v>
      </c>
      <c r="E347" t="s">
        <v>2654</v>
      </c>
      <c r="F347" t="s">
        <v>2654</v>
      </c>
      <c r="G347" t="s">
        <v>2654</v>
      </c>
      <c r="H347" t="s">
        <v>2653</v>
      </c>
      <c r="I347" t="s">
        <v>1881</v>
      </c>
      <c r="K347" t="str">
        <f t="shared" si="5"/>
        <v>XMP_202001_P3T12024</v>
      </c>
    </row>
    <row r="348" spans="1:11">
      <c r="A348">
        <v>2025</v>
      </c>
      <c r="B348" t="s">
        <v>995</v>
      </c>
      <c r="C348" t="s">
        <v>2653</v>
      </c>
      <c r="D348" t="s">
        <v>2653</v>
      </c>
      <c r="E348" t="s">
        <v>2654</v>
      </c>
      <c r="F348" t="s">
        <v>2654</v>
      </c>
      <c r="G348" t="s">
        <v>2654</v>
      </c>
      <c r="H348" t="s">
        <v>2653</v>
      </c>
      <c r="I348" t="s">
        <v>1881</v>
      </c>
      <c r="K348" t="str">
        <f t="shared" si="5"/>
        <v>XMP_202001_P3T12025</v>
      </c>
    </row>
    <row r="349" spans="1:11">
      <c r="A349">
        <v>2026</v>
      </c>
      <c r="B349" t="s">
        <v>995</v>
      </c>
      <c r="C349" t="s">
        <v>2653</v>
      </c>
      <c r="D349" t="s">
        <v>2653</v>
      </c>
      <c r="E349" t="s">
        <v>2654</v>
      </c>
      <c r="F349" t="s">
        <v>2654</v>
      </c>
      <c r="G349" t="s">
        <v>2654</v>
      </c>
      <c r="H349" t="s">
        <v>2653</v>
      </c>
      <c r="I349" t="s">
        <v>1881</v>
      </c>
      <c r="K349" t="str">
        <f t="shared" si="5"/>
        <v>XMP_202001_P3T12026</v>
      </c>
    </row>
    <row r="350" spans="1:11">
      <c r="A350">
        <v>2027</v>
      </c>
      <c r="B350" t="s">
        <v>995</v>
      </c>
      <c r="C350" t="s">
        <v>2653</v>
      </c>
      <c r="D350" t="s">
        <v>2653</v>
      </c>
      <c r="E350" t="s">
        <v>2654</v>
      </c>
      <c r="F350" t="s">
        <v>2654</v>
      </c>
      <c r="G350" t="s">
        <v>2654</v>
      </c>
      <c r="H350" t="s">
        <v>2653</v>
      </c>
      <c r="I350" t="s">
        <v>1881</v>
      </c>
      <c r="K350" t="str">
        <f t="shared" si="5"/>
        <v>XMP_202001_P3T12027</v>
      </c>
    </row>
    <row r="351" spans="1:11">
      <c r="A351">
        <v>2024</v>
      </c>
      <c r="B351" t="s">
        <v>992</v>
      </c>
      <c r="C351" t="s">
        <v>2653</v>
      </c>
      <c r="D351" t="s">
        <v>2653</v>
      </c>
      <c r="E351" t="s">
        <v>2654</v>
      </c>
      <c r="F351" t="s">
        <v>2654</v>
      </c>
      <c r="G351" t="s">
        <v>2654</v>
      </c>
      <c r="H351" t="s">
        <v>2653</v>
      </c>
      <c r="I351" t="s">
        <v>1878</v>
      </c>
      <c r="K351" t="str">
        <f t="shared" si="5"/>
        <v>XMP_202001_P1T22024</v>
      </c>
    </row>
    <row r="352" spans="1:11">
      <c r="A352">
        <v>2025</v>
      </c>
      <c r="B352" t="s">
        <v>992</v>
      </c>
      <c r="C352" t="s">
        <v>2653</v>
      </c>
      <c r="D352" t="s">
        <v>2653</v>
      </c>
      <c r="E352" t="s">
        <v>2654</v>
      </c>
      <c r="F352" t="s">
        <v>2654</v>
      </c>
      <c r="G352" t="s">
        <v>2654</v>
      </c>
      <c r="H352" t="s">
        <v>2653</v>
      </c>
      <c r="I352" t="s">
        <v>1878</v>
      </c>
      <c r="K352" t="str">
        <f t="shared" si="5"/>
        <v>XMP_202001_P1T22025</v>
      </c>
    </row>
    <row r="353" spans="1:11">
      <c r="A353">
        <v>2026</v>
      </c>
      <c r="B353" t="s">
        <v>992</v>
      </c>
      <c r="C353" t="s">
        <v>2653</v>
      </c>
      <c r="D353" t="s">
        <v>2653</v>
      </c>
      <c r="E353" t="s">
        <v>2654</v>
      </c>
      <c r="F353" t="s">
        <v>2654</v>
      </c>
      <c r="G353" t="s">
        <v>2654</v>
      </c>
      <c r="H353" t="s">
        <v>2653</v>
      </c>
      <c r="I353" t="s">
        <v>1878</v>
      </c>
      <c r="K353" t="str">
        <f t="shared" si="5"/>
        <v>XMP_202001_P1T22026</v>
      </c>
    </row>
    <row r="354" spans="1:11">
      <c r="A354">
        <v>2027</v>
      </c>
      <c r="B354" t="s">
        <v>992</v>
      </c>
      <c r="C354" t="s">
        <v>2653</v>
      </c>
      <c r="D354" t="s">
        <v>2653</v>
      </c>
      <c r="E354" t="s">
        <v>2654</v>
      </c>
      <c r="F354" t="s">
        <v>2654</v>
      </c>
      <c r="G354" t="s">
        <v>2654</v>
      </c>
      <c r="H354" t="s">
        <v>2653</v>
      </c>
      <c r="I354" t="s">
        <v>1878</v>
      </c>
      <c r="K354" t="str">
        <f t="shared" si="5"/>
        <v>XMP_202001_P1T22027</v>
      </c>
    </row>
    <row r="355" spans="1:11">
      <c r="A355">
        <v>2024</v>
      </c>
      <c r="B355" t="s">
        <v>991</v>
      </c>
      <c r="C355" t="s">
        <v>2653</v>
      </c>
      <c r="D355" t="s">
        <v>2653</v>
      </c>
      <c r="E355" t="s">
        <v>2654</v>
      </c>
      <c r="F355" t="s">
        <v>2654</v>
      </c>
      <c r="G355" t="s">
        <v>2654</v>
      </c>
      <c r="H355" t="s">
        <v>2653</v>
      </c>
      <c r="I355" t="s">
        <v>1877</v>
      </c>
      <c r="K355" t="str">
        <f t="shared" si="5"/>
        <v>XMP_202001_P1T12024</v>
      </c>
    </row>
    <row r="356" spans="1:11">
      <c r="A356">
        <v>2025</v>
      </c>
      <c r="B356" t="s">
        <v>991</v>
      </c>
      <c r="C356" t="s">
        <v>2653</v>
      </c>
      <c r="D356" t="s">
        <v>2653</v>
      </c>
      <c r="E356" t="s">
        <v>2654</v>
      </c>
      <c r="F356" t="s">
        <v>2654</v>
      </c>
      <c r="G356" t="s">
        <v>2654</v>
      </c>
      <c r="H356" t="s">
        <v>2653</v>
      </c>
      <c r="I356" t="s">
        <v>1877</v>
      </c>
      <c r="K356" t="str">
        <f t="shared" si="5"/>
        <v>XMP_202001_P1T12025</v>
      </c>
    </row>
    <row r="357" spans="1:11">
      <c r="A357">
        <v>2026</v>
      </c>
      <c r="B357" t="s">
        <v>991</v>
      </c>
      <c r="C357" t="s">
        <v>2653</v>
      </c>
      <c r="D357" t="s">
        <v>2653</v>
      </c>
      <c r="E357" t="s">
        <v>2654</v>
      </c>
      <c r="F357" t="s">
        <v>2654</v>
      </c>
      <c r="G357" t="s">
        <v>2654</v>
      </c>
      <c r="H357" t="s">
        <v>2653</v>
      </c>
      <c r="I357" t="s">
        <v>1877</v>
      </c>
      <c r="K357" t="str">
        <f t="shared" si="5"/>
        <v>XMP_202001_P1T12026</v>
      </c>
    </row>
    <row r="358" spans="1:11">
      <c r="A358">
        <v>2027</v>
      </c>
      <c r="B358" t="s">
        <v>991</v>
      </c>
      <c r="C358" t="s">
        <v>2653</v>
      </c>
      <c r="D358" t="s">
        <v>2653</v>
      </c>
      <c r="E358" t="s">
        <v>2654</v>
      </c>
      <c r="F358" t="s">
        <v>2654</v>
      </c>
      <c r="G358" t="s">
        <v>2654</v>
      </c>
      <c r="H358" t="s">
        <v>2653</v>
      </c>
      <c r="I358" t="s">
        <v>1877</v>
      </c>
      <c r="K358" t="str">
        <f t="shared" si="5"/>
        <v>XMP_202001_P1T12027</v>
      </c>
    </row>
    <row r="359" spans="1:11">
      <c r="A359">
        <v>2024</v>
      </c>
      <c r="B359" t="s">
        <v>414</v>
      </c>
      <c r="C359" t="s">
        <v>2653</v>
      </c>
      <c r="D359" t="s">
        <v>2653</v>
      </c>
      <c r="E359" t="s">
        <v>2654</v>
      </c>
      <c r="F359" t="s">
        <v>2654</v>
      </c>
      <c r="G359" t="s">
        <v>2653</v>
      </c>
      <c r="H359" t="s">
        <v>2654</v>
      </c>
      <c r="I359" t="s">
        <v>1692</v>
      </c>
      <c r="K359" t="str">
        <f t="shared" si="5"/>
        <v>COM_200701_P1T12024</v>
      </c>
    </row>
    <row r="360" spans="1:11">
      <c r="A360">
        <v>2025</v>
      </c>
      <c r="B360" t="s">
        <v>414</v>
      </c>
      <c r="C360" t="s">
        <v>2653</v>
      </c>
      <c r="D360" t="s">
        <v>2653</v>
      </c>
      <c r="E360" t="s">
        <v>2654</v>
      </c>
      <c r="F360" t="s">
        <v>2654</v>
      </c>
      <c r="G360" t="s">
        <v>2653</v>
      </c>
      <c r="H360" t="s">
        <v>2654</v>
      </c>
      <c r="I360" t="s">
        <v>1692</v>
      </c>
      <c r="K360" t="str">
        <f t="shared" si="5"/>
        <v>COM_200701_P1T12025</v>
      </c>
    </row>
    <row r="361" spans="1:11">
      <c r="A361">
        <v>2026</v>
      </c>
      <c r="B361" t="s">
        <v>414</v>
      </c>
      <c r="C361" t="s">
        <v>2653</v>
      </c>
      <c r="D361" t="s">
        <v>2653</v>
      </c>
      <c r="E361" t="s">
        <v>2654</v>
      </c>
      <c r="F361" t="s">
        <v>2654</v>
      </c>
      <c r="G361" t="s">
        <v>2653</v>
      </c>
      <c r="H361" t="s">
        <v>2654</v>
      </c>
      <c r="I361" t="s">
        <v>1692</v>
      </c>
      <c r="K361" t="str">
        <f t="shared" si="5"/>
        <v>COM_200701_P1T12026</v>
      </c>
    </row>
    <row r="362" spans="1:11">
      <c r="A362">
        <v>2027</v>
      </c>
      <c r="B362" t="s">
        <v>414</v>
      </c>
      <c r="C362" t="s">
        <v>2653</v>
      </c>
      <c r="D362" t="s">
        <v>2653</v>
      </c>
      <c r="E362" t="s">
        <v>2654</v>
      </c>
      <c r="F362" t="s">
        <v>2654</v>
      </c>
      <c r="G362" t="s">
        <v>2653</v>
      </c>
      <c r="H362" t="s">
        <v>2654</v>
      </c>
      <c r="I362" t="s">
        <v>1692</v>
      </c>
      <c r="K362" t="str">
        <f t="shared" si="5"/>
        <v>COM_200701_P1T12027</v>
      </c>
    </row>
    <row r="363" spans="1:11">
      <c r="A363">
        <v>2024</v>
      </c>
      <c r="B363" t="s">
        <v>925</v>
      </c>
      <c r="C363" t="s">
        <v>2653</v>
      </c>
      <c r="D363" t="s">
        <v>2653</v>
      </c>
      <c r="E363" t="s">
        <v>2654</v>
      </c>
      <c r="F363" t="s">
        <v>2654</v>
      </c>
      <c r="G363" t="s">
        <v>2653</v>
      </c>
      <c r="H363" t="s">
        <v>2654</v>
      </c>
      <c r="I363" t="s">
        <v>1693</v>
      </c>
      <c r="K363" t="str">
        <f t="shared" si="5"/>
        <v>COM_200701_P1T22024</v>
      </c>
    </row>
    <row r="364" spans="1:11">
      <c r="A364">
        <v>2025</v>
      </c>
      <c r="B364" t="s">
        <v>925</v>
      </c>
      <c r="C364" t="s">
        <v>2653</v>
      </c>
      <c r="D364" t="s">
        <v>2653</v>
      </c>
      <c r="E364" t="s">
        <v>2654</v>
      </c>
      <c r="F364" t="s">
        <v>2654</v>
      </c>
      <c r="G364" t="s">
        <v>2653</v>
      </c>
      <c r="H364" t="s">
        <v>2654</v>
      </c>
      <c r="I364" t="s">
        <v>1693</v>
      </c>
      <c r="K364" t="str">
        <f t="shared" si="5"/>
        <v>COM_200701_P1T22025</v>
      </c>
    </row>
    <row r="365" spans="1:11">
      <c r="A365">
        <v>2026</v>
      </c>
      <c r="B365" t="s">
        <v>925</v>
      </c>
      <c r="C365" t="s">
        <v>2653</v>
      </c>
      <c r="D365" t="s">
        <v>2653</v>
      </c>
      <c r="E365" t="s">
        <v>2654</v>
      </c>
      <c r="F365" t="s">
        <v>2654</v>
      </c>
      <c r="G365" t="s">
        <v>2653</v>
      </c>
      <c r="H365" t="s">
        <v>2654</v>
      </c>
      <c r="I365" t="s">
        <v>1693</v>
      </c>
      <c r="K365" t="str">
        <f t="shared" si="5"/>
        <v>COM_200701_P1T22026</v>
      </c>
    </row>
    <row r="366" spans="1:11">
      <c r="A366">
        <v>2027</v>
      </c>
      <c r="B366" t="s">
        <v>925</v>
      </c>
      <c r="C366" t="s">
        <v>2653</v>
      </c>
      <c r="D366" t="s">
        <v>2653</v>
      </c>
      <c r="E366" t="s">
        <v>2654</v>
      </c>
      <c r="F366" t="s">
        <v>2654</v>
      </c>
      <c r="G366" t="s">
        <v>2653</v>
      </c>
      <c r="H366" t="s">
        <v>2654</v>
      </c>
      <c r="I366" t="s">
        <v>1693</v>
      </c>
      <c r="K366" t="str">
        <f t="shared" si="5"/>
        <v>COM_200701_P1T22027</v>
      </c>
    </row>
    <row r="367" spans="1:11">
      <c r="A367">
        <v>2024</v>
      </c>
      <c r="B367" t="s">
        <v>54</v>
      </c>
      <c r="C367" t="s">
        <v>2653</v>
      </c>
      <c r="D367" t="s">
        <v>2653</v>
      </c>
      <c r="E367" t="s">
        <v>2654</v>
      </c>
      <c r="F367" t="s">
        <v>2654</v>
      </c>
      <c r="G367" t="s">
        <v>2653</v>
      </c>
      <c r="H367" t="s">
        <v>2654</v>
      </c>
      <c r="I367" t="s">
        <v>1780</v>
      </c>
      <c r="K367" t="str">
        <f t="shared" si="5"/>
        <v>RES_201202_P2T22024</v>
      </c>
    </row>
    <row r="368" spans="1:11">
      <c r="A368">
        <v>2024</v>
      </c>
      <c r="B368" t="s">
        <v>51</v>
      </c>
      <c r="C368" t="s">
        <v>2653</v>
      </c>
      <c r="D368" t="s">
        <v>2653</v>
      </c>
      <c r="E368" t="s">
        <v>2654</v>
      </c>
      <c r="F368" t="s">
        <v>2654</v>
      </c>
      <c r="G368" t="s">
        <v>2653</v>
      </c>
      <c r="H368" t="s">
        <v>2654</v>
      </c>
      <c r="I368" t="s">
        <v>1774</v>
      </c>
      <c r="K368" t="str">
        <f t="shared" si="5"/>
        <v>RES_201202_P1T12024</v>
      </c>
    </row>
    <row r="369" spans="1:11">
      <c r="A369">
        <v>2024</v>
      </c>
      <c r="B369" t="s">
        <v>52</v>
      </c>
      <c r="C369" t="s">
        <v>2653</v>
      </c>
      <c r="D369" t="s">
        <v>2653</v>
      </c>
      <c r="E369" t="s">
        <v>2654</v>
      </c>
      <c r="F369" t="s">
        <v>2654</v>
      </c>
      <c r="G369" t="s">
        <v>2653</v>
      </c>
      <c r="H369" t="s">
        <v>2654</v>
      </c>
      <c r="I369" t="s">
        <v>1775</v>
      </c>
      <c r="K369" t="str">
        <f t="shared" si="5"/>
        <v>RES_201202_P1T22024</v>
      </c>
    </row>
    <row r="370" spans="1:11">
      <c r="A370">
        <v>2024</v>
      </c>
      <c r="B370" t="s">
        <v>117</v>
      </c>
      <c r="C370" t="s">
        <v>2653</v>
      </c>
      <c r="D370" t="s">
        <v>2653</v>
      </c>
      <c r="E370" t="s">
        <v>2654</v>
      </c>
      <c r="F370" t="s">
        <v>2654</v>
      </c>
      <c r="G370" t="s">
        <v>2653</v>
      </c>
      <c r="H370" t="s">
        <v>2654</v>
      </c>
      <c r="I370" t="s">
        <v>1869</v>
      </c>
      <c r="K370" t="str">
        <f t="shared" si="5"/>
        <v>RES_201403_P4T12024</v>
      </c>
    </row>
    <row r="371" spans="1:11">
      <c r="A371">
        <v>2025</v>
      </c>
      <c r="B371" t="s">
        <v>117</v>
      </c>
      <c r="C371" t="s">
        <v>2653</v>
      </c>
      <c r="D371" t="s">
        <v>2653</v>
      </c>
      <c r="E371" t="s">
        <v>2654</v>
      </c>
      <c r="F371" t="s">
        <v>2654</v>
      </c>
      <c r="G371" t="s">
        <v>2653</v>
      </c>
      <c r="H371" t="s">
        <v>2654</v>
      </c>
      <c r="I371" t="s">
        <v>1869</v>
      </c>
      <c r="K371" t="str">
        <f t="shared" si="5"/>
        <v>RES_201403_P4T12025</v>
      </c>
    </row>
    <row r="372" spans="1:11">
      <c r="A372">
        <v>2024</v>
      </c>
      <c r="B372" t="s">
        <v>388</v>
      </c>
      <c r="C372" t="s">
        <v>2653</v>
      </c>
      <c r="D372" t="s">
        <v>2653</v>
      </c>
      <c r="E372" t="s">
        <v>2654</v>
      </c>
      <c r="F372" t="s">
        <v>2654</v>
      </c>
      <c r="G372" t="s">
        <v>2653</v>
      </c>
      <c r="H372" t="s">
        <v>2654</v>
      </c>
      <c r="I372" t="s">
        <v>2362</v>
      </c>
      <c r="K372" t="str">
        <f t="shared" si="5"/>
        <v>RES_201403_P12T12024</v>
      </c>
    </row>
    <row r="373" spans="1:11">
      <c r="A373">
        <v>2026</v>
      </c>
      <c r="B373" t="s">
        <v>842</v>
      </c>
      <c r="C373" t="s">
        <v>2653</v>
      </c>
      <c r="D373" t="s">
        <v>2653</v>
      </c>
      <c r="E373" t="s">
        <v>2654</v>
      </c>
      <c r="F373" t="s">
        <v>2654</v>
      </c>
      <c r="G373" t="s">
        <v>2653</v>
      </c>
      <c r="H373" t="s">
        <v>2653</v>
      </c>
      <c r="I373" t="s">
        <v>1124</v>
      </c>
      <c r="K373" t="str">
        <f t="shared" si="5"/>
        <v>COM_200701_P1T42026</v>
      </c>
    </row>
    <row r="374" spans="1:11">
      <c r="A374">
        <v>2027</v>
      </c>
      <c r="B374" t="s">
        <v>842</v>
      </c>
      <c r="C374" t="s">
        <v>2653</v>
      </c>
      <c r="D374" t="s">
        <v>2653</v>
      </c>
      <c r="E374" t="s">
        <v>2654</v>
      </c>
      <c r="F374" t="s">
        <v>2654</v>
      </c>
      <c r="G374" t="s">
        <v>2653</v>
      </c>
      <c r="H374" t="s">
        <v>2653</v>
      </c>
      <c r="I374" t="s">
        <v>1124</v>
      </c>
      <c r="K374" t="str">
        <f t="shared" si="5"/>
        <v>COM_200701_P1T42027</v>
      </c>
    </row>
    <row r="375" spans="1:11">
      <c r="A375">
        <v>2026</v>
      </c>
      <c r="B375" t="s">
        <v>710</v>
      </c>
      <c r="C375" t="s">
        <v>2653</v>
      </c>
      <c r="D375" t="s">
        <v>2653</v>
      </c>
      <c r="E375" t="s">
        <v>2654</v>
      </c>
      <c r="F375" t="s">
        <v>2654</v>
      </c>
      <c r="G375" t="s">
        <v>2653</v>
      </c>
      <c r="H375" t="s">
        <v>2653</v>
      </c>
      <c r="I375" t="s">
        <v>1179</v>
      </c>
      <c r="K375" t="str">
        <f t="shared" si="5"/>
        <v>OTH_201601_P1T12026</v>
      </c>
    </row>
    <row r="376" spans="1:11">
      <c r="A376">
        <v>2027</v>
      </c>
      <c r="B376" t="s">
        <v>710</v>
      </c>
      <c r="C376" t="s">
        <v>2653</v>
      </c>
      <c r="D376" t="s">
        <v>2653</v>
      </c>
      <c r="E376" t="s">
        <v>2654</v>
      </c>
      <c r="F376" t="s">
        <v>2654</v>
      </c>
      <c r="G376" t="s">
        <v>2653</v>
      </c>
      <c r="H376" t="s">
        <v>2653</v>
      </c>
      <c r="I376" t="s">
        <v>1179</v>
      </c>
      <c r="K376" t="str">
        <f t="shared" si="5"/>
        <v>OTH_201601_P1T12027</v>
      </c>
    </row>
    <row r="377" spans="1:11">
      <c r="A377">
        <v>2026</v>
      </c>
      <c r="B377" t="s">
        <v>47</v>
      </c>
      <c r="C377" t="s">
        <v>2653</v>
      </c>
      <c r="D377" t="s">
        <v>2653</v>
      </c>
      <c r="E377" t="s">
        <v>2654</v>
      </c>
      <c r="F377" t="s">
        <v>2654</v>
      </c>
      <c r="G377" t="s">
        <v>2653</v>
      </c>
      <c r="H377" t="s">
        <v>2653</v>
      </c>
      <c r="I377" t="s">
        <v>1132</v>
      </c>
      <c r="K377" t="str">
        <f t="shared" si="5"/>
        <v>RES_200804_P1T12026</v>
      </c>
    </row>
    <row r="378" spans="1:11">
      <c r="A378">
        <v>2027</v>
      </c>
      <c r="B378" t="s">
        <v>47</v>
      </c>
      <c r="C378" t="s">
        <v>2653</v>
      </c>
      <c r="D378" t="s">
        <v>2653</v>
      </c>
      <c r="E378" t="s">
        <v>2654</v>
      </c>
      <c r="F378" t="s">
        <v>2654</v>
      </c>
      <c r="G378" t="s">
        <v>2653</v>
      </c>
      <c r="H378" t="s">
        <v>2653</v>
      </c>
      <c r="I378" t="s">
        <v>1132</v>
      </c>
      <c r="K378" t="str">
        <f t="shared" si="5"/>
        <v>RES_200804_P1T12027</v>
      </c>
    </row>
    <row r="379" spans="1:11">
      <c r="A379">
        <v>2026</v>
      </c>
      <c r="B379" t="s">
        <v>914</v>
      </c>
      <c r="C379" t="s">
        <v>2653</v>
      </c>
      <c r="D379" t="s">
        <v>2653</v>
      </c>
      <c r="E379" t="s">
        <v>2654</v>
      </c>
      <c r="F379" t="s">
        <v>2654</v>
      </c>
      <c r="G379" t="s">
        <v>2653</v>
      </c>
      <c r="H379" t="s">
        <v>2653</v>
      </c>
      <c r="I379" t="s">
        <v>1806</v>
      </c>
      <c r="K379" t="str">
        <f t="shared" si="5"/>
        <v>RES_201301_P16T12026</v>
      </c>
    </row>
    <row r="380" spans="1:11">
      <c r="A380">
        <v>2027</v>
      </c>
      <c r="B380" t="s">
        <v>914</v>
      </c>
      <c r="C380" t="s">
        <v>2653</v>
      </c>
      <c r="D380" t="s">
        <v>2653</v>
      </c>
      <c r="E380" t="s">
        <v>2654</v>
      </c>
      <c r="F380" t="s">
        <v>2654</v>
      </c>
      <c r="G380" t="s">
        <v>2653</v>
      </c>
      <c r="H380" t="s">
        <v>2653</v>
      </c>
      <c r="I380" t="s">
        <v>1806</v>
      </c>
      <c r="K380" t="str">
        <f t="shared" si="5"/>
        <v>RES_201301_P16T12027</v>
      </c>
    </row>
    <row r="381" spans="1:11">
      <c r="A381">
        <v>2026</v>
      </c>
      <c r="B381" t="s">
        <v>73</v>
      </c>
      <c r="C381" t="s">
        <v>2653</v>
      </c>
      <c r="D381" t="s">
        <v>2653</v>
      </c>
      <c r="E381" t="s">
        <v>2654</v>
      </c>
      <c r="F381" t="s">
        <v>2654</v>
      </c>
      <c r="G381" t="s">
        <v>2653</v>
      </c>
      <c r="H381" t="s">
        <v>2653</v>
      </c>
      <c r="I381" t="s">
        <v>1802</v>
      </c>
      <c r="K381" t="str">
        <f t="shared" si="5"/>
        <v>RES_201301_P15T12026</v>
      </c>
    </row>
    <row r="382" spans="1:11">
      <c r="A382">
        <v>2027</v>
      </c>
      <c r="B382" t="s">
        <v>73</v>
      </c>
      <c r="C382" t="s">
        <v>2653</v>
      </c>
      <c r="D382" t="s">
        <v>2653</v>
      </c>
      <c r="E382" t="s">
        <v>2654</v>
      </c>
      <c r="F382" t="s">
        <v>2654</v>
      </c>
      <c r="G382" t="s">
        <v>2653</v>
      </c>
      <c r="H382" t="s">
        <v>2653</v>
      </c>
      <c r="I382" t="s">
        <v>1802</v>
      </c>
      <c r="K382" t="str">
        <f t="shared" si="5"/>
        <v>RES_201301_P15T12027</v>
      </c>
    </row>
    <row r="383" spans="1:11">
      <c r="A383">
        <v>2026</v>
      </c>
      <c r="B383" t="s">
        <v>107</v>
      </c>
      <c r="C383" t="s">
        <v>2653</v>
      </c>
      <c r="D383" t="s">
        <v>2653</v>
      </c>
      <c r="E383" t="s">
        <v>2654</v>
      </c>
      <c r="F383" t="s">
        <v>2654</v>
      </c>
      <c r="G383" t="s">
        <v>2653</v>
      </c>
      <c r="H383" t="s">
        <v>2653</v>
      </c>
      <c r="I383" t="s">
        <v>2151</v>
      </c>
      <c r="K383" t="str">
        <f t="shared" si="5"/>
        <v>COM_200803_P4T12026</v>
      </c>
    </row>
    <row r="384" spans="1:11">
      <c r="A384">
        <v>2027</v>
      </c>
      <c r="B384" t="s">
        <v>107</v>
      </c>
      <c r="C384" t="s">
        <v>2653</v>
      </c>
      <c r="D384" t="s">
        <v>2653</v>
      </c>
      <c r="E384" t="s">
        <v>2654</v>
      </c>
      <c r="F384" t="s">
        <v>2654</v>
      </c>
      <c r="G384" t="s">
        <v>2653</v>
      </c>
      <c r="H384" t="s">
        <v>2653</v>
      </c>
      <c r="I384" t="s">
        <v>2151</v>
      </c>
      <c r="K384" t="str">
        <f t="shared" si="5"/>
        <v>COM_200803_P4T12027</v>
      </c>
    </row>
    <row r="385" spans="1:11">
      <c r="A385">
        <v>2026</v>
      </c>
      <c r="B385" t="s">
        <v>912</v>
      </c>
      <c r="C385" t="s">
        <v>2653</v>
      </c>
      <c r="D385" t="s">
        <v>2653</v>
      </c>
      <c r="E385" t="s">
        <v>2654</v>
      </c>
      <c r="F385" t="s">
        <v>2654</v>
      </c>
      <c r="G385" t="s">
        <v>2653</v>
      </c>
      <c r="H385" t="s">
        <v>2653</v>
      </c>
      <c r="I385" t="s">
        <v>1136</v>
      </c>
      <c r="K385" t="str">
        <f t="shared" si="5"/>
        <v>RES_201601_P1T22026</v>
      </c>
    </row>
    <row r="386" spans="1:11">
      <c r="A386">
        <v>2027</v>
      </c>
      <c r="B386" t="s">
        <v>912</v>
      </c>
      <c r="C386" t="s">
        <v>2653</v>
      </c>
      <c r="D386" t="s">
        <v>2653</v>
      </c>
      <c r="E386" t="s">
        <v>2654</v>
      </c>
      <c r="F386" t="s">
        <v>2654</v>
      </c>
      <c r="G386" t="s">
        <v>2653</v>
      </c>
      <c r="H386" t="s">
        <v>2653</v>
      </c>
      <c r="I386" t="s">
        <v>1136</v>
      </c>
      <c r="K386" t="str">
        <f t="shared" si="5"/>
        <v>RES_201601_P1T22027</v>
      </c>
    </row>
    <row r="387" spans="1:11">
      <c r="A387">
        <v>2026</v>
      </c>
      <c r="B387" t="s">
        <v>752</v>
      </c>
      <c r="C387" t="s">
        <v>2653</v>
      </c>
      <c r="D387" t="s">
        <v>2653</v>
      </c>
      <c r="E387" t="s">
        <v>2654</v>
      </c>
      <c r="F387" t="s">
        <v>2654</v>
      </c>
      <c r="G387" t="s">
        <v>2653</v>
      </c>
      <c r="H387" t="s">
        <v>2653</v>
      </c>
      <c r="I387" t="s">
        <v>1138</v>
      </c>
      <c r="K387" t="str">
        <f t="shared" ref="K387:K450" si="6">B387&amp;A387</f>
        <v>RES_201601_P1T32026</v>
      </c>
    </row>
    <row r="388" spans="1:11">
      <c r="A388">
        <v>2027</v>
      </c>
      <c r="B388" t="s">
        <v>752</v>
      </c>
      <c r="C388" t="s">
        <v>2653</v>
      </c>
      <c r="D388" t="s">
        <v>2653</v>
      </c>
      <c r="E388" t="s">
        <v>2654</v>
      </c>
      <c r="F388" t="s">
        <v>2654</v>
      </c>
      <c r="G388" t="s">
        <v>2653</v>
      </c>
      <c r="H388" t="s">
        <v>2653</v>
      </c>
      <c r="I388" t="s">
        <v>1138</v>
      </c>
      <c r="K388" t="str">
        <f t="shared" si="6"/>
        <v>RES_201601_P1T32027</v>
      </c>
    </row>
    <row r="389" spans="1:11">
      <c r="A389">
        <v>2026</v>
      </c>
      <c r="B389" t="s">
        <v>916</v>
      </c>
      <c r="C389" t="s">
        <v>2653</v>
      </c>
      <c r="D389" t="s">
        <v>2653</v>
      </c>
      <c r="E389" t="s">
        <v>2654</v>
      </c>
      <c r="F389" t="s">
        <v>2654</v>
      </c>
      <c r="G389" t="s">
        <v>2653</v>
      </c>
      <c r="H389" t="s">
        <v>2653</v>
      </c>
      <c r="I389" t="s">
        <v>1807</v>
      </c>
      <c r="K389" t="str">
        <f t="shared" si="6"/>
        <v>RES_201301_P16T22026</v>
      </c>
    </row>
    <row r="390" spans="1:11">
      <c r="A390">
        <v>2027</v>
      </c>
      <c r="B390" t="s">
        <v>916</v>
      </c>
      <c r="C390" t="s">
        <v>2653</v>
      </c>
      <c r="D390" t="s">
        <v>2653</v>
      </c>
      <c r="E390" t="s">
        <v>2654</v>
      </c>
      <c r="F390" t="s">
        <v>2654</v>
      </c>
      <c r="G390" t="s">
        <v>2653</v>
      </c>
      <c r="H390" t="s">
        <v>2653</v>
      </c>
      <c r="I390" t="s">
        <v>1807</v>
      </c>
      <c r="K390" t="str">
        <f t="shared" si="6"/>
        <v>RES_201301_P16T22027</v>
      </c>
    </row>
    <row r="391" spans="1:11">
      <c r="A391">
        <v>2026</v>
      </c>
      <c r="B391" t="s">
        <v>74</v>
      </c>
      <c r="C391" t="s">
        <v>2653</v>
      </c>
      <c r="D391" t="s">
        <v>2653</v>
      </c>
      <c r="E391" t="s">
        <v>2654</v>
      </c>
      <c r="F391" t="s">
        <v>2654</v>
      </c>
      <c r="G391" t="s">
        <v>2653</v>
      </c>
      <c r="H391" t="s">
        <v>2653</v>
      </c>
      <c r="I391" t="s">
        <v>1803</v>
      </c>
      <c r="K391" t="str">
        <f t="shared" si="6"/>
        <v>RES_201301_P15T22026</v>
      </c>
    </row>
    <row r="392" spans="1:11">
      <c r="A392">
        <v>2027</v>
      </c>
      <c r="B392" t="s">
        <v>74</v>
      </c>
      <c r="C392" t="s">
        <v>2653</v>
      </c>
      <c r="D392" t="s">
        <v>2653</v>
      </c>
      <c r="E392" t="s">
        <v>2654</v>
      </c>
      <c r="F392" t="s">
        <v>2654</v>
      </c>
      <c r="G392" t="s">
        <v>2653</v>
      </c>
      <c r="H392" t="s">
        <v>2653</v>
      </c>
      <c r="I392" t="s">
        <v>1803</v>
      </c>
      <c r="K392" t="str">
        <f t="shared" si="6"/>
        <v>RES_201301_P15T22027</v>
      </c>
    </row>
    <row r="393" spans="1:11">
      <c r="A393">
        <v>2026</v>
      </c>
      <c r="B393" t="s">
        <v>32</v>
      </c>
      <c r="C393" t="s">
        <v>2653</v>
      </c>
      <c r="D393" t="s">
        <v>2653</v>
      </c>
      <c r="E393" t="s">
        <v>2654</v>
      </c>
      <c r="F393" t="s">
        <v>2654</v>
      </c>
      <c r="G393" t="s">
        <v>2653</v>
      </c>
      <c r="H393" t="s">
        <v>2653</v>
      </c>
      <c r="I393" t="s">
        <v>1714</v>
      </c>
      <c r="K393" t="str">
        <f t="shared" si="6"/>
        <v>IND_200402_P1T12026</v>
      </c>
    </row>
    <row r="394" spans="1:11">
      <c r="A394">
        <v>2027</v>
      </c>
      <c r="B394" t="s">
        <v>32</v>
      </c>
      <c r="C394" t="s">
        <v>2653</v>
      </c>
      <c r="D394" t="s">
        <v>2653</v>
      </c>
      <c r="E394" t="s">
        <v>2654</v>
      </c>
      <c r="F394" t="s">
        <v>2654</v>
      </c>
      <c r="G394" t="s">
        <v>2653</v>
      </c>
      <c r="H394" t="s">
        <v>2653</v>
      </c>
      <c r="I394" t="s">
        <v>1714</v>
      </c>
      <c r="K394" t="str">
        <f t="shared" si="6"/>
        <v>IND_200402_P1T12027</v>
      </c>
    </row>
    <row r="395" spans="1:11">
      <c r="A395">
        <v>2026</v>
      </c>
      <c r="B395" t="s">
        <v>918</v>
      </c>
      <c r="C395" t="s">
        <v>2653</v>
      </c>
      <c r="D395" t="s">
        <v>2653</v>
      </c>
      <c r="E395" t="s">
        <v>2654</v>
      </c>
      <c r="F395" t="s">
        <v>2654</v>
      </c>
      <c r="G395" t="s">
        <v>2653</v>
      </c>
      <c r="H395" t="s">
        <v>2653</v>
      </c>
      <c r="I395" t="s">
        <v>1808</v>
      </c>
      <c r="K395" t="str">
        <f t="shared" si="6"/>
        <v>RES_201301_P16T32026</v>
      </c>
    </row>
    <row r="396" spans="1:11">
      <c r="A396">
        <v>2027</v>
      </c>
      <c r="B396" t="s">
        <v>918</v>
      </c>
      <c r="C396" t="s">
        <v>2653</v>
      </c>
      <c r="D396" t="s">
        <v>2653</v>
      </c>
      <c r="E396" t="s">
        <v>2654</v>
      </c>
      <c r="F396" t="s">
        <v>2654</v>
      </c>
      <c r="G396" t="s">
        <v>2653</v>
      </c>
      <c r="H396" t="s">
        <v>2653</v>
      </c>
      <c r="I396" t="s">
        <v>1808</v>
      </c>
      <c r="K396" t="str">
        <f t="shared" si="6"/>
        <v>RES_201301_P16T32027</v>
      </c>
    </row>
    <row r="397" spans="1:11">
      <c r="A397">
        <v>2026</v>
      </c>
      <c r="B397" t="s">
        <v>75</v>
      </c>
      <c r="C397" t="s">
        <v>2653</v>
      </c>
      <c r="D397" t="s">
        <v>2653</v>
      </c>
      <c r="E397" t="s">
        <v>2654</v>
      </c>
      <c r="F397" t="s">
        <v>2654</v>
      </c>
      <c r="G397" t="s">
        <v>2653</v>
      </c>
      <c r="H397" t="s">
        <v>2653</v>
      </c>
      <c r="I397" t="s">
        <v>1804</v>
      </c>
      <c r="K397" t="str">
        <f t="shared" si="6"/>
        <v>RES_201301_P15T32026</v>
      </c>
    </row>
    <row r="398" spans="1:11">
      <c r="A398">
        <v>2027</v>
      </c>
      <c r="B398" t="s">
        <v>75</v>
      </c>
      <c r="C398" t="s">
        <v>2653</v>
      </c>
      <c r="D398" t="s">
        <v>2653</v>
      </c>
      <c r="E398" t="s">
        <v>2654</v>
      </c>
      <c r="F398" t="s">
        <v>2654</v>
      </c>
      <c r="G398" t="s">
        <v>2653</v>
      </c>
      <c r="H398" t="s">
        <v>2653</v>
      </c>
      <c r="I398" t="s">
        <v>1804</v>
      </c>
      <c r="K398" t="str">
        <f t="shared" si="6"/>
        <v>RES_201301_P15T32027</v>
      </c>
    </row>
    <row r="399" spans="1:11">
      <c r="A399">
        <v>2026</v>
      </c>
      <c r="B399" t="s">
        <v>106</v>
      </c>
      <c r="C399" t="s">
        <v>2653</v>
      </c>
      <c r="D399" t="s">
        <v>2653</v>
      </c>
      <c r="E399" t="s">
        <v>2654</v>
      </c>
      <c r="F399" t="s">
        <v>2654</v>
      </c>
      <c r="G399" t="s">
        <v>2653</v>
      </c>
      <c r="H399" t="s">
        <v>2653</v>
      </c>
      <c r="I399" t="s">
        <v>2149</v>
      </c>
      <c r="K399" t="str">
        <f t="shared" si="6"/>
        <v>COM_200803_P3T12026</v>
      </c>
    </row>
    <row r="400" spans="1:11">
      <c r="A400">
        <v>2027</v>
      </c>
      <c r="B400" t="s">
        <v>106</v>
      </c>
      <c r="C400" t="s">
        <v>2653</v>
      </c>
      <c r="D400" t="s">
        <v>2653</v>
      </c>
      <c r="E400" t="s">
        <v>2654</v>
      </c>
      <c r="F400" t="s">
        <v>2654</v>
      </c>
      <c r="G400" t="s">
        <v>2653</v>
      </c>
      <c r="H400" t="s">
        <v>2653</v>
      </c>
      <c r="I400" t="s">
        <v>2149</v>
      </c>
      <c r="K400" t="str">
        <f t="shared" si="6"/>
        <v>COM_200803_P3T12027</v>
      </c>
    </row>
    <row r="401" spans="1:11">
      <c r="A401">
        <v>2026</v>
      </c>
      <c r="B401" t="s">
        <v>341</v>
      </c>
      <c r="C401" t="s">
        <v>2653</v>
      </c>
      <c r="D401" t="s">
        <v>2653</v>
      </c>
      <c r="E401" t="s">
        <v>2654</v>
      </c>
      <c r="F401" t="s">
        <v>2654</v>
      </c>
      <c r="G401" t="s">
        <v>2653</v>
      </c>
      <c r="H401" t="s">
        <v>2653</v>
      </c>
      <c r="I401" t="s">
        <v>1713</v>
      </c>
      <c r="K401" t="str">
        <f t="shared" si="6"/>
        <v>COM_201405_P2T12026</v>
      </c>
    </row>
    <row r="402" spans="1:11">
      <c r="A402">
        <v>2027</v>
      </c>
      <c r="B402" t="s">
        <v>341</v>
      </c>
      <c r="C402" t="s">
        <v>2653</v>
      </c>
      <c r="D402" t="s">
        <v>2653</v>
      </c>
      <c r="E402" t="s">
        <v>2654</v>
      </c>
      <c r="F402" t="s">
        <v>2654</v>
      </c>
      <c r="G402" t="s">
        <v>2653</v>
      </c>
      <c r="H402" t="s">
        <v>2653</v>
      </c>
      <c r="I402" t="s">
        <v>1713</v>
      </c>
      <c r="K402" t="str">
        <f t="shared" si="6"/>
        <v>COM_201405_P2T12027</v>
      </c>
    </row>
    <row r="403" spans="1:11">
      <c r="A403">
        <v>2026</v>
      </c>
      <c r="B403" t="s">
        <v>753</v>
      </c>
      <c r="C403" t="s">
        <v>2653</v>
      </c>
      <c r="D403" t="s">
        <v>2653</v>
      </c>
      <c r="E403" t="s">
        <v>2654</v>
      </c>
      <c r="F403" t="s">
        <v>2654</v>
      </c>
      <c r="G403" t="s">
        <v>2653</v>
      </c>
      <c r="H403" t="s">
        <v>2653</v>
      </c>
      <c r="I403" t="s">
        <v>1181</v>
      </c>
      <c r="K403" t="str">
        <f t="shared" si="6"/>
        <v>OTH_201601_P2T12026</v>
      </c>
    </row>
    <row r="404" spans="1:11">
      <c r="A404">
        <v>2027</v>
      </c>
      <c r="B404" t="s">
        <v>753</v>
      </c>
      <c r="C404" t="s">
        <v>2653</v>
      </c>
      <c r="D404" t="s">
        <v>2653</v>
      </c>
      <c r="E404" t="s">
        <v>2654</v>
      </c>
      <c r="F404" t="s">
        <v>2654</v>
      </c>
      <c r="G404" t="s">
        <v>2653</v>
      </c>
      <c r="H404" t="s">
        <v>2653</v>
      </c>
      <c r="I404" t="s">
        <v>1181</v>
      </c>
      <c r="K404" t="str">
        <f t="shared" si="6"/>
        <v>OTH_201601_P2T12027</v>
      </c>
    </row>
    <row r="405" spans="1:11">
      <c r="A405">
        <v>2026</v>
      </c>
      <c r="B405" t="s">
        <v>712</v>
      </c>
      <c r="C405" t="s">
        <v>2653</v>
      </c>
      <c r="D405" t="s">
        <v>2653</v>
      </c>
      <c r="E405" t="s">
        <v>2654</v>
      </c>
      <c r="F405" t="s">
        <v>2654</v>
      </c>
      <c r="G405" t="s">
        <v>2653</v>
      </c>
      <c r="H405" t="s">
        <v>2653</v>
      </c>
      <c r="I405" t="s">
        <v>1183</v>
      </c>
      <c r="K405" t="str">
        <f t="shared" si="6"/>
        <v>OTH_201601_P3T12026</v>
      </c>
    </row>
    <row r="406" spans="1:11">
      <c r="A406">
        <v>2027</v>
      </c>
      <c r="B406" t="s">
        <v>712</v>
      </c>
      <c r="C406" t="s">
        <v>2653</v>
      </c>
      <c r="D406" t="s">
        <v>2653</v>
      </c>
      <c r="E406" t="s">
        <v>2654</v>
      </c>
      <c r="F406" t="s">
        <v>2654</v>
      </c>
      <c r="G406" t="s">
        <v>2653</v>
      </c>
      <c r="H406" t="s">
        <v>2653</v>
      </c>
      <c r="I406" t="s">
        <v>1183</v>
      </c>
      <c r="K406" t="str">
        <f t="shared" si="6"/>
        <v>OTH_201601_P3T12027</v>
      </c>
    </row>
    <row r="407" spans="1:11">
      <c r="A407">
        <v>2026</v>
      </c>
      <c r="B407" t="s">
        <v>982</v>
      </c>
      <c r="C407" t="s">
        <v>2653</v>
      </c>
      <c r="D407" t="s">
        <v>2653</v>
      </c>
      <c r="E407" t="s">
        <v>2654</v>
      </c>
      <c r="F407" t="s">
        <v>2654</v>
      </c>
      <c r="G407" t="s">
        <v>2653</v>
      </c>
      <c r="H407" t="s">
        <v>2653</v>
      </c>
      <c r="I407" t="s">
        <v>1225</v>
      </c>
      <c r="K407" t="str">
        <f t="shared" si="6"/>
        <v>RES_201403_P14T22026</v>
      </c>
    </row>
    <row r="408" spans="1:11">
      <c r="A408">
        <v>2027</v>
      </c>
      <c r="B408" t="s">
        <v>982</v>
      </c>
      <c r="C408" t="s">
        <v>2653</v>
      </c>
      <c r="D408" t="s">
        <v>2653</v>
      </c>
      <c r="E408" t="s">
        <v>2654</v>
      </c>
      <c r="F408" t="s">
        <v>2654</v>
      </c>
      <c r="G408" t="s">
        <v>2653</v>
      </c>
      <c r="H408" t="s">
        <v>2653</v>
      </c>
      <c r="I408" t="s">
        <v>1225</v>
      </c>
      <c r="K408" t="str">
        <f t="shared" si="6"/>
        <v>RES_201403_P14T22027</v>
      </c>
    </row>
    <row r="409" spans="1:11">
      <c r="A409">
        <v>2026</v>
      </c>
      <c r="B409" t="s">
        <v>983</v>
      </c>
      <c r="C409" t="s">
        <v>2653</v>
      </c>
      <c r="D409" t="s">
        <v>2653</v>
      </c>
      <c r="E409" t="s">
        <v>2654</v>
      </c>
      <c r="F409" t="s">
        <v>2654</v>
      </c>
      <c r="G409" t="s">
        <v>2653</v>
      </c>
      <c r="H409" t="s">
        <v>2653</v>
      </c>
      <c r="I409" t="s">
        <v>1227</v>
      </c>
      <c r="K409" t="str">
        <f t="shared" si="6"/>
        <v>RES_201403_P14T32026</v>
      </c>
    </row>
    <row r="410" spans="1:11">
      <c r="A410">
        <v>2027</v>
      </c>
      <c r="B410" t="s">
        <v>983</v>
      </c>
      <c r="C410" t="s">
        <v>2653</v>
      </c>
      <c r="D410" t="s">
        <v>2653</v>
      </c>
      <c r="E410" t="s">
        <v>2654</v>
      </c>
      <c r="F410" t="s">
        <v>2654</v>
      </c>
      <c r="G410" t="s">
        <v>2653</v>
      </c>
      <c r="H410" t="s">
        <v>2653</v>
      </c>
      <c r="I410" t="s">
        <v>1227</v>
      </c>
      <c r="K410" t="str">
        <f t="shared" si="6"/>
        <v>RES_201403_P14T32027</v>
      </c>
    </row>
    <row r="411" spans="1:11">
      <c r="A411">
        <v>2026</v>
      </c>
      <c r="B411" t="s">
        <v>984</v>
      </c>
      <c r="C411" t="s">
        <v>2653</v>
      </c>
      <c r="D411" t="s">
        <v>2653</v>
      </c>
      <c r="E411" t="s">
        <v>2654</v>
      </c>
      <c r="F411" t="s">
        <v>2654</v>
      </c>
      <c r="G411" t="s">
        <v>2653</v>
      </c>
      <c r="H411" t="s">
        <v>2653</v>
      </c>
      <c r="I411" t="s">
        <v>1229</v>
      </c>
      <c r="K411" t="str">
        <f t="shared" si="6"/>
        <v>RES_201403_P14T42026</v>
      </c>
    </row>
    <row r="412" spans="1:11">
      <c r="A412">
        <v>2027</v>
      </c>
      <c r="B412" t="s">
        <v>984</v>
      </c>
      <c r="C412" t="s">
        <v>2653</v>
      </c>
      <c r="D412" t="s">
        <v>2653</v>
      </c>
      <c r="E412" t="s">
        <v>2654</v>
      </c>
      <c r="F412" t="s">
        <v>2654</v>
      </c>
      <c r="G412" t="s">
        <v>2653</v>
      </c>
      <c r="H412" t="s">
        <v>2653</v>
      </c>
      <c r="I412" t="s">
        <v>1229</v>
      </c>
      <c r="K412" t="str">
        <f t="shared" si="6"/>
        <v>RES_201403_P14T42027</v>
      </c>
    </row>
    <row r="413" spans="1:11">
      <c r="A413">
        <v>2026</v>
      </c>
      <c r="B413" t="s">
        <v>985</v>
      </c>
      <c r="C413" t="s">
        <v>2653</v>
      </c>
      <c r="D413" t="s">
        <v>2653</v>
      </c>
      <c r="E413" t="s">
        <v>2654</v>
      </c>
      <c r="F413" t="s">
        <v>2654</v>
      </c>
      <c r="G413" t="s">
        <v>2653</v>
      </c>
      <c r="H413" t="s">
        <v>2653</v>
      </c>
      <c r="I413" t="s">
        <v>1231</v>
      </c>
      <c r="K413" t="str">
        <f t="shared" si="6"/>
        <v>RES_201403_P14T52026</v>
      </c>
    </row>
    <row r="414" spans="1:11">
      <c r="A414">
        <v>2027</v>
      </c>
      <c r="B414" t="s">
        <v>985</v>
      </c>
      <c r="C414" t="s">
        <v>2653</v>
      </c>
      <c r="D414" t="s">
        <v>2653</v>
      </c>
      <c r="E414" t="s">
        <v>2654</v>
      </c>
      <c r="F414" t="s">
        <v>2654</v>
      </c>
      <c r="G414" t="s">
        <v>2653</v>
      </c>
      <c r="H414" t="s">
        <v>2653</v>
      </c>
      <c r="I414" t="s">
        <v>1231</v>
      </c>
      <c r="K414" t="str">
        <f t="shared" si="6"/>
        <v>RES_201403_P14T52027</v>
      </c>
    </row>
    <row r="415" spans="1:11">
      <c r="A415">
        <v>2026</v>
      </c>
      <c r="B415" t="s">
        <v>986</v>
      </c>
      <c r="C415" t="s">
        <v>2653</v>
      </c>
      <c r="D415" t="s">
        <v>2653</v>
      </c>
      <c r="E415" t="s">
        <v>2654</v>
      </c>
      <c r="F415" t="s">
        <v>2654</v>
      </c>
      <c r="G415" t="s">
        <v>2653</v>
      </c>
      <c r="H415" t="s">
        <v>2653</v>
      </c>
      <c r="I415" t="s">
        <v>1233</v>
      </c>
      <c r="K415" t="str">
        <f t="shared" si="6"/>
        <v>RES_201403_P14T62026</v>
      </c>
    </row>
    <row r="416" spans="1:11">
      <c r="A416">
        <v>2027</v>
      </c>
      <c r="B416" t="s">
        <v>986</v>
      </c>
      <c r="C416" t="s">
        <v>2653</v>
      </c>
      <c r="D416" t="s">
        <v>2653</v>
      </c>
      <c r="E416" t="s">
        <v>2654</v>
      </c>
      <c r="F416" t="s">
        <v>2654</v>
      </c>
      <c r="G416" t="s">
        <v>2653</v>
      </c>
      <c r="H416" t="s">
        <v>2653</v>
      </c>
      <c r="I416" t="s">
        <v>1233</v>
      </c>
      <c r="K416" t="str">
        <f t="shared" si="6"/>
        <v>RES_201403_P14T62027</v>
      </c>
    </row>
    <row r="417" spans="1:11">
      <c r="A417">
        <v>2026</v>
      </c>
      <c r="B417" t="s">
        <v>103</v>
      </c>
      <c r="C417" t="s">
        <v>2653</v>
      </c>
      <c r="D417" t="s">
        <v>2653</v>
      </c>
      <c r="E417" t="s">
        <v>2654</v>
      </c>
      <c r="F417" t="s">
        <v>2654</v>
      </c>
      <c r="G417" t="s">
        <v>2653</v>
      </c>
      <c r="H417" t="s">
        <v>2653</v>
      </c>
      <c r="I417" t="s">
        <v>1218</v>
      </c>
      <c r="K417" t="str">
        <f t="shared" si="6"/>
        <v>RES_201403_P9T12026</v>
      </c>
    </row>
    <row r="418" spans="1:11">
      <c r="A418">
        <v>2027</v>
      </c>
      <c r="B418" t="s">
        <v>103</v>
      </c>
      <c r="C418" t="s">
        <v>2653</v>
      </c>
      <c r="D418" t="s">
        <v>2653</v>
      </c>
      <c r="E418" t="s">
        <v>2654</v>
      </c>
      <c r="F418" t="s">
        <v>2654</v>
      </c>
      <c r="G418" t="s">
        <v>2653</v>
      </c>
      <c r="H418" t="s">
        <v>2653</v>
      </c>
      <c r="I418" t="s">
        <v>1218</v>
      </c>
      <c r="K418" t="str">
        <f t="shared" si="6"/>
        <v>RES_201403_P9T12027</v>
      </c>
    </row>
    <row r="419" spans="1:11">
      <c r="A419">
        <v>2026</v>
      </c>
      <c r="B419" t="s">
        <v>104</v>
      </c>
      <c r="C419" t="s">
        <v>2653</v>
      </c>
      <c r="D419" t="s">
        <v>2653</v>
      </c>
      <c r="E419" t="s">
        <v>2654</v>
      </c>
      <c r="F419" t="s">
        <v>2654</v>
      </c>
      <c r="G419" t="s">
        <v>2653</v>
      </c>
      <c r="H419" t="s">
        <v>2653</v>
      </c>
      <c r="I419" t="s">
        <v>1219</v>
      </c>
      <c r="K419" t="str">
        <f t="shared" si="6"/>
        <v>RES_201403_P9T22026</v>
      </c>
    </row>
    <row r="420" spans="1:11">
      <c r="A420">
        <v>2027</v>
      </c>
      <c r="B420" t="s">
        <v>104</v>
      </c>
      <c r="C420" t="s">
        <v>2653</v>
      </c>
      <c r="D420" t="s">
        <v>2653</v>
      </c>
      <c r="E420" t="s">
        <v>2654</v>
      </c>
      <c r="F420" t="s">
        <v>2654</v>
      </c>
      <c r="G420" t="s">
        <v>2653</v>
      </c>
      <c r="H420" t="s">
        <v>2653</v>
      </c>
      <c r="I420" t="s">
        <v>1219</v>
      </c>
      <c r="K420" t="str">
        <f t="shared" si="6"/>
        <v>RES_201403_P9T22027</v>
      </c>
    </row>
    <row r="421" spans="1:11">
      <c r="A421">
        <v>2026</v>
      </c>
      <c r="B421" t="s">
        <v>82</v>
      </c>
      <c r="C421" t="s">
        <v>2653</v>
      </c>
      <c r="D421" t="s">
        <v>2653</v>
      </c>
      <c r="E421" t="s">
        <v>2654</v>
      </c>
      <c r="F421" t="s">
        <v>2654</v>
      </c>
      <c r="G421" t="s">
        <v>2653</v>
      </c>
      <c r="H421" t="s">
        <v>2653</v>
      </c>
      <c r="I421" t="s">
        <v>2094</v>
      </c>
      <c r="K421" t="str">
        <f t="shared" si="6"/>
        <v>RES_201403_P7T12026</v>
      </c>
    </row>
    <row r="422" spans="1:11">
      <c r="A422">
        <v>2027</v>
      </c>
      <c r="B422" t="s">
        <v>82</v>
      </c>
      <c r="C422" t="s">
        <v>2653</v>
      </c>
      <c r="D422" t="s">
        <v>2653</v>
      </c>
      <c r="E422" t="s">
        <v>2654</v>
      </c>
      <c r="F422" t="s">
        <v>2654</v>
      </c>
      <c r="G422" t="s">
        <v>2653</v>
      </c>
      <c r="H422" t="s">
        <v>2653</v>
      </c>
      <c r="I422" t="s">
        <v>2094</v>
      </c>
      <c r="K422" t="str">
        <f t="shared" si="6"/>
        <v>RES_201403_P7T12027</v>
      </c>
    </row>
    <row r="423" spans="1:11">
      <c r="A423">
        <v>2026</v>
      </c>
      <c r="B423" t="s">
        <v>1658</v>
      </c>
      <c r="C423" t="s">
        <v>2653</v>
      </c>
      <c r="D423" t="s">
        <v>2653</v>
      </c>
      <c r="E423" t="s">
        <v>2654</v>
      </c>
      <c r="F423" t="s">
        <v>2654</v>
      </c>
      <c r="G423" t="s">
        <v>2653</v>
      </c>
      <c r="H423" t="s">
        <v>2653</v>
      </c>
      <c r="I423" t="s">
        <v>1875</v>
      </c>
      <c r="K423" t="str">
        <f t="shared" si="6"/>
        <v>RES_201403_P7T32026</v>
      </c>
    </row>
    <row r="424" spans="1:11">
      <c r="A424">
        <v>2027</v>
      </c>
      <c r="B424" t="s">
        <v>1658</v>
      </c>
      <c r="C424" t="s">
        <v>2653</v>
      </c>
      <c r="D424" t="s">
        <v>2653</v>
      </c>
      <c r="E424" t="s">
        <v>2654</v>
      </c>
      <c r="F424" t="s">
        <v>2654</v>
      </c>
      <c r="G424" t="s">
        <v>2653</v>
      </c>
      <c r="H424" t="s">
        <v>2653</v>
      </c>
      <c r="I424" t="s">
        <v>1875</v>
      </c>
      <c r="K424" t="str">
        <f t="shared" si="6"/>
        <v>RES_201403_P7T32027</v>
      </c>
    </row>
    <row r="425" spans="1:11">
      <c r="A425">
        <v>2026</v>
      </c>
      <c r="B425" t="s">
        <v>973</v>
      </c>
      <c r="C425" t="s">
        <v>2653</v>
      </c>
      <c r="D425" t="s">
        <v>2653</v>
      </c>
      <c r="E425" t="s">
        <v>2654</v>
      </c>
      <c r="F425" t="s">
        <v>2654</v>
      </c>
      <c r="G425" t="s">
        <v>2653</v>
      </c>
      <c r="H425" t="s">
        <v>2653</v>
      </c>
      <c r="I425" t="s">
        <v>1756</v>
      </c>
      <c r="K425" t="str">
        <f t="shared" si="6"/>
        <v>RES_200902_P1T02026</v>
      </c>
    </row>
    <row r="426" spans="1:11">
      <c r="A426">
        <v>2027</v>
      </c>
      <c r="B426" t="s">
        <v>973</v>
      </c>
      <c r="C426" t="s">
        <v>2653</v>
      </c>
      <c r="D426" t="s">
        <v>2653</v>
      </c>
      <c r="E426" t="s">
        <v>2654</v>
      </c>
      <c r="F426" t="s">
        <v>2654</v>
      </c>
      <c r="G426" t="s">
        <v>2653</v>
      </c>
      <c r="H426" t="s">
        <v>2653</v>
      </c>
      <c r="I426" t="s">
        <v>1756</v>
      </c>
      <c r="K426" t="str">
        <f t="shared" si="6"/>
        <v>RES_200902_P1T02027</v>
      </c>
    </row>
    <row r="427" spans="1:11">
      <c r="A427">
        <v>2026</v>
      </c>
      <c r="B427" t="s">
        <v>1600</v>
      </c>
      <c r="C427" t="s">
        <v>2653</v>
      </c>
      <c r="D427" t="s">
        <v>2653</v>
      </c>
      <c r="E427" t="s">
        <v>2654</v>
      </c>
      <c r="F427" t="s">
        <v>2654</v>
      </c>
      <c r="G427" t="s">
        <v>2653</v>
      </c>
      <c r="H427" t="s">
        <v>2653</v>
      </c>
      <c r="I427" t="s">
        <v>1757</v>
      </c>
      <c r="K427" t="str">
        <f t="shared" si="6"/>
        <v>RES_200902_P1T12026</v>
      </c>
    </row>
    <row r="428" spans="1:11">
      <c r="A428">
        <v>2027</v>
      </c>
      <c r="B428" t="s">
        <v>1600</v>
      </c>
      <c r="C428" t="s">
        <v>2653</v>
      </c>
      <c r="D428" t="s">
        <v>2653</v>
      </c>
      <c r="E428" t="s">
        <v>2654</v>
      </c>
      <c r="F428" t="s">
        <v>2654</v>
      </c>
      <c r="G428" t="s">
        <v>2653</v>
      </c>
      <c r="H428" t="s">
        <v>2653</v>
      </c>
      <c r="I428" t="s">
        <v>1757</v>
      </c>
      <c r="K428" t="str">
        <f t="shared" si="6"/>
        <v>RES_200902_P1T12027</v>
      </c>
    </row>
    <row r="429" spans="1:11">
      <c r="A429">
        <v>2026</v>
      </c>
      <c r="B429" t="s">
        <v>1602</v>
      </c>
      <c r="C429" t="s">
        <v>2653</v>
      </c>
      <c r="D429" t="s">
        <v>2653</v>
      </c>
      <c r="E429" t="s">
        <v>2654</v>
      </c>
      <c r="F429" t="s">
        <v>2654</v>
      </c>
      <c r="G429" t="s">
        <v>2653</v>
      </c>
      <c r="H429" t="s">
        <v>2653</v>
      </c>
      <c r="I429" t="s">
        <v>1759</v>
      </c>
      <c r="K429" t="str">
        <f t="shared" si="6"/>
        <v>RES_200902_P1T22026</v>
      </c>
    </row>
    <row r="430" spans="1:11">
      <c r="A430">
        <v>2027</v>
      </c>
      <c r="B430" t="s">
        <v>1602</v>
      </c>
      <c r="C430" t="s">
        <v>2653</v>
      </c>
      <c r="D430" t="s">
        <v>2653</v>
      </c>
      <c r="E430" t="s">
        <v>2654</v>
      </c>
      <c r="F430" t="s">
        <v>2654</v>
      </c>
      <c r="G430" t="s">
        <v>2653</v>
      </c>
      <c r="H430" t="s">
        <v>2653</v>
      </c>
      <c r="I430" t="s">
        <v>1759</v>
      </c>
      <c r="K430" t="str">
        <f t="shared" si="6"/>
        <v>RES_200902_P1T22027</v>
      </c>
    </row>
    <row r="431" spans="1:11">
      <c r="A431">
        <v>2026</v>
      </c>
      <c r="B431" t="s">
        <v>1603</v>
      </c>
      <c r="C431" t="s">
        <v>2653</v>
      </c>
      <c r="D431" t="s">
        <v>2653</v>
      </c>
      <c r="E431" t="s">
        <v>2654</v>
      </c>
      <c r="F431" t="s">
        <v>2654</v>
      </c>
      <c r="G431" t="s">
        <v>2653</v>
      </c>
      <c r="H431" t="s">
        <v>2653</v>
      </c>
      <c r="I431" t="s">
        <v>1760</v>
      </c>
      <c r="K431" t="str">
        <f t="shared" si="6"/>
        <v>RES_200902_P1T32026</v>
      </c>
    </row>
    <row r="432" spans="1:11">
      <c r="A432">
        <v>2027</v>
      </c>
      <c r="B432" t="s">
        <v>1603</v>
      </c>
      <c r="C432" t="s">
        <v>2653</v>
      </c>
      <c r="D432" t="s">
        <v>2653</v>
      </c>
      <c r="E432" t="s">
        <v>2654</v>
      </c>
      <c r="F432" t="s">
        <v>2654</v>
      </c>
      <c r="G432" t="s">
        <v>2653</v>
      </c>
      <c r="H432" t="s">
        <v>2653</v>
      </c>
      <c r="I432" t="s">
        <v>1760</v>
      </c>
      <c r="K432" t="str">
        <f t="shared" si="6"/>
        <v>RES_200902_P1T32027</v>
      </c>
    </row>
    <row r="433" spans="1:11">
      <c r="A433">
        <v>2026</v>
      </c>
      <c r="B433" t="s">
        <v>1604</v>
      </c>
      <c r="C433" t="s">
        <v>2653</v>
      </c>
      <c r="D433" t="s">
        <v>2653</v>
      </c>
      <c r="E433" t="s">
        <v>2654</v>
      </c>
      <c r="F433" t="s">
        <v>2654</v>
      </c>
      <c r="G433" t="s">
        <v>2653</v>
      </c>
      <c r="H433" t="s">
        <v>2653</v>
      </c>
      <c r="I433" t="s">
        <v>1761</v>
      </c>
      <c r="K433" t="str">
        <f t="shared" si="6"/>
        <v>RES_200902_P1T42026</v>
      </c>
    </row>
    <row r="434" spans="1:11">
      <c r="A434">
        <v>2027</v>
      </c>
      <c r="B434" t="s">
        <v>1604</v>
      </c>
      <c r="C434" t="s">
        <v>2653</v>
      </c>
      <c r="D434" t="s">
        <v>2653</v>
      </c>
      <c r="E434" t="s">
        <v>2654</v>
      </c>
      <c r="F434" t="s">
        <v>2654</v>
      </c>
      <c r="G434" t="s">
        <v>2653</v>
      </c>
      <c r="H434" t="s">
        <v>2653</v>
      </c>
      <c r="I434" t="s">
        <v>1761</v>
      </c>
      <c r="K434" t="str">
        <f t="shared" si="6"/>
        <v>RES_200902_P1T42027</v>
      </c>
    </row>
    <row r="435" spans="1:11">
      <c r="A435">
        <v>2026</v>
      </c>
      <c r="B435" t="s">
        <v>1606</v>
      </c>
      <c r="C435" t="s">
        <v>2653</v>
      </c>
      <c r="D435" t="s">
        <v>2653</v>
      </c>
      <c r="E435" t="s">
        <v>2654</v>
      </c>
      <c r="F435" t="s">
        <v>2654</v>
      </c>
      <c r="G435" t="s">
        <v>2653</v>
      </c>
      <c r="H435" t="s">
        <v>2653</v>
      </c>
      <c r="I435" t="s">
        <v>1763</v>
      </c>
      <c r="K435" t="str">
        <f t="shared" si="6"/>
        <v>RES_200902_P1T62026</v>
      </c>
    </row>
    <row r="436" spans="1:11">
      <c r="A436">
        <v>2027</v>
      </c>
      <c r="B436" t="s">
        <v>1606</v>
      </c>
      <c r="C436" t="s">
        <v>2653</v>
      </c>
      <c r="D436" t="s">
        <v>2653</v>
      </c>
      <c r="E436" t="s">
        <v>2654</v>
      </c>
      <c r="F436" t="s">
        <v>2654</v>
      </c>
      <c r="G436" t="s">
        <v>2653</v>
      </c>
      <c r="H436" t="s">
        <v>2653</v>
      </c>
      <c r="I436" t="s">
        <v>1763</v>
      </c>
      <c r="K436" t="str">
        <f t="shared" si="6"/>
        <v>RES_200902_P1T62027</v>
      </c>
    </row>
    <row r="437" spans="1:11">
      <c r="A437">
        <v>2026</v>
      </c>
      <c r="B437" t="s">
        <v>1608</v>
      </c>
      <c r="C437" t="s">
        <v>2653</v>
      </c>
      <c r="D437" t="s">
        <v>2653</v>
      </c>
      <c r="E437" t="s">
        <v>2654</v>
      </c>
      <c r="F437" t="s">
        <v>2654</v>
      </c>
      <c r="G437" t="s">
        <v>2653</v>
      </c>
      <c r="H437" t="s">
        <v>2653</v>
      </c>
      <c r="I437" t="s">
        <v>1765</v>
      </c>
      <c r="K437" t="str">
        <f t="shared" si="6"/>
        <v>RES_200902_P1T82026</v>
      </c>
    </row>
    <row r="438" spans="1:11">
      <c r="A438">
        <v>2027</v>
      </c>
      <c r="B438" t="s">
        <v>1608</v>
      </c>
      <c r="C438" t="s">
        <v>2653</v>
      </c>
      <c r="D438" t="s">
        <v>2653</v>
      </c>
      <c r="E438" t="s">
        <v>2654</v>
      </c>
      <c r="F438" t="s">
        <v>2654</v>
      </c>
      <c r="G438" t="s">
        <v>2653</v>
      </c>
      <c r="H438" t="s">
        <v>2653</v>
      </c>
      <c r="I438" t="s">
        <v>1765</v>
      </c>
      <c r="K438" t="str">
        <f t="shared" si="6"/>
        <v>RES_200902_P1T82027</v>
      </c>
    </row>
    <row r="439" spans="1:11">
      <c r="A439">
        <v>2026</v>
      </c>
      <c r="B439" t="s">
        <v>1609</v>
      </c>
      <c r="C439" t="s">
        <v>2653</v>
      </c>
      <c r="D439" t="s">
        <v>2653</v>
      </c>
      <c r="E439" t="s">
        <v>2654</v>
      </c>
      <c r="F439" t="s">
        <v>2654</v>
      </c>
      <c r="G439" t="s">
        <v>2653</v>
      </c>
      <c r="H439" t="s">
        <v>2653</v>
      </c>
      <c r="I439" t="s">
        <v>1766</v>
      </c>
      <c r="K439" t="str">
        <f t="shared" si="6"/>
        <v>RES_200902_P1T92026</v>
      </c>
    </row>
    <row r="440" spans="1:11">
      <c r="A440">
        <v>2027</v>
      </c>
      <c r="B440" t="s">
        <v>1609</v>
      </c>
      <c r="C440" t="s">
        <v>2653</v>
      </c>
      <c r="D440" t="s">
        <v>2653</v>
      </c>
      <c r="E440" t="s">
        <v>2654</v>
      </c>
      <c r="F440" t="s">
        <v>2654</v>
      </c>
      <c r="G440" t="s">
        <v>2653</v>
      </c>
      <c r="H440" t="s">
        <v>2653</v>
      </c>
      <c r="I440" t="s">
        <v>1766</v>
      </c>
      <c r="K440" t="str">
        <f t="shared" si="6"/>
        <v>RES_200902_P1T92027</v>
      </c>
    </row>
    <row r="441" spans="1:11">
      <c r="A441">
        <v>2026</v>
      </c>
      <c r="B441" t="s">
        <v>1607</v>
      </c>
      <c r="C441" t="s">
        <v>2653</v>
      </c>
      <c r="D441" t="s">
        <v>2653</v>
      </c>
      <c r="E441" t="s">
        <v>2654</v>
      </c>
      <c r="F441" t="s">
        <v>2654</v>
      </c>
      <c r="G441" t="s">
        <v>2653</v>
      </c>
      <c r="H441" t="s">
        <v>2653</v>
      </c>
      <c r="I441" t="s">
        <v>1764</v>
      </c>
      <c r="K441" t="str">
        <f t="shared" si="6"/>
        <v>RES_200902_P1T72026</v>
      </c>
    </row>
    <row r="442" spans="1:11">
      <c r="A442">
        <v>2027</v>
      </c>
      <c r="B442" t="s">
        <v>1607</v>
      </c>
      <c r="C442" t="s">
        <v>2653</v>
      </c>
      <c r="D442" t="s">
        <v>2653</v>
      </c>
      <c r="E442" t="s">
        <v>2654</v>
      </c>
      <c r="F442" t="s">
        <v>2654</v>
      </c>
      <c r="G442" t="s">
        <v>2653</v>
      </c>
      <c r="H442" t="s">
        <v>2653</v>
      </c>
      <c r="I442" t="s">
        <v>1764</v>
      </c>
      <c r="K442" t="str">
        <f t="shared" si="6"/>
        <v>RES_200902_P1T72027</v>
      </c>
    </row>
    <row r="443" spans="1:11">
      <c r="A443">
        <v>2026</v>
      </c>
      <c r="B443" t="s">
        <v>1601</v>
      </c>
      <c r="C443" t="s">
        <v>2653</v>
      </c>
      <c r="D443" t="s">
        <v>2653</v>
      </c>
      <c r="E443" t="s">
        <v>2654</v>
      </c>
      <c r="F443" t="s">
        <v>2654</v>
      </c>
      <c r="G443" t="s">
        <v>2653</v>
      </c>
      <c r="H443" t="s">
        <v>2653</v>
      </c>
      <c r="I443" t="s">
        <v>1758</v>
      </c>
      <c r="K443" t="str">
        <f t="shared" si="6"/>
        <v>RES_200902_P1T102026</v>
      </c>
    </row>
    <row r="444" spans="1:11">
      <c r="A444">
        <v>2027</v>
      </c>
      <c r="B444" t="s">
        <v>1601</v>
      </c>
      <c r="C444" t="s">
        <v>2653</v>
      </c>
      <c r="D444" t="s">
        <v>2653</v>
      </c>
      <c r="E444" t="s">
        <v>2654</v>
      </c>
      <c r="F444" t="s">
        <v>2654</v>
      </c>
      <c r="G444" t="s">
        <v>2653</v>
      </c>
      <c r="H444" t="s">
        <v>2653</v>
      </c>
      <c r="I444" t="s">
        <v>1758</v>
      </c>
      <c r="K444" t="str">
        <f t="shared" si="6"/>
        <v>RES_200902_P1T102027</v>
      </c>
    </row>
    <row r="445" spans="1:11">
      <c r="A445">
        <v>2026</v>
      </c>
      <c r="B445" t="s">
        <v>1605</v>
      </c>
      <c r="C445" t="s">
        <v>2653</v>
      </c>
      <c r="D445" t="s">
        <v>2653</v>
      </c>
      <c r="E445" t="s">
        <v>2654</v>
      </c>
      <c r="F445" t="s">
        <v>2654</v>
      </c>
      <c r="G445" t="s">
        <v>2653</v>
      </c>
      <c r="H445" t="s">
        <v>2653</v>
      </c>
      <c r="I445" t="s">
        <v>1762</v>
      </c>
      <c r="K445" t="str">
        <f t="shared" si="6"/>
        <v>RES_200902_P1T52026</v>
      </c>
    </row>
    <row r="446" spans="1:11">
      <c r="A446">
        <v>2027</v>
      </c>
      <c r="B446" t="s">
        <v>1605</v>
      </c>
      <c r="C446" t="s">
        <v>2653</v>
      </c>
      <c r="D446" t="s">
        <v>2653</v>
      </c>
      <c r="E446" t="s">
        <v>2654</v>
      </c>
      <c r="F446" t="s">
        <v>2654</v>
      </c>
      <c r="G446" t="s">
        <v>2653</v>
      </c>
      <c r="H446" t="s">
        <v>2653</v>
      </c>
      <c r="I446" t="s">
        <v>1762</v>
      </c>
      <c r="K446" t="str">
        <f t="shared" si="6"/>
        <v>RES_200902_P1T52027</v>
      </c>
    </row>
    <row r="447" spans="1:11">
      <c r="A447">
        <v>2027</v>
      </c>
      <c r="B447" t="s">
        <v>33</v>
      </c>
      <c r="C447" t="s">
        <v>2653</v>
      </c>
      <c r="D447" t="s">
        <v>2653</v>
      </c>
      <c r="E447" t="s">
        <v>2654</v>
      </c>
      <c r="F447" t="s">
        <v>2654</v>
      </c>
      <c r="G447" t="s">
        <v>2653</v>
      </c>
      <c r="H447" t="s">
        <v>2653</v>
      </c>
      <c r="I447" t="s">
        <v>1126</v>
      </c>
      <c r="K447" t="str">
        <f t="shared" si="6"/>
        <v>IND_200402_P2T12027</v>
      </c>
    </row>
    <row r="448" spans="1:11">
      <c r="A448">
        <v>2026</v>
      </c>
      <c r="B448" t="s">
        <v>33</v>
      </c>
      <c r="C448" t="s">
        <v>2653</v>
      </c>
      <c r="D448" t="s">
        <v>2653</v>
      </c>
      <c r="E448" t="s">
        <v>2654</v>
      </c>
      <c r="F448" t="s">
        <v>2654</v>
      </c>
      <c r="G448" t="s">
        <v>2653</v>
      </c>
      <c r="H448" t="s">
        <v>2653</v>
      </c>
      <c r="I448" t="s">
        <v>1126</v>
      </c>
      <c r="K448" t="str">
        <f t="shared" si="6"/>
        <v>IND_200402_P2T12026</v>
      </c>
    </row>
    <row r="449" spans="1:11">
      <c r="A449">
        <v>2026</v>
      </c>
      <c r="B449" t="s">
        <v>72</v>
      </c>
      <c r="C449" t="s">
        <v>2653</v>
      </c>
      <c r="D449" t="s">
        <v>2653</v>
      </c>
      <c r="E449" t="s">
        <v>2654</v>
      </c>
      <c r="F449" t="s">
        <v>2654</v>
      </c>
      <c r="G449" t="s">
        <v>2653</v>
      </c>
      <c r="H449" t="s">
        <v>2653</v>
      </c>
      <c r="I449" t="s">
        <v>1801</v>
      </c>
      <c r="K449" t="str">
        <f t="shared" si="6"/>
        <v>RES_201301_P14T12026</v>
      </c>
    </row>
    <row r="450" spans="1:11">
      <c r="A450">
        <v>2027</v>
      </c>
      <c r="B450" t="s">
        <v>72</v>
      </c>
      <c r="C450" t="s">
        <v>2653</v>
      </c>
      <c r="D450" t="s">
        <v>2653</v>
      </c>
      <c r="E450" t="s">
        <v>2654</v>
      </c>
      <c r="F450" t="s">
        <v>2654</v>
      </c>
      <c r="G450" t="s">
        <v>2653</v>
      </c>
      <c r="H450" t="s">
        <v>2653</v>
      </c>
      <c r="I450" t="s">
        <v>1801</v>
      </c>
      <c r="K450" t="str">
        <f t="shared" si="6"/>
        <v>RES_201301_P14T12027</v>
      </c>
    </row>
    <row r="451" spans="1:11">
      <c r="A451">
        <v>2026</v>
      </c>
      <c r="B451" t="s">
        <v>920</v>
      </c>
      <c r="C451" t="s">
        <v>2653</v>
      </c>
      <c r="D451" t="s">
        <v>2653</v>
      </c>
      <c r="E451" t="s">
        <v>2654</v>
      </c>
      <c r="F451" t="s">
        <v>2654</v>
      </c>
      <c r="G451" t="s">
        <v>2653</v>
      </c>
      <c r="H451" t="s">
        <v>2653</v>
      </c>
      <c r="I451" t="s">
        <v>1809</v>
      </c>
      <c r="K451" t="str">
        <f t="shared" ref="K451:K514" si="7">B451&amp;A451</f>
        <v>RES_201301_P16T42026</v>
      </c>
    </row>
    <row r="452" spans="1:11">
      <c r="A452">
        <v>2027</v>
      </c>
      <c r="B452" t="s">
        <v>920</v>
      </c>
      <c r="C452" t="s">
        <v>2653</v>
      </c>
      <c r="D452" t="s">
        <v>2653</v>
      </c>
      <c r="E452" t="s">
        <v>2654</v>
      </c>
      <c r="F452" t="s">
        <v>2654</v>
      </c>
      <c r="G452" t="s">
        <v>2653</v>
      </c>
      <c r="H452" t="s">
        <v>2653</v>
      </c>
      <c r="I452" t="s">
        <v>1809</v>
      </c>
      <c r="K452" t="str">
        <f t="shared" si="7"/>
        <v>RES_201301_P16T42027</v>
      </c>
    </row>
    <row r="453" spans="1:11">
      <c r="A453">
        <v>2026</v>
      </c>
      <c r="B453" t="s">
        <v>76</v>
      </c>
      <c r="C453" t="s">
        <v>2653</v>
      </c>
      <c r="D453" t="s">
        <v>2653</v>
      </c>
      <c r="E453" t="s">
        <v>2654</v>
      </c>
      <c r="F453" t="s">
        <v>2654</v>
      </c>
      <c r="G453" t="s">
        <v>2653</v>
      </c>
      <c r="H453" t="s">
        <v>2653</v>
      </c>
      <c r="I453" t="s">
        <v>1805</v>
      </c>
      <c r="K453" t="str">
        <f t="shared" si="7"/>
        <v>RES_201301_P15T42026</v>
      </c>
    </row>
    <row r="454" spans="1:11">
      <c r="A454">
        <v>2027</v>
      </c>
      <c r="B454" t="s">
        <v>76</v>
      </c>
      <c r="C454" t="s">
        <v>2653</v>
      </c>
      <c r="D454" t="s">
        <v>2653</v>
      </c>
      <c r="E454" t="s">
        <v>2654</v>
      </c>
      <c r="F454" t="s">
        <v>2654</v>
      </c>
      <c r="G454" t="s">
        <v>2653</v>
      </c>
      <c r="H454" t="s">
        <v>2653</v>
      </c>
      <c r="I454" t="s">
        <v>1805</v>
      </c>
      <c r="K454" t="str">
        <f t="shared" si="7"/>
        <v>RES_201301_P15T42027</v>
      </c>
    </row>
    <row r="455" spans="1:11">
      <c r="A455">
        <v>2026</v>
      </c>
      <c r="B455" t="s">
        <v>621</v>
      </c>
      <c r="C455" t="s">
        <v>2653</v>
      </c>
      <c r="D455" t="s">
        <v>2653</v>
      </c>
      <c r="E455" t="s">
        <v>2654</v>
      </c>
      <c r="F455" t="s">
        <v>2654</v>
      </c>
      <c r="G455" t="s">
        <v>2653</v>
      </c>
      <c r="H455" t="s">
        <v>2653</v>
      </c>
      <c r="I455" t="s">
        <v>1822</v>
      </c>
      <c r="K455" t="str">
        <f t="shared" si="7"/>
        <v>RES_201301_P25T12026</v>
      </c>
    </row>
    <row r="456" spans="1:11">
      <c r="A456">
        <v>2027</v>
      </c>
      <c r="B456" t="s">
        <v>621</v>
      </c>
      <c r="C456" t="s">
        <v>2653</v>
      </c>
      <c r="D456" t="s">
        <v>2653</v>
      </c>
      <c r="E456" t="s">
        <v>2654</v>
      </c>
      <c r="F456" t="s">
        <v>2654</v>
      </c>
      <c r="G456" t="s">
        <v>2653</v>
      </c>
      <c r="H456" t="s">
        <v>2653</v>
      </c>
      <c r="I456" t="s">
        <v>1822</v>
      </c>
      <c r="K456" t="str">
        <f t="shared" si="7"/>
        <v>RES_201301_P25T12027</v>
      </c>
    </row>
    <row r="457" spans="1:11">
      <c r="A457">
        <v>2026</v>
      </c>
      <c r="B457" t="s">
        <v>80</v>
      </c>
      <c r="C457" t="s">
        <v>2653</v>
      </c>
      <c r="D457" t="s">
        <v>2653</v>
      </c>
      <c r="E457" t="s">
        <v>2654</v>
      </c>
      <c r="F457" t="s">
        <v>2654</v>
      </c>
      <c r="G457" t="s">
        <v>2653</v>
      </c>
      <c r="H457" t="s">
        <v>2653</v>
      </c>
      <c r="I457" t="s">
        <v>1800</v>
      </c>
      <c r="K457" t="str">
        <f t="shared" si="7"/>
        <v>RES_201301_P13T42026</v>
      </c>
    </row>
    <row r="458" spans="1:11">
      <c r="A458">
        <v>2027</v>
      </c>
      <c r="B458" t="s">
        <v>80</v>
      </c>
      <c r="C458" t="s">
        <v>2653</v>
      </c>
      <c r="D458" t="s">
        <v>2653</v>
      </c>
      <c r="E458" t="s">
        <v>2654</v>
      </c>
      <c r="F458" t="s">
        <v>2654</v>
      </c>
      <c r="G458" t="s">
        <v>2653</v>
      </c>
      <c r="H458" t="s">
        <v>2653</v>
      </c>
      <c r="I458" t="s">
        <v>1800</v>
      </c>
      <c r="K458" t="str">
        <f t="shared" si="7"/>
        <v>RES_201301_P13T42027</v>
      </c>
    </row>
    <row r="459" spans="1:11">
      <c r="A459">
        <v>2026</v>
      </c>
      <c r="B459" t="s">
        <v>105</v>
      </c>
      <c r="C459" t="s">
        <v>2653</v>
      </c>
      <c r="D459" t="s">
        <v>2653</v>
      </c>
      <c r="E459" t="s">
        <v>2654</v>
      </c>
      <c r="F459" t="s">
        <v>2654</v>
      </c>
      <c r="G459" t="s">
        <v>2653</v>
      </c>
      <c r="H459" t="s">
        <v>2653</v>
      </c>
      <c r="I459" t="s">
        <v>2147</v>
      </c>
      <c r="K459" t="str">
        <f t="shared" si="7"/>
        <v>COM_200803_P2T12026</v>
      </c>
    </row>
    <row r="460" spans="1:11">
      <c r="A460">
        <v>2027</v>
      </c>
      <c r="B460" t="s">
        <v>105</v>
      </c>
      <c r="C460" t="s">
        <v>2653</v>
      </c>
      <c r="D460" t="s">
        <v>2653</v>
      </c>
      <c r="E460" t="s">
        <v>2654</v>
      </c>
      <c r="F460" t="s">
        <v>2654</v>
      </c>
      <c r="G460" t="s">
        <v>2653</v>
      </c>
      <c r="H460" t="s">
        <v>2653</v>
      </c>
      <c r="I460" t="s">
        <v>2147</v>
      </c>
      <c r="K460" t="str">
        <f t="shared" si="7"/>
        <v>COM_200803_P2T12027</v>
      </c>
    </row>
    <row r="461" spans="1:11">
      <c r="A461">
        <v>2026</v>
      </c>
      <c r="B461" t="s">
        <v>77</v>
      </c>
      <c r="C461" t="s">
        <v>2653</v>
      </c>
      <c r="D461" t="s">
        <v>2653</v>
      </c>
      <c r="E461" t="s">
        <v>2654</v>
      </c>
      <c r="F461" t="s">
        <v>2654</v>
      </c>
      <c r="G461" t="s">
        <v>2653</v>
      </c>
      <c r="H461" t="s">
        <v>2653</v>
      </c>
      <c r="I461" t="s">
        <v>1797</v>
      </c>
      <c r="K461" t="str">
        <f t="shared" si="7"/>
        <v>RES_201301_P13T12026</v>
      </c>
    </row>
    <row r="462" spans="1:11">
      <c r="A462">
        <v>2027</v>
      </c>
      <c r="B462" t="s">
        <v>77</v>
      </c>
      <c r="C462" t="s">
        <v>2653</v>
      </c>
      <c r="D462" t="s">
        <v>2653</v>
      </c>
      <c r="E462" t="s">
        <v>2654</v>
      </c>
      <c r="F462" t="s">
        <v>2654</v>
      </c>
      <c r="G462" t="s">
        <v>2653</v>
      </c>
      <c r="H462" t="s">
        <v>2653</v>
      </c>
      <c r="I462" t="s">
        <v>1797</v>
      </c>
      <c r="K462" t="str">
        <f t="shared" si="7"/>
        <v>RES_201301_P13T12027</v>
      </c>
    </row>
    <row r="463" spans="1:11">
      <c r="A463">
        <v>2026</v>
      </c>
      <c r="B463" t="s">
        <v>78</v>
      </c>
      <c r="C463" t="s">
        <v>2653</v>
      </c>
      <c r="D463" t="s">
        <v>2653</v>
      </c>
      <c r="E463" t="s">
        <v>2654</v>
      </c>
      <c r="F463" t="s">
        <v>2654</v>
      </c>
      <c r="G463" t="s">
        <v>2653</v>
      </c>
      <c r="H463" t="s">
        <v>2653</v>
      </c>
      <c r="I463" t="s">
        <v>1798</v>
      </c>
      <c r="K463" t="str">
        <f t="shared" si="7"/>
        <v>RES_201301_P13T22026</v>
      </c>
    </row>
    <row r="464" spans="1:11">
      <c r="A464">
        <v>2027</v>
      </c>
      <c r="B464" t="s">
        <v>78</v>
      </c>
      <c r="C464" t="s">
        <v>2653</v>
      </c>
      <c r="D464" t="s">
        <v>2653</v>
      </c>
      <c r="E464" t="s">
        <v>2654</v>
      </c>
      <c r="F464" t="s">
        <v>2654</v>
      </c>
      <c r="G464" t="s">
        <v>2653</v>
      </c>
      <c r="H464" t="s">
        <v>2653</v>
      </c>
      <c r="I464" t="s">
        <v>1798</v>
      </c>
      <c r="K464" t="str">
        <f t="shared" si="7"/>
        <v>RES_201301_P13T22027</v>
      </c>
    </row>
    <row r="465" spans="1:11">
      <c r="A465">
        <v>2026</v>
      </c>
      <c r="B465" t="s">
        <v>79</v>
      </c>
      <c r="C465" t="s">
        <v>2653</v>
      </c>
      <c r="D465" t="s">
        <v>2653</v>
      </c>
      <c r="E465" t="s">
        <v>2654</v>
      </c>
      <c r="F465" t="s">
        <v>2654</v>
      </c>
      <c r="G465" t="s">
        <v>2653</v>
      </c>
      <c r="H465" t="s">
        <v>2653</v>
      </c>
      <c r="I465" t="s">
        <v>1799</v>
      </c>
      <c r="K465" t="str">
        <f t="shared" si="7"/>
        <v>RES_201301_P13T32026</v>
      </c>
    </row>
    <row r="466" spans="1:11">
      <c r="A466">
        <v>2027</v>
      </c>
      <c r="B466" t="s">
        <v>79</v>
      </c>
      <c r="C466" t="s">
        <v>2653</v>
      </c>
      <c r="D466" t="s">
        <v>2653</v>
      </c>
      <c r="E466" t="s">
        <v>2654</v>
      </c>
      <c r="F466" t="s">
        <v>2654</v>
      </c>
      <c r="G466" t="s">
        <v>2653</v>
      </c>
      <c r="H466" t="s">
        <v>2653</v>
      </c>
      <c r="I466" t="s">
        <v>1799</v>
      </c>
      <c r="K466" t="str">
        <f t="shared" si="7"/>
        <v>RES_201301_P13T32027</v>
      </c>
    </row>
    <row r="467" spans="1:11">
      <c r="A467">
        <v>2026</v>
      </c>
      <c r="B467" t="s">
        <v>83</v>
      </c>
      <c r="C467" t="s">
        <v>2653</v>
      </c>
      <c r="D467" t="s">
        <v>2653</v>
      </c>
      <c r="E467" t="s">
        <v>2654</v>
      </c>
      <c r="F467" t="s">
        <v>2654</v>
      </c>
      <c r="G467" t="s">
        <v>2653</v>
      </c>
      <c r="H467" t="s">
        <v>2653</v>
      </c>
      <c r="I467" t="s">
        <v>1514</v>
      </c>
      <c r="K467" t="str">
        <f t="shared" si="7"/>
        <v>RES_201403_P2T32026</v>
      </c>
    </row>
    <row r="468" spans="1:11">
      <c r="A468">
        <v>2027</v>
      </c>
      <c r="B468" t="s">
        <v>83</v>
      </c>
      <c r="C468" t="s">
        <v>2653</v>
      </c>
      <c r="D468" t="s">
        <v>2653</v>
      </c>
      <c r="E468" t="s">
        <v>2654</v>
      </c>
      <c r="F468" t="s">
        <v>2654</v>
      </c>
      <c r="G468" t="s">
        <v>2653</v>
      </c>
      <c r="H468" t="s">
        <v>2653</v>
      </c>
      <c r="I468" t="s">
        <v>1514</v>
      </c>
      <c r="K468" t="str">
        <f t="shared" si="7"/>
        <v>RES_201403_P2T32027</v>
      </c>
    </row>
    <row r="469" spans="1:11">
      <c r="A469">
        <v>2026</v>
      </c>
      <c r="B469" t="s">
        <v>1655</v>
      </c>
      <c r="C469" t="s">
        <v>2653</v>
      </c>
      <c r="D469" t="s">
        <v>2653</v>
      </c>
      <c r="E469" t="s">
        <v>2654</v>
      </c>
      <c r="F469" t="s">
        <v>2654</v>
      </c>
      <c r="G469" t="s">
        <v>2653</v>
      </c>
      <c r="H469" t="s">
        <v>2653</v>
      </c>
      <c r="I469" t="s">
        <v>2116</v>
      </c>
      <c r="K469" t="str">
        <f t="shared" si="7"/>
        <v>RES_201403_P7T1_02026</v>
      </c>
    </row>
    <row r="470" spans="1:11">
      <c r="A470">
        <v>2027</v>
      </c>
      <c r="B470" t="s">
        <v>1655</v>
      </c>
      <c r="C470" t="s">
        <v>2653</v>
      </c>
      <c r="D470" t="s">
        <v>2653</v>
      </c>
      <c r="E470" t="s">
        <v>2654</v>
      </c>
      <c r="F470" t="s">
        <v>2654</v>
      </c>
      <c r="G470" t="s">
        <v>2653</v>
      </c>
      <c r="H470" t="s">
        <v>2653</v>
      </c>
      <c r="I470" t="s">
        <v>2116</v>
      </c>
      <c r="K470" t="str">
        <f t="shared" si="7"/>
        <v>RES_201403_P7T1_02027</v>
      </c>
    </row>
    <row r="471" spans="1:11">
      <c r="A471">
        <v>2026</v>
      </c>
      <c r="B471" t="s">
        <v>1657</v>
      </c>
      <c r="C471" t="s">
        <v>2653</v>
      </c>
      <c r="D471" t="s">
        <v>2653</v>
      </c>
      <c r="E471" t="s">
        <v>2654</v>
      </c>
      <c r="F471" t="s">
        <v>2654</v>
      </c>
      <c r="G471" t="s">
        <v>2653</v>
      </c>
      <c r="H471" t="s">
        <v>2653</v>
      </c>
      <c r="I471" t="s">
        <v>2118</v>
      </c>
      <c r="K471" t="str">
        <f t="shared" si="7"/>
        <v>RES_201403_P7T2_02026</v>
      </c>
    </row>
    <row r="472" spans="1:11">
      <c r="A472">
        <v>2027</v>
      </c>
      <c r="B472" t="s">
        <v>1657</v>
      </c>
      <c r="C472" t="s">
        <v>2653</v>
      </c>
      <c r="D472" t="s">
        <v>2653</v>
      </c>
      <c r="E472" t="s">
        <v>2654</v>
      </c>
      <c r="F472" t="s">
        <v>2654</v>
      </c>
      <c r="G472" t="s">
        <v>2653</v>
      </c>
      <c r="H472" t="s">
        <v>2653</v>
      </c>
      <c r="I472" t="s">
        <v>2118</v>
      </c>
      <c r="K472" t="str">
        <f t="shared" si="7"/>
        <v>RES_201403_P7T2_02027</v>
      </c>
    </row>
    <row r="473" spans="1:11">
      <c r="A473">
        <v>2026</v>
      </c>
      <c r="B473" t="s">
        <v>1003</v>
      </c>
      <c r="C473" t="s">
        <v>2653</v>
      </c>
      <c r="D473" t="s">
        <v>2653</v>
      </c>
      <c r="E473" t="s">
        <v>2654</v>
      </c>
      <c r="F473" t="s">
        <v>2654</v>
      </c>
      <c r="G473" t="s">
        <v>2653</v>
      </c>
      <c r="H473" t="s">
        <v>2653</v>
      </c>
      <c r="I473" t="s">
        <v>2473</v>
      </c>
      <c r="K473" t="str">
        <f t="shared" si="7"/>
        <v>XMP_202001_P6T22026</v>
      </c>
    </row>
    <row r="474" spans="1:11">
      <c r="A474">
        <v>2027</v>
      </c>
      <c r="B474" t="s">
        <v>1003</v>
      </c>
      <c r="C474" t="s">
        <v>2653</v>
      </c>
      <c r="D474" t="s">
        <v>2653</v>
      </c>
      <c r="E474" t="s">
        <v>2654</v>
      </c>
      <c r="F474" t="s">
        <v>2654</v>
      </c>
      <c r="G474" t="s">
        <v>2653</v>
      </c>
      <c r="H474" t="s">
        <v>2653</v>
      </c>
      <c r="I474" t="s">
        <v>2473</v>
      </c>
      <c r="K474" t="str">
        <f t="shared" si="7"/>
        <v>XMP_202001_P6T22027</v>
      </c>
    </row>
    <row r="475" spans="1:11">
      <c r="A475">
        <v>2026</v>
      </c>
      <c r="B475" t="s">
        <v>1002</v>
      </c>
      <c r="C475" t="s">
        <v>2653</v>
      </c>
      <c r="D475" t="s">
        <v>2653</v>
      </c>
      <c r="E475" t="s">
        <v>2654</v>
      </c>
      <c r="F475" t="s">
        <v>2654</v>
      </c>
      <c r="G475" t="s">
        <v>2653</v>
      </c>
      <c r="H475" t="s">
        <v>2653</v>
      </c>
      <c r="I475" t="s">
        <v>1888</v>
      </c>
      <c r="K475" t="str">
        <f t="shared" si="7"/>
        <v>XMP_202001_P6T12026</v>
      </c>
    </row>
    <row r="476" spans="1:11">
      <c r="A476">
        <v>2027</v>
      </c>
      <c r="B476" t="s">
        <v>1002</v>
      </c>
      <c r="C476" t="s">
        <v>2653</v>
      </c>
      <c r="D476" t="s">
        <v>2653</v>
      </c>
      <c r="E476" t="s">
        <v>2654</v>
      </c>
      <c r="F476" t="s">
        <v>2654</v>
      </c>
      <c r="G476" t="s">
        <v>2653</v>
      </c>
      <c r="H476" t="s">
        <v>2653</v>
      </c>
      <c r="I476" t="s">
        <v>1888</v>
      </c>
      <c r="K476" t="str">
        <f t="shared" si="7"/>
        <v>XMP_202001_P6T12027</v>
      </c>
    </row>
    <row r="477" spans="1:11">
      <c r="A477">
        <v>2026</v>
      </c>
      <c r="B477" t="s">
        <v>1001</v>
      </c>
      <c r="C477" t="s">
        <v>2653</v>
      </c>
      <c r="D477" t="s">
        <v>2653</v>
      </c>
      <c r="E477" t="s">
        <v>2654</v>
      </c>
      <c r="F477" t="s">
        <v>2654</v>
      </c>
      <c r="G477" t="s">
        <v>2653</v>
      </c>
      <c r="H477" t="s">
        <v>2653</v>
      </c>
      <c r="I477" t="s">
        <v>1887</v>
      </c>
      <c r="K477" t="str">
        <f t="shared" si="7"/>
        <v>XMP_202001_P5T12026</v>
      </c>
    </row>
    <row r="478" spans="1:11">
      <c r="A478">
        <v>2027</v>
      </c>
      <c r="B478" t="s">
        <v>1001</v>
      </c>
      <c r="C478" t="s">
        <v>2653</v>
      </c>
      <c r="D478" t="s">
        <v>2653</v>
      </c>
      <c r="E478" t="s">
        <v>2654</v>
      </c>
      <c r="F478" t="s">
        <v>2654</v>
      </c>
      <c r="G478" t="s">
        <v>2653</v>
      </c>
      <c r="H478" t="s">
        <v>2653</v>
      </c>
      <c r="I478" t="s">
        <v>1887</v>
      </c>
      <c r="K478" t="str">
        <f t="shared" si="7"/>
        <v>XMP_202001_P5T12027</v>
      </c>
    </row>
    <row r="479" spans="1:11">
      <c r="A479">
        <v>2026</v>
      </c>
      <c r="B479" t="s">
        <v>1000</v>
      </c>
      <c r="C479" t="s">
        <v>2653</v>
      </c>
      <c r="D479" t="s">
        <v>2653</v>
      </c>
      <c r="E479" t="s">
        <v>2654</v>
      </c>
      <c r="F479" t="s">
        <v>2654</v>
      </c>
      <c r="G479" t="s">
        <v>2653</v>
      </c>
      <c r="H479" t="s">
        <v>2653</v>
      </c>
      <c r="I479" t="s">
        <v>1886</v>
      </c>
      <c r="K479" t="str">
        <f t="shared" si="7"/>
        <v>XMP_202001_P4T32026</v>
      </c>
    </row>
    <row r="480" spans="1:11">
      <c r="A480">
        <v>2027</v>
      </c>
      <c r="B480" t="s">
        <v>1000</v>
      </c>
      <c r="C480" t="s">
        <v>2653</v>
      </c>
      <c r="D480" t="s">
        <v>2653</v>
      </c>
      <c r="E480" t="s">
        <v>2654</v>
      </c>
      <c r="F480" t="s">
        <v>2654</v>
      </c>
      <c r="G480" t="s">
        <v>2653</v>
      </c>
      <c r="H480" t="s">
        <v>2653</v>
      </c>
      <c r="I480" t="s">
        <v>1886</v>
      </c>
      <c r="K480" t="str">
        <f t="shared" si="7"/>
        <v>XMP_202001_P4T32027</v>
      </c>
    </row>
    <row r="481" spans="1:11">
      <c r="A481">
        <v>2026</v>
      </c>
      <c r="B481" t="s">
        <v>999</v>
      </c>
      <c r="C481" t="s">
        <v>2653</v>
      </c>
      <c r="D481" t="s">
        <v>2653</v>
      </c>
      <c r="E481" t="s">
        <v>2654</v>
      </c>
      <c r="F481" t="s">
        <v>2654</v>
      </c>
      <c r="G481" t="s">
        <v>2653</v>
      </c>
      <c r="H481" t="s">
        <v>2653</v>
      </c>
      <c r="I481" t="s">
        <v>1885</v>
      </c>
      <c r="K481" t="str">
        <f t="shared" si="7"/>
        <v>XMP_202001_P4T22026</v>
      </c>
    </row>
    <row r="482" spans="1:11">
      <c r="A482">
        <v>2027</v>
      </c>
      <c r="B482" t="s">
        <v>999</v>
      </c>
      <c r="C482" t="s">
        <v>2653</v>
      </c>
      <c r="D482" t="s">
        <v>2653</v>
      </c>
      <c r="E482" t="s">
        <v>2654</v>
      </c>
      <c r="F482" t="s">
        <v>2654</v>
      </c>
      <c r="G482" t="s">
        <v>2653</v>
      </c>
      <c r="H482" t="s">
        <v>2653</v>
      </c>
      <c r="I482" t="s">
        <v>1885</v>
      </c>
      <c r="K482" t="str">
        <f t="shared" si="7"/>
        <v>XMP_202001_P4T22027</v>
      </c>
    </row>
    <row r="483" spans="1:11">
      <c r="A483">
        <v>2026</v>
      </c>
      <c r="B483" t="s">
        <v>998</v>
      </c>
      <c r="C483" t="s">
        <v>2653</v>
      </c>
      <c r="D483" t="s">
        <v>2653</v>
      </c>
      <c r="E483" t="s">
        <v>2654</v>
      </c>
      <c r="F483" t="s">
        <v>2654</v>
      </c>
      <c r="G483" t="s">
        <v>2653</v>
      </c>
      <c r="H483" t="s">
        <v>2653</v>
      </c>
      <c r="I483" t="s">
        <v>1884</v>
      </c>
      <c r="K483" t="str">
        <f t="shared" si="7"/>
        <v>XMP_202001_P4T12026</v>
      </c>
    </row>
    <row r="484" spans="1:11">
      <c r="A484">
        <v>2027</v>
      </c>
      <c r="B484" t="s">
        <v>998</v>
      </c>
      <c r="C484" t="s">
        <v>2653</v>
      </c>
      <c r="D484" t="s">
        <v>2653</v>
      </c>
      <c r="E484" t="s">
        <v>2654</v>
      </c>
      <c r="F484" t="s">
        <v>2654</v>
      </c>
      <c r="G484" t="s">
        <v>2653</v>
      </c>
      <c r="H484" t="s">
        <v>2653</v>
      </c>
      <c r="I484" t="s">
        <v>1884</v>
      </c>
      <c r="K484" t="str">
        <f t="shared" si="7"/>
        <v>XMP_202001_P4T12027</v>
      </c>
    </row>
    <row r="485" spans="1:11">
      <c r="A485">
        <v>2026</v>
      </c>
      <c r="B485" t="s">
        <v>994</v>
      </c>
      <c r="C485" t="s">
        <v>2653</v>
      </c>
      <c r="D485" t="s">
        <v>2653</v>
      </c>
      <c r="E485" t="s">
        <v>2654</v>
      </c>
      <c r="F485" t="s">
        <v>2654</v>
      </c>
      <c r="G485" t="s">
        <v>2653</v>
      </c>
      <c r="H485" t="s">
        <v>2653</v>
      </c>
      <c r="I485" t="s">
        <v>1880</v>
      </c>
      <c r="K485" t="str">
        <f t="shared" si="7"/>
        <v>XMP_202001_P2T22026</v>
      </c>
    </row>
    <row r="486" spans="1:11">
      <c r="A486">
        <v>2027</v>
      </c>
      <c r="B486" t="s">
        <v>994</v>
      </c>
      <c r="C486" t="s">
        <v>2653</v>
      </c>
      <c r="D486" t="s">
        <v>2653</v>
      </c>
      <c r="E486" t="s">
        <v>2654</v>
      </c>
      <c r="F486" t="s">
        <v>2654</v>
      </c>
      <c r="G486" t="s">
        <v>2653</v>
      </c>
      <c r="H486" t="s">
        <v>2653</v>
      </c>
      <c r="I486" t="s">
        <v>1880</v>
      </c>
      <c r="K486" t="str">
        <f t="shared" si="7"/>
        <v>XMP_202001_P2T22027</v>
      </c>
    </row>
    <row r="487" spans="1:11">
      <c r="A487">
        <v>2026</v>
      </c>
      <c r="B487" t="s">
        <v>993</v>
      </c>
      <c r="C487" t="s">
        <v>2653</v>
      </c>
      <c r="D487" t="s">
        <v>2653</v>
      </c>
      <c r="E487" t="s">
        <v>2654</v>
      </c>
      <c r="F487" t="s">
        <v>2654</v>
      </c>
      <c r="G487" t="s">
        <v>2653</v>
      </c>
      <c r="H487" t="s">
        <v>2653</v>
      </c>
      <c r="I487" t="s">
        <v>1879</v>
      </c>
      <c r="K487" t="str">
        <f t="shared" si="7"/>
        <v>XMP_202001_P2T12026</v>
      </c>
    </row>
    <row r="488" spans="1:11">
      <c r="A488">
        <v>2027</v>
      </c>
      <c r="B488" t="s">
        <v>993</v>
      </c>
      <c r="C488" t="s">
        <v>2653</v>
      </c>
      <c r="D488" t="s">
        <v>2653</v>
      </c>
      <c r="E488" t="s">
        <v>2654</v>
      </c>
      <c r="F488" t="s">
        <v>2654</v>
      </c>
      <c r="G488" t="s">
        <v>2653</v>
      </c>
      <c r="H488" t="s">
        <v>2653</v>
      </c>
      <c r="I488" t="s">
        <v>1879</v>
      </c>
      <c r="K488" t="str">
        <f t="shared" si="7"/>
        <v>XMP_202001_P2T12027</v>
      </c>
    </row>
    <row r="489" spans="1:11">
      <c r="A489">
        <v>2026</v>
      </c>
      <c r="B489" t="s">
        <v>1074</v>
      </c>
      <c r="C489" t="s">
        <v>2653</v>
      </c>
      <c r="D489" t="s">
        <v>2653</v>
      </c>
      <c r="E489" t="s">
        <v>2654</v>
      </c>
      <c r="F489" t="s">
        <v>2654</v>
      </c>
      <c r="G489" t="s">
        <v>2653</v>
      </c>
      <c r="H489" t="s">
        <v>2653</v>
      </c>
      <c r="I489" t="s">
        <v>1825</v>
      </c>
      <c r="K489" t="str">
        <f t="shared" si="7"/>
        <v>RES_201301_P25T42026</v>
      </c>
    </row>
    <row r="490" spans="1:11">
      <c r="A490">
        <v>2027</v>
      </c>
      <c r="B490" t="s">
        <v>1074</v>
      </c>
      <c r="C490" t="s">
        <v>2653</v>
      </c>
      <c r="D490" t="s">
        <v>2653</v>
      </c>
      <c r="E490" t="s">
        <v>2654</v>
      </c>
      <c r="F490" t="s">
        <v>2654</v>
      </c>
      <c r="G490" t="s">
        <v>2653</v>
      </c>
      <c r="H490" t="s">
        <v>2653</v>
      </c>
      <c r="I490" t="s">
        <v>1825</v>
      </c>
      <c r="K490" t="str">
        <f t="shared" si="7"/>
        <v>RES_201301_P25T42027</v>
      </c>
    </row>
    <row r="491" spans="1:11">
      <c r="A491">
        <v>2026</v>
      </c>
      <c r="B491" t="s">
        <v>1615</v>
      </c>
      <c r="C491" t="s">
        <v>2653</v>
      </c>
      <c r="D491" t="s">
        <v>2653</v>
      </c>
      <c r="E491" t="s">
        <v>2654</v>
      </c>
      <c r="F491" t="s">
        <v>2654</v>
      </c>
      <c r="G491" t="s">
        <v>2653</v>
      </c>
      <c r="H491" t="s">
        <v>2653</v>
      </c>
      <c r="I491" t="s">
        <v>1824</v>
      </c>
      <c r="K491" t="str">
        <f t="shared" si="7"/>
        <v>RES_201301_P25T32026</v>
      </c>
    </row>
    <row r="492" spans="1:11">
      <c r="A492">
        <v>2027</v>
      </c>
      <c r="B492" t="s">
        <v>1615</v>
      </c>
      <c r="C492" t="s">
        <v>2653</v>
      </c>
      <c r="D492" t="s">
        <v>2653</v>
      </c>
      <c r="E492" t="s">
        <v>2654</v>
      </c>
      <c r="F492" t="s">
        <v>2654</v>
      </c>
      <c r="G492" t="s">
        <v>2653</v>
      </c>
      <c r="H492" t="s">
        <v>2653</v>
      </c>
      <c r="I492" t="s">
        <v>1824</v>
      </c>
      <c r="K492" t="str">
        <f t="shared" si="7"/>
        <v>RES_201301_P25T32027</v>
      </c>
    </row>
    <row r="493" spans="1:11">
      <c r="A493">
        <v>2026</v>
      </c>
      <c r="B493" t="s">
        <v>1614</v>
      </c>
      <c r="C493" t="s">
        <v>2653</v>
      </c>
      <c r="D493" t="s">
        <v>2653</v>
      </c>
      <c r="E493" t="s">
        <v>2654</v>
      </c>
      <c r="F493" t="s">
        <v>2654</v>
      </c>
      <c r="G493" t="s">
        <v>2653</v>
      </c>
      <c r="H493" t="s">
        <v>2653</v>
      </c>
      <c r="I493" t="s">
        <v>1823</v>
      </c>
      <c r="K493" t="str">
        <f t="shared" si="7"/>
        <v>RES_201301_P25T22026</v>
      </c>
    </row>
    <row r="494" spans="1:11">
      <c r="A494">
        <v>2027</v>
      </c>
      <c r="B494" t="s">
        <v>1614</v>
      </c>
      <c r="C494" t="s">
        <v>2653</v>
      </c>
      <c r="D494" t="s">
        <v>2653</v>
      </c>
      <c r="E494" t="s">
        <v>2654</v>
      </c>
      <c r="F494" t="s">
        <v>2654</v>
      </c>
      <c r="G494" t="s">
        <v>2653</v>
      </c>
      <c r="H494" t="s">
        <v>2653</v>
      </c>
      <c r="I494" t="s">
        <v>1823</v>
      </c>
      <c r="K494" t="str">
        <f t="shared" si="7"/>
        <v>RES_201301_P25T22027</v>
      </c>
    </row>
    <row r="495" spans="1:11">
      <c r="A495">
        <v>2026</v>
      </c>
      <c r="B495" t="s">
        <v>2101</v>
      </c>
      <c r="C495" t="s">
        <v>2653</v>
      </c>
      <c r="D495" t="s">
        <v>2653</v>
      </c>
      <c r="E495" t="s">
        <v>2654</v>
      </c>
      <c r="F495" t="s">
        <v>2654</v>
      </c>
      <c r="G495" t="s">
        <v>2653</v>
      </c>
      <c r="H495" t="s">
        <v>2653</v>
      </c>
      <c r="I495" t="s">
        <v>2100</v>
      </c>
      <c r="K495" t="str">
        <f t="shared" si="7"/>
        <v>RES_201403_P20T12026</v>
      </c>
    </row>
    <row r="496" spans="1:11">
      <c r="A496">
        <v>2027</v>
      </c>
      <c r="B496" t="s">
        <v>2101</v>
      </c>
      <c r="C496" t="s">
        <v>2653</v>
      </c>
      <c r="D496" t="s">
        <v>2653</v>
      </c>
      <c r="E496" t="s">
        <v>2654</v>
      </c>
      <c r="F496" t="s">
        <v>2654</v>
      </c>
      <c r="G496" t="s">
        <v>2653</v>
      </c>
      <c r="H496" t="s">
        <v>2653</v>
      </c>
      <c r="I496" t="s">
        <v>2100</v>
      </c>
      <c r="K496" t="str">
        <f t="shared" si="7"/>
        <v>RES_201403_P20T12027</v>
      </c>
    </row>
    <row r="497" spans="1:11">
      <c r="A497">
        <v>2025</v>
      </c>
      <c r="B497" t="s">
        <v>842</v>
      </c>
      <c r="C497" t="s">
        <v>2653</v>
      </c>
      <c r="D497" t="s">
        <v>2653</v>
      </c>
      <c r="E497" t="s">
        <v>2654</v>
      </c>
      <c r="F497" t="s">
        <v>2654</v>
      </c>
      <c r="G497" t="s">
        <v>2653</v>
      </c>
      <c r="H497" t="s">
        <v>2653</v>
      </c>
      <c r="I497" t="s">
        <v>1124</v>
      </c>
      <c r="K497" t="str">
        <f t="shared" si="7"/>
        <v>COM_200701_P1T42025</v>
      </c>
    </row>
    <row r="498" spans="1:11">
      <c r="A498">
        <v>2025</v>
      </c>
      <c r="B498" t="s">
        <v>710</v>
      </c>
      <c r="C498" t="s">
        <v>2653</v>
      </c>
      <c r="D498" t="s">
        <v>2653</v>
      </c>
      <c r="E498" t="s">
        <v>2654</v>
      </c>
      <c r="F498" t="s">
        <v>2654</v>
      </c>
      <c r="G498" t="s">
        <v>2653</v>
      </c>
      <c r="H498" t="s">
        <v>2653</v>
      </c>
      <c r="I498" t="s">
        <v>1179</v>
      </c>
      <c r="K498" t="str">
        <f t="shared" si="7"/>
        <v>OTH_201601_P1T12025</v>
      </c>
    </row>
    <row r="499" spans="1:11">
      <c r="A499">
        <v>2025</v>
      </c>
      <c r="B499" t="s">
        <v>47</v>
      </c>
      <c r="C499" t="s">
        <v>2653</v>
      </c>
      <c r="D499" t="s">
        <v>2653</v>
      </c>
      <c r="E499" t="s">
        <v>2654</v>
      </c>
      <c r="F499" t="s">
        <v>2654</v>
      </c>
      <c r="G499" t="s">
        <v>2653</v>
      </c>
      <c r="H499" t="s">
        <v>2653</v>
      </c>
      <c r="I499" t="s">
        <v>1132</v>
      </c>
      <c r="K499" t="str">
        <f t="shared" si="7"/>
        <v>RES_200804_P1T12025</v>
      </c>
    </row>
    <row r="500" spans="1:11">
      <c r="A500">
        <v>2025</v>
      </c>
      <c r="B500" t="s">
        <v>914</v>
      </c>
      <c r="C500" t="s">
        <v>2653</v>
      </c>
      <c r="D500" t="s">
        <v>2653</v>
      </c>
      <c r="E500" t="s">
        <v>2654</v>
      </c>
      <c r="F500" t="s">
        <v>2654</v>
      </c>
      <c r="G500" t="s">
        <v>2653</v>
      </c>
      <c r="H500" t="s">
        <v>2653</v>
      </c>
      <c r="I500" t="s">
        <v>1806</v>
      </c>
      <c r="K500" t="str">
        <f t="shared" si="7"/>
        <v>RES_201301_P16T12025</v>
      </c>
    </row>
    <row r="501" spans="1:11">
      <c r="A501">
        <v>2025</v>
      </c>
      <c r="B501" t="s">
        <v>73</v>
      </c>
      <c r="C501" t="s">
        <v>2653</v>
      </c>
      <c r="D501" t="s">
        <v>2653</v>
      </c>
      <c r="E501" t="s">
        <v>2654</v>
      </c>
      <c r="F501" t="s">
        <v>2654</v>
      </c>
      <c r="G501" t="s">
        <v>2653</v>
      </c>
      <c r="H501" t="s">
        <v>2653</v>
      </c>
      <c r="I501" t="s">
        <v>1802</v>
      </c>
      <c r="K501" t="str">
        <f t="shared" si="7"/>
        <v>RES_201301_P15T12025</v>
      </c>
    </row>
    <row r="502" spans="1:11">
      <c r="A502">
        <v>2025</v>
      </c>
      <c r="B502" t="s">
        <v>107</v>
      </c>
      <c r="C502" t="s">
        <v>2653</v>
      </c>
      <c r="D502" t="s">
        <v>2653</v>
      </c>
      <c r="E502" t="s">
        <v>2654</v>
      </c>
      <c r="F502" t="s">
        <v>2654</v>
      </c>
      <c r="G502" t="s">
        <v>2653</v>
      </c>
      <c r="H502" t="s">
        <v>2653</v>
      </c>
      <c r="I502" t="s">
        <v>2151</v>
      </c>
      <c r="K502" t="str">
        <f t="shared" si="7"/>
        <v>COM_200803_P4T12025</v>
      </c>
    </row>
    <row r="503" spans="1:11">
      <c r="A503">
        <v>2025</v>
      </c>
      <c r="B503" t="s">
        <v>912</v>
      </c>
      <c r="C503" t="s">
        <v>2653</v>
      </c>
      <c r="D503" t="s">
        <v>2653</v>
      </c>
      <c r="E503" t="s">
        <v>2654</v>
      </c>
      <c r="F503" t="s">
        <v>2654</v>
      </c>
      <c r="G503" t="s">
        <v>2653</v>
      </c>
      <c r="H503" t="s">
        <v>2653</v>
      </c>
      <c r="I503" t="s">
        <v>1136</v>
      </c>
      <c r="K503" t="str">
        <f t="shared" si="7"/>
        <v>RES_201601_P1T22025</v>
      </c>
    </row>
    <row r="504" spans="1:11">
      <c r="A504">
        <v>2025</v>
      </c>
      <c r="B504" t="s">
        <v>752</v>
      </c>
      <c r="C504" t="s">
        <v>2653</v>
      </c>
      <c r="D504" t="s">
        <v>2653</v>
      </c>
      <c r="E504" t="s">
        <v>2654</v>
      </c>
      <c r="F504" t="s">
        <v>2654</v>
      </c>
      <c r="G504" t="s">
        <v>2653</v>
      </c>
      <c r="H504" t="s">
        <v>2653</v>
      </c>
      <c r="I504" t="s">
        <v>1138</v>
      </c>
      <c r="K504" t="str">
        <f t="shared" si="7"/>
        <v>RES_201601_P1T32025</v>
      </c>
    </row>
    <row r="505" spans="1:11">
      <c r="A505">
        <v>2025</v>
      </c>
      <c r="B505" t="s">
        <v>916</v>
      </c>
      <c r="C505" t="s">
        <v>2653</v>
      </c>
      <c r="D505" t="s">
        <v>2653</v>
      </c>
      <c r="E505" t="s">
        <v>2654</v>
      </c>
      <c r="F505" t="s">
        <v>2654</v>
      </c>
      <c r="G505" t="s">
        <v>2653</v>
      </c>
      <c r="H505" t="s">
        <v>2653</v>
      </c>
      <c r="I505" t="s">
        <v>1807</v>
      </c>
      <c r="K505" t="str">
        <f t="shared" si="7"/>
        <v>RES_201301_P16T22025</v>
      </c>
    </row>
    <row r="506" spans="1:11">
      <c r="A506">
        <v>2025</v>
      </c>
      <c r="B506" t="s">
        <v>74</v>
      </c>
      <c r="C506" t="s">
        <v>2653</v>
      </c>
      <c r="D506" t="s">
        <v>2653</v>
      </c>
      <c r="E506" t="s">
        <v>2654</v>
      </c>
      <c r="F506" t="s">
        <v>2654</v>
      </c>
      <c r="G506" t="s">
        <v>2653</v>
      </c>
      <c r="H506" t="s">
        <v>2653</v>
      </c>
      <c r="I506" t="s">
        <v>1803</v>
      </c>
      <c r="K506" t="str">
        <f t="shared" si="7"/>
        <v>RES_201301_P15T22025</v>
      </c>
    </row>
    <row r="507" spans="1:11">
      <c r="A507">
        <v>2025</v>
      </c>
      <c r="B507" t="s">
        <v>32</v>
      </c>
      <c r="C507" t="s">
        <v>2653</v>
      </c>
      <c r="D507" t="s">
        <v>2653</v>
      </c>
      <c r="E507" t="s">
        <v>2654</v>
      </c>
      <c r="F507" t="s">
        <v>2654</v>
      </c>
      <c r="G507" t="s">
        <v>2653</v>
      </c>
      <c r="H507" t="s">
        <v>2653</v>
      </c>
      <c r="I507" t="s">
        <v>1714</v>
      </c>
      <c r="K507" t="str">
        <f t="shared" si="7"/>
        <v>IND_200402_P1T12025</v>
      </c>
    </row>
    <row r="508" spans="1:11">
      <c r="A508">
        <v>2025</v>
      </c>
      <c r="B508" t="s">
        <v>918</v>
      </c>
      <c r="C508" t="s">
        <v>2653</v>
      </c>
      <c r="D508" t="s">
        <v>2653</v>
      </c>
      <c r="E508" t="s">
        <v>2654</v>
      </c>
      <c r="F508" t="s">
        <v>2654</v>
      </c>
      <c r="G508" t="s">
        <v>2653</v>
      </c>
      <c r="H508" t="s">
        <v>2653</v>
      </c>
      <c r="I508" t="s">
        <v>1808</v>
      </c>
      <c r="K508" t="str">
        <f t="shared" si="7"/>
        <v>RES_201301_P16T32025</v>
      </c>
    </row>
    <row r="509" spans="1:11">
      <c r="A509">
        <v>2025</v>
      </c>
      <c r="B509" t="s">
        <v>75</v>
      </c>
      <c r="C509" t="s">
        <v>2653</v>
      </c>
      <c r="D509" t="s">
        <v>2653</v>
      </c>
      <c r="E509" t="s">
        <v>2654</v>
      </c>
      <c r="F509" t="s">
        <v>2654</v>
      </c>
      <c r="G509" t="s">
        <v>2653</v>
      </c>
      <c r="H509" t="s">
        <v>2653</v>
      </c>
      <c r="I509" t="s">
        <v>1804</v>
      </c>
      <c r="K509" t="str">
        <f t="shared" si="7"/>
        <v>RES_201301_P15T32025</v>
      </c>
    </row>
    <row r="510" spans="1:11">
      <c r="A510">
        <v>2025</v>
      </c>
      <c r="B510" t="s">
        <v>106</v>
      </c>
      <c r="C510" t="s">
        <v>2653</v>
      </c>
      <c r="D510" t="s">
        <v>2653</v>
      </c>
      <c r="E510" t="s">
        <v>2654</v>
      </c>
      <c r="F510" t="s">
        <v>2654</v>
      </c>
      <c r="G510" t="s">
        <v>2653</v>
      </c>
      <c r="H510" t="s">
        <v>2653</v>
      </c>
      <c r="I510" t="s">
        <v>2149</v>
      </c>
      <c r="K510" t="str">
        <f t="shared" si="7"/>
        <v>COM_200803_P3T12025</v>
      </c>
    </row>
    <row r="511" spans="1:11">
      <c r="A511">
        <v>2025</v>
      </c>
      <c r="B511" t="s">
        <v>341</v>
      </c>
      <c r="C511" t="s">
        <v>2653</v>
      </c>
      <c r="D511" t="s">
        <v>2653</v>
      </c>
      <c r="E511" t="s">
        <v>2654</v>
      </c>
      <c r="F511" t="s">
        <v>2654</v>
      </c>
      <c r="G511" t="s">
        <v>2653</v>
      </c>
      <c r="H511" t="s">
        <v>2653</v>
      </c>
      <c r="I511" t="s">
        <v>1713</v>
      </c>
      <c r="K511" t="str">
        <f t="shared" si="7"/>
        <v>COM_201405_P2T12025</v>
      </c>
    </row>
    <row r="512" spans="1:11">
      <c r="A512">
        <v>2025</v>
      </c>
      <c r="B512" t="s">
        <v>362</v>
      </c>
      <c r="C512" t="s">
        <v>2653</v>
      </c>
      <c r="D512" t="s">
        <v>2653</v>
      </c>
      <c r="E512" t="s">
        <v>2654</v>
      </c>
      <c r="F512" t="s">
        <v>2654</v>
      </c>
      <c r="G512" t="s">
        <v>2653</v>
      </c>
      <c r="H512" t="s">
        <v>2653</v>
      </c>
      <c r="I512" t="s">
        <v>1712</v>
      </c>
      <c r="K512" t="str">
        <f t="shared" si="7"/>
        <v>COM_201405_P1T12025</v>
      </c>
    </row>
    <row r="513" spans="1:11">
      <c r="A513">
        <v>2025</v>
      </c>
      <c r="B513" t="s">
        <v>753</v>
      </c>
      <c r="C513" t="s">
        <v>2653</v>
      </c>
      <c r="D513" t="s">
        <v>2653</v>
      </c>
      <c r="E513" t="s">
        <v>2654</v>
      </c>
      <c r="F513" t="s">
        <v>2654</v>
      </c>
      <c r="G513" t="s">
        <v>2653</v>
      </c>
      <c r="H513" t="s">
        <v>2653</v>
      </c>
      <c r="I513" t="s">
        <v>1181</v>
      </c>
      <c r="K513" t="str">
        <f t="shared" si="7"/>
        <v>OTH_201601_P2T12025</v>
      </c>
    </row>
    <row r="514" spans="1:11">
      <c r="A514">
        <v>2025</v>
      </c>
      <c r="B514" t="s">
        <v>712</v>
      </c>
      <c r="C514" t="s">
        <v>2653</v>
      </c>
      <c r="D514" t="s">
        <v>2653</v>
      </c>
      <c r="E514" t="s">
        <v>2654</v>
      </c>
      <c r="F514" t="s">
        <v>2654</v>
      </c>
      <c r="G514" t="s">
        <v>2653</v>
      </c>
      <c r="H514" t="s">
        <v>2653</v>
      </c>
      <c r="I514" t="s">
        <v>1183</v>
      </c>
      <c r="K514" t="str">
        <f t="shared" si="7"/>
        <v>OTH_201601_P3T12025</v>
      </c>
    </row>
    <row r="515" spans="1:11">
      <c r="A515">
        <v>2025</v>
      </c>
      <c r="B515" t="s">
        <v>982</v>
      </c>
      <c r="C515" t="s">
        <v>2653</v>
      </c>
      <c r="D515" t="s">
        <v>2653</v>
      </c>
      <c r="E515" t="s">
        <v>2654</v>
      </c>
      <c r="F515" t="s">
        <v>2654</v>
      </c>
      <c r="G515" t="s">
        <v>2653</v>
      </c>
      <c r="H515" t="s">
        <v>2653</v>
      </c>
      <c r="I515" t="s">
        <v>1225</v>
      </c>
      <c r="K515" t="str">
        <f t="shared" ref="K515:K578" si="8">B515&amp;A515</f>
        <v>RES_201403_P14T22025</v>
      </c>
    </row>
    <row r="516" spans="1:11">
      <c r="A516">
        <v>2025</v>
      </c>
      <c r="B516" t="s">
        <v>983</v>
      </c>
      <c r="C516" t="s">
        <v>2653</v>
      </c>
      <c r="D516" t="s">
        <v>2653</v>
      </c>
      <c r="E516" t="s">
        <v>2654</v>
      </c>
      <c r="F516" t="s">
        <v>2654</v>
      </c>
      <c r="G516" t="s">
        <v>2653</v>
      </c>
      <c r="H516" t="s">
        <v>2653</v>
      </c>
      <c r="I516" t="s">
        <v>1227</v>
      </c>
      <c r="K516" t="str">
        <f t="shared" si="8"/>
        <v>RES_201403_P14T32025</v>
      </c>
    </row>
    <row r="517" spans="1:11">
      <c r="A517">
        <v>2025</v>
      </c>
      <c r="B517" t="s">
        <v>984</v>
      </c>
      <c r="C517" t="s">
        <v>2653</v>
      </c>
      <c r="D517" t="s">
        <v>2653</v>
      </c>
      <c r="E517" t="s">
        <v>2654</v>
      </c>
      <c r="F517" t="s">
        <v>2654</v>
      </c>
      <c r="G517" t="s">
        <v>2653</v>
      </c>
      <c r="H517" t="s">
        <v>2653</v>
      </c>
      <c r="I517" t="s">
        <v>1229</v>
      </c>
      <c r="K517" t="str">
        <f t="shared" si="8"/>
        <v>RES_201403_P14T42025</v>
      </c>
    </row>
    <row r="518" spans="1:11">
      <c r="A518">
        <v>2025</v>
      </c>
      <c r="B518" t="s">
        <v>985</v>
      </c>
      <c r="C518" t="s">
        <v>2653</v>
      </c>
      <c r="D518" t="s">
        <v>2653</v>
      </c>
      <c r="E518" t="s">
        <v>2654</v>
      </c>
      <c r="F518" t="s">
        <v>2654</v>
      </c>
      <c r="G518" t="s">
        <v>2653</v>
      </c>
      <c r="H518" t="s">
        <v>2653</v>
      </c>
      <c r="I518" t="s">
        <v>1231</v>
      </c>
      <c r="K518" t="str">
        <f t="shared" si="8"/>
        <v>RES_201403_P14T52025</v>
      </c>
    </row>
    <row r="519" spans="1:11">
      <c r="A519">
        <v>2025</v>
      </c>
      <c r="B519" t="s">
        <v>986</v>
      </c>
      <c r="C519" t="s">
        <v>2653</v>
      </c>
      <c r="D519" t="s">
        <v>2653</v>
      </c>
      <c r="E519" t="s">
        <v>2654</v>
      </c>
      <c r="F519" t="s">
        <v>2654</v>
      </c>
      <c r="G519" t="s">
        <v>2653</v>
      </c>
      <c r="H519" t="s">
        <v>2653</v>
      </c>
      <c r="I519" t="s">
        <v>1233</v>
      </c>
      <c r="K519" t="str">
        <f t="shared" si="8"/>
        <v>RES_201403_P14T62025</v>
      </c>
    </row>
    <row r="520" spans="1:11">
      <c r="A520">
        <v>2025</v>
      </c>
      <c r="B520" t="s">
        <v>103</v>
      </c>
      <c r="C520" t="s">
        <v>2653</v>
      </c>
      <c r="D520" t="s">
        <v>2653</v>
      </c>
      <c r="E520" t="s">
        <v>2654</v>
      </c>
      <c r="F520" t="s">
        <v>2654</v>
      </c>
      <c r="G520" t="s">
        <v>2653</v>
      </c>
      <c r="H520" t="s">
        <v>2653</v>
      </c>
      <c r="I520" t="s">
        <v>1218</v>
      </c>
      <c r="K520" t="str">
        <f t="shared" si="8"/>
        <v>RES_201403_P9T12025</v>
      </c>
    </row>
    <row r="521" spans="1:11">
      <c r="A521">
        <v>2025</v>
      </c>
      <c r="B521" t="s">
        <v>104</v>
      </c>
      <c r="C521" t="s">
        <v>2653</v>
      </c>
      <c r="D521" t="s">
        <v>2653</v>
      </c>
      <c r="E521" t="s">
        <v>2654</v>
      </c>
      <c r="F521" t="s">
        <v>2654</v>
      </c>
      <c r="G521" t="s">
        <v>2653</v>
      </c>
      <c r="H521" t="s">
        <v>2653</v>
      </c>
      <c r="I521" t="s">
        <v>1219</v>
      </c>
      <c r="K521" t="str">
        <f t="shared" si="8"/>
        <v>RES_201403_P9T22025</v>
      </c>
    </row>
    <row r="522" spans="1:11">
      <c r="A522">
        <v>2025</v>
      </c>
      <c r="B522" t="s">
        <v>82</v>
      </c>
      <c r="C522" t="s">
        <v>2653</v>
      </c>
      <c r="D522" t="s">
        <v>2653</v>
      </c>
      <c r="E522" t="s">
        <v>2654</v>
      </c>
      <c r="F522" t="s">
        <v>2654</v>
      </c>
      <c r="G522" t="s">
        <v>2653</v>
      </c>
      <c r="H522" t="s">
        <v>2653</v>
      </c>
      <c r="I522" t="s">
        <v>2094</v>
      </c>
      <c r="K522" t="str">
        <f t="shared" si="8"/>
        <v>RES_201403_P7T12025</v>
      </c>
    </row>
    <row r="523" spans="1:11">
      <c r="A523">
        <v>2025</v>
      </c>
      <c r="B523" t="s">
        <v>1656</v>
      </c>
      <c r="C523" t="s">
        <v>2653</v>
      </c>
      <c r="D523" t="s">
        <v>2653</v>
      </c>
      <c r="E523" t="s">
        <v>2654</v>
      </c>
      <c r="F523" t="s">
        <v>2654</v>
      </c>
      <c r="G523" t="s">
        <v>2653</v>
      </c>
      <c r="H523" t="s">
        <v>2653</v>
      </c>
      <c r="I523" t="s">
        <v>1874</v>
      </c>
      <c r="K523" t="str">
        <f t="shared" si="8"/>
        <v>RES_201403_P7T22025</v>
      </c>
    </row>
    <row r="524" spans="1:11">
      <c r="A524">
        <v>2025</v>
      </c>
      <c r="B524" t="s">
        <v>1658</v>
      </c>
      <c r="C524" t="s">
        <v>2653</v>
      </c>
      <c r="D524" t="s">
        <v>2653</v>
      </c>
      <c r="E524" t="s">
        <v>2654</v>
      </c>
      <c r="F524" t="s">
        <v>2654</v>
      </c>
      <c r="G524" t="s">
        <v>2653</v>
      </c>
      <c r="H524" t="s">
        <v>2653</v>
      </c>
      <c r="I524" t="s">
        <v>1875</v>
      </c>
      <c r="K524" t="str">
        <f t="shared" si="8"/>
        <v>RES_201403_P7T32025</v>
      </c>
    </row>
    <row r="525" spans="1:11">
      <c r="A525">
        <v>2025</v>
      </c>
      <c r="B525" t="s">
        <v>973</v>
      </c>
      <c r="C525" t="s">
        <v>2653</v>
      </c>
      <c r="D525" t="s">
        <v>2653</v>
      </c>
      <c r="E525" t="s">
        <v>2654</v>
      </c>
      <c r="F525" t="s">
        <v>2654</v>
      </c>
      <c r="G525" t="s">
        <v>2653</v>
      </c>
      <c r="H525" t="s">
        <v>2653</v>
      </c>
      <c r="I525" t="s">
        <v>1756</v>
      </c>
      <c r="K525" t="str">
        <f t="shared" si="8"/>
        <v>RES_200902_P1T02025</v>
      </c>
    </row>
    <row r="526" spans="1:11">
      <c r="A526">
        <v>2025</v>
      </c>
      <c r="B526" t="s">
        <v>1600</v>
      </c>
      <c r="C526" t="s">
        <v>2653</v>
      </c>
      <c r="D526" t="s">
        <v>2653</v>
      </c>
      <c r="E526" t="s">
        <v>2654</v>
      </c>
      <c r="F526" t="s">
        <v>2654</v>
      </c>
      <c r="G526" t="s">
        <v>2653</v>
      </c>
      <c r="H526" t="s">
        <v>2653</v>
      </c>
      <c r="I526" t="s">
        <v>1757</v>
      </c>
      <c r="K526" t="str">
        <f t="shared" si="8"/>
        <v>RES_200902_P1T12025</v>
      </c>
    </row>
    <row r="527" spans="1:11">
      <c r="A527">
        <v>2025</v>
      </c>
      <c r="B527" t="s">
        <v>1602</v>
      </c>
      <c r="C527" t="s">
        <v>2653</v>
      </c>
      <c r="D527" t="s">
        <v>2653</v>
      </c>
      <c r="E527" t="s">
        <v>2654</v>
      </c>
      <c r="F527" t="s">
        <v>2654</v>
      </c>
      <c r="G527" t="s">
        <v>2653</v>
      </c>
      <c r="H527" t="s">
        <v>2653</v>
      </c>
      <c r="I527" t="s">
        <v>1759</v>
      </c>
      <c r="K527" t="str">
        <f t="shared" si="8"/>
        <v>RES_200902_P1T22025</v>
      </c>
    </row>
    <row r="528" spans="1:11">
      <c r="A528">
        <v>2025</v>
      </c>
      <c r="B528" t="s">
        <v>1603</v>
      </c>
      <c r="C528" t="s">
        <v>2653</v>
      </c>
      <c r="D528" t="s">
        <v>2653</v>
      </c>
      <c r="E528" t="s">
        <v>2654</v>
      </c>
      <c r="F528" t="s">
        <v>2654</v>
      </c>
      <c r="G528" t="s">
        <v>2653</v>
      </c>
      <c r="H528" t="s">
        <v>2653</v>
      </c>
      <c r="I528" t="s">
        <v>1760</v>
      </c>
      <c r="K528" t="str">
        <f t="shared" si="8"/>
        <v>RES_200902_P1T32025</v>
      </c>
    </row>
    <row r="529" spans="1:11">
      <c r="A529">
        <v>2025</v>
      </c>
      <c r="B529" t="s">
        <v>1604</v>
      </c>
      <c r="C529" t="s">
        <v>2653</v>
      </c>
      <c r="D529" t="s">
        <v>2653</v>
      </c>
      <c r="E529" t="s">
        <v>2654</v>
      </c>
      <c r="F529" t="s">
        <v>2654</v>
      </c>
      <c r="G529" t="s">
        <v>2653</v>
      </c>
      <c r="H529" t="s">
        <v>2653</v>
      </c>
      <c r="I529" t="s">
        <v>1761</v>
      </c>
      <c r="K529" t="str">
        <f t="shared" si="8"/>
        <v>RES_200902_P1T42025</v>
      </c>
    </row>
    <row r="530" spans="1:11">
      <c r="A530">
        <v>2025</v>
      </c>
      <c r="B530" t="s">
        <v>1606</v>
      </c>
      <c r="C530" t="s">
        <v>2653</v>
      </c>
      <c r="D530" t="s">
        <v>2653</v>
      </c>
      <c r="E530" t="s">
        <v>2654</v>
      </c>
      <c r="F530" t="s">
        <v>2654</v>
      </c>
      <c r="G530" t="s">
        <v>2653</v>
      </c>
      <c r="H530" t="s">
        <v>2653</v>
      </c>
      <c r="I530" t="s">
        <v>1763</v>
      </c>
      <c r="K530" t="str">
        <f t="shared" si="8"/>
        <v>RES_200902_P1T62025</v>
      </c>
    </row>
    <row r="531" spans="1:11">
      <c r="A531">
        <v>2025</v>
      </c>
      <c r="B531" t="s">
        <v>1608</v>
      </c>
      <c r="C531" t="s">
        <v>2653</v>
      </c>
      <c r="D531" t="s">
        <v>2653</v>
      </c>
      <c r="E531" t="s">
        <v>2654</v>
      </c>
      <c r="F531" t="s">
        <v>2654</v>
      </c>
      <c r="G531" t="s">
        <v>2653</v>
      </c>
      <c r="H531" t="s">
        <v>2653</v>
      </c>
      <c r="I531" t="s">
        <v>1765</v>
      </c>
      <c r="K531" t="str">
        <f t="shared" si="8"/>
        <v>RES_200902_P1T82025</v>
      </c>
    </row>
    <row r="532" spans="1:11">
      <c r="A532">
        <v>2025</v>
      </c>
      <c r="B532" t="s">
        <v>1609</v>
      </c>
      <c r="C532" t="s">
        <v>2653</v>
      </c>
      <c r="D532" t="s">
        <v>2653</v>
      </c>
      <c r="E532" t="s">
        <v>2654</v>
      </c>
      <c r="F532" t="s">
        <v>2654</v>
      </c>
      <c r="G532" t="s">
        <v>2653</v>
      </c>
      <c r="H532" t="s">
        <v>2653</v>
      </c>
      <c r="I532" t="s">
        <v>1766</v>
      </c>
      <c r="K532" t="str">
        <f t="shared" si="8"/>
        <v>RES_200902_P1T92025</v>
      </c>
    </row>
    <row r="533" spans="1:11">
      <c r="A533">
        <v>2025</v>
      </c>
      <c r="B533" t="s">
        <v>1607</v>
      </c>
      <c r="C533" t="s">
        <v>2653</v>
      </c>
      <c r="D533" t="s">
        <v>2653</v>
      </c>
      <c r="E533" t="s">
        <v>2654</v>
      </c>
      <c r="F533" t="s">
        <v>2654</v>
      </c>
      <c r="G533" t="s">
        <v>2653</v>
      </c>
      <c r="H533" t="s">
        <v>2653</v>
      </c>
      <c r="I533" t="s">
        <v>1764</v>
      </c>
      <c r="K533" t="str">
        <f t="shared" si="8"/>
        <v>RES_200902_P1T72025</v>
      </c>
    </row>
    <row r="534" spans="1:11">
      <c r="A534">
        <v>2025</v>
      </c>
      <c r="B534" t="s">
        <v>1601</v>
      </c>
      <c r="C534" t="s">
        <v>2653</v>
      </c>
      <c r="D534" t="s">
        <v>2653</v>
      </c>
      <c r="E534" t="s">
        <v>2654</v>
      </c>
      <c r="F534" t="s">
        <v>2654</v>
      </c>
      <c r="G534" t="s">
        <v>2653</v>
      </c>
      <c r="H534" t="s">
        <v>2653</v>
      </c>
      <c r="I534" t="s">
        <v>1758</v>
      </c>
      <c r="K534" t="str">
        <f t="shared" si="8"/>
        <v>RES_200902_P1T102025</v>
      </c>
    </row>
    <row r="535" spans="1:11">
      <c r="A535">
        <v>2025</v>
      </c>
      <c r="B535" t="s">
        <v>1605</v>
      </c>
      <c r="C535" t="s">
        <v>2653</v>
      </c>
      <c r="D535" t="s">
        <v>2653</v>
      </c>
      <c r="E535" t="s">
        <v>2654</v>
      </c>
      <c r="F535" t="s">
        <v>2654</v>
      </c>
      <c r="G535" t="s">
        <v>2653</v>
      </c>
      <c r="H535" t="s">
        <v>2653</v>
      </c>
      <c r="I535" t="s">
        <v>1762</v>
      </c>
      <c r="K535" t="str">
        <f t="shared" si="8"/>
        <v>RES_200902_P1T52025</v>
      </c>
    </row>
    <row r="536" spans="1:11">
      <c r="A536">
        <v>2025</v>
      </c>
      <c r="B536" t="s">
        <v>33</v>
      </c>
      <c r="C536" t="s">
        <v>2653</v>
      </c>
      <c r="D536" t="s">
        <v>2653</v>
      </c>
      <c r="E536" t="s">
        <v>2654</v>
      </c>
      <c r="F536" t="s">
        <v>2654</v>
      </c>
      <c r="G536" t="s">
        <v>2653</v>
      </c>
      <c r="H536" t="s">
        <v>2653</v>
      </c>
      <c r="I536" t="s">
        <v>1126</v>
      </c>
      <c r="K536" t="str">
        <f t="shared" si="8"/>
        <v>IND_200402_P2T12025</v>
      </c>
    </row>
    <row r="537" spans="1:11">
      <c r="A537">
        <v>2025</v>
      </c>
      <c r="B537" t="s">
        <v>72</v>
      </c>
      <c r="C537" t="s">
        <v>2653</v>
      </c>
      <c r="D537" t="s">
        <v>2653</v>
      </c>
      <c r="E537" t="s">
        <v>2654</v>
      </c>
      <c r="F537" t="s">
        <v>2654</v>
      </c>
      <c r="G537" t="s">
        <v>2653</v>
      </c>
      <c r="H537" t="s">
        <v>2653</v>
      </c>
      <c r="I537" t="s">
        <v>1801</v>
      </c>
      <c r="K537" t="str">
        <f t="shared" si="8"/>
        <v>RES_201301_P14T12025</v>
      </c>
    </row>
    <row r="538" spans="1:11">
      <c r="A538">
        <v>2025</v>
      </c>
      <c r="B538" t="s">
        <v>920</v>
      </c>
      <c r="C538" t="s">
        <v>2653</v>
      </c>
      <c r="D538" t="s">
        <v>2653</v>
      </c>
      <c r="E538" t="s">
        <v>2654</v>
      </c>
      <c r="F538" t="s">
        <v>2654</v>
      </c>
      <c r="G538" t="s">
        <v>2653</v>
      </c>
      <c r="H538" t="s">
        <v>2653</v>
      </c>
      <c r="I538" t="s">
        <v>1809</v>
      </c>
      <c r="K538" t="str">
        <f t="shared" si="8"/>
        <v>RES_201301_P16T42025</v>
      </c>
    </row>
    <row r="539" spans="1:11">
      <c r="A539">
        <v>2025</v>
      </c>
      <c r="B539" t="s">
        <v>76</v>
      </c>
      <c r="C539" t="s">
        <v>2653</v>
      </c>
      <c r="D539" t="s">
        <v>2653</v>
      </c>
      <c r="E539" t="s">
        <v>2654</v>
      </c>
      <c r="F539" t="s">
        <v>2654</v>
      </c>
      <c r="G539" t="s">
        <v>2653</v>
      </c>
      <c r="H539" t="s">
        <v>2653</v>
      </c>
      <c r="I539" t="s">
        <v>1805</v>
      </c>
      <c r="K539" t="str">
        <f t="shared" si="8"/>
        <v>RES_201301_P15T42025</v>
      </c>
    </row>
    <row r="540" spans="1:11">
      <c r="A540">
        <v>2025</v>
      </c>
      <c r="B540" t="s">
        <v>621</v>
      </c>
      <c r="C540" t="s">
        <v>2653</v>
      </c>
      <c r="D540" t="s">
        <v>2653</v>
      </c>
      <c r="E540" t="s">
        <v>2654</v>
      </c>
      <c r="F540" t="s">
        <v>2654</v>
      </c>
      <c r="G540" t="s">
        <v>2653</v>
      </c>
      <c r="H540" t="s">
        <v>2653</v>
      </c>
      <c r="I540" t="s">
        <v>1822</v>
      </c>
      <c r="K540" t="str">
        <f t="shared" si="8"/>
        <v>RES_201301_P25T12025</v>
      </c>
    </row>
    <row r="541" spans="1:11">
      <c r="A541">
        <v>2025</v>
      </c>
      <c r="B541" t="s">
        <v>80</v>
      </c>
      <c r="C541" t="s">
        <v>2653</v>
      </c>
      <c r="D541" t="s">
        <v>2653</v>
      </c>
      <c r="E541" t="s">
        <v>2654</v>
      </c>
      <c r="F541" t="s">
        <v>2654</v>
      </c>
      <c r="G541" t="s">
        <v>2653</v>
      </c>
      <c r="H541" t="s">
        <v>2653</v>
      </c>
      <c r="I541" t="s">
        <v>1800</v>
      </c>
      <c r="K541" t="str">
        <f t="shared" si="8"/>
        <v>RES_201301_P13T42025</v>
      </c>
    </row>
    <row r="542" spans="1:11">
      <c r="A542">
        <v>2025</v>
      </c>
      <c r="B542" t="s">
        <v>105</v>
      </c>
      <c r="C542" t="s">
        <v>2653</v>
      </c>
      <c r="D542" t="s">
        <v>2653</v>
      </c>
      <c r="E542" t="s">
        <v>2654</v>
      </c>
      <c r="F542" t="s">
        <v>2654</v>
      </c>
      <c r="G542" t="s">
        <v>2653</v>
      </c>
      <c r="H542" t="s">
        <v>2653</v>
      </c>
      <c r="I542" t="s">
        <v>2147</v>
      </c>
      <c r="K542" t="str">
        <f t="shared" si="8"/>
        <v>COM_200803_P2T12025</v>
      </c>
    </row>
    <row r="543" spans="1:11">
      <c r="A543">
        <v>2025</v>
      </c>
      <c r="B543" t="s">
        <v>77</v>
      </c>
      <c r="C543" t="s">
        <v>2653</v>
      </c>
      <c r="D543" t="s">
        <v>2653</v>
      </c>
      <c r="E543" t="s">
        <v>2654</v>
      </c>
      <c r="F543" t="s">
        <v>2654</v>
      </c>
      <c r="G543" t="s">
        <v>2653</v>
      </c>
      <c r="H543" t="s">
        <v>2653</v>
      </c>
      <c r="I543" t="s">
        <v>1797</v>
      </c>
      <c r="K543" t="str">
        <f t="shared" si="8"/>
        <v>RES_201301_P13T12025</v>
      </c>
    </row>
    <row r="544" spans="1:11">
      <c r="A544">
        <v>2025</v>
      </c>
      <c r="B544" t="s">
        <v>78</v>
      </c>
      <c r="C544" t="s">
        <v>2653</v>
      </c>
      <c r="D544" t="s">
        <v>2653</v>
      </c>
      <c r="E544" t="s">
        <v>2654</v>
      </c>
      <c r="F544" t="s">
        <v>2654</v>
      </c>
      <c r="G544" t="s">
        <v>2653</v>
      </c>
      <c r="H544" t="s">
        <v>2653</v>
      </c>
      <c r="I544" t="s">
        <v>1798</v>
      </c>
      <c r="K544" t="str">
        <f t="shared" si="8"/>
        <v>RES_201301_P13T22025</v>
      </c>
    </row>
    <row r="545" spans="1:11">
      <c r="A545">
        <v>2025</v>
      </c>
      <c r="B545" t="s">
        <v>79</v>
      </c>
      <c r="C545" t="s">
        <v>2653</v>
      </c>
      <c r="D545" t="s">
        <v>2653</v>
      </c>
      <c r="E545" t="s">
        <v>2654</v>
      </c>
      <c r="F545" t="s">
        <v>2654</v>
      </c>
      <c r="G545" t="s">
        <v>2653</v>
      </c>
      <c r="H545" t="s">
        <v>2653</v>
      </c>
      <c r="I545" t="s">
        <v>1799</v>
      </c>
      <c r="K545" t="str">
        <f t="shared" si="8"/>
        <v>RES_201301_P13T32025</v>
      </c>
    </row>
    <row r="546" spans="1:11">
      <c r="A546">
        <v>2025</v>
      </c>
      <c r="B546" t="s">
        <v>83</v>
      </c>
      <c r="C546" t="s">
        <v>2653</v>
      </c>
      <c r="D546" t="s">
        <v>2653</v>
      </c>
      <c r="E546" t="s">
        <v>2654</v>
      </c>
      <c r="F546" t="s">
        <v>2654</v>
      </c>
      <c r="G546" t="s">
        <v>2653</v>
      </c>
      <c r="H546" t="s">
        <v>2653</v>
      </c>
      <c r="I546" t="s">
        <v>1514</v>
      </c>
      <c r="K546" t="str">
        <f t="shared" si="8"/>
        <v>RES_201403_P2T32025</v>
      </c>
    </row>
    <row r="547" spans="1:11">
      <c r="A547">
        <v>2025</v>
      </c>
      <c r="B547" t="s">
        <v>1655</v>
      </c>
      <c r="C547" t="s">
        <v>2653</v>
      </c>
      <c r="D547" t="s">
        <v>2653</v>
      </c>
      <c r="E547" t="s">
        <v>2654</v>
      </c>
      <c r="F547" t="s">
        <v>2654</v>
      </c>
      <c r="G547" t="s">
        <v>2653</v>
      </c>
      <c r="H547" t="s">
        <v>2653</v>
      </c>
      <c r="I547" t="s">
        <v>2116</v>
      </c>
      <c r="K547" t="str">
        <f t="shared" si="8"/>
        <v>RES_201403_P7T1_02025</v>
      </c>
    </row>
    <row r="548" spans="1:11">
      <c r="A548">
        <v>2025</v>
      </c>
      <c r="B548" t="s">
        <v>1657</v>
      </c>
      <c r="C548" t="s">
        <v>2653</v>
      </c>
      <c r="D548" t="s">
        <v>2653</v>
      </c>
      <c r="E548" t="s">
        <v>2654</v>
      </c>
      <c r="F548" t="s">
        <v>2654</v>
      </c>
      <c r="G548" t="s">
        <v>2653</v>
      </c>
      <c r="H548" t="s">
        <v>2653</v>
      </c>
      <c r="I548" t="s">
        <v>2118</v>
      </c>
      <c r="K548" t="str">
        <f t="shared" si="8"/>
        <v>RES_201403_P7T2_02025</v>
      </c>
    </row>
    <row r="549" spans="1:11">
      <c r="A549">
        <v>2025</v>
      </c>
      <c r="B549" t="s">
        <v>1003</v>
      </c>
      <c r="C549" t="s">
        <v>2653</v>
      </c>
      <c r="D549" t="s">
        <v>2653</v>
      </c>
      <c r="E549" t="s">
        <v>2654</v>
      </c>
      <c r="F549" t="s">
        <v>2654</v>
      </c>
      <c r="G549" t="s">
        <v>2653</v>
      </c>
      <c r="H549" t="s">
        <v>2653</v>
      </c>
      <c r="I549" t="s">
        <v>2473</v>
      </c>
      <c r="K549" t="str">
        <f t="shared" si="8"/>
        <v>XMP_202001_P6T22025</v>
      </c>
    </row>
    <row r="550" spans="1:11">
      <c r="A550">
        <v>2025</v>
      </c>
      <c r="B550" t="s">
        <v>1002</v>
      </c>
      <c r="C550" t="s">
        <v>2653</v>
      </c>
      <c r="D550" t="s">
        <v>2653</v>
      </c>
      <c r="E550" t="s">
        <v>2654</v>
      </c>
      <c r="F550" t="s">
        <v>2654</v>
      </c>
      <c r="G550" t="s">
        <v>2653</v>
      </c>
      <c r="H550" t="s">
        <v>2653</v>
      </c>
      <c r="I550" t="s">
        <v>1888</v>
      </c>
      <c r="K550" t="str">
        <f t="shared" si="8"/>
        <v>XMP_202001_P6T12025</v>
      </c>
    </row>
    <row r="551" spans="1:11">
      <c r="A551">
        <v>2025</v>
      </c>
      <c r="B551" t="s">
        <v>1001</v>
      </c>
      <c r="C551" t="s">
        <v>2653</v>
      </c>
      <c r="D551" t="s">
        <v>2653</v>
      </c>
      <c r="E551" t="s">
        <v>2654</v>
      </c>
      <c r="F551" t="s">
        <v>2654</v>
      </c>
      <c r="G551" t="s">
        <v>2653</v>
      </c>
      <c r="H551" t="s">
        <v>2653</v>
      </c>
      <c r="I551" t="s">
        <v>1887</v>
      </c>
      <c r="K551" t="str">
        <f t="shared" si="8"/>
        <v>XMP_202001_P5T12025</v>
      </c>
    </row>
    <row r="552" spans="1:11">
      <c r="A552">
        <v>2025</v>
      </c>
      <c r="B552" t="s">
        <v>1000</v>
      </c>
      <c r="C552" t="s">
        <v>2653</v>
      </c>
      <c r="D552" t="s">
        <v>2653</v>
      </c>
      <c r="E552" t="s">
        <v>2654</v>
      </c>
      <c r="F552" t="s">
        <v>2654</v>
      </c>
      <c r="G552" t="s">
        <v>2653</v>
      </c>
      <c r="H552" t="s">
        <v>2653</v>
      </c>
      <c r="I552" t="s">
        <v>1886</v>
      </c>
      <c r="K552" t="str">
        <f t="shared" si="8"/>
        <v>XMP_202001_P4T32025</v>
      </c>
    </row>
    <row r="553" spans="1:11">
      <c r="A553">
        <v>2025</v>
      </c>
      <c r="B553" t="s">
        <v>999</v>
      </c>
      <c r="C553" t="s">
        <v>2653</v>
      </c>
      <c r="D553" t="s">
        <v>2653</v>
      </c>
      <c r="E553" t="s">
        <v>2654</v>
      </c>
      <c r="F553" t="s">
        <v>2654</v>
      </c>
      <c r="G553" t="s">
        <v>2653</v>
      </c>
      <c r="H553" t="s">
        <v>2653</v>
      </c>
      <c r="I553" t="s">
        <v>1885</v>
      </c>
      <c r="K553" t="str">
        <f t="shared" si="8"/>
        <v>XMP_202001_P4T22025</v>
      </c>
    </row>
    <row r="554" spans="1:11">
      <c r="A554">
        <v>2025</v>
      </c>
      <c r="B554" t="s">
        <v>998</v>
      </c>
      <c r="C554" t="s">
        <v>2653</v>
      </c>
      <c r="D554" t="s">
        <v>2653</v>
      </c>
      <c r="E554" t="s">
        <v>2654</v>
      </c>
      <c r="F554" t="s">
        <v>2654</v>
      </c>
      <c r="G554" t="s">
        <v>2653</v>
      </c>
      <c r="H554" t="s">
        <v>2653</v>
      </c>
      <c r="I554" t="s">
        <v>1884</v>
      </c>
      <c r="K554" t="str">
        <f t="shared" si="8"/>
        <v>XMP_202001_P4T12025</v>
      </c>
    </row>
    <row r="555" spans="1:11">
      <c r="A555">
        <v>2025</v>
      </c>
      <c r="B555" t="s">
        <v>994</v>
      </c>
      <c r="C555" t="s">
        <v>2653</v>
      </c>
      <c r="D555" t="s">
        <v>2653</v>
      </c>
      <c r="E555" t="s">
        <v>2654</v>
      </c>
      <c r="F555" t="s">
        <v>2654</v>
      </c>
      <c r="G555" t="s">
        <v>2653</v>
      </c>
      <c r="H555" t="s">
        <v>2653</v>
      </c>
      <c r="I555" t="s">
        <v>1880</v>
      </c>
      <c r="K555" t="str">
        <f t="shared" si="8"/>
        <v>XMP_202001_P2T22025</v>
      </c>
    </row>
    <row r="556" spans="1:11">
      <c r="A556">
        <v>2025</v>
      </c>
      <c r="B556" t="s">
        <v>993</v>
      </c>
      <c r="C556" t="s">
        <v>2653</v>
      </c>
      <c r="D556" t="s">
        <v>2653</v>
      </c>
      <c r="E556" t="s">
        <v>2654</v>
      </c>
      <c r="F556" t="s">
        <v>2654</v>
      </c>
      <c r="G556" t="s">
        <v>2653</v>
      </c>
      <c r="H556" t="s">
        <v>2653</v>
      </c>
      <c r="I556" t="s">
        <v>1879</v>
      </c>
      <c r="K556" t="str">
        <f t="shared" si="8"/>
        <v>XMP_202001_P2T12025</v>
      </c>
    </row>
    <row r="557" spans="1:11">
      <c r="A557">
        <v>2025</v>
      </c>
      <c r="B557" t="s">
        <v>1074</v>
      </c>
      <c r="C557" t="s">
        <v>2653</v>
      </c>
      <c r="D557" t="s">
        <v>2653</v>
      </c>
      <c r="E557" t="s">
        <v>2654</v>
      </c>
      <c r="F557" t="s">
        <v>2654</v>
      </c>
      <c r="G557" t="s">
        <v>2653</v>
      </c>
      <c r="H557" t="s">
        <v>2653</v>
      </c>
      <c r="I557" t="s">
        <v>1825</v>
      </c>
      <c r="K557" t="str">
        <f t="shared" si="8"/>
        <v>RES_201301_P25T42025</v>
      </c>
    </row>
    <row r="558" spans="1:11">
      <c r="A558">
        <v>2025</v>
      </c>
      <c r="B558" t="s">
        <v>1615</v>
      </c>
      <c r="C558" t="s">
        <v>2653</v>
      </c>
      <c r="D558" t="s">
        <v>2653</v>
      </c>
      <c r="E558" t="s">
        <v>2654</v>
      </c>
      <c r="F558" t="s">
        <v>2654</v>
      </c>
      <c r="G558" t="s">
        <v>2653</v>
      </c>
      <c r="H558" t="s">
        <v>2653</v>
      </c>
      <c r="I558" t="s">
        <v>1824</v>
      </c>
      <c r="K558" t="str">
        <f t="shared" si="8"/>
        <v>RES_201301_P25T32025</v>
      </c>
    </row>
    <row r="559" spans="1:11">
      <c r="A559">
        <v>2025</v>
      </c>
      <c r="B559" t="s">
        <v>1614</v>
      </c>
      <c r="C559" t="s">
        <v>2653</v>
      </c>
      <c r="D559" t="s">
        <v>2653</v>
      </c>
      <c r="E559" t="s">
        <v>2654</v>
      </c>
      <c r="F559" t="s">
        <v>2654</v>
      </c>
      <c r="G559" t="s">
        <v>2653</v>
      </c>
      <c r="H559" t="s">
        <v>2653</v>
      </c>
      <c r="I559" t="s">
        <v>1823</v>
      </c>
      <c r="K559" t="str">
        <f t="shared" si="8"/>
        <v>RES_201301_P25T22025</v>
      </c>
    </row>
    <row r="560" spans="1:11">
      <c r="A560">
        <v>2025</v>
      </c>
      <c r="B560" t="s">
        <v>2101</v>
      </c>
      <c r="C560" t="s">
        <v>2653</v>
      </c>
      <c r="D560" t="s">
        <v>2653</v>
      </c>
      <c r="E560" t="s">
        <v>2654</v>
      </c>
      <c r="F560" t="s">
        <v>2654</v>
      </c>
      <c r="G560" t="s">
        <v>2653</v>
      </c>
      <c r="H560" t="s">
        <v>2653</v>
      </c>
      <c r="I560" t="s">
        <v>2100</v>
      </c>
      <c r="K560" t="str">
        <f t="shared" si="8"/>
        <v>RES_201403_P20T12025</v>
      </c>
    </row>
    <row r="561" spans="1:11">
      <c r="A561">
        <v>2024</v>
      </c>
      <c r="B561" t="s">
        <v>842</v>
      </c>
      <c r="C561" t="s">
        <v>2653</v>
      </c>
      <c r="D561" t="s">
        <v>2653</v>
      </c>
      <c r="E561" t="s">
        <v>2654</v>
      </c>
      <c r="F561" t="s">
        <v>2654</v>
      </c>
      <c r="G561" t="s">
        <v>2653</v>
      </c>
      <c r="H561" t="s">
        <v>2653</v>
      </c>
      <c r="I561" t="s">
        <v>1124</v>
      </c>
      <c r="K561" t="str">
        <f t="shared" si="8"/>
        <v>COM_200701_P1T42024</v>
      </c>
    </row>
    <row r="562" spans="1:11">
      <c r="A562">
        <v>2024</v>
      </c>
      <c r="B562" t="s">
        <v>710</v>
      </c>
      <c r="C562" t="s">
        <v>2653</v>
      </c>
      <c r="D562" t="s">
        <v>2653</v>
      </c>
      <c r="E562" t="s">
        <v>2654</v>
      </c>
      <c r="F562" t="s">
        <v>2654</v>
      </c>
      <c r="G562" t="s">
        <v>2653</v>
      </c>
      <c r="H562" t="s">
        <v>2653</v>
      </c>
      <c r="I562" t="s">
        <v>1179</v>
      </c>
      <c r="K562" t="str">
        <f t="shared" si="8"/>
        <v>OTH_201601_P1T12024</v>
      </c>
    </row>
    <row r="563" spans="1:11">
      <c r="A563">
        <v>2024</v>
      </c>
      <c r="B563" t="s">
        <v>47</v>
      </c>
      <c r="C563" t="s">
        <v>2653</v>
      </c>
      <c r="D563" t="s">
        <v>2653</v>
      </c>
      <c r="E563" t="s">
        <v>2654</v>
      </c>
      <c r="F563" t="s">
        <v>2654</v>
      </c>
      <c r="G563" t="s">
        <v>2653</v>
      </c>
      <c r="H563" t="s">
        <v>2653</v>
      </c>
      <c r="I563" t="s">
        <v>1132</v>
      </c>
      <c r="K563" t="str">
        <f t="shared" si="8"/>
        <v>RES_200804_P1T12024</v>
      </c>
    </row>
    <row r="564" spans="1:11">
      <c r="A564">
        <v>2024</v>
      </c>
      <c r="B564" t="s">
        <v>622</v>
      </c>
      <c r="C564" t="s">
        <v>2653</v>
      </c>
      <c r="D564" t="s">
        <v>2653</v>
      </c>
      <c r="E564" t="s">
        <v>2654</v>
      </c>
      <c r="F564" t="s">
        <v>2654</v>
      </c>
      <c r="G564" t="s">
        <v>2653</v>
      </c>
      <c r="H564" t="s">
        <v>2653</v>
      </c>
      <c r="I564" t="s">
        <v>1781</v>
      </c>
      <c r="K564" t="str">
        <f t="shared" si="8"/>
        <v>RES_201202_P2T32024</v>
      </c>
    </row>
    <row r="565" spans="1:11">
      <c r="A565">
        <v>2024</v>
      </c>
      <c r="B565" t="s">
        <v>623</v>
      </c>
      <c r="C565" t="s">
        <v>2653</v>
      </c>
      <c r="D565" t="s">
        <v>2653</v>
      </c>
      <c r="E565" t="s">
        <v>2654</v>
      </c>
      <c r="F565" t="s">
        <v>2654</v>
      </c>
      <c r="G565" t="s">
        <v>2653</v>
      </c>
      <c r="H565" t="s">
        <v>2653</v>
      </c>
      <c r="I565" t="s">
        <v>1782</v>
      </c>
      <c r="K565" t="str">
        <f t="shared" si="8"/>
        <v>RES_201202_P2T42024</v>
      </c>
    </row>
    <row r="566" spans="1:11">
      <c r="A566">
        <v>2024</v>
      </c>
      <c r="B566" t="s">
        <v>723</v>
      </c>
      <c r="C566" t="s">
        <v>2653</v>
      </c>
      <c r="D566" t="s">
        <v>2653</v>
      </c>
      <c r="E566" t="s">
        <v>2654</v>
      </c>
      <c r="F566" t="s">
        <v>2654</v>
      </c>
      <c r="G566" t="s">
        <v>2653</v>
      </c>
      <c r="H566" t="s">
        <v>2653</v>
      </c>
      <c r="I566" t="s">
        <v>1783</v>
      </c>
      <c r="K566" t="str">
        <f t="shared" si="8"/>
        <v>RES_201202_P2T52024</v>
      </c>
    </row>
    <row r="567" spans="1:11">
      <c r="A567">
        <v>2024</v>
      </c>
      <c r="B567" t="s">
        <v>630</v>
      </c>
      <c r="C567" t="s">
        <v>2653</v>
      </c>
      <c r="D567" t="s">
        <v>2653</v>
      </c>
      <c r="E567" t="s">
        <v>2654</v>
      </c>
      <c r="F567" t="s">
        <v>2654</v>
      </c>
      <c r="G567" t="s">
        <v>2653</v>
      </c>
      <c r="H567" t="s">
        <v>2653</v>
      </c>
      <c r="I567" t="s">
        <v>1776</v>
      </c>
      <c r="K567" t="str">
        <f t="shared" si="8"/>
        <v>RES_201202_P1T32024</v>
      </c>
    </row>
    <row r="568" spans="1:11">
      <c r="A568">
        <v>2024</v>
      </c>
      <c r="B568" t="s">
        <v>631</v>
      </c>
      <c r="C568" t="s">
        <v>2653</v>
      </c>
      <c r="D568" t="s">
        <v>2653</v>
      </c>
      <c r="E568" t="s">
        <v>2654</v>
      </c>
      <c r="F568" t="s">
        <v>2654</v>
      </c>
      <c r="G568" t="s">
        <v>2653</v>
      </c>
      <c r="H568" t="s">
        <v>2653</v>
      </c>
      <c r="I568" t="s">
        <v>1777</v>
      </c>
      <c r="K568" t="str">
        <f t="shared" si="8"/>
        <v>RES_201202_P1T42024</v>
      </c>
    </row>
    <row r="569" spans="1:11">
      <c r="A569">
        <v>2024</v>
      </c>
      <c r="B569" t="s">
        <v>721</v>
      </c>
      <c r="C569" t="s">
        <v>2653</v>
      </c>
      <c r="D569" t="s">
        <v>2653</v>
      </c>
      <c r="E569" t="s">
        <v>2654</v>
      </c>
      <c r="F569" t="s">
        <v>2654</v>
      </c>
      <c r="G569" t="s">
        <v>2653</v>
      </c>
      <c r="H569" t="s">
        <v>2653</v>
      </c>
      <c r="I569" t="s">
        <v>1778</v>
      </c>
      <c r="K569" t="str">
        <f t="shared" si="8"/>
        <v>RES_201202_P1T52024</v>
      </c>
    </row>
    <row r="570" spans="1:11">
      <c r="A570">
        <v>2024</v>
      </c>
      <c r="B570" t="s">
        <v>627</v>
      </c>
      <c r="C570" t="s">
        <v>2653</v>
      </c>
      <c r="D570" t="s">
        <v>2653</v>
      </c>
      <c r="E570" t="s">
        <v>2654</v>
      </c>
      <c r="F570" t="s">
        <v>2654</v>
      </c>
      <c r="G570" t="s">
        <v>2653</v>
      </c>
      <c r="H570" t="s">
        <v>2653</v>
      </c>
      <c r="I570" t="s">
        <v>1790</v>
      </c>
      <c r="K570" t="str">
        <f t="shared" si="8"/>
        <v>RES_201202_P4T22024</v>
      </c>
    </row>
    <row r="571" spans="1:11">
      <c r="A571">
        <v>2024</v>
      </c>
      <c r="B571" t="s">
        <v>628</v>
      </c>
      <c r="C571" t="s">
        <v>2653</v>
      </c>
      <c r="D571" t="s">
        <v>2653</v>
      </c>
      <c r="E571" t="s">
        <v>2654</v>
      </c>
      <c r="F571" t="s">
        <v>2654</v>
      </c>
      <c r="G571" t="s">
        <v>2653</v>
      </c>
      <c r="H571" t="s">
        <v>2653</v>
      </c>
      <c r="I571" t="s">
        <v>1791</v>
      </c>
      <c r="K571" t="str">
        <f t="shared" si="8"/>
        <v>RES_201202_P4T32024</v>
      </c>
    </row>
    <row r="572" spans="1:11">
      <c r="A572">
        <v>2024</v>
      </c>
      <c r="B572" t="s">
        <v>629</v>
      </c>
      <c r="C572" t="s">
        <v>2653</v>
      </c>
      <c r="D572" t="s">
        <v>2653</v>
      </c>
      <c r="E572" t="s">
        <v>2654</v>
      </c>
      <c r="F572" t="s">
        <v>2654</v>
      </c>
      <c r="G572" t="s">
        <v>2653</v>
      </c>
      <c r="H572" t="s">
        <v>2653</v>
      </c>
      <c r="I572" t="s">
        <v>1792</v>
      </c>
      <c r="K572" t="str">
        <f t="shared" si="8"/>
        <v>RES_201202_P4T42024</v>
      </c>
    </row>
    <row r="573" spans="1:11">
      <c r="A573">
        <v>2024</v>
      </c>
      <c r="B573" t="s">
        <v>725</v>
      </c>
      <c r="C573" t="s">
        <v>2653</v>
      </c>
      <c r="D573" t="s">
        <v>2653</v>
      </c>
      <c r="E573" t="s">
        <v>2654</v>
      </c>
      <c r="F573" t="s">
        <v>2654</v>
      </c>
      <c r="G573" t="s">
        <v>2653</v>
      </c>
      <c r="H573" t="s">
        <v>2653</v>
      </c>
      <c r="I573" t="s">
        <v>1793</v>
      </c>
      <c r="K573" t="str">
        <f t="shared" si="8"/>
        <v>RES_201202_P4T52024</v>
      </c>
    </row>
    <row r="574" spans="1:11">
      <c r="A574">
        <v>2024</v>
      </c>
      <c r="B574" t="s">
        <v>612</v>
      </c>
      <c r="C574" t="s">
        <v>2653</v>
      </c>
      <c r="D574" t="s">
        <v>2653</v>
      </c>
      <c r="E574" t="s">
        <v>2654</v>
      </c>
      <c r="F574" t="s">
        <v>2654</v>
      </c>
      <c r="G574" t="s">
        <v>2653</v>
      </c>
      <c r="H574" t="s">
        <v>2653</v>
      </c>
      <c r="I574" t="s">
        <v>1784</v>
      </c>
      <c r="K574" t="str">
        <f t="shared" si="8"/>
        <v>RES_201202_P3T12024</v>
      </c>
    </row>
    <row r="575" spans="1:11">
      <c r="A575">
        <v>2024</v>
      </c>
      <c r="B575" t="s">
        <v>613</v>
      </c>
      <c r="C575" t="s">
        <v>2653</v>
      </c>
      <c r="D575" t="s">
        <v>2653</v>
      </c>
      <c r="E575" t="s">
        <v>2654</v>
      </c>
      <c r="F575" t="s">
        <v>2654</v>
      </c>
      <c r="G575" t="s">
        <v>2653</v>
      </c>
      <c r="H575" t="s">
        <v>2653</v>
      </c>
      <c r="I575" t="s">
        <v>1785</v>
      </c>
      <c r="K575" t="str">
        <f t="shared" si="8"/>
        <v>RES_201202_P3T22024</v>
      </c>
    </row>
    <row r="576" spans="1:11">
      <c r="A576">
        <v>2024</v>
      </c>
      <c r="B576" t="s">
        <v>624</v>
      </c>
      <c r="C576" t="s">
        <v>2653</v>
      </c>
      <c r="D576" t="s">
        <v>2653</v>
      </c>
      <c r="E576" t="s">
        <v>2654</v>
      </c>
      <c r="F576" t="s">
        <v>2654</v>
      </c>
      <c r="G576" t="s">
        <v>2653</v>
      </c>
      <c r="H576" t="s">
        <v>2653</v>
      </c>
      <c r="I576" t="s">
        <v>1786</v>
      </c>
      <c r="K576" t="str">
        <f t="shared" si="8"/>
        <v>RES_201202_P3T32024</v>
      </c>
    </row>
    <row r="577" spans="1:11">
      <c r="A577">
        <v>2024</v>
      </c>
      <c r="B577" t="s">
        <v>625</v>
      </c>
      <c r="C577" t="s">
        <v>2653</v>
      </c>
      <c r="D577" t="s">
        <v>2653</v>
      </c>
      <c r="E577" t="s">
        <v>2654</v>
      </c>
      <c r="F577" t="s">
        <v>2654</v>
      </c>
      <c r="G577" t="s">
        <v>2653</v>
      </c>
      <c r="H577" t="s">
        <v>2653</v>
      </c>
      <c r="I577" t="s">
        <v>1787</v>
      </c>
      <c r="K577" t="str">
        <f t="shared" si="8"/>
        <v>RES_201202_P3T42024</v>
      </c>
    </row>
    <row r="578" spans="1:11">
      <c r="A578">
        <v>2024</v>
      </c>
      <c r="B578" t="s">
        <v>724</v>
      </c>
      <c r="C578" t="s">
        <v>2653</v>
      </c>
      <c r="D578" t="s">
        <v>2653</v>
      </c>
      <c r="E578" t="s">
        <v>2654</v>
      </c>
      <c r="F578" t="s">
        <v>2654</v>
      </c>
      <c r="G578" t="s">
        <v>2653</v>
      </c>
      <c r="H578" t="s">
        <v>2653</v>
      </c>
      <c r="I578" t="s">
        <v>1788</v>
      </c>
      <c r="K578" t="str">
        <f t="shared" si="8"/>
        <v>RES_201202_P3T52024</v>
      </c>
    </row>
    <row r="579" spans="1:11">
      <c r="A579">
        <v>2024</v>
      </c>
      <c r="B579" t="s">
        <v>914</v>
      </c>
      <c r="C579" t="s">
        <v>2653</v>
      </c>
      <c r="D579" t="s">
        <v>2653</v>
      </c>
      <c r="E579" t="s">
        <v>2654</v>
      </c>
      <c r="F579" t="s">
        <v>2654</v>
      </c>
      <c r="G579" t="s">
        <v>2653</v>
      </c>
      <c r="H579" t="s">
        <v>2653</v>
      </c>
      <c r="I579" t="s">
        <v>1806</v>
      </c>
      <c r="K579" t="str">
        <f t="shared" ref="K579:K642" si="9">B579&amp;A579</f>
        <v>RES_201301_P16T12024</v>
      </c>
    </row>
    <row r="580" spans="1:11">
      <c r="A580">
        <v>2024</v>
      </c>
      <c r="B580" t="s">
        <v>73</v>
      </c>
      <c r="C580" t="s">
        <v>2653</v>
      </c>
      <c r="D580" t="s">
        <v>2653</v>
      </c>
      <c r="E580" t="s">
        <v>2654</v>
      </c>
      <c r="F580" t="s">
        <v>2654</v>
      </c>
      <c r="G580" t="s">
        <v>2653</v>
      </c>
      <c r="H580" t="s">
        <v>2653</v>
      </c>
      <c r="I580" t="s">
        <v>1802</v>
      </c>
      <c r="K580" t="str">
        <f t="shared" si="9"/>
        <v>RES_201301_P15T12024</v>
      </c>
    </row>
    <row r="581" spans="1:11">
      <c r="A581">
        <v>2024</v>
      </c>
      <c r="B581" t="s">
        <v>107</v>
      </c>
      <c r="C581" t="s">
        <v>2653</v>
      </c>
      <c r="D581" t="s">
        <v>2653</v>
      </c>
      <c r="E581" t="s">
        <v>2654</v>
      </c>
      <c r="F581" t="s">
        <v>2654</v>
      </c>
      <c r="G581" t="s">
        <v>2653</v>
      </c>
      <c r="H581" t="s">
        <v>2653</v>
      </c>
      <c r="I581" t="s">
        <v>2151</v>
      </c>
      <c r="K581" t="str">
        <f t="shared" si="9"/>
        <v>COM_200803_P4T12024</v>
      </c>
    </row>
    <row r="582" spans="1:11">
      <c r="A582">
        <v>2024</v>
      </c>
      <c r="B582" t="s">
        <v>912</v>
      </c>
      <c r="C582" t="s">
        <v>2653</v>
      </c>
      <c r="D582" t="s">
        <v>2653</v>
      </c>
      <c r="E582" t="s">
        <v>2654</v>
      </c>
      <c r="F582" t="s">
        <v>2654</v>
      </c>
      <c r="G582" t="s">
        <v>2653</v>
      </c>
      <c r="H582" t="s">
        <v>2653</v>
      </c>
      <c r="I582" t="s">
        <v>1136</v>
      </c>
      <c r="K582" t="str">
        <f t="shared" si="9"/>
        <v>RES_201601_P1T22024</v>
      </c>
    </row>
    <row r="583" spans="1:11">
      <c r="A583">
        <v>2024</v>
      </c>
      <c r="B583" t="s">
        <v>752</v>
      </c>
      <c r="C583" t="s">
        <v>2653</v>
      </c>
      <c r="D583" t="s">
        <v>2653</v>
      </c>
      <c r="E583" t="s">
        <v>2654</v>
      </c>
      <c r="F583" t="s">
        <v>2654</v>
      </c>
      <c r="G583" t="s">
        <v>2653</v>
      </c>
      <c r="H583" t="s">
        <v>2653</v>
      </c>
      <c r="I583" t="s">
        <v>1138</v>
      </c>
      <c r="K583" t="str">
        <f t="shared" si="9"/>
        <v>RES_201601_P1T32024</v>
      </c>
    </row>
    <row r="584" spans="1:11">
      <c r="A584">
        <v>2024</v>
      </c>
      <c r="B584" t="s">
        <v>916</v>
      </c>
      <c r="C584" t="s">
        <v>2653</v>
      </c>
      <c r="D584" t="s">
        <v>2653</v>
      </c>
      <c r="E584" t="s">
        <v>2654</v>
      </c>
      <c r="F584" t="s">
        <v>2654</v>
      </c>
      <c r="G584" t="s">
        <v>2653</v>
      </c>
      <c r="H584" t="s">
        <v>2653</v>
      </c>
      <c r="I584" t="s">
        <v>1807</v>
      </c>
      <c r="K584" t="str">
        <f t="shared" si="9"/>
        <v>RES_201301_P16T22024</v>
      </c>
    </row>
    <row r="585" spans="1:11">
      <c r="A585">
        <v>2024</v>
      </c>
      <c r="B585" t="s">
        <v>74</v>
      </c>
      <c r="C585" t="s">
        <v>2653</v>
      </c>
      <c r="D585" t="s">
        <v>2653</v>
      </c>
      <c r="E585" t="s">
        <v>2654</v>
      </c>
      <c r="F585" t="s">
        <v>2654</v>
      </c>
      <c r="G585" t="s">
        <v>2653</v>
      </c>
      <c r="H585" t="s">
        <v>2653</v>
      </c>
      <c r="I585" t="s">
        <v>1803</v>
      </c>
      <c r="K585" t="str">
        <f t="shared" si="9"/>
        <v>RES_201301_P15T22024</v>
      </c>
    </row>
    <row r="586" spans="1:11">
      <c r="A586">
        <v>2024</v>
      </c>
      <c r="B586" t="s">
        <v>32</v>
      </c>
      <c r="C586" t="s">
        <v>2653</v>
      </c>
      <c r="D586" t="s">
        <v>2653</v>
      </c>
      <c r="E586" t="s">
        <v>2654</v>
      </c>
      <c r="F586" t="s">
        <v>2654</v>
      </c>
      <c r="G586" t="s">
        <v>2653</v>
      </c>
      <c r="H586" t="s">
        <v>2653</v>
      </c>
      <c r="I586" t="s">
        <v>1714</v>
      </c>
      <c r="K586" t="str">
        <f t="shared" si="9"/>
        <v>IND_200402_P1T12024</v>
      </c>
    </row>
    <row r="587" spans="1:11">
      <c r="A587">
        <v>2024</v>
      </c>
      <c r="B587" t="s">
        <v>918</v>
      </c>
      <c r="C587" t="s">
        <v>2653</v>
      </c>
      <c r="D587" t="s">
        <v>2653</v>
      </c>
      <c r="E587" t="s">
        <v>2654</v>
      </c>
      <c r="F587" t="s">
        <v>2654</v>
      </c>
      <c r="G587" t="s">
        <v>2653</v>
      </c>
      <c r="H587" t="s">
        <v>2653</v>
      </c>
      <c r="I587" t="s">
        <v>1808</v>
      </c>
      <c r="K587" t="str">
        <f t="shared" si="9"/>
        <v>RES_201301_P16T32024</v>
      </c>
    </row>
    <row r="588" spans="1:11">
      <c r="A588">
        <v>2024</v>
      </c>
      <c r="B588" t="s">
        <v>75</v>
      </c>
      <c r="C588" t="s">
        <v>2653</v>
      </c>
      <c r="D588" t="s">
        <v>2653</v>
      </c>
      <c r="E588" t="s">
        <v>2654</v>
      </c>
      <c r="F588" t="s">
        <v>2654</v>
      </c>
      <c r="G588" t="s">
        <v>2653</v>
      </c>
      <c r="H588" t="s">
        <v>2653</v>
      </c>
      <c r="I588" t="s">
        <v>1804</v>
      </c>
      <c r="K588" t="str">
        <f t="shared" si="9"/>
        <v>RES_201301_P15T32024</v>
      </c>
    </row>
    <row r="589" spans="1:11">
      <c r="A589">
        <v>2024</v>
      </c>
      <c r="B589" t="s">
        <v>106</v>
      </c>
      <c r="C589" t="s">
        <v>2653</v>
      </c>
      <c r="D589" t="s">
        <v>2653</v>
      </c>
      <c r="E589" t="s">
        <v>2654</v>
      </c>
      <c r="F589" t="s">
        <v>2654</v>
      </c>
      <c r="G589" t="s">
        <v>2653</v>
      </c>
      <c r="H589" t="s">
        <v>2653</v>
      </c>
      <c r="I589" t="s">
        <v>2149</v>
      </c>
      <c r="K589" t="str">
        <f t="shared" si="9"/>
        <v>COM_200803_P3T12024</v>
      </c>
    </row>
    <row r="590" spans="1:11">
      <c r="A590">
        <v>2024</v>
      </c>
      <c r="B590" t="s">
        <v>341</v>
      </c>
      <c r="C590" t="s">
        <v>2653</v>
      </c>
      <c r="D590" t="s">
        <v>2653</v>
      </c>
      <c r="E590" t="s">
        <v>2654</v>
      </c>
      <c r="F590" t="s">
        <v>2654</v>
      </c>
      <c r="G590" t="s">
        <v>2653</v>
      </c>
      <c r="H590" t="s">
        <v>2653</v>
      </c>
      <c r="I590" t="s">
        <v>1713</v>
      </c>
      <c r="K590" t="str">
        <f t="shared" si="9"/>
        <v>COM_201405_P2T12024</v>
      </c>
    </row>
    <row r="591" spans="1:11">
      <c r="A591">
        <v>2024</v>
      </c>
      <c r="B591" t="s">
        <v>362</v>
      </c>
      <c r="C591" t="s">
        <v>2653</v>
      </c>
      <c r="D591" t="s">
        <v>2653</v>
      </c>
      <c r="E591" t="s">
        <v>2654</v>
      </c>
      <c r="F591" t="s">
        <v>2654</v>
      </c>
      <c r="G591" t="s">
        <v>2653</v>
      </c>
      <c r="H591" t="s">
        <v>2653</v>
      </c>
      <c r="I591" t="s">
        <v>1712</v>
      </c>
      <c r="K591" t="str">
        <f t="shared" si="9"/>
        <v>COM_201405_P1T12024</v>
      </c>
    </row>
    <row r="592" spans="1:11">
      <c r="A592">
        <v>2024</v>
      </c>
      <c r="B592" t="s">
        <v>753</v>
      </c>
      <c r="C592" t="s">
        <v>2653</v>
      </c>
      <c r="D592" t="s">
        <v>2653</v>
      </c>
      <c r="E592" t="s">
        <v>2654</v>
      </c>
      <c r="F592" t="s">
        <v>2654</v>
      </c>
      <c r="G592" t="s">
        <v>2653</v>
      </c>
      <c r="H592" t="s">
        <v>2653</v>
      </c>
      <c r="I592" t="s">
        <v>1181</v>
      </c>
      <c r="K592" t="str">
        <f t="shared" si="9"/>
        <v>OTH_201601_P2T12024</v>
      </c>
    </row>
    <row r="593" spans="1:11">
      <c r="A593">
        <v>2024</v>
      </c>
      <c r="B593" t="s">
        <v>712</v>
      </c>
      <c r="C593" t="s">
        <v>2653</v>
      </c>
      <c r="D593" t="s">
        <v>2653</v>
      </c>
      <c r="E593" t="s">
        <v>2654</v>
      </c>
      <c r="F593" t="s">
        <v>2654</v>
      </c>
      <c r="G593" t="s">
        <v>2653</v>
      </c>
      <c r="H593" t="s">
        <v>2653</v>
      </c>
      <c r="I593" t="s">
        <v>1183</v>
      </c>
      <c r="K593" t="str">
        <f t="shared" si="9"/>
        <v>OTH_201601_P3T12024</v>
      </c>
    </row>
    <row r="594" spans="1:11">
      <c r="A594">
        <v>2024</v>
      </c>
      <c r="B594" t="s">
        <v>982</v>
      </c>
      <c r="C594" t="s">
        <v>2653</v>
      </c>
      <c r="D594" t="s">
        <v>2653</v>
      </c>
      <c r="E594" t="s">
        <v>2654</v>
      </c>
      <c r="F594" t="s">
        <v>2654</v>
      </c>
      <c r="G594" t="s">
        <v>2653</v>
      </c>
      <c r="H594" t="s">
        <v>2653</v>
      </c>
      <c r="I594" t="s">
        <v>1225</v>
      </c>
      <c r="K594" t="str">
        <f t="shared" si="9"/>
        <v>RES_201403_P14T22024</v>
      </c>
    </row>
    <row r="595" spans="1:11">
      <c r="A595">
        <v>2024</v>
      </c>
      <c r="B595" t="s">
        <v>983</v>
      </c>
      <c r="C595" t="s">
        <v>2653</v>
      </c>
      <c r="D595" t="s">
        <v>2653</v>
      </c>
      <c r="E595" t="s">
        <v>2654</v>
      </c>
      <c r="F595" t="s">
        <v>2654</v>
      </c>
      <c r="G595" t="s">
        <v>2653</v>
      </c>
      <c r="H595" t="s">
        <v>2653</v>
      </c>
      <c r="I595" t="s">
        <v>1227</v>
      </c>
      <c r="K595" t="str">
        <f t="shared" si="9"/>
        <v>RES_201403_P14T32024</v>
      </c>
    </row>
    <row r="596" spans="1:11">
      <c r="A596">
        <v>2024</v>
      </c>
      <c r="B596" t="s">
        <v>984</v>
      </c>
      <c r="C596" t="s">
        <v>2653</v>
      </c>
      <c r="D596" t="s">
        <v>2653</v>
      </c>
      <c r="E596" t="s">
        <v>2654</v>
      </c>
      <c r="F596" t="s">
        <v>2654</v>
      </c>
      <c r="G596" t="s">
        <v>2653</v>
      </c>
      <c r="H596" t="s">
        <v>2653</v>
      </c>
      <c r="I596" t="s">
        <v>1229</v>
      </c>
      <c r="K596" t="str">
        <f t="shared" si="9"/>
        <v>RES_201403_P14T42024</v>
      </c>
    </row>
    <row r="597" spans="1:11">
      <c r="A597">
        <v>2024</v>
      </c>
      <c r="B597" t="s">
        <v>985</v>
      </c>
      <c r="C597" t="s">
        <v>2653</v>
      </c>
      <c r="D597" t="s">
        <v>2653</v>
      </c>
      <c r="E597" t="s">
        <v>2654</v>
      </c>
      <c r="F597" t="s">
        <v>2654</v>
      </c>
      <c r="G597" t="s">
        <v>2653</v>
      </c>
      <c r="H597" t="s">
        <v>2653</v>
      </c>
      <c r="I597" t="s">
        <v>1231</v>
      </c>
      <c r="K597" t="str">
        <f t="shared" si="9"/>
        <v>RES_201403_P14T52024</v>
      </c>
    </row>
    <row r="598" spans="1:11">
      <c r="A598">
        <v>2024</v>
      </c>
      <c r="B598" t="s">
        <v>986</v>
      </c>
      <c r="C598" t="s">
        <v>2653</v>
      </c>
      <c r="D598" t="s">
        <v>2653</v>
      </c>
      <c r="E598" t="s">
        <v>2654</v>
      </c>
      <c r="F598" t="s">
        <v>2654</v>
      </c>
      <c r="G598" t="s">
        <v>2653</v>
      </c>
      <c r="H598" t="s">
        <v>2653</v>
      </c>
      <c r="I598" t="s">
        <v>1233</v>
      </c>
      <c r="K598" t="str">
        <f t="shared" si="9"/>
        <v>RES_201403_P14T62024</v>
      </c>
    </row>
    <row r="599" spans="1:11">
      <c r="A599">
        <v>2024</v>
      </c>
      <c r="B599" t="s">
        <v>103</v>
      </c>
      <c r="C599" t="s">
        <v>2653</v>
      </c>
      <c r="D599" t="s">
        <v>2653</v>
      </c>
      <c r="E599" t="s">
        <v>2654</v>
      </c>
      <c r="F599" t="s">
        <v>2654</v>
      </c>
      <c r="G599" t="s">
        <v>2653</v>
      </c>
      <c r="H599" t="s">
        <v>2653</v>
      </c>
      <c r="I599" t="s">
        <v>1218</v>
      </c>
      <c r="K599" t="str">
        <f t="shared" si="9"/>
        <v>RES_201403_P9T12024</v>
      </c>
    </row>
    <row r="600" spans="1:11">
      <c r="A600">
        <v>2024</v>
      </c>
      <c r="B600" t="s">
        <v>104</v>
      </c>
      <c r="C600" t="s">
        <v>2653</v>
      </c>
      <c r="D600" t="s">
        <v>2653</v>
      </c>
      <c r="E600" t="s">
        <v>2654</v>
      </c>
      <c r="F600" t="s">
        <v>2654</v>
      </c>
      <c r="G600" t="s">
        <v>2653</v>
      </c>
      <c r="H600" t="s">
        <v>2653</v>
      </c>
      <c r="I600" t="s">
        <v>1219</v>
      </c>
      <c r="K600" t="str">
        <f t="shared" si="9"/>
        <v>RES_201403_P9T22024</v>
      </c>
    </row>
    <row r="601" spans="1:11">
      <c r="A601">
        <v>2024</v>
      </c>
      <c r="B601" t="s">
        <v>82</v>
      </c>
      <c r="C601" t="s">
        <v>2653</v>
      </c>
      <c r="D601" t="s">
        <v>2653</v>
      </c>
      <c r="E601" t="s">
        <v>2654</v>
      </c>
      <c r="F601" t="s">
        <v>2654</v>
      </c>
      <c r="G601" t="s">
        <v>2653</v>
      </c>
      <c r="H601" t="s">
        <v>2653</v>
      </c>
      <c r="I601" t="s">
        <v>2094</v>
      </c>
      <c r="K601" t="str">
        <f t="shared" si="9"/>
        <v>RES_201403_P7T12024</v>
      </c>
    </row>
    <row r="602" spans="1:11">
      <c r="A602">
        <v>2024</v>
      </c>
      <c r="B602" t="s">
        <v>1656</v>
      </c>
      <c r="C602" t="s">
        <v>2653</v>
      </c>
      <c r="D602" t="s">
        <v>2653</v>
      </c>
      <c r="E602" t="s">
        <v>2654</v>
      </c>
      <c r="F602" t="s">
        <v>2654</v>
      </c>
      <c r="G602" t="s">
        <v>2653</v>
      </c>
      <c r="H602" t="s">
        <v>2653</v>
      </c>
      <c r="I602" t="s">
        <v>1874</v>
      </c>
      <c r="K602" t="str">
        <f t="shared" si="9"/>
        <v>RES_201403_P7T22024</v>
      </c>
    </row>
    <row r="603" spans="1:11">
      <c r="A603">
        <v>2024</v>
      </c>
      <c r="B603" t="s">
        <v>1658</v>
      </c>
      <c r="C603" t="s">
        <v>2653</v>
      </c>
      <c r="D603" t="s">
        <v>2653</v>
      </c>
      <c r="E603" t="s">
        <v>2654</v>
      </c>
      <c r="F603" t="s">
        <v>2654</v>
      </c>
      <c r="G603" t="s">
        <v>2653</v>
      </c>
      <c r="H603" t="s">
        <v>2653</v>
      </c>
      <c r="I603" t="s">
        <v>1875</v>
      </c>
      <c r="K603" t="str">
        <f t="shared" si="9"/>
        <v>RES_201403_P7T32024</v>
      </c>
    </row>
    <row r="604" spans="1:11">
      <c r="A604">
        <v>2024</v>
      </c>
      <c r="B604" t="s">
        <v>973</v>
      </c>
      <c r="C604" t="s">
        <v>2653</v>
      </c>
      <c r="D604" t="s">
        <v>2653</v>
      </c>
      <c r="E604" t="s">
        <v>2654</v>
      </c>
      <c r="F604" t="s">
        <v>2654</v>
      </c>
      <c r="G604" t="s">
        <v>2653</v>
      </c>
      <c r="H604" t="s">
        <v>2653</v>
      </c>
      <c r="I604" t="s">
        <v>1756</v>
      </c>
      <c r="K604" t="str">
        <f t="shared" si="9"/>
        <v>RES_200902_P1T02024</v>
      </c>
    </row>
    <row r="605" spans="1:11">
      <c r="A605">
        <v>2024</v>
      </c>
      <c r="B605" t="s">
        <v>1600</v>
      </c>
      <c r="C605" t="s">
        <v>2653</v>
      </c>
      <c r="D605" t="s">
        <v>2653</v>
      </c>
      <c r="E605" t="s">
        <v>2654</v>
      </c>
      <c r="F605" t="s">
        <v>2654</v>
      </c>
      <c r="G605" t="s">
        <v>2653</v>
      </c>
      <c r="H605" t="s">
        <v>2653</v>
      </c>
      <c r="I605" t="s">
        <v>1757</v>
      </c>
      <c r="K605" t="str">
        <f t="shared" si="9"/>
        <v>RES_200902_P1T12024</v>
      </c>
    </row>
    <row r="606" spans="1:11">
      <c r="A606">
        <v>2024</v>
      </c>
      <c r="B606" t="s">
        <v>1602</v>
      </c>
      <c r="C606" t="s">
        <v>2653</v>
      </c>
      <c r="D606" t="s">
        <v>2653</v>
      </c>
      <c r="E606" t="s">
        <v>2654</v>
      </c>
      <c r="F606" t="s">
        <v>2654</v>
      </c>
      <c r="G606" t="s">
        <v>2653</v>
      </c>
      <c r="H606" t="s">
        <v>2653</v>
      </c>
      <c r="I606" t="s">
        <v>1759</v>
      </c>
      <c r="K606" t="str">
        <f t="shared" si="9"/>
        <v>RES_200902_P1T22024</v>
      </c>
    </row>
    <row r="607" spans="1:11">
      <c r="A607">
        <v>2024</v>
      </c>
      <c r="B607" t="s">
        <v>1603</v>
      </c>
      <c r="C607" t="s">
        <v>2653</v>
      </c>
      <c r="D607" t="s">
        <v>2653</v>
      </c>
      <c r="E607" t="s">
        <v>2654</v>
      </c>
      <c r="F607" t="s">
        <v>2654</v>
      </c>
      <c r="G607" t="s">
        <v>2653</v>
      </c>
      <c r="H607" t="s">
        <v>2653</v>
      </c>
      <c r="I607" t="s">
        <v>1760</v>
      </c>
      <c r="K607" t="str">
        <f t="shared" si="9"/>
        <v>RES_200902_P1T32024</v>
      </c>
    </row>
    <row r="608" spans="1:11">
      <c r="A608">
        <v>2024</v>
      </c>
      <c r="B608" t="s">
        <v>1604</v>
      </c>
      <c r="C608" t="s">
        <v>2653</v>
      </c>
      <c r="D608" t="s">
        <v>2653</v>
      </c>
      <c r="E608" t="s">
        <v>2654</v>
      </c>
      <c r="F608" t="s">
        <v>2654</v>
      </c>
      <c r="G608" t="s">
        <v>2653</v>
      </c>
      <c r="H608" t="s">
        <v>2653</v>
      </c>
      <c r="I608" t="s">
        <v>1761</v>
      </c>
      <c r="K608" t="str">
        <f t="shared" si="9"/>
        <v>RES_200902_P1T42024</v>
      </c>
    </row>
    <row r="609" spans="1:11">
      <c r="A609">
        <v>2024</v>
      </c>
      <c r="B609" t="s">
        <v>1606</v>
      </c>
      <c r="C609" t="s">
        <v>2653</v>
      </c>
      <c r="D609" t="s">
        <v>2653</v>
      </c>
      <c r="E609" t="s">
        <v>2654</v>
      </c>
      <c r="F609" t="s">
        <v>2654</v>
      </c>
      <c r="G609" t="s">
        <v>2653</v>
      </c>
      <c r="H609" t="s">
        <v>2653</v>
      </c>
      <c r="I609" t="s">
        <v>1763</v>
      </c>
      <c r="K609" t="str">
        <f t="shared" si="9"/>
        <v>RES_200902_P1T62024</v>
      </c>
    </row>
    <row r="610" spans="1:11">
      <c r="A610">
        <v>2024</v>
      </c>
      <c r="B610" t="s">
        <v>1608</v>
      </c>
      <c r="C610" t="s">
        <v>2653</v>
      </c>
      <c r="D610" t="s">
        <v>2653</v>
      </c>
      <c r="E610" t="s">
        <v>2654</v>
      </c>
      <c r="F610" t="s">
        <v>2654</v>
      </c>
      <c r="G610" t="s">
        <v>2653</v>
      </c>
      <c r="H610" t="s">
        <v>2653</v>
      </c>
      <c r="I610" t="s">
        <v>1765</v>
      </c>
      <c r="K610" t="str">
        <f t="shared" si="9"/>
        <v>RES_200902_P1T82024</v>
      </c>
    </row>
    <row r="611" spans="1:11">
      <c r="A611">
        <v>2024</v>
      </c>
      <c r="B611" t="s">
        <v>1609</v>
      </c>
      <c r="C611" t="s">
        <v>2653</v>
      </c>
      <c r="D611" t="s">
        <v>2653</v>
      </c>
      <c r="E611" t="s">
        <v>2654</v>
      </c>
      <c r="F611" t="s">
        <v>2654</v>
      </c>
      <c r="G611" t="s">
        <v>2653</v>
      </c>
      <c r="H611" t="s">
        <v>2653</v>
      </c>
      <c r="I611" t="s">
        <v>1766</v>
      </c>
      <c r="K611" t="str">
        <f t="shared" si="9"/>
        <v>RES_200902_P1T92024</v>
      </c>
    </row>
    <row r="612" spans="1:11">
      <c r="A612">
        <v>2024</v>
      </c>
      <c r="B612" t="s">
        <v>1607</v>
      </c>
      <c r="C612" t="s">
        <v>2653</v>
      </c>
      <c r="D612" t="s">
        <v>2653</v>
      </c>
      <c r="E612" t="s">
        <v>2654</v>
      </c>
      <c r="F612" t="s">
        <v>2654</v>
      </c>
      <c r="G612" t="s">
        <v>2653</v>
      </c>
      <c r="H612" t="s">
        <v>2653</v>
      </c>
      <c r="I612" t="s">
        <v>1764</v>
      </c>
      <c r="K612" t="str">
        <f t="shared" si="9"/>
        <v>RES_200902_P1T72024</v>
      </c>
    </row>
    <row r="613" spans="1:11">
      <c r="A613">
        <v>2024</v>
      </c>
      <c r="B613" t="s">
        <v>1601</v>
      </c>
      <c r="C613" t="s">
        <v>2653</v>
      </c>
      <c r="D613" t="s">
        <v>2653</v>
      </c>
      <c r="E613" t="s">
        <v>2654</v>
      </c>
      <c r="F613" t="s">
        <v>2654</v>
      </c>
      <c r="G613" t="s">
        <v>2653</v>
      </c>
      <c r="H613" t="s">
        <v>2653</v>
      </c>
      <c r="I613" t="s">
        <v>1758</v>
      </c>
      <c r="K613" t="str">
        <f t="shared" si="9"/>
        <v>RES_200902_P1T102024</v>
      </c>
    </row>
    <row r="614" spans="1:11">
      <c r="A614">
        <v>2024</v>
      </c>
      <c r="B614" t="s">
        <v>1605</v>
      </c>
      <c r="C614" t="s">
        <v>2653</v>
      </c>
      <c r="D614" t="s">
        <v>2653</v>
      </c>
      <c r="E614" t="s">
        <v>2654</v>
      </c>
      <c r="F614" t="s">
        <v>2654</v>
      </c>
      <c r="G614" t="s">
        <v>2653</v>
      </c>
      <c r="H614" t="s">
        <v>2653</v>
      </c>
      <c r="I614" t="s">
        <v>1762</v>
      </c>
      <c r="K614" t="str">
        <f t="shared" si="9"/>
        <v>RES_200902_P1T52024</v>
      </c>
    </row>
    <row r="615" spans="1:11">
      <c r="A615">
        <v>2024</v>
      </c>
      <c r="B615" t="s">
        <v>33</v>
      </c>
      <c r="C615" t="s">
        <v>2653</v>
      </c>
      <c r="D615" t="s">
        <v>2653</v>
      </c>
      <c r="E615" t="s">
        <v>2654</v>
      </c>
      <c r="F615" t="s">
        <v>2654</v>
      </c>
      <c r="G615" t="s">
        <v>2653</v>
      </c>
      <c r="H615" t="s">
        <v>2653</v>
      </c>
      <c r="I615" t="s">
        <v>1126</v>
      </c>
      <c r="K615" t="str">
        <f t="shared" si="9"/>
        <v>IND_200402_P2T12024</v>
      </c>
    </row>
    <row r="616" spans="1:11">
      <c r="A616">
        <v>2024</v>
      </c>
      <c r="B616" t="s">
        <v>72</v>
      </c>
      <c r="C616" t="s">
        <v>2653</v>
      </c>
      <c r="D616" t="s">
        <v>2653</v>
      </c>
      <c r="E616" t="s">
        <v>2654</v>
      </c>
      <c r="F616" t="s">
        <v>2654</v>
      </c>
      <c r="G616" t="s">
        <v>2653</v>
      </c>
      <c r="H616" t="s">
        <v>2653</v>
      </c>
      <c r="I616" t="s">
        <v>1801</v>
      </c>
      <c r="K616" t="str">
        <f t="shared" si="9"/>
        <v>RES_201301_P14T12024</v>
      </c>
    </row>
    <row r="617" spans="1:11">
      <c r="A617">
        <v>2024</v>
      </c>
      <c r="B617" t="s">
        <v>920</v>
      </c>
      <c r="C617" t="s">
        <v>2653</v>
      </c>
      <c r="D617" t="s">
        <v>2653</v>
      </c>
      <c r="E617" t="s">
        <v>2654</v>
      </c>
      <c r="F617" t="s">
        <v>2654</v>
      </c>
      <c r="G617" t="s">
        <v>2653</v>
      </c>
      <c r="H617" t="s">
        <v>2653</v>
      </c>
      <c r="I617" t="s">
        <v>1809</v>
      </c>
      <c r="K617" t="str">
        <f t="shared" si="9"/>
        <v>RES_201301_P16T42024</v>
      </c>
    </row>
    <row r="618" spans="1:11">
      <c r="A618">
        <v>2024</v>
      </c>
      <c r="B618" t="s">
        <v>76</v>
      </c>
      <c r="C618" t="s">
        <v>2653</v>
      </c>
      <c r="D618" t="s">
        <v>2653</v>
      </c>
      <c r="E618" t="s">
        <v>2654</v>
      </c>
      <c r="F618" t="s">
        <v>2654</v>
      </c>
      <c r="G618" t="s">
        <v>2653</v>
      </c>
      <c r="H618" t="s">
        <v>2653</v>
      </c>
      <c r="I618" t="s">
        <v>1805</v>
      </c>
      <c r="K618" t="str">
        <f t="shared" si="9"/>
        <v>RES_201301_P15T42024</v>
      </c>
    </row>
    <row r="619" spans="1:11">
      <c r="A619">
        <v>2024</v>
      </c>
      <c r="B619" t="s">
        <v>621</v>
      </c>
      <c r="C619" t="s">
        <v>2653</v>
      </c>
      <c r="D619" t="s">
        <v>2653</v>
      </c>
      <c r="E619" t="s">
        <v>2654</v>
      </c>
      <c r="F619" t="s">
        <v>2654</v>
      </c>
      <c r="G619" t="s">
        <v>2653</v>
      </c>
      <c r="H619" t="s">
        <v>2653</v>
      </c>
      <c r="I619" t="s">
        <v>1822</v>
      </c>
      <c r="K619" t="str">
        <f t="shared" si="9"/>
        <v>RES_201301_P25T12024</v>
      </c>
    </row>
    <row r="620" spans="1:11">
      <c r="A620">
        <v>2024</v>
      </c>
      <c r="B620" t="s">
        <v>80</v>
      </c>
      <c r="C620" t="s">
        <v>2653</v>
      </c>
      <c r="D620" t="s">
        <v>2653</v>
      </c>
      <c r="E620" t="s">
        <v>2654</v>
      </c>
      <c r="F620" t="s">
        <v>2654</v>
      </c>
      <c r="G620" t="s">
        <v>2653</v>
      </c>
      <c r="H620" t="s">
        <v>2653</v>
      </c>
      <c r="I620" t="s">
        <v>1800</v>
      </c>
      <c r="K620" t="str">
        <f t="shared" si="9"/>
        <v>RES_201301_P13T42024</v>
      </c>
    </row>
    <row r="621" spans="1:11">
      <c r="A621">
        <v>2024</v>
      </c>
      <c r="B621" t="s">
        <v>105</v>
      </c>
      <c r="C621" t="s">
        <v>2653</v>
      </c>
      <c r="D621" t="s">
        <v>2653</v>
      </c>
      <c r="E621" t="s">
        <v>2654</v>
      </c>
      <c r="F621" t="s">
        <v>2654</v>
      </c>
      <c r="G621" t="s">
        <v>2653</v>
      </c>
      <c r="H621" t="s">
        <v>2653</v>
      </c>
      <c r="I621" t="s">
        <v>2147</v>
      </c>
      <c r="K621" t="str">
        <f t="shared" si="9"/>
        <v>COM_200803_P2T12024</v>
      </c>
    </row>
    <row r="622" spans="1:11">
      <c r="A622">
        <v>2024</v>
      </c>
      <c r="B622" t="s">
        <v>77</v>
      </c>
      <c r="C622" t="s">
        <v>2653</v>
      </c>
      <c r="D622" t="s">
        <v>2653</v>
      </c>
      <c r="E622" t="s">
        <v>2654</v>
      </c>
      <c r="F622" t="s">
        <v>2654</v>
      </c>
      <c r="G622" t="s">
        <v>2653</v>
      </c>
      <c r="H622" t="s">
        <v>2653</v>
      </c>
      <c r="I622" t="s">
        <v>1797</v>
      </c>
      <c r="K622" t="str">
        <f t="shared" si="9"/>
        <v>RES_201301_P13T12024</v>
      </c>
    </row>
    <row r="623" spans="1:11">
      <c r="A623">
        <v>2024</v>
      </c>
      <c r="B623" t="s">
        <v>78</v>
      </c>
      <c r="C623" t="s">
        <v>2653</v>
      </c>
      <c r="D623" t="s">
        <v>2653</v>
      </c>
      <c r="E623" t="s">
        <v>2654</v>
      </c>
      <c r="F623" t="s">
        <v>2654</v>
      </c>
      <c r="G623" t="s">
        <v>2653</v>
      </c>
      <c r="H623" t="s">
        <v>2653</v>
      </c>
      <c r="I623" t="s">
        <v>1798</v>
      </c>
      <c r="K623" t="str">
        <f t="shared" si="9"/>
        <v>RES_201301_P13T22024</v>
      </c>
    </row>
    <row r="624" spans="1:11">
      <c r="A624">
        <v>2024</v>
      </c>
      <c r="B624" t="s">
        <v>79</v>
      </c>
      <c r="C624" t="s">
        <v>2653</v>
      </c>
      <c r="D624" t="s">
        <v>2653</v>
      </c>
      <c r="E624" t="s">
        <v>2654</v>
      </c>
      <c r="F624" t="s">
        <v>2654</v>
      </c>
      <c r="G624" t="s">
        <v>2653</v>
      </c>
      <c r="H624" t="s">
        <v>2653</v>
      </c>
      <c r="I624" t="s">
        <v>1799</v>
      </c>
      <c r="K624" t="str">
        <f t="shared" si="9"/>
        <v>RES_201301_P13T32024</v>
      </c>
    </row>
    <row r="625" spans="1:11">
      <c r="A625">
        <v>2024</v>
      </c>
      <c r="B625" t="s">
        <v>83</v>
      </c>
      <c r="C625" t="s">
        <v>2653</v>
      </c>
      <c r="D625" t="s">
        <v>2653</v>
      </c>
      <c r="E625" t="s">
        <v>2654</v>
      </c>
      <c r="F625" t="s">
        <v>2654</v>
      </c>
      <c r="G625" t="s">
        <v>2653</v>
      </c>
      <c r="H625" t="s">
        <v>2653</v>
      </c>
      <c r="I625" t="s">
        <v>1514</v>
      </c>
      <c r="K625" t="str">
        <f t="shared" si="9"/>
        <v>RES_201403_P2T32024</v>
      </c>
    </row>
    <row r="626" spans="1:11">
      <c r="A626">
        <v>2024</v>
      </c>
      <c r="B626" t="s">
        <v>1655</v>
      </c>
      <c r="C626" t="s">
        <v>2653</v>
      </c>
      <c r="D626" t="s">
        <v>2653</v>
      </c>
      <c r="E626" t="s">
        <v>2654</v>
      </c>
      <c r="F626" t="s">
        <v>2654</v>
      </c>
      <c r="G626" t="s">
        <v>2653</v>
      </c>
      <c r="H626" t="s">
        <v>2653</v>
      </c>
      <c r="I626" t="s">
        <v>2116</v>
      </c>
      <c r="K626" t="str">
        <f t="shared" si="9"/>
        <v>RES_201403_P7T1_02024</v>
      </c>
    </row>
    <row r="627" spans="1:11">
      <c r="A627">
        <v>2024</v>
      </c>
      <c r="B627" t="s">
        <v>1657</v>
      </c>
      <c r="C627" t="s">
        <v>2653</v>
      </c>
      <c r="D627" t="s">
        <v>2653</v>
      </c>
      <c r="E627" t="s">
        <v>2654</v>
      </c>
      <c r="F627" t="s">
        <v>2654</v>
      </c>
      <c r="G627" t="s">
        <v>2653</v>
      </c>
      <c r="H627" t="s">
        <v>2653</v>
      </c>
      <c r="I627" t="s">
        <v>2118</v>
      </c>
      <c r="K627" t="str">
        <f t="shared" si="9"/>
        <v>RES_201403_P7T2_02024</v>
      </c>
    </row>
    <row r="628" spans="1:11">
      <c r="A628">
        <v>2024</v>
      </c>
      <c r="B628" t="s">
        <v>1003</v>
      </c>
      <c r="C628" t="s">
        <v>2653</v>
      </c>
      <c r="D628" t="s">
        <v>2653</v>
      </c>
      <c r="E628" t="s">
        <v>2654</v>
      </c>
      <c r="F628" t="s">
        <v>2654</v>
      </c>
      <c r="G628" t="s">
        <v>2653</v>
      </c>
      <c r="H628" t="s">
        <v>2653</v>
      </c>
      <c r="I628" t="s">
        <v>2473</v>
      </c>
      <c r="K628" t="str">
        <f t="shared" si="9"/>
        <v>XMP_202001_P6T22024</v>
      </c>
    </row>
    <row r="629" spans="1:11">
      <c r="A629">
        <v>2024</v>
      </c>
      <c r="B629" t="s">
        <v>1002</v>
      </c>
      <c r="C629" t="s">
        <v>2653</v>
      </c>
      <c r="D629" t="s">
        <v>2653</v>
      </c>
      <c r="E629" t="s">
        <v>2654</v>
      </c>
      <c r="F629" t="s">
        <v>2654</v>
      </c>
      <c r="G629" t="s">
        <v>2653</v>
      </c>
      <c r="H629" t="s">
        <v>2653</v>
      </c>
      <c r="I629" t="s">
        <v>1888</v>
      </c>
      <c r="K629" t="str">
        <f t="shared" si="9"/>
        <v>XMP_202001_P6T12024</v>
      </c>
    </row>
    <row r="630" spans="1:11">
      <c r="A630">
        <v>2024</v>
      </c>
      <c r="B630" t="s">
        <v>1001</v>
      </c>
      <c r="C630" t="s">
        <v>2653</v>
      </c>
      <c r="D630" t="s">
        <v>2653</v>
      </c>
      <c r="E630" t="s">
        <v>2654</v>
      </c>
      <c r="F630" t="s">
        <v>2654</v>
      </c>
      <c r="G630" t="s">
        <v>2653</v>
      </c>
      <c r="H630" t="s">
        <v>2653</v>
      </c>
      <c r="I630" t="s">
        <v>1887</v>
      </c>
      <c r="K630" t="str">
        <f t="shared" si="9"/>
        <v>XMP_202001_P5T12024</v>
      </c>
    </row>
    <row r="631" spans="1:11">
      <c r="A631">
        <v>2024</v>
      </c>
      <c r="B631" t="s">
        <v>1000</v>
      </c>
      <c r="C631" t="s">
        <v>2653</v>
      </c>
      <c r="D631" t="s">
        <v>2653</v>
      </c>
      <c r="E631" t="s">
        <v>2654</v>
      </c>
      <c r="F631" t="s">
        <v>2654</v>
      </c>
      <c r="G631" t="s">
        <v>2653</v>
      </c>
      <c r="H631" t="s">
        <v>2653</v>
      </c>
      <c r="I631" t="s">
        <v>1886</v>
      </c>
      <c r="K631" t="str">
        <f t="shared" si="9"/>
        <v>XMP_202001_P4T32024</v>
      </c>
    </row>
    <row r="632" spans="1:11">
      <c r="A632">
        <v>2024</v>
      </c>
      <c r="B632" t="s">
        <v>999</v>
      </c>
      <c r="C632" t="s">
        <v>2653</v>
      </c>
      <c r="D632" t="s">
        <v>2653</v>
      </c>
      <c r="E632" t="s">
        <v>2654</v>
      </c>
      <c r="F632" t="s">
        <v>2654</v>
      </c>
      <c r="G632" t="s">
        <v>2653</v>
      </c>
      <c r="H632" t="s">
        <v>2653</v>
      </c>
      <c r="I632" t="s">
        <v>1885</v>
      </c>
      <c r="K632" t="str">
        <f t="shared" si="9"/>
        <v>XMP_202001_P4T22024</v>
      </c>
    </row>
    <row r="633" spans="1:11">
      <c r="A633">
        <v>2024</v>
      </c>
      <c r="B633" t="s">
        <v>998</v>
      </c>
      <c r="C633" t="s">
        <v>2653</v>
      </c>
      <c r="D633" t="s">
        <v>2653</v>
      </c>
      <c r="E633" t="s">
        <v>2654</v>
      </c>
      <c r="F633" t="s">
        <v>2654</v>
      </c>
      <c r="G633" t="s">
        <v>2653</v>
      </c>
      <c r="H633" t="s">
        <v>2653</v>
      </c>
      <c r="I633" t="s">
        <v>1884</v>
      </c>
      <c r="K633" t="str">
        <f t="shared" si="9"/>
        <v>XMP_202001_P4T12024</v>
      </c>
    </row>
    <row r="634" spans="1:11">
      <c r="A634">
        <v>2024</v>
      </c>
      <c r="B634" t="s">
        <v>994</v>
      </c>
      <c r="C634" t="s">
        <v>2653</v>
      </c>
      <c r="D634" t="s">
        <v>2653</v>
      </c>
      <c r="E634" t="s">
        <v>2654</v>
      </c>
      <c r="F634" t="s">
        <v>2654</v>
      </c>
      <c r="G634" t="s">
        <v>2653</v>
      </c>
      <c r="H634" t="s">
        <v>2653</v>
      </c>
      <c r="I634" t="s">
        <v>1880</v>
      </c>
      <c r="K634" t="str">
        <f t="shared" si="9"/>
        <v>XMP_202001_P2T22024</v>
      </c>
    </row>
    <row r="635" spans="1:11">
      <c r="A635">
        <v>2024</v>
      </c>
      <c r="B635" t="s">
        <v>993</v>
      </c>
      <c r="C635" t="s">
        <v>2653</v>
      </c>
      <c r="D635" t="s">
        <v>2653</v>
      </c>
      <c r="E635" t="s">
        <v>2654</v>
      </c>
      <c r="F635" t="s">
        <v>2654</v>
      </c>
      <c r="G635" t="s">
        <v>2653</v>
      </c>
      <c r="H635" t="s">
        <v>2653</v>
      </c>
      <c r="I635" t="s">
        <v>1879</v>
      </c>
      <c r="K635" t="str">
        <f t="shared" si="9"/>
        <v>XMP_202001_P2T12024</v>
      </c>
    </row>
    <row r="636" spans="1:11">
      <c r="A636">
        <v>2024</v>
      </c>
      <c r="B636" t="s">
        <v>1074</v>
      </c>
      <c r="C636" t="s">
        <v>2653</v>
      </c>
      <c r="D636" t="s">
        <v>2653</v>
      </c>
      <c r="E636" t="s">
        <v>2654</v>
      </c>
      <c r="F636" t="s">
        <v>2654</v>
      </c>
      <c r="G636" t="s">
        <v>2653</v>
      </c>
      <c r="H636" t="s">
        <v>2653</v>
      </c>
      <c r="I636" t="s">
        <v>1825</v>
      </c>
      <c r="K636" t="str">
        <f t="shared" si="9"/>
        <v>RES_201301_P25T42024</v>
      </c>
    </row>
    <row r="637" spans="1:11">
      <c r="A637">
        <v>2024</v>
      </c>
      <c r="B637" t="s">
        <v>1615</v>
      </c>
      <c r="C637" t="s">
        <v>2653</v>
      </c>
      <c r="D637" t="s">
        <v>2653</v>
      </c>
      <c r="E637" t="s">
        <v>2654</v>
      </c>
      <c r="F637" t="s">
        <v>2654</v>
      </c>
      <c r="G637" t="s">
        <v>2653</v>
      </c>
      <c r="H637" t="s">
        <v>2653</v>
      </c>
      <c r="I637" t="s">
        <v>1824</v>
      </c>
      <c r="K637" t="str">
        <f t="shared" si="9"/>
        <v>RES_201301_P25T32024</v>
      </c>
    </row>
    <row r="638" spans="1:11">
      <c r="A638">
        <v>2024</v>
      </c>
      <c r="B638" t="s">
        <v>1614</v>
      </c>
      <c r="C638" t="s">
        <v>2653</v>
      </c>
      <c r="D638" t="s">
        <v>2653</v>
      </c>
      <c r="E638" t="s">
        <v>2654</v>
      </c>
      <c r="F638" t="s">
        <v>2654</v>
      </c>
      <c r="G638" t="s">
        <v>2653</v>
      </c>
      <c r="H638" t="s">
        <v>2653</v>
      </c>
      <c r="I638" t="s">
        <v>1823</v>
      </c>
      <c r="K638" t="str">
        <f t="shared" si="9"/>
        <v>RES_201301_P25T22024</v>
      </c>
    </row>
    <row r="639" spans="1:11">
      <c r="A639">
        <v>2024</v>
      </c>
      <c r="B639" t="s">
        <v>2101</v>
      </c>
      <c r="C639" t="s">
        <v>2653</v>
      </c>
      <c r="D639" t="s">
        <v>2653</v>
      </c>
      <c r="E639" t="s">
        <v>2654</v>
      </c>
      <c r="F639" t="s">
        <v>2654</v>
      </c>
      <c r="G639" t="s">
        <v>2653</v>
      </c>
      <c r="H639" t="s">
        <v>2653</v>
      </c>
      <c r="I639" t="s">
        <v>2100</v>
      </c>
      <c r="K639" t="str">
        <f t="shared" si="9"/>
        <v>RES_201403_P20T12024</v>
      </c>
    </row>
    <row r="640" spans="1:11">
      <c r="A640">
        <v>2024</v>
      </c>
      <c r="B640" t="s">
        <v>58</v>
      </c>
      <c r="C640" t="s">
        <v>2654</v>
      </c>
      <c r="D640" t="s">
        <v>2653</v>
      </c>
      <c r="E640" t="s">
        <v>2654</v>
      </c>
      <c r="F640" t="s">
        <v>2654</v>
      </c>
      <c r="G640" t="s">
        <v>2654</v>
      </c>
      <c r="H640" t="s">
        <v>2654</v>
      </c>
      <c r="I640" t="s">
        <v>1150</v>
      </c>
      <c r="K640" t="str">
        <f t="shared" si="9"/>
        <v>RES_201301_P1T52024</v>
      </c>
    </row>
    <row r="641" spans="1:11">
      <c r="A641">
        <v>2025</v>
      </c>
      <c r="B641" t="s">
        <v>58</v>
      </c>
      <c r="C641" t="s">
        <v>2654</v>
      </c>
      <c r="D641" t="s">
        <v>2653</v>
      </c>
      <c r="E641" t="s">
        <v>2654</v>
      </c>
      <c r="F641" t="s">
        <v>2654</v>
      </c>
      <c r="G641" t="s">
        <v>2654</v>
      </c>
      <c r="H641" t="s">
        <v>2654</v>
      </c>
      <c r="I641" t="s">
        <v>1150</v>
      </c>
      <c r="K641" t="str">
        <f t="shared" si="9"/>
        <v>RES_201301_P1T52025</v>
      </c>
    </row>
    <row r="642" spans="1:11">
      <c r="A642">
        <v>2026</v>
      </c>
      <c r="B642" t="s">
        <v>58</v>
      </c>
      <c r="C642" t="s">
        <v>2654</v>
      </c>
      <c r="D642" t="s">
        <v>2653</v>
      </c>
      <c r="E642" t="s">
        <v>2654</v>
      </c>
      <c r="F642" t="s">
        <v>2654</v>
      </c>
      <c r="G642" t="s">
        <v>2654</v>
      </c>
      <c r="H642" t="s">
        <v>2654</v>
      </c>
      <c r="I642" t="s">
        <v>1150</v>
      </c>
      <c r="K642" t="str">
        <f t="shared" si="9"/>
        <v>RES_201301_P1T52026</v>
      </c>
    </row>
    <row r="643" spans="1:11">
      <c r="A643">
        <v>2027</v>
      </c>
      <c r="B643" t="s">
        <v>58</v>
      </c>
      <c r="C643" t="s">
        <v>2654</v>
      </c>
      <c r="D643" t="s">
        <v>2653</v>
      </c>
      <c r="E643" t="s">
        <v>2654</v>
      </c>
      <c r="F643" t="s">
        <v>2654</v>
      </c>
      <c r="G643" t="s">
        <v>2654</v>
      </c>
      <c r="H643" t="s">
        <v>2654</v>
      </c>
      <c r="I643" t="s">
        <v>1150</v>
      </c>
      <c r="K643" t="str">
        <f t="shared" ref="K643:K706" si="10">B643&amp;A643</f>
        <v>RES_201301_P1T52027</v>
      </c>
    </row>
    <row r="644" spans="1:11">
      <c r="A644">
        <v>2024</v>
      </c>
      <c r="B644" t="s">
        <v>361</v>
      </c>
      <c r="C644" t="s">
        <v>2654</v>
      </c>
      <c r="D644" t="s">
        <v>2653</v>
      </c>
      <c r="E644" t="s">
        <v>2654</v>
      </c>
      <c r="F644" t="s">
        <v>2654</v>
      </c>
      <c r="G644" t="s">
        <v>2654</v>
      </c>
      <c r="H644" t="s">
        <v>2654</v>
      </c>
      <c r="I644" t="s">
        <v>1745</v>
      </c>
      <c r="K644" t="str">
        <f t="shared" si="10"/>
        <v>RES_200601_P1T32024</v>
      </c>
    </row>
    <row r="645" spans="1:11">
      <c r="A645">
        <v>2025</v>
      </c>
      <c r="B645" t="s">
        <v>361</v>
      </c>
      <c r="C645" t="s">
        <v>2654</v>
      </c>
      <c r="D645" t="s">
        <v>2653</v>
      </c>
      <c r="E645" t="s">
        <v>2654</v>
      </c>
      <c r="F645" t="s">
        <v>2654</v>
      </c>
      <c r="G645" t="s">
        <v>2654</v>
      </c>
      <c r="H645" t="s">
        <v>2654</v>
      </c>
      <c r="I645" t="s">
        <v>1745</v>
      </c>
      <c r="K645" t="str">
        <f t="shared" si="10"/>
        <v>RES_200601_P1T32025</v>
      </c>
    </row>
    <row r="646" spans="1:11">
      <c r="A646">
        <v>2026</v>
      </c>
      <c r="B646" t="s">
        <v>361</v>
      </c>
      <c r="C646" t="s">
        <v>2654</v>
      </c>
      <c r="D646" t="s">
        <v>2653</v>
      </c>
      <c r="E646" t="s">
        <v>2654</v>
      </c>
      <c r="F646" t="s">
        <v>2654</v>
      </c>
      <c r="G646" t="s">
        <v>2654</v>
      </c>
      <c r="H646" t="s">
        <v>2654</v>
      </c>
      <c r="I646" t="s">
        <v>1745</v>
      </c>
      <c r="K646" t="str">
        <f t="shared" si="10"/>
        <v>RES_200601_P1T32026</v>
      </c>
    </row>
    <row r="647" spans="1:11">
      <c r="A647">
        <v>2027</v>
      </c>
      <c r="B647" t="s">
        <v>361</v>
      </c>
      <c r="C647" t="s">
        <v>2654</v>
      </c>
      <c r="D647" t="s">
        <v>2653</v>
      </c>
      <c r="E647" t="s">
        <v>2654</v>
      </c>
      <c r="F647" t="s">
        <v>2654</v>
      </c>
      <c r="G647" t="s">
        <v>2654</v>
      </c>
      <c r="H647" t="s">
        <v>2654</v>
      </c>
      <c r="I647" t="s">
        <v>1745</v>
      </c>
      <c r="K647" t="str">
        <f t="shared" si="10"/>
        <v>RES_200601_P1T32027</v>
      </c>
    </row>
    <row r="648" spans="1:11">
      <c r="A648">
        <v>2024</v>
      </c>
      <c r="B648" t="s">
        <v>867</v>
      </c>
      <c r="C648" t="s">
        <v>2654</v>
      </c>
      <c r="D648" t="s">
        <v>2653</v>
      </c>
      <c r="E648" t="s">
        <v>2654</v>
      </c>
      <c r="F648" t="s">
        <v>2654</v>
      </c>
      <c r="G648" t="s">
        <v>2654</v>
      </c>
      <c r="H648" t="s">
        <v>2654</v>
      </c>
      <c r="I648" t="s">
        <v>1172</v>
      </c>
      <c r="K648" t="str">
        <f t="shared" si="10"/>
        <v>RES_200601_P1T42024</v>
      </c>
    </row>
    <row r="649" spans="1:11">
      <c r="A649">
        <v>2025</v>
      </c>
      <c r="B649" t="s">
        <v>867</v>
      </c>
      <c r="C649" t="s">
        <v>2654</v>
      </c>
      <c r="D649" t="s">
        <v>2653</v>
      </c>
      <c r="E649" t="s">
        <v>2654</v>
      </c>
      <c r="F649" t="s">
        <v>2654</v>
      </c>
      <c r="G649" t="s">
        <v>2654</v>
      </c>
      <c r="H649" t="s">
        <v>2654</v>
      </c>
      <c r="I649" t="s">
        <v>1172</v>
      </c>
      <c r="K649" t="str">
        <f t="shared" si="10"/>
        <v>RES_200601_P1T42025</v>
      </c>
    </row>
    <row r="650" spans="1:11">
      <c r="A650">
        <v>2026</v>
      </c>
      <c r="B650" t="s">
        <v>867</v>
      </c>
      <c r="C650" t="s">
        <v>2654</v>
      </c>
      <c r="D650" t="s">
        <v>2653</v>
      </c>
      <c r="E650" t="s">
        <v>2654</v>
      </c>
      <c r="F650" t="s">
        <v>2654</v>
      </c>
      <c r="G650" t="s">
        <v>2654</v>
      </c>
      <c r="H650" t="s">
        <v>2654</v>
      </c>
      <c r="I650" t="s">
        <v>1172</v>
      </c>
      <c r="K650" t="str">
        <f t="shared" si="10"/>
        <v>RES_200601_P1T42026</v>
      </c>
    </row>
    <row r="651" spans="1:11">
      <c r="A651">
        <v>2027</v>
      </c>
      <c r="B651" t="s">
        <v>867</v>
      </c>
      <c r="C651" t="s">
        <v>2654</v>
      </c>
      <c r="D651" t="s">
        <v>2653</v>
      </c>
      <c r="E651" t="s">
        <v>2654</v>
      </c>
      <c r="F651" t="s">
        <v>2654</v>
      </c>
      <c r="G651" t="s">
        <v>2654</v>
      </c>
      <c r="H651" t="s">
        <v>2654</v>
      </c>
      <c r="I651" t="s">
        <v>1172</v>
      </c>
      <c r="K651" t="str">
        <f t="shared" si="10"/>
        <v>RES_200601_P1T42027</v>
      </c>
    </row>
    <row r="652" spans="1:11">
      <c r="A652">
        <v>2024</v>
      </c>
      <c r="B652" t="s">
        <v>879</v>
      </c>
      <c r="C652" t="s">
        <v>2654</v>
      </c>
      <c r="D652" t="s">
        <v>2653</v>
      </c>
      <c r="E652" t="s">
        <v>2654</v>
      </c>
      <c r="F652" t="s">
        <v>2654</v>
      </c>
      <c r="G652" t="s">
        <v>2654</v>
      </c>
      <c r="H652" t="s">
        <v>2654</v>
      </c>
      <c r="I652" t="s">
        <v>1154</v>
      </c>
      <c r="K652" t="str">
        <f t="shared" si="10"/>
        <v>COM_200202_P1T62024</v>
      </c>
    </row>
    <row r="653" spans="1:11">
      <c r="A653">
        <v>2025</v>
      </c>
      <c r="B653" t="s">
        <v>879</v>
      </c>
      <c r="C653" t="s">
        <v>2654</v>
      </c>
      <c r="D653" t="s">
        <v>2653</v>
      </c>
      <c r="E653" t="s">
        <v>2654</v>
      </c>
      <c r="F653" t="s">
        <v>2654</v>
      </c>
      <c r="G653" t="s">
        <v>2654</v>
      </c>
      <c r="H653" t="s">
        <v>2654</v>
      </c>
      <c r="I653" t="s">
        <v>1154</v>
      </c>
      <c r="K653" t="str">
        <f t="shared" si="10"/>
        <v>COM_200202_P1T62025</v>
      </c>
    </row>
    <row r="654" spans="1:11">
      <c r="A654">
        <v>2026</v>
      </c>
      <c r="B654" t="s">
        <v>879</v>
      </c>
      <c r="C654" t="s">
        <v>2654</v>
      </c>
      <c r="D654" t="s">
        <v>2653</v>
      </c>
      <c r="E654" t="s">
        <v>2654</v>
      </c>
      <c r="F654" t="s">
        <v>2654</v>
      </c>
      <c r="G654" t="s">
        <v>2654</v>
      </c>
      <c r="H654" t="s">
        <v>2654</v>
      </c>
      <c r="I654" t="s">
        <v>1154</v>
      </c>
      <c r="K654" t="str">
        <f t="shared" si="10"/>
        <v>COM_200202_P1T62026</v>
      </c>
    </row>
    <row r="655" spans="1:11">
      <c r="A655">
        <v>2027</v>
      </c>
      <c r="B655" t="s">
        <v>879</v>
      </c>
      <c r="C655" t="s">
        <v>2654</v>
      </c>
      <c r="D655" t="s">
        <v>2653</v>
      </c>
      <c r="E655" t="s">
        <v>2654</v>
      </c>
      <c r="F655" t="s">
        <v>2654</v>
      </c>
      <c r="G655" t="s">
        <v>2654</v>
      </c>
      <c r="H655" t="s">
        <v>2654</v>
      </c>
      <c r="I655" t="s">
        <v>1154</v>
      </c>
      <c r="K655" t="str">
        <f t="shared" si="10"/>
        <v>COM_200202_P1T62027</v>
      </c>
    </row>
    <row r="656" spans="1:11">
      <c r="A656">
        <v>2024</v>
      </c>
      <c r="B656" t="s">
        <v>70</v>
      </c>
      <c r="C656" t="s">
        <v>2654</v>
      </c>
      <c r="D656" t="s">
        <v>2653</v>
      </c>
      <c r="E656" t="s">
        <v>2654</v>
      </c>
      <c r="F656" t="s">
        <v>2654</v>
      </c>
      <c r="G656" t="s">
        <v>2654</v>
      </c>
      <c r="H656" t="s">
        <v>2654</v>
      </c>
      <c r="I656" t="s">
        <v>1174</v>
      </c>
      <c r="K656" t="str">
        <f t="shared" si="10"/>
        <v>RES_200601_P1T52024</v>
      </c>
    </row>
    <row r="657" spans="1:11">
      <c r="A657">
        <v>2025</v>
      </c>
      <c r="B657" t="s">
        <v>70</v>
      </c>
      <c r="C657" t="s">
        <v>2654</v>
      </c>
      <c r="D657" t="s">
        <v>2653</v>
      </c>
      <c r="E657" t="s">
        <v>2654</v>
      </c>
      <c r="F657" t="s">
        <v>2654</v>
      </c>
      <c r="G657" t="s">
        <v>2654</v>
      </c>
      <c r="H657" t="s">
        <v>2654</v>
      </c>
      <c r="I657" t="s">
        <v>1174</v>
      </c>
      <c r="K657" t="str">
        <f t="shared" si="10"/>
        <v>RES_200601_P1T52025</v>
      </c>
    </row>
    <row r="658" spans="1:11">
      <c r="A658">
        <v>2026</v>
      </c>
      <c r="B658" t="s">
        <v>70</v>
      </c>
      <c r="C658" t="s">
        <v>2654</v>
      </c>
      <c r="D658" t="s">
        <v>2653</v>
      </c>
      <c r="E658" t="s">
        <v>2654</v>
      </c>
      <c r="F658" t="s">
        <v>2654</v>
      </c>
      <c r="G658" t="s">
        <v>2654</v>
      </c>
      <c r="H658" t="s">
        <v>2654</v>
      </c>
      <c r="I658" t="s">
        <v>1174</v>
      </c>
      <c r="K658" t="str">
        <f t="shared" si="10"/>
        <v>RES_200601_P1T52026</v>
      </c>
    </row>
    <row r="659" spans="1:11">
      <c r="A659">
        <v>2027</v>
      </c>
      <c r="B659" t="s">
        <v>70</v>
      </c>
      <c r="C659" t="s">
        <v>2654</v>
      </c>
      <c r="D659" t="s">
        <v>2653</v>
      </c>
      <c r="E659" t="s">
        <v>2654</v>
      </c>
      <c r="F659" t="s">
        <v>2654</v>
      </c>
      <c r="G659" t="s">
        <v>2654</v>
      </c>
      <c r="H659" t="s">
        <v>2654</v>
      </c>
      <c r="I659" t="s">
        <v>1174</v>
      </c>
      <c r="K659" t="str">
        <f t="shared" si="10"/>
        <v>RES_200601_P1T52027</v>
      </c>
    </row>
    <row r="660" spans="1:11">
      <c r="A660">
        <v>2025</v>
      </c>
      <c r="B660" t="s">
        <v>693</v>
      </c>
      <c r="C660" t="s">
        <v>2654</v>
      </c>
      <c r="D660" t="s">
        <v>2653</v>
      </c>
      <c r="E660" t="s">
        <v>2654</v>
      </c>
      <c r="F660" t="s">
        <v>2654</v>
      </c>
      <c r="G660" t="s">
        <v>2654</v>
      </c>
      <c r="H660" t="s">
        <v>2654</v>
      </c>
      <c r="I660" t="s">
        <v>1668</v>
      </c>
      <c r="K660" t="str">
        <f t="shared" si="10"/>
        <v>COM_200202_P1T72025</v>
      </c>
    </row>
    <row r="661" spans="1:11">
      <c r="A661">
        <v>2026</v>
      </c>
      <c r="B661" t="s">
        <v>693</v>
      </c>
      <c r="C661" t="s">
        <v>2654</v>
      </c>
      <c r="D661" t="s">
        <v>2653</v>
      </c>
      <c r="E661" t="s">
        <v>2654</v>
      </c>
      <c r="F661" t="s">
        <v>2654</v>
      </c>
      <c r="G661" t="s">
        <v>2654</v>
      </c>
      <c r="H661" t="s">
        <v>2654</v>
      </c>
      <c r="I661" t="s">
        <v>1668</v>
      </c>
      <c r="K661" t="str">
        <f t="shared" si="10"/>
        <v>COM_200202_P1T72026</v>
      </c>
    </row>
    <row r="662" spans="1:11">
      <c r="A662">
        <v>2027</v>
      </c>
      <c r="B662" t="s">
        <v>693</v>
      </c>
      <c r="C662" t="s">
        <v>2654</v>
      </c>
      <c r="D662" t="s">
        <v>2653</v>
      </c>
      <c r="E662" t="s">
        <v>2654</v>
      </c>
      <c r="F662" t="s">
        <v>2654</v>
      </c>
      <c r="G662" t="s">
        <v>2654</v>
      </c>
      <c r="H662" t="s">
        <v>2654</v>
      </c>
      <c r="I662" t="s">
        <v>1668</v>
      </c>
      <c r="K662" t="str">
        <f t="shared" si="10"/>
        <v>COM_200202_P1T72027</v>
      </c>
    </row>
    <row r="663" spans="1:11">
      <c r="A663">
        <v>2024</v>
      </c>
      <c r="B663" t="s">
        <v>693</v>
      </c>
      <c r="C663" t="s">
        <v>2654</v>
      </c>
      <c r="D663" t="s">
        <v>2653</v>
      </c>
      <c r="E663" t="s">
        <v>2654</v>
      </c>
      <c r="F663" t="s">
        <v>2654</v>
      </c>
      <c r="G663" t="s">
        <v>2654</v>
      </c>
      <c r="H663" t="s">
        <v>2654</v>
      </c>
      <c r="I663" t="s">
        <v>1668</v>
      </c>
      <c r="K663" t="str">
        <f t="shared" si="10"/>
        <v>COM_200202_P1T72024</v>
      </c>
    </row>
    <row r="664" spans="1:11">
      <c r="A664">
        <v>2024</v>
      </c>
      <c r="B664" t="s">
        <v>966</v>
      </c>
      <c r="C664" t="s">
        <v>2654</v>
      </c>
      <c r="D664" t="s">
        <v>2653</v>
      </c>
      <c r="E664" t="s">
        <v>2654</v>
      </c>
      <c r="F664" t="s">
        <v>2654</v>
      </c>
      <c r="G664" t="s">
        <v>2654</v>
      </c>
      <c r="H664" t="s">
        <v>2654</v>
      </c>
      <c r="I664" t="s">
        <v>1746</v>
      </c>
      <c r="K664" t="str">
        <f t="shared" si="10"/>
        <v>RES_200601_P1T62024</v>
      </c>
    </row>
    <row r="665" spans="1:11">
      <c r="A665">
        <v>2025</v>
      </c>
      <c r="B665" t="s">
        <v>966</v>
      </c>
      <c r="C665" t="s">
        <v>2654</v>
      </c>
      <c r="D665" t="s">
        <v>2653</v>
      </c>
      <c r="E665" t="s">
        <v>2654</v>
      </c>
      <c r="F665" t="s">
        <v>2654</v>
      </c>
      <c r="G665" t="s">
        <v>2654</v>
      </c>
      <c r="H665" t="s">
        <v>2654</v>
      </c>
      <c r="I665" t="s">
        <v>1746</v>
      </c>
      <c r="K665" t="str">
        <f t="shared" si="10"/>
        <v>RES_200601_P1T62025</v>
      </c>
    </row>
    <row r="666" spans="1:11">
      <c r="A666">
        <v>2026</v>
      </c>
      <c r="B666" t="s">
        <v>966</v>
      </c>
      <c r="C666" t="s">
        <v>2654</v>
      </c>
      <c r="D666" t="s">
        <v>2653</v>
      </c>
      <c r="E666" t="s">
        <v>2654</v>
      </c>
      <c r="F666" t="s">
        <v>2654</v>
      </c>
      <c r="G666" t="s">
        <v>2654</v>
      </c>
      <c r="H666" t="s">
        <v>2654</v>
      </c>
      <c r="I666" t="s">
        <v>1746</v>
      </c>
      <c r="K666" t="str">
        <f t="shared" si="10"/>
        <v>RES_200601_P1T62026</v>
      </c>
    </row>
    <row r="667" spans="1:11">
      <c r="A667">
        <v>2027</v>
      </c>
      <c r="B667" t="s">
        <v>966</v>
      </c>
      <c r="C667" t="s">
        <v>2654</v>
      </c>
      <c r="D667" t="s">
        <v>2653</v>
      </c>
      <c r="E667" t="s">
        <v>2654</v>
      </c>
      <c r="F667" t="s">
        <v>2654</v>
      </c>
      <c r="G667" t="s">
        <v>2654</v>
      </c>
      <c r="H667" t="s">
        <v>2654</v>
      </c>
      <c r="I667" t="s">
        <v>1746</v>
      </c>
      <c r="K667" t="str">
        <f t="shared" si="10"/>
        <v>RES_200601_P1T62027</v>
      </c>
    </row>
    <row r="668" spans="1:11">
      <c r="A668">
        <v>2024</v>
      </c>
      <c r="B668" t="s">
        <v>694</v>
      </c>
      <c r="C668" t="s">
        <v>2654</v>
      </c>
      <c r="D668" t="s">
        <v>2653</v>
      </c>
      <c r="E668" t="s">
        <v>2654</v>
      </c>
      <c r="F668" t="s">
        <v>2654</v>
      </c>
      <c r="G668" t="s">
        <v>2654</v>
      </c>
      <c r="H668" t="s">
        <v>2654</v>
      </c>
      <c r="I668" t="s">
        <v>1669</v>
      </c>
      <c r="K668" t="str">
        <f t="shared" si="10"/>
        <v>COM_200202_P1T82024</v>
      </c>
    </row>
    <row r="669" spans="1:11">
      <c r="A669">
        <v>2025</v>
      </c>
      <c r="B669" t="s">
        <v>694</v>
      </c>
      <c r="C669" t="s">
        <v>2654</v>
      </c>
      <c r="D669" t="s">
        <v>2653</v>
      </c>
      <c r="E669" t="s">
        <v>2654</v>
      </c>
      <c r="F669" t="s">
        <v>2654</v>
      </c>
      <c r="G669" t="s">
        <v>2654</v>
      </c>
      <c r="H669" t="s">
        <v>2654</v>
      </c>
      <c r="I669" t="s">
        <v>1669</v>
      </c>
      <c r="K669" t="str">
        <f t="shared" si="10"/>
        <v>COM_200202_P1T82025</v>
      </c>
    </row>
    <row r="670" spans="1:11">
      <c r="A670">
        <v>2026</v>
      </c>
      <c r="B670" t="s">
        <v>694</v>
      </c>
      <c r="C670" t="s">
        <v>2654</v>
      </c>
      <c r="D670" t="s">
        <v>2653</v>
      </c>
      <c r="E670" t="s">
        <v>2654</v>
      </c>
      <c r="F670" t="s">
        <v>2654</v>
      </c>
      <c r="G670" t="s">
        <v>2654</v>
      </c>
      <c r="H670" t="s">
        <v>2654</v>
      </c>
      <c r="I670" t="s">
        <v>1669</v>
      </c>
      <c r="K670" t="str">
        <f t="shared" si="10"/>
        <v>COM_200202_P1T82026</v>
      </c>
    </row>
    <row r="671" spans="1:11">
      <c r="A671">
        <v>2027</v>
      </c>
      <c r="B671" t="s">
        <v>694</v>
      </c>
      <c r="C671" t="s">
        <v>2654</v>
      </c>
      <c r="D671" t="s">
        <v>2653</v>
      </c>
      <c r="E671" t="s">
        <v>2654</v>
      </c>
      <c r="F671" t="s">
        <v>2654</v>
      </c>
      <c r="G671" t="s">
        <v>2654</v>
      </c>
      <c r="H671" t="s">
        <v>2654</v>
      </c>
      <c r="I671" t="s">
        <v>1669</v>
      </c>
      <c r="K671" t="str">
        <f t="shared" si="10"/>
        <v>COM_200202_P1T82027</v>
      </c>
    </row>
    <row r="672" spans="1:11">
      <c r="A672">
        <v>2024</v>
      </c>
      <c r="B672" t="s">
        <v>696</v>
      </c>
      <c r="C672" t="s">
        <v>2654</v>
      </c>
      <c r="D672" t="s">
        <v>2653</v>
      </c>
      <c r="E672" t="s">
        <v>2654</v>
      </c>
      <c r="F672" t="s">
        <v>2654</v>
      </c>
      <c r="G672" t="s">
        <v>2654</v>
      </c>
      <c r="H672" t="s">
        <v>2654</v>
      </c>
      <c r="I672" t="s">
        <v>1670</v>
      </c>
      <c r="K672" t="str">
        <f t="shared" si="10"/>
        <v>COM_200202_P1T92024</v>
      </c>
    </row>
    <row r="673" spans="1:11">
      <c r="A673">
        <v>2025</v>
      </c>
      <c r="B673" t="s">
        <v>696</v>
      </c>
      <c r="C673" t="s">
        <v>2654</v>
      </c>
      <c r="D673" t="s">
        <v>2653</v>
      </c>
      <c r="E673" t="s">
        <v>2654</v>
      </c>
      <c r="F673" t="s">
        <v>2654</v>
      </c>
      <c r="G673" t="s">
        <v>2654</v>
      </c>
      <c r="H673" t="s">
        <v>2654</v>
      </c>
      <c r="I673" t="s">
        <v>1670</v>
      </c>
      <c r="K673" t="str">
        <f t="shared" si="10"/>
        <v>COM_200202_P1T92025</v>
      </c>
    </row>
    <row r="674" spans="1:11">
      <c r="A674">
        <v>2026</v>
      </c>
      <c r="B674" t="s">
        <v>696</v>
      </c>
      <c r="C674" t="s">
        <v>2654</v>
      </c>
      <c r="D674" t="s">
        <v>2653</v>
      </c>
      <c r="E674" t="s">
        <v>2654</v>
      </c>
      <c r="F674" t="s">
        <v>2654</v>
      </c>
      <c r="G674" t="s">
        <v>2654</v>
      </c>
      <c r="H674" t="s">
        <v>2654</v>
      </c>
      <c r="I674" t="s">
        <v>1670</v>
      </c>
      <c r="K674" t="str">
        <f t="shared" si="10"/>
        <v>COM_200202_P1T92026</v>
      </c>
    </row>
    <row r="675" spans="1:11">
      <c r="A675">
        <v>2027</v>
      </c>
      <c r="B675" t="s">
        <v>696</v>
      </c>
      <c r="C675" t="s">
        <v>2654</v>
      </c>
      <c r="D675" t="s">
        <v>2653</v>
      </c>
      <c r="E675" t="s">
        <v>2654</v>
      </c>
      <c r="F675" t="s">
        <v>2654</v>
      </c>
      <c r="G675" t="s">
        <v>2654</v>
      </c>
      <c r="H675" t="s">
        <v>2654</v>
      </c>
      <c r="I675" t="s">
        <v>1670</v>
      </c>
      <c r="K675" t="str">
        <f t="shared" si="10"/>
        <v>COM_200202_P1T92027</v>
      </c>
    </row>
    <row r="676" spans="1:11">
      <c r="A676">
        <v>2024</v>
      </c>
      <c r="B676" t="s">
        <v>692</v>
      </c>
      <c r="C676" t="s">
        <v>2654</v>
      </c>
      <c r="D676" t="s">
        <v>2653</v>
      </c>
      <c r="E676" t="s">
        <v>2654</v>
      </c>
      <c r="F676" t="s">
        <v>2654</v>
      </c>
      <c r="G676" t="s">
        <v>2654</v>
      </c>
      <c r="H676" t="s">
        <v>2654</v>
      </c>
      <c r="I676" t="s">
        <v>1664</v>
      </c>
      <c r="K676" t="str">
        <f t="shared" si="10"/>
        <v>COM_200202_P1T102024</v>
      </c>
    </row>
    <row r="677" spans="1:11">
      <c r="A677">
        <v>2025</v>
      </c>
      <c r="B677" t="s">
        <v>692</v>
      </c>
      <c r="C677" t="s">
        <v>2654</v>
      </c>
      <c r="D677" t="s">
        <v>2653</v>
      </c>
      <c r="E677" t="s">
        <v>2654</v>
      </c>
      <c r="F677" t="s">
        <v>2654</v>
      </c>
      <c r="G677" t="s">
        <v>2654</v>
      </c>
      <c r="H677" t="s">
        <v>2654</v>
      </c>
      <c r="I677" t="s">
        <v>1664</v>
      </c>
      <c r="K677" t="str">
        <f t="shared" si="10"/>
        <v>COM_200202_P1T102025</v>
      </c>
    </row>
    <row r="678" spans="1:11">
      <c r="A678">
        <v>2026</v>
      </c>
      <c r="B678" t="s">
        <v>692</v>
      </c>
      <c r="C678" t="s">
        <v>2654</v>
      </c>
      <c r="D678" t="s">
        <v>2653</v>
      </c>
      <c r="E678" t="s">
        <v>2654</v>
      </c>
      <c r="F678" t="s">
        <v>2654</v>
      </c>
      <c r="G678" t="s">
        <v>2654</v>
      </c>
      <c r="H678" t="s">
        <v>2654</v>
      </c>
      <c r="I678" t="s">
        <v>1664</v>
      </c>
      <c r="K678" t="str">
        <f t="shared" si="10"/>
        <v>COM_200202_P1T102026</v>
      </c>
    </row>
    <row r="679" spans="1:11">
      <c r="A679">
        <v>2027</v>
      </c>
      <c r="B679" t="s">
        <v>692</v>
      </c>
      <c r="C679" t="s">
        <v>2654</v>
      </c>
      <c r="D679" t="s">
        <v>2653</v>
      </c>
      <c r="E679" t="s">
        <v>2654</v>
      </c>
      <c r="F679" t="s">
        <v>2654</v>
      </c>
      <c r="G679" t="s">
        <v>2654</v>
      </c>
      <c r="H679" t="s">
        <v>2654</v>
      </c>
      <c r="I679" t="s">
        <v>1664</v>
      </c>
      <c r="K679" t="str">
        <f t="shared" si="10"/>
        <v>COM_200202_P1T102027</v>
      </c>
    </row>
    <row r="680" spans="1:11">
      <c r="A680">
        <v>2024</v>
      </c>
      <c r="B680" t="s">
        <v>351</v>
      </c>
      <c r="C680" t="s">
        <v>2654</v>
      </c>
      <c r="D680" t="s">
        <v>2653</v>
      </c>
      <c r="E680" t="s">
        <v>2654</v>
      </c>
      <c r="F680" t="s">
        <v>2654</v>
      </c>
      <c r="G680" t="s">
        <v>2654</v>
      </c>
      <c r="H680" t="s">
        <v>2654</v>
      </c>
      <c r="I680" t="s">
        <v>1728</v>
      </c>
      <c r="K680" t="str">
        <f t="shared" si="10"/>
        <v>RES_200401_P1T12024</v>
      </c>
    </row>
    <row r="681" spans="1:11">
      <c r="A681">
        <v>2025</v>
      </c>
      <c r="B681" t="s">
        <v>351</v>
      </c>
      <c r="C681" t="s">
        <v>2654</v>
      </c>
      <c r="D681" t="s">
        <v>2653</v>
      </c>
      <c r="E681" t="s">
        <v>2654</v>
      </c>
      <c r="F681" t="s">
        <v>2654</v>
      </c>
      <c r="G681" t="s">
        <v>2654</v>
      </c>
      <c r="H681" t="s">
        <v>2654</v>
      </c>
      <c r="I681" t="s">
        <v>1728</v>
      </c>
      <c r="K681" t="str">
        <f t="shared" si="10"/>
        <v>RES_200401_P1T12025</v>
      </c>
    </row>
    <row r="682" spans="1:11">
      <c r="A682">
        <v>2026</v>
      </c>
      <c r="B682" t="s">
        <v>351</v>
      </c>
      <c r="C682" t="s">
        <v>2654</v>
      </c>
      <c r="D682" t="s">
        <v>2653</v>
      </c>
      <c r="E682" t="s">
        <v>2654</v>
      </c>
      <c r="F682" t="s">
        <v>2654</v>
      </c>
      <c r="G682" t="s">
        <v>2654</v>
      </c>
      <c r="H682" t="s">
        <v>2654</v>
      </c>
      <c r="I682" t="s">
        <v>1728</v>
      </c>
      <c r="K682" t="str">
        <f t="shared" si="10"/>
        <v>RES_200401_P1T12026</v>
      </c>
    </row>
    <row r="683" spans="1:11">
      <c r="A683">
        <v>2027</v>
      </c>
      <c r="B683" t="s">
        <v>351</v>
      </c>
      <c r="C683" t="s">
        <v>2654</v>
      </c>
      <c r="D683" t="s">
        <v>2653</v>
      </c>
      <c r="E683" t="s">
        <v>2654</v>
      </c>
      <c r="F683" t="s">
        <v>2654</v>
      </c>
      <c r="G683" t="s">
        <v>2654</v>
      </c>
      <c r="H683" t="s">
        <v>2654</v>
      </c>
      <c r="I683" t="s">
        <v>1728</v>
      </c>
      <c r="K683" t="str">
        <f t="shared" si="10"/>
        <v>RES_200401_P1T12027</v>
      </c>
    </row>
    <row r="684" spans="1:11">
      <c r="A684">
        <v>2024</v>
      </c>
      <c r="B684" t="s">
        <v>352</v>
      </c>
      <c r="C684" t="s">
        <v>2654</v>
      </c>
      <c r="D684" t="s">
        <v>2653</v>
      </c>
      <c r="E684" t="s">
        <v>2654</v>
      </c>
      <c r="F684" t="s">
        <v>2654</v>
      </c>
      <c r="G684" t="s">
        <v>2654</v>
      </c>
      <c r="H684" t="s">
        <v>2654</v>
      </c>
      <c r="I684" t="s">
        <v>1729</v>
      </c>
      <c r="K684" t="str">
        <f t="shared" si="10"/>
        <v>RES_200401_P1T22024</v>
      </c>
    </row>
    <row r="685" spans="1:11">
      <c r="A685">
        <v>2025</v>
      </c>
      <c r="B685" t="s">
        <v>352</v>
      </c>
      <c r="C685" t="s">
        <v>2654</v>
      </c>
      <c r="D685" t="s">
        <v>2653</v>
      </c>
      <c r="E685" t="s">
        <v>2654</v>
      </c>
      <c r="F685" t="s">
        <v>2654</v>
      </c>
      <c r="G685" t="s">
        <v>2654</v>
      </c>
      <c r="H685" t="s">
        <v>2654</v>
      </c>
      <c r="I685" t="s">
        <v>1729</v>
      </c>
      <c r="K685" t="str">
        <f t="shared" si="10"/>
        <v>RES_200401_P1T22025</v>
      </c>
    </row>
    <row r="686" spans="1:11">
      <c r="A686">
        <v>2026</v>
      </c>
      <c r="B686" t="s">
        <v>352</v>
      </c>
      <c r="C686" t="s">
        <v>2654</v>
      </c>
      <c r="D686" t="s">
        <v>2653</v>
      </c>
      <c r="E686" t="s">
        <v>2654</v>
      </c>
      <c r="F686" t="s">
        <v>2654</v>
      </c>
      <c r="G686" t="s">
        <v>2654</v>
      </c>
      <c r="H686" t="s">
        <v>2654</v>
      </c>
      <c r="I686" t="s">
        <v>1729</v>
      </c>
      <c r="K686" t="str">
        <f t="shared" si="10"/>
        <v>RES_200401_P1T22026</v>
      </c>
    </row>
    <row r="687" spans="1:11">
      <c r="A687">
        <v>2027</v>
      </c>
      <c r="B687" t="s">
        <v>352</v>
      </c>
      <c r="C687" t="s">
        <v>2654</v>
      </c>
      <c r="D687" t="s">
        <v>2653</v>
      </c>
      <c r="E687" t="s">
        <v>2654</v>
      </c>
      <c r="F687" t="s">
        <v>2654</v>
      </c>
      <c r="G687" t="s">
        <v>2654</v>
      </c>
      <c r="H687" t="s">
        <v>2654</v>
      </c>
      <c r="I687" t="s">
        <v>1729</v>
      </c>
      <c r="K687" t="str">
        <f t="shared" si="10"/>
        <v>RES_200401_P1T22027</v>
      </c>
    </row>
    <row r="688" spans="1:11">
      <c r="A688">
        <v>2024</v>
      </c>
      <c r="B688" t="s">
        <v>353</v>
      </c>
      <c r="C688" t="s">
        <v>2654</v>
      </c>
      <c r="D688" t="s">
        <v>2653</v>
      </c>
      <c r="E688" t="s">
        <v>2654</v>
      </c>
      <c r="F688" t="s">
        <v>2654</v>
      </c>
      <c r="G688" t="s">
        <v>2654</v>
      </c>
      <c r="H688" t="s">
        <v>2654</v>
      </c>
      <c r="I688" t="s">
        <v>1730</v>
      </c>
      <c r="K688" t="str">
        <f t="shared" si="10"/>
        <v>RES_200401_P1T32024</v>
      </c>
    </row>
    <row r="689" spans="1:11">
      <c r="A689">
        <v>2025</v>
      </c>
      <c r="B689" t="s">
        <v>353</v>
      </c>
      <c r="C689" t="s">
        <v>2654</v>
      </c>
      <c r="D689" t="s">
        <v>2653</v>
      </c>
      <c r="E689" t="s">
        <v>2654</v>
      </c>
      <c r="F689" t="s">
        <v>2654</v>
      </c>
      <c r="G689" t="s">
        <v>2654</v>
      </c>
      <c r="H689" t="s">
        <v>2654</v>
      </c>
      <c r="I689" t="s">
        <v>1730</v>
      </c>
      <c r="K689" t="str">
        <f t="shared" si="10"/>
        <v>RES_200401_P1T32025</v>
      </c>
    </row>
    <row r="690" spans="1:11">
      <c r="A690">
        <v>2026</v>
      </c>
      <c r="B690" t="s">
        <v>353</v>
      </c>
      <c r="C690" t="s">
        <v>2654</v>
      </c>
      <c r="D690" t="s">
        <v>2653</v>
      </c>
      <c r="E690" t="s">
        <v>2654</v>
      </c>
      <c r="F690" t="s">
        <v>2654</v>
      </c>
      <c r="G690" t="s">
        <v>2654</v>
      </c>
      <c r="H690" t="s">
        <v>2654</v>
      </c>
      <c r="I690" t="s">
        <v>1730</v>
      </c>
      <c r="K690" t="str">
        <f t="shared" si="10"/>
        <v>RES_200401_P1T32026</v>
      </c>
    </row>
    <row r="691" spans="1:11">
      <c r="A691">
        <v>2027</v>
      </c>
      <c r="B691" t="s">
        <v>353</v>
      </c>
      <c r="C691" t="s">
        <v>2654</v>
      </c>
      <c r="D691" t="s">
        <v>2653</v>
      </c>
      <c r="E691" t="s">
        <v>2654</v>
      </c>
      <c r="F691" t="s">
        <v>2654</v>
      </c>
      <c r="G691" t="s">
        <v>2654</v>
      </c>
      <c r="H691" t="s">
        <v>2654</v>
      </c>
      <c r="I691" t="s">
        <v>1730</v>
      </c>
      <c r="K691" t="str">
        <f t="shared" si="10"/>
        <v>RES_200401_P1T32027</v>
      </c>
    </row>
    <row r="692" spans="1:11">
      <c r="A692">
        <v>2024</v>
      </c>
      <c r="B692" t="s">
        <v>372</v>
      </c>
      <c r="C692" t="s">
        <v>2654</v>
      </c>
      <c r="D692" t="s">
        <v>2653</v>
      </c>
      <c r="E692" t="s">
        <v>2654</v>
      </c>
      <c r="F692" t="s">
        <v>2654</v>
      </c>
      <c r="G692" t="s">
        <v>2654</v>
      </c>
      <c r="H692" t="s">
        <v>2654</v>
      </c>
      <c r="I692" t="s">
        <v>1748</v>
      </c>
      <c r="K692" t="str">
        <f t="shared" si="10"/>
        <v>RES_200601_P2T22024</v>
      </c>
    </row>
    <row r="693" spans="1:11">
      <c r="A693">
        <v>2025</v>
      </c>
      <c r="B693" t="s">
        <v>372</v>
      </c>
      <c r="C693" t="s">
        <v>2654</v>
      </c>
      <c r="D693" t="s">
        <v>2653</v>
      </c>
      <c r="E693" t="s">
        <v>2654</v>
      </c>
      <c r="F693" t="s">
        <v>2654</v>
      </c>
      <c r="G693" t="s">
        <v>2654</v>
      </c>
      <c r="H693" t="s">
        <v>2654</v>
      </c>
      <c r="I693" t="s">
        <v>1748</v>
      </c>
      <c r="K693" t="str">
        <f t="shared" si="10"/>
        <v>RES_200601_P2T22025</v>
      </c>
    </row>
    <row r="694" spans="1:11">
      <c r="A694">
        <v>2026</v>
      </c>
      <c r="B694" t="s">
        <v>372</v>
      </c>
      <c r="C694" t="s">
        <v>2654</v>
      </c>
      <c r="D694" t="s">
        <v>2653</v>
      </c>
      <c r="E694" t="s">
        <v>2654</v>
      </c>
      <c r="F694" t="s">
        <v>2654</v>
      </c>
      <c r="G694" t="s">
        <v>2654</v>
      </c>
      <c r="H694" t="s">
        <v>2654</v>
      </c>
      <c r="I694" t="s">
        <v>1748</v>
      </c>
      <c r="K694" t="str">
        <f t="shared" si="10"/>
        <v>RES_200601_P2T22026</v>
      </c>
    </row>
    <row r="695" spans="1:11">
      <c r="A695">
        <v>2027</v>
      </c>
      <c r="B695" t="s">
        <v>372</v>
      </c>
      <c r="C695" t="s">
        <v>2654</v>
      </c>
      <c r="D695" t="s">
        <v>2653</v>
      </c>
      <c r="E695" t="s">
        <v>2654</v>
      </c>
      <c r="F695" t="s">
        <v>2654</v>
      </c>
      <c r="G695" t="s">
        <v>2654</v>
      </c>
      <c r="H695" t="s">
        <v>2654</v>
      </c>
      <c r="I695" t="s">
        <v>1748</v>
      </c>
      <c r="K695" t="str">
        <f t="shared" si="10"/>
        <v>RES_200601_P2T22027</v>
      </c>
    </row>
    <row r="696" spans="1:11">
      <c r="A696">
        <v>2024</v>
      </c>
      <c r="B696" t="s">
        <v>373</v>
      </c>
      <c r="C696" t="s">
        <v>2654</v>
      </c>
      <c r="D696" t="s">
        <v>2653</v>
      </c>
      <c r="E696" t="s">
        <v>2654</v>
      </c>
      <c r="F696" t="s">
        <v>2654</v>
      </c>
      <c r="G696" t="s">
        <v>2654</v>
      </c>
      <c r="H696" t="s">
        <v>2654</v>
      </c>
      <c r="I696" t="s">
        <v>1749</v>
      </c>
      <c r="K696" t="str">
        <f t="shared" si="10"/>
        <v>RES_200601_P2T32024</v>
      </c>
    </row>
    <row r="697" spans="1:11">
      <c r="A697">
        <v>2025</v>
      </c>
      <c r="B697" t="s">
        <v>373</v>
      </c>
      <c r="C697" t="s">
        <v>2654</v>
      </c>
      <c r="D697" t="s">
        <v>2653</v>
      </c>
      <c r="E697" t="s">
        <v>2654</v>
      </c>
      <c r="F697" t="s">
        <v>2654</v>
      </c>
      <c r="G697" t="s">
        <v>2654</v>
      </c>
      <c r="H697" t="s">
        <v>2654</v>
      </c>
      <c r="I697" t="s">
        <v>1749</v>
      </c>
      <c r="K697" t="str">
        <f t="shared" si="10"/>
        <v>RES_200601_P2T32025</v>
      </c>
    </row>
    <row r="698" spans="1:11">
      <c r="A698">
        <v>2026</v>
      </c>
      <c r="B698" t="s">
        <v>373</v>
      </c>
      <c r="C698" t="s">
        <v>2654</v>
      </c>
      <c r="D698" t="s">
        <v>2653</v>
      </c>
      <c r="E698" t="s">
        <v>2654</v>
      </c>
      <c r="F698" t="s">
        <v>2654</v>
      </c>
      <c r="G698" t="s">
        <v>2654</v>
      </c>
      <c r="H698" t="s">
        <v>2654</v>
      </c>
      <c r="I698" t="s">
        <v>1749</v>
      </c>
      <c r="K698" t="str">
        <f t="shared" si="10"/>
        <v>RES_200601_P2T32026</v>
      </c>
    </row>
    <row r="699" spans="1:11">
      <c r="A699">
        <v>2027</v>
      </c>
      <c r="B699" t="s">
        <v>373</v>
      </c>
      <c r="C699" t="s">
        <v>2654</v>
      </c>
      <c r="D699" t="s">
        <v>2653</v>
      </c>
      <c r="E699" t="s">
        <v>2654</v>
      </c>
      <c r="F699" t="s">
        <v>2654</v>
      </c>
      <c r="G699" t="s">
        <v>2654</v>
      </c>
      <c r="H699" t="s">
        <v>2654</v>
      </c>
      <c r="I699" t="s">
        <v>1749</v>
      </c>
      <c r="K699" t="str">
        <f t="shared" si="10"/>
        <v>RES_200601_P2T32027</v>
      </c>
    </row>
    <row r="700" spans="1:11">
      <c r="A700">
        <v>2024</v>
      </c>
      <c r="B700" t="s">
        <v>868</v>
      </c>
      <c r="C700" t="s">
        <v>2654</v>
      </c>
      <c r="D700" t="s">
        <v>2653</v>
      </c>
      <c r="E700" t="s">
        <v>2654</v>
      </c>
      <c r="F700" t="s">
        <v>2654</v>
      </c>
      <c r="G700" t="s">
        <v>2654</v>
      </c>
      <c r="H700" t="s">
        <v>2654</v>
      </c>
      <c r="I700" t="s">
        <v>1176</v>
      </c>
      <c r="K700" t="str">
        <f t="shared" si="10"/>
        <v>RES_200601_P2T42024</v>
      </c>
    </row>
    <row r="701" spans="1:11">
      <c r="A701">
        <v>2025</v>
      </c>
      <c r="B701" t="s">
        <v>868</v>
      </c>
      <c r="C701" t="s">
        <v>2654</v>
      </c>
      <c r="D701" t="s">
        <v>2653</v>
      </c>
      <c r="E701" t="s">
        <v>2654</v>
      </c>
      <c r="F701" t="s">
        <v>2654</v>
      </c>
      <c r="G701" t="s">
        <v>2654</v>
      </c>
      <c r="H701" t="s">
        <v>2654</v>
      </c>
      <c r="I701" t="s">
        <v>1176</v>
      </c>
      <c r="K701" t="str">
        <f t="shared" si="10"/>
        <v>RES_200601_P2T42025</v>
      </c>
    </row>
    <row r="702" spans="1:11">
      <c r="A702">
        <v>2026</v>
      </c>
      <c r="B702" t="s">
        <v>868</v>
      </c>
      <c r="C702" t="s">
        <v>2654</v>
      </c>
      <c r="D702" t="s">
        <v>2653</v>
      </c>
      <c r="E702" t="s">
        <v>2654</v>
      </c>
      <c r="F702" t="s">
        <v>2654</v>
      </c>
      <c r="G702" t="s">
        <v>2654</v>
      </c>
      <c r="H702" t="s">
        <v>2654</v>
      </c>
      <c r="I702" t="s">
        <v>1176</v>
      </c>
      <c r="K702" t="str">
        <f t="shared" si="10"/>
        <v>RES_200601_P2T42026</v>
      </c>
    </row>
    <row r="703" spans="1:11">
      <c r="A703">
        <v>2027</v>
      </c>
      <c r="B703" t="s">
        <v>868</v>
      </c>
      <c r="C703" t="s">
        <v>2654</v>
      </c>
      <c r="D703" t="s">
        <v>2653</v>
      </c>
      <c r="E703" t="s">
        <v>2654</v>
      </c>
      <c r="F703" t="s">
        <v>2654</v>
      </c>
      <c r="G703" t="s">
        <v>2654</v>
      </c>
      <c r="H703" t="s">
        <v>2654</v>
      </c>
      <c r="I703" t="s">
        <v>1176</v>
      </c>
      <c r="K703" t="str">
        <f t="shared" si="10"/>
        <v>RES_200601_P2T42027</v>
      </c>
    </row>
    <row r="704" spans="1:11">
      <c r="A704">
        <v>2024</v>
      </c>
      <c r="B704" t="s">
        <v>19</v>
      </c>
      <c r="C704" t="s">
        <v>2654</v>
      </c>
      <c r="D704" t="s">
        <v>2653</v>
      </c>
      <c r="E704" t="s">
        <v>2654</v>
      </c>
      <c r="F704" t="s">
        <v>2654</v>
      </c>
      <c r="G704" t="s">
        <v>2654</v>
      </c>
      <c r="H704" t="s">
        <v>2654</v>
      </c>
      <c r="I704" t="s">
        <v>1156</v>
      </c>
      <c r="K704" t="str">
        <f t="shared" si="10"/>
        <v>COM_200202_P2T42024</v>
      </c>
    </row>
    <row r="705" spans="1:11">
      <c r="A705">
        <v>2025</v>
      </c>
      <c r="B705" t="s">
        <v>19</v>
      </c>
      <c r="C705" t="s">
        <v>2654</v>
      </c>
      <c r="D705" t="s">
        <v>2653</v>
      </c>
      <c r="E705" t="s">
        <v>2654</v>
      </c>
      <c r="F705" t="s">
        <v>2654</v>
      </c>
      <c r="G705" t="s">
        <v>2654</v>
      </c>
      <c r="H705" t="s">
        <v>2654</v>
      </c>
      <c r="I705" t="s">
        <v>1156</v>
      </c>
      <c r="K705" t="str">
        <f t="shared" si="10"/>
        <v>COM_200202_P2T42025</v>
      </c>
    </row>
    <row r="706" spans="1:11">
      <c r="A706">
        <v>2026</v>
      </c>
      <c r="B706" t="s">
        <v>19</v>
      </c>
      <c r="C706" t="s">
        <v>2654</v>
      </c>
      <c r="D706" t="s">
        <v>2653</v>
      </c>
      <c r="E706" t="s">
        <v>2654</v>
      </c>
      <c r="F706" t="s">
        <v>2654</v>
      </c>
      <c r="G706" t="s">
        <v>2654</v>
      </c>
      <c r="H706" t="s">
        <v>2654</v>
      </c>
      <c r="I706" t="s">
        <v>1156</v>
      </c>
      <c r="K706" t="str">
        <f t="shared" si="10"/>
        <v>COM_200202_P2T42026</v>
      </c>
    </row>
    <row r="707" spans="1:11">
      <c r="A707">
        <v>2027</v>
      </c>
      <c r="B707" t="s">
        <v>19</v>
      </c>
      <c r="C707" t="s">
        <v>2654</v>
      </c>
      <c r="D707" t="s">
        <v>2653</v>
      </c>
      <c r="E707" t="s">
        <v>2654</v>
      </c>
      <c r="F707" t="s">
        <v>2654</v>
      </c>
      <c r="G707" t="s">
        <v>2654</v>
      </c>
      <c r="H707" t="s">
        <v>2654</v>
      </c>
      <c r="I707" t="s">
        <v>1156</v>
      </c>
      <c r="K707" t="str">
        <f t="shared" ref="K707:K770" si="11">B707&amp;A707</f>
        <v>COM_200202_P2T42027</v>
      </c>
    </row>
    <row r="708" spans="1:11">
      <c r="A708">
        <v>2024</v>
      </c>
      <c r="B708" t="s">
        <v>71</v>
      </c>
      <c r="C708" t="s">
        <v>2654</v>
      </c>
      <c r="D708" t="s">
        <v>2653</v>
      </c>
      <c r="E708" t="s">
        <v>2654</v>
      </c>
      <c r="F708" t="s">
        <v>2654</v>
      </c>
      <c r="G708" t="s">
        <v>2654</v>
      </c>
      <c r="H708" t="s">
        <v>2654</v>
      </c>
      <c r="I708" t="s">
        <v>2417</v>
      </c>
      <c r="K708" t="str">
        <f t="shared" si="11"/>
        <v>RES_200601_P2T52024</v>
      </c>
    </row>
    <row r="709" spans="1:11">
      <c r="A709">
        <v>2025</v>
      </c>
      <c r="B709" t="s">
        <v>71</v>
      </c>
      <c r="C709" t="s">
        <v>2654</v>
      </c>
      <c r="D709" t="s">
        <v>2653</v>
      </c>
      <c r="E709" t="s">
        <v>2654</v>
      </c>
      <c r="F709" t="s">
        <v>2654</v>
      </c>
      <c r="G709" t="s">
        <v>2654</v>
      </c>
      <c r="H709" t="s">
        <v>2654</v>
      </c>
      <c r="I709" t="s">
        <v>2417</v>
      </c>
      <c r="K709" t="str">
        <f t="shared" si="11"/>
        <v>RES_200601_P2T52025</v>
      </c>
    </row>
    <row r="710" spans="1:11">
      <c r="A710">
        <v>2026</v>
      </c>
      <c r="B710" t="s">
        <v>71</v>
      </c>
      <c r="C710" t="s">
        <v>2654</v>
      </c>
      <c r="D710" t="s">
        <v>2653</v>
      </c>
      <c r="E710" t="s">
        <v>2654</v>
      </c>
      <c r="F710" t="s">
        <v>2654</v>
      </c>
      <c r="G710" t="s">
        <v>2654</v>
      </c>
      <c r="H710" t="s">
        <v>2654</v>
      </c>
      <c r="I710" t="s">
        <v>2417</v>
      </c>
      <c r="K710" t="str">
        <f t="shared" si="11"/>
        <v>RES_200601_P2T52026</v>
      </c>
    </row>
    <row r="711" spans="1:11">
      <c r="A711">
        <v>2027</v>
      </c>
      <c r="B711" t="s">
        <v>71</v>
      </c>
      <c r="C711" t="s">
        <v>2654</v>
      </c>
      <c r="D711" t="s">
        <v>2653</v>
      </c>
      <c r="E711" t="s">
        <v>2654</v>
      </c>
      <c r="F711" t="s">
        <v>2654</v>
      </c>
      <c r="G711" t="s">
        <v>2654</v>
      </c>
      <c r="H711" t="s">
        <v>2654</v>
      </c>
      <c r="I711" t="s">
        <v>2417</v>
      </c>
      <c r="K711" t="str">
        <f t="shared" si="11"/>
        <v>RES_200601_P2T52027</v>
      </c>
    </row>
    <row r="712" spans="1:11">
      <c r="A712">
        <v>2024</v>
      </c>
      <c r="B712" t="s">
        <v>885</v>
      </c>
      <c r="C712" t="s">
        <v>2654</v>
      </c>
      <c r="D712" t="s">
        <v>2653</v>
      </c>
      <c r="E712" t="s">
        <v>2654</v>
      </c>
      <c r="F712" t="s">
        <v>2654</v>
      </c>
      <c r="G712" t="s">
        <v>2654</v>
      </c>
      <c r="H712" t="s">
        <v>2654</v>
      </c>
      <c r="I712" t="s">
        <v>1674</v>
      </c>
      <c r="K712" t="str">
        <f t="shared" si="11"/>
        <v>COM_200202_P2T52024</v>
      </c>
    </row>
    <row r="713" spans="1:11">
      <c r="A713">
        <v>2025</v>
      </c>
      <c r="B713" t="s">
        <v>885</v>
      </c>
      <c r="C713" t="s">
        <v>2654</v>
      </c>
      <c r="D713" t="s">
        <v>2653</v>
      </c>
      <c r="E713" t="s">
        <v>2654</v>
      </c>
      <c r="F713" t="s">
        <v>2654</v>
      </c>
      <c r="G713" t="s">
        <v>2654</v>
      </c>
      <c r="H713" t="s">
        <v>2654</v>
      </c>
      <c r="I713" t="s">
        <v>1674</v>
      </c>
      <c r="K713" t="str">
        <f t="shared" si="11"/>
        <v>COM_200202_P2T52025</v>
      </c>
    </row>
    <row r="714" spans="1:11">
      <c r="A714">
        <v>2026</v>
      </c>
      <c r="B714" t="s">
        <v>885</v>
      </c>
      <c r="C714" t="s">
        <v>2654</v>
      </c>
      <c r="D714" t="s">
        <v>2653</v>
      </c>
      <c r="E714" t="s">
        <v>2654</v>
      </c>
      <c r="F714" t="s">
        <v>2654</v>
      </c>
      <c r="G714" t="s">
        <v>2654</v>
      </c>
      <c r="H714" t="s">
        <v>2654</v>
      </c>
      <c r="I714" t="s">
        <v>1674</v>
      </c>
      <c r="K714" t="str">
        <f t="shared" si="11"/>
        <v>COM_200202_P2T52026</v>
      </c>
    </row>
    <row r="715" spans="1:11">
      <c r="A715">
        <v>2027</v>
      </c>
      <c r="B715" t="s">
        <v>885</v>
      </c>
      <c r="C715" t="s">
        <v>2654</v>
      </c>
      <c r="D715" t="s">
        <v>2653</v>
      </c>
      <c r="E715" t="s">
        <v>2654</v>
      </c>
      <c r="F715" t="s">
        <v>2654</v>
      </c>
      <c r="G715" t="s">
        <v>2654</v>
      </c>
      <c r="H715" t="s">
        <v>2654</v>
      </c>
      <c r="I715" t="s">
        <v>1674</v>
      </c>
      <c r="K715" t="str">
        <f t="shared" si="11"/>
        <v>COM_200202_P2T52027</v>
      </c>
    </row>
    <row r="716" spans="1:11">
      <c r="A716">
        <v>2024</v>
      </c>
      <c r="B716" t="s">
        <v>967</v>
      </c>
      <c r="C716" t="s">
        <v>2654</v>
      </c>
      <c r="D716" t="s">
        <v>2653</v>
      </c>
      <c r="E716" t="s">
        <v>2654</v>
      </c>
      <c r="F716" t="s">
        <v>2654</v>
      </c>
      <c r="G716" t="s">
        <v>2654</v>
      </c>
      <c r="H716" t="s">
        <v>2654</v>
      </c>
      <c r="I716" t="s">
        <v>2097</v>
      </c>
      <c r="K716" t="str">
        <f t="shared" si="11"/>
        <v>RES_200601_P2T62024</v>
      </c>
    </row>
    <row r="717" spans="1:11">
      <c r="A717">
        <v>2025</v>
      </c>
      <c r="B717" t="s">
        <v>967</v>
      </c>
      <c r="C717" t="s">
        <v>2654</v>
      </c>
      <c r="D717" t="s">
        <v>2653</v>
      </c>
      <c r="E717" t="s">
        <v>2654</v>
      </c>
      <c r="F717" t="s">
        <v>2654</v>
      </c>
      <c r="G717" t="s">
        <v>2654</v>
      </c>
      <c r="H717" t="s">
        <v>2654</v>
      </c>
      <c r="I717" t="s">
        <v>2097</v>
      </c>
      <c r="K717" t="str">
        <f t="shared" si="11"/>
        <v>RES_200601_P2T62025</v>
      </c>
    </row>
    <row r="718" spans="1:11">
      <c r="A718">
        <v>2026</v>
      </c>
      <c r="B718" t="s">
        <v>967</v>
      </c>
      <c r="C718" t="s">
        <v>2654</v>
      </c>
      <c r="D718" t="s">
        <v>2653</v>
      </c>
      <c r="E718" t="s">
        <v>2654</v>
      </c>
      <c r="F718" t="s">
        <v>2654</v>
      </c>
      <c r="G718" t="s">
        <v>2654</v>
      </c>
      <c r="H718" t="s">
        <v>2654</v>
      </c>
      <c r="I718" t="s">
        <v>2097</v>
      </c>
      <c r="K718" t="str">
        <f t="shared" si="11"/>
        <v>RES_200601_P2T62026</v>
      </c>
    </row>
    <row r="719" spans="1:11">
      <c r="A719">
        <v>2027</v>
      </c>
      <c r="B719" t="s">
        <v>967</v>
      </c>
      <c r="C719" t="s">
        <v>2654</v>
      </c>
      <c r="D719" t="s">
        <v>2653</v>
      </c>
      <c r="E719" t="s">
        <v>2654</v>
      </c>
      <c r="F719" t="s">
        <v>2654</v>
      </c>
      <c r="G719" t="s">
        <v>2654</v>
      </c>
      <c r="H719" t="s">
        <v>2654</v>
      </c>
      <c r="I719" t="s">
        <v>2097</v>
      </c>
      <c r="K719" t="str">
        <f t="shared" si="11"/>
        <v>RES_200601_P2T62027</v>
      </c>
    </row>
    <row r="720" spans="1:11">
      <c r="A720">
        <v>2024</v>
      </c>
      <c r="B720" t="s">
        <v>698</v>
      </c>
      <c r="C720" t="s">
        <v>2654</v>
      </c>
      <c r="D720" t="s">
        <v>2653</v>
      </c>
      <c r="E720" t="s">
        <v>2654</v>
      </c>
      <c r="F720" t="s">
        <v>2654</v>
      </c>
      <c r="G720" t="s">
        <v>2654</v>
      </c>
      <c r="H720" t="s">
        <v>2654</v>
      </c>
      <c r="I720" t="s">
        <v>1675</v>
      </c>
      <c r="K720" t="str">
        <f t="shared" si="11"/>
        <v>COM_200202_P2T62024</v>
      </c>
    </row>
    <row r="721" spans="1:11">
      <c r="A721">
        <v>2025</v>
      </c>
      <c r="B721" t="s">
        <v>698</v>
      </c>
      <c r="C721" t="s">
        <v>2654</v>
      </c>
      <c r="D721" t="s">
        <v>2653</v>
      </c>
      <c r="E721" t="s">
        <v>2654</v>
      </c>
      <c r="F721" t="s">
        <v>2654</v>
      </c>
      <c r="G721" t="s">
        <v>2654</v>
      </c>
      <c r="H721" t="s">
        <v>2654</v>
      </c>
      <c r="I721" t="s">
        <v>1675</v>
      </c>
      <c r="K721" t="str">
        <f t="shared" si="11"/>
        <v>COM_200202_P2T62025</v>
      </c>
    </row>
    <row r="722" spans="1:11">
      <c r="A722">
        <v>2026</v>
      </c>
      <c r="B722" t="s">
        <v>698</v>
      </c>
      <c r="C722" t="s">
        <v>2654</v>
      </c>
      <c r="D722" t="s">
        <v>2653</v>
      </c>
      <c r="E722" t="s">
        <v>2654</v>
      </c>
      <c r="F722" t="s">
        <v>2654</v>
      </c>
      <c r="G722" t="s">
        <v>2654</v>
      </c>
      <c r="H722" t="s">
        <v>2654</v>
      </c>
      <c r="I722" t="s">
        <v>1675</v>
      </c>
      <c r="K722" t="str">
        <f t="shared" si="11"/>
        <v>COM_200202_P2T62026</v>
      </c>
    </row>
    <row r="723" spans="1:11">
      <c r="A723">
        <v>2027</v>
      </c>
      <c r="B723" t="s">
        <v>698</v>
      </c>
      <c r="C723" t="s">
        <v>2654</v>
      </c>
      <c r="D723" t="s">
        <v>2653</v>
      </c>
      <c r="E723" t="s">
        <v>2654</v>
      </c>
      <c r="F723" t="s">
        <v>2654</v>
      </c>
      <c r="G723" t="s">
        <v>2654</v>
      </c>
      <c r="H723" t="s">
        <v>2654</v>
      </c>
      <c r="I723" t="s">
        <v>1675</v>
      </c>
      <c r="K723" t="str">
        <f t="shared" si="11"/>
        <v>COM_200202_P2T62027</v>
      </c>
    </row>
    <row r="724" spans="1:11">
      <c r="A724">
        <v>2024</v>
      </c>
      <c r="B724" t="s">
        <v>699</v>
      </c>
      <c r="C724" t="s">
        <v>2654</v>
      </c>
      <c r="D724" t="s">
        <v>2653</v>
      </c>
      <c r="E724" t="s">
        <v>2654</v>
      </c>
      <c r="F724" t="s">
        <v>2654</v>
      </c>
      <c r="G724" t="s">
        <v>2654</v>
      </c>
      <c r="H724" t="s">
        <v>2654</v>
      </c>
      <c r="I724" t="s">
        <v>1676</v>
      </c>
      <c r="K724" t="str">
        <f t="shared" si="11"/>
        <v>COM_200202_P2T72024</v>
      </c>
    </row>
    <row r="725" spans="1:11">
      <c r="A725">
        <v>2025</v>
      </c>
      <c r="B725" t="s">
        <v>699</v>
      </c>
      <c r="C725" t="s">
        <v>2654</v>
      </c>
      <c r="D725" t="s">
        <v>2653</v>
      </c>
      <c r="E725" t="s">
        <v>2654</v>
      </c>
      <c r="F725" t="s">
        <v>2654</v>
      </c>
      <c r="G725" t="s">
        <v>2654</v>
      </c>
      <c r="H725" t="s">
        <v>2654</v>
      </c>
      <c r="I725" t="s">
        <v>1676</v>
      </c>
      <c r="K725" t="str">
        <f t="shared" si="11"/>
        <v>COM_200202_P2T72025</v>
      </c>
    </row>
    <row r="726" spans="1:11">
      <c r="A726">
        <v>2026</v>
      </c>
      <c r="B726" t="s">
        <v>699</v>
      </c>
      <c r="C726" t="s">
        <v>2654</v>
      </c>
      <c r="D726" t="s">
        <v>2653</v>
      </c>
      <c r="E726" t="s">
        <v>2654</v>
      </c>
      <c r="F726" t="s">
        <v>2654</v>
      </c>
      <c r="G726" t="s">
        <v>2654</v>
      </c>
      <c r="H726" t="s">
        <v>2654</v>
      </c>
      <c r="I726" t="s">
        <v>1676</v>
      </c>
      <c r="K726" t="str">
        <f t="shared" si="11"/>
        <v>COM_200202_P2T72026</v>
      </c>
    </row>
    <row r="727" spans="1:11">
      <c r="A727">
        <v>2027</v>
      </c>
      <c r="B727" t="s">
        <v>699</v>
      </c>
      <c r="C727" t="s">
        <v>2654</v>
      </c>
      <c r="D727" t="s">
        <v>2653</v>
      </c>
      <c r="E727" t="s">
        <v>2654</v>
      </c>
      <c r="F727" t="s">
        <v>2654</v>
      </c>
      <c r="G727" t="s">
        <v>2654</v>
      </c>
      <c r="H727" t="s">
        <v>2654</v>
      </c>
      <c r="I727" t="s">
        <v>1676</v>
      </c>
      <c r="K727" t="str">
        <f t="shared" si="11"/>
        <v>COM_200202_P2T72027</v>
      </c>
    </row>
    <row r="728" spans="1:11">
      <c r="A728">
        <v>2024</v>
      </c>
      <c r="B728" t="s">
        <v>700</v>
      </c>
      <c r="C728" t="s">
        <v>2654</v>
      </c>
      <c r="D728" t="s">
        <v>2653</v>
      </c>
      <c r="E728" t="s">
        <v>2654</v>
      </c>
      <c r="F728" t="s">
        <v>2654</v>
      </c>
      <c r="G728" t="s">
        <v>2654</v>
      </c>
      <c r="H728" t="s">
        <v>2654</v>
      </c>
      <c r="I728" t="s">
        <v>1677</v>
      </c>
      <c r="K728" t="str">
        <f t="shared" si="11"/>
        <v>COM_200202_P2T82024</v>
      </c>
    </row>
    <row r="729" spans="1:11">
      <c r="A729">
        <v>2025</v>
      </c>
      <c r="B729" t="s">
        <v>700</v>
      </c>
      <c r="C729" t="s">
        <v>2654</v>
      </c>
      <c r="D729" t="s">
        <v>2653</v>
      </c>
      <c r="E729" t="s">
        <v>2654</v>
      </c>
      <c r="F729" t="s">
        <v>2654</v>
      </c>
      <c r="G729" t="s">
        <v>2654</v>
      </c>
      <c r="H729" t="s">
        <v>2654</v>
      </c>
      <c r="I729" t="s">
        <v>1677</v>
      </c>
      <c r="K729" t="str">
        <f t="shared" si="11"/>
        <v>COM_200202_P2T82025</v>
      </c>
    </row>
    <row r="730" spans="1:11">
      <c r="A730">
        <v>2026</v>
      </c>
      <c r="B730" t="s">
        <v>700</v>
      </c>
      <c r="C730" t="s">
        <v>2654</v>
      </c>
      <c r="D730" t="s">
        <v>2653</v>
      </c>
      <c r="E730" t="s">
        <v>2654</v>
      </c>
      <c r="F730" t="s">
        <v>2654</v>
      </c>
      <c r="G730" t="s">
        <v>2654</v>
      </c>
      <c r="H730" t="s">
        <v>2654</v>
      </c>
      <c r="I730" t="s">
        <v>1677</v>
      </c>
      <c r="K730" t="str">
        <f t="shared" si="11"/>
        <v>COM_200202_P2T82026</v>
      </c>
    </row>
    <row r="731" spans="1:11">
      <c r="A731">
        <v>2027</v>
      </c>
      <c r="B731" t="s">
        <v>700</v>
      </c>
      <c r="C731" t="s">
        <v>2654</v>
      </c>
      <c r="D731" t="s">
        <v>2653</v>
      </c>
      <c r="E731" t="s">
        <v>2654</v>
      </c>
      <c r="F731" t="s">
        <v>2654</v>
      </c>
      <c r="G731" t="s">
        <v>2654</v>
      </c>
      <c r="H731" t="s">
        <v>2654</v>
      </c>
      <c r="I731" t="s">
        <v>1677</v>
      </c>
      <c r="K731" t="str">
        <f t="shared" si="11"/>
        <v>COM_200202_P2T82027</v>
      </c>
    </row>
    <row r="732" spans="1:11">
      <c r="A732">
        <v>2024</v>
      </c>
      <c r="B732" t="s">
        <v>364</v>
      </c>
      <c r="C732" t="s">
        <v>2654</v>
      </c>
      <c r="D732" t="s">
        <v>2653</v>
      </c>
      <c r="E732" t="s">
        <v>2654</v>
      </c>
      <c r="F732" t="s">
        <v>2654</v>
      </c>
      <c r="G732" t="s">
        <v>2654</v>
      </c>
      <c r="H732" t="s">
        <v>2654</v>
      </c>
      <c r="I732" t="s">
        <v>1731</v>
      </c>
      <c r="K732" t="str">
        <f t="shared" si="11"/>
        <v>RES_200401_P2T12024</v>
      </c>
    </row>
    <row r="733" spans="1:11">
      <c r="A733">
        <v>2025</v>
      </c>
      <c r="B733" t="s">
        <v>364</v>
      </c>
      <c r="C733" t="s">
        <v>2654</v>
      </c>
      <c r="D733" t="s">
        <v>2653</v>
      </c>
      <c r="E733" t="s">
        <v>2654</v>
      </c>
      <c r="F733" t="s">
        <v>2654</v>
      </c>
      <c r="G733" t="s">
        <v>2654</v>
      </c>
      <c r="H733" t="s">
        <v>2654</v>
      </c>
      <c r="I733" t="s">
        <v>1731</v>
      </c>
      <c r="K733" t="str">
        <f t="shared" si="11"/>
        <v>RES_200401_P2T12025</v>
      </c>
    </row>
    <row r="734" spans="1:11">
      <c r="A734">
        <v>2026</v>
      </c>
      <c r="B734" t="s">
        <v>364</v>
      </c>
      <c r="C734" t="s">
        <v>2654</v>
      </c>
      <c r="D734" t="s">
        <v>2653</v>
      </c>
      <c r="E734" t="s">
        <v>2654</v>
      </c>
      <c r="F734" t="s">
        <v>2654</v>
      </c>
      <c r="G734" t="s">
        <v>2654</v>
      </c>
      <c r="H734" t="s">
        <v>2654</v>
      </c>
      <c r="I734" t="s">
        <v>1731</v>
      </c>
      <c r="K734" t="str">
        <f t="shared" si="11"/>
        <v>RES_200401_P2T12026</v>
      </c>
    </row>
    <row r="735" spans="1:11">
      <c r="A735">
        <v>2027</v>
      </c>
      <c r="B735" t="s">
        <v>364</v>
      </c>
      <c r="C735" t="s">
        <v>2654</v>
      </c>
      <c r="D735" t="s">
        <v>2653</v>
      </c>
      <c r="E735" t="s">
        <v>2654</v>
      </c>
      <c r="F735" t="s">
        <v>2654</v>
      </c>
      <c r="G735" t="s">
        <v>2654</v>
      </c>
      <c r="H735" t="s">
        <v>2654</v>
      </c>
      <c r="I735" t="s">
        <v>1731</v>
      </c>
      <c r="K735" t="str">
        <f t="shared" si="11"/>
        <v>RES_200401_P2T12027</v>
      </c>
    </row>
    <row r="736" spans="1:11">
      <c r="A736">
        <v>2025</v>
      </c>
      <c r="B736" t="s">
        <v>365</v>
      </c>
      <c r="C736" t="s">
        <v>2654</v>
      </c>
      <c r="D736" t="s">
        <v>2653</v>
      </c>
      <c r="E736" t="s">
        <v>2654</v>
      </c>
      <c r="F736" t="s">
        <v>2654</v>
      </c>
      <c r="G736" t="s">
        <v>2654</v>
      </c>
      <c r="H736" t="s">
        <v>2654</v>
      </c>
      <c r="I736" t="s">
        <v>1732</v>
      </c>
      <c r="K736" t="str">
        <f t="shared" si="11"/>
        <v>RES_200401_P2T22025</v>
      </c>
    </row>
    <row r="737" spans="1:11">
      <c r="A737">
        <v>2024</v>
      </c>
      <c r="B737" t="s">
        <v>365</v>
      </c>
      <c r="C737" t="s">
        <v>2654</v>
      </c>
      <c r="D737" t="s">
        <v>2653</v>
      </c>
      <c r="E737" t="s">
        <v>2654</v>
      </c>
      <c r="F737" t="s">
        <v>2654</v>
      </c>
      <c r="G737" t="s">
        <v>2654</v>
      </c>
      <c r="H737" t="s">
        <v>2654</v>
      </c>
      <c r="I737" t="s">
        <v>1732</v>
      </c>
      <c r="K737" t="str">
        <f t="shared" si="11"/>
        <v>RES_200401_P2T22024</v>
      </c>
    </row>
    <row r="738" spans="1:11">
      <c r="A738">
        <v>2026</v>
      </c>
      <c r="B738" t="s">
        <v>365</v>
      </c>
      <c r="C738" t="s">
        <v>2654</v>
      </c>
      <c r="D738" t="s">
        <v>2653</v>
      </c>
      <c r="E738" t="s">
        <v>2654</v>
      </c>
      <c r="F738" t="s">
        <v>2654</v>
      </c>
      <c r="G738" t="s">
        <v>2654</v>
      </c>
      <c r="H738" t="s">
        <v>2654</v>
      </c>
      <c r="I738" t="s">
        <v>1732</v>
      </c>
      <c r="K738" t="str">
        <f t="shared" si="11"/>
        <v>RES_200401_P2T22026</v>
      </c>
    </row>
    <row r="739" spans="1:11">
      <c r="A739">
        <v>2027</v>
      </c>
      <c r="B739" t="s">
        <v>365</v>
      </c>
      <c r="C739" t="s">
        <v>2654</v>
      </c>
      <c r="D739" t="s">
        <v>2653</v>
      </c>
      <c r="E739" t="s">
        <v>2654</v>
      </c>
      <c r="F739" t="s">
        <v>2654</v>
      </c>
      <c r="G739" t="s">
        <v>2654</v>
      </c>
      <c r="H739" t="s">
        <v>2654</v>
      </c>
      <c r="I739" t="s">
        <v>1732</v>
      </c>
      <c r="K739" t="str">
        <f t="shared" si="11"/>
        <v>RES_200401_P2T22027</v>
      </c>
    </row>
    <row r="740" spans="1:11">
      <c r="A740">
        <v>2025</v>
      </c>
      <c r="B740" t="s">
        <v>366</v>
      </c>
      <c r="C740" t="s">
        <v>2654</v>
      </c>
      <c r="D740" t="s">
        <v>2653</v>
      </c>
      <c r="E740" t="s">
        <v>2654</v>
      </c>
      <c r="F740" t="s">
        <v>2654</v>
      </c>
      <c r="G740" t="s">
        <v>2654</v>
      </c>
      <c r="H740" t="s">
        <v>2654</v>
      </c>
      <c r="I740" t="s">
        <v>1733</v>
      </c>
      <c r="K740" t="str">
        <f t="shared" si="11"/>
        <v>RES_200401_P2T32025</v>
      </c>
    </row>
    <row r="741" spans="1:11">
      <c r="A741">
        <v>2026</v>
      </c>
      <c r="B741" t="s">
        <v>366</v>
      </c>
      <c r="C741" t="s">
        <v>2654</v>
      </c>
      <c r="D741" t="s">
        <v>2653</v>
      </c>
      <c r="E741" t="s">
        <v>2654</v>
      </c>
      <c r="F741" t="s">
        <v>2654</v>
      </c>
      <c r="G741" t="s">
        <v>2654</v>
      </c>
      <c r="H741" t="s">
        <v>2654</v>
      </c>
      <c r="I741" t="s">
        <v>1733</v>
      </c>
      <c r="K741" t="str">
        <f t="shared" si="11"/>
        <v>RES_200401_P2T32026</v>
      </c>
    </row>
    <row r="742" spans="1:11">
      <c r="A742">
        <v>2024</v>
      </c>
      <c r="B742" t="s">
        <v>366</v>
      </c>
      <c r="C742" t="s">
        <v>2654</v>
      </c>
      <c r="D742" t="s">
        <v>2653</v>
      </c>
      <c r="E742" t="s">
        <v>2654</v>
      </c>
      <c r="F742" t="s">
        <v>2654</v>
      </c>
      <c r="G742" t="s">
        <v>2654</v>
      </c>
      <c r="H742" t="s">
        <v>2654</v>
      </c>
      <c r="I742" t="s">
        <v>1733</v>
      </c>
      <c r="K742" t="str">
        <f t="shared" si="11"/>
        <v>RES_200401_P2T32024</v>
      </c>
    </row>
    <row r="743" spans="1:11">
      <c r="A743">
        <v>2027</v>
      </c>
      <c r="B743" t="s">
        <v>366</v>
      </c>
      <c r="C743" t="s">
        <v>2654</v>
      </c>
      <c r="D743" t="s">
        <v>2653</v>
      </c>
      <c r="E743" t="s">
        <v>2654</v>
      </c>
      <c r="F743" t="s">
        <v>2654</v>
      </c>
      <c r="G743" t="s">
        <v>2654</v>
      </c>
      <c r="H743" t="s">
        <v>2654</v>
      </c>
      <c r="I743" t="s">
        <v>1733</v>
      </c>
      <c r="K743" t="str">
        <f t="shared" si="11"/>
        <v>RES_200401_P2T32027</v>
      </c>
    </row>
    <row r="744" spans="1:11">
      <c r="A744">
        <v>2024</v>
      </c>
      <c r="B744" t="s">
        <v>59</v>
      </c>
      <c r="C744" t="s">
        <v>2654</v>
      </c>
      <c r="D744" t="s">
        <v>2653</v>
      </c>
      <c r="E744" t="s">
        <v>2654</v>
      </c>
      <c r="F744" t="s">
        <v>2654</v>
      </c>
      <c r="G744" t="s">
        <v>2654</v>
      </c>
      <c r="H744" t="s">
        <v>2654</v>
      </c>
      <c r="I744" t="s">
        <v>1148</v>
      </c>
      <c r="K744" t="str">
        <f t="shared" si="11"/>
        <v>RES_201301_P2T42024</v>
      </c>
    </row>
    <row r="745" spans="1:11">
      <c r="A745">
        <v>2025</v>
      </c>
      <c r="B745" t="s">
        <v>59</v>
      </c>
      <c r="C745" t="s">
        <v>2654</v>
      </c>
      <c r="D745" t="s">
        <v>2653</v>
      </c>
      <c r="E745" t="s">
        <v>2654</v>
      </c>
      <c r="F745" t="s">
        <v>2654</v>
      </c>
      <c r="G745" t="s">
        <v>2654</v>
      </c>
      <c r="H745" t="s">
        <v>2654</v>
      </c>
      <c r="I745" t="s">
        <v>1148</v>
      </c>
      <c r="K745" t="str">
        <f t="shared" si="11"/>
        <v>RES_201301_P2T42025</v>
      </c>
    </row>
    <row r="746" spans="1:11">
      <c r="A746">
        <v>2026</v>
      </c>
      <c r="B746" t="s">
        <v>59</v>
      </c>
      <c r="C746" t="s">
        <v>2654</v>
      </c>
      <c r="D746" t="s">
        <v>2653</v>
      </c>
      <c r="E746" t="s">
        <v>2654</v>
      </c>
      <c r="F746" t="s">
        <v>2654</v>
      </c>
      <c r="G746" t="s">
        <v>2654</v>
      </c>
      <c r="H746" t="s">
        <v>2654</v>
      </c>
      <c r="I746" t="s">
        <v>1148</v>
      </c>
      <c r="K746" t="str">
        <f t="shared" si="11"/>
        <v>RES_201301_P2T42026</v>
      </c>
    </row>
    <row r="747" spans="1:11">
      <c r="A747">
        <v>2027</v>
      </c>
      <c r="B747" t="s">
        <v>59</v>
      </c>
      <c r="C747" t="s">
        <v>2654</v>
      </c>
      <c r="D747" t="s">
        <v>2653</v>
      </c>
      <c r="E747" t="s">
        <v>2654</v>
      </c>
      <c r="F747" t="s">
        <v>2654</v>
      </c>
      <c r="G747" t="s">
        <v>2654</v>
      </c>
      <c r="H747" t="s">
        <v>2654</v>
      </c>
      <c r="I747" t="s">
        <v>1148</v>
      </c>
      <c r="K747" t="str">
        <f t="shared" si="11"/>
        <v>RES_201301_P2T42027</v>
      </c>
    </row>
    <row r="748" spans="1:11">
      <c r="A748">
        <v>2024</v>
      </c>
      <c r="B748" t="s">
        <v>20</v>
      </c>
      <c r="C748" t="s">
        <v>2654</v>
      </c>
      <c r="D748" t="s">
        <v>2653</v>
      </c>
      <c r="E748" t="s">
        <v>2654</v>
      </c>
      <c r="F748" t="s">
        <v>2654</v>
      </c>
      <c r="G748" t="s">
        <v>2654</v>
      </c>
      <c r="H748" t="s">
        <v>2654</v>
      </c>
      <c r="I748" t="s">
        <v>1158</v>
      </c>
      <c r="K748" t="str">
        <f t="shared" si="11"/>
        <v>COM_200202_P3T52024</v>
      </c>
    </row>
    <row r="749" spans="1:11">
      <c r="A749">
        <v>2025</v>
      </c>
      <c r="B749" t="s">
        <v>20</v>
      </c>
      <c r="C749" t="s">
        <v>2654</v>
      </c>
      <c r="D749" t="s">
        <v>2653</v>
      </c>
      <c r="E749" t="s">
        <v>2654</v>
      </c>
      <c r="F749" t="s">
        <v>2654</v>
      </c>
      <c r="G749" t="s">
        <v>2654</v>
      </c>
      <c r="H749" t="s">
        <v>2654</v>
      </c>
      <c r="I749" t="s">
        <v>1158</v>
      </c>
      <c r="K749" t="str">
        <f t="shared" si="11"/>
        <v>COM_200202_P3T52025</v>
      </c>
    </row>
    <row r="750" spans="1:11">
      <c r="A750">
        <v>2026</v>
      </c>
      <c r="B750" t="s">
        <v>20</v>
      </c>
      <c r="C750" t="s">
        <v>2654</v>
      </c>
      <c r="D750" t="s">
        <v>2653</v>
      </c>
      <c r="E750" t="s">
        <v>2654</v>
      </c>
      <c r="F750" t="s">
        <v>2654</v>
      </c>
      <c r="G750" t="s">
        <v>2654</v>
      </c>
      <c r="H750" t="s">
        <v>2654</v>
      </c>
      <c r="I750" t="s">
        <v>1158</v>
      </c>
      <c r="K750" t="str">
        <f t="shared" si="11"/>
        <v>COM_200202_P3T52026</v>
      </c>
    </row>
    <row r="751" spans="1:11">
      <c r="A751">
        <v>2027</v>
      </c>
      <c r="B751" t="s">
        <v>20</v>
      </c>
      <c r="C751" t="s">
        <v>2654</v>
      </c>
      <c r="D751" t="s">
        <v>2653</v>
      </c>
      <c r="E751" t="s">
        <v>2654</v>
      </c>
      <c r="F751" t="s">
        <v>2654</v>
      </c>
      <c r="G751" t="s">
        <v>2654</v>
      </c>
      <c r="H751" t="s">
        <v>2654</v>
      </c>
      <c r="I751" t="s">
        <v>1158</v>
      </c>
      <c r="K751" t="str">
        <f t="shared" si="11"/>
        <v>COM_200202_P3T52027</v>
      </c>
    </row>
    <row r="752" spans="1:11">
      <c r="A752">
        <v>2024</v>
      </c>
      <c r="B752" t="s">
        <v>890</v>
      </c>
      <c r="C752" t="s">
        <v>2654</v>
      </c>
      <c r="D752" t="s">
        <v>2653</v>
      </c>
      <c r="E752" t="s">
        <v>2654</v>
      </c>
      <c r="F752" t="s">
        <v>2654</v>
      </c>
      <c r="G752" t="s">
        <v>2654</v>
      </c>
      <c r="H752" t="s">
        <v>2654</v>
      </c>
      <c r="I752" t="s">
        <v>2285</v>
      </c>
      <c r="K752" t="str">
        <f t="shared" si="11"/>
        <v>COM_200202_P3T62024</v>
      </c>
    </row>
    <row r="753" spans="1:11">
      <c r="A753">
        <v>2025</v>
      </c>
      <c r="B753" t="s">
        <v>890</v>
      </c>
      <c r="C753" t="s">
        <v>2654</v>
      </c>
      <c r="D753" t="s">
        <v>2653</v>
      </c>
      <c r="E753" t="s">
        <v>2654</v>
      </c>
      <c r="F753" t="s">
        <v>2654</v>
      </c>
      <c r="G753" t="s">
        <v>2654</v>
      </c>
      <c r="H753" t="s">
        <v>2654</v>
      </c>
      <c r="I753" t="s">
        <v>2285</v>
      </c>
      <c r="K753" t="str">
        <f t="shared" si="11"/>
        <v>COM_200202_P3T62025</v>
      </c>
    </row>
    <row r="754" spans="1:11">
      <c r="A754">
        <v>2026</v>
      </c>
      <c r="B754" t="s">
        <v>890</v>
      </c>
      <c r="C754" t="s">
        <v>2654</v>
      </c>
      <c r="D754" t="s">
        <v>2653</v>
      </c>
      <c r="E754" t="s">
        <v>2654</v>
      </c>
      <c r="F754" t="s">
        <v>2654</v>
      </c>
      <c r="G754" t="s">
        <v>2654</v>
      </c>
      <c r="H754" t="s">
        <v>2654</v>
      </c>
      <c r="I754" t="s">
        <v>2285</v>
      </c>
      <c r="K754" t="str">
        <f t="shared" si="11"/>
        <v>COM_200202_P3T62026</v>
      </c>
    </row>
    <row r="755" spans="1:11">
      <c r="A755">
        <v>2027</v>
      </c>
      <c r="B755" t="s">
        <v>890</v>
      </c>
      <c r="C755" t="s">
        <v>2654</v>
      </c>
      <c r="D755" t="s">
        <v>2653</v>
      </c>
      <c r="E755" t="s">
        <v>2654</v>
      </c>
      <c r="F755" t="s">
        <v>2654</v>
      </c>
      <c r="G755" t="s">
        <v>2654</v>
      </c>
      <c r="H755" t="s">
        <v>2654</v>
      </c>
      <c r="I755" t="s">
        <v>2285</v>
      </c>
      <c r="K755" t="str">
        <f t="shared" si="11"/>
        <v>COM_200202_P3T62027</v>
      </c>
    </row>
    <row r="756" spans="1:11">
      <c r="A756">
        <v>2024</v>
      </c>
      <c r="B756" t="s">
        <v>891</v>
      </c>
      <c r="C756" t="s">
        <v>2654</v>
      </c>
      <c r="D756" t="s">
        <v>2653</v>
      </c>
      <c r="E756" t="s">
        <v>2654</v>
      </c>
      <c r="F756" t="s">
        <v>2654</v>
      </c>
      <c r="G756" t="s">
        <v>2654</v>
      </c>
      <c r="H756" t="s">
        <v>2654</v>
      </c>
      <c r="I756" t="s">
        <v>2288</v>
      </c>
      <c r="K756" t="str">
        <f t="shared" si="11"/>
        <v>COM_200202_P3T72024</v>
      </c>
    </row>
    <row r="757" spans="1:11">
      <c r="A757">
        <v>2025</v>
      </c>
      <c r="B757" t="s">
        <v>891</v>
      </c>
      <c r="C757" t="s">
        <v>2654</v>
      </c>
      <c r="D757" t="s">
        <v>2653</v>
      </c>
      <c r="E757" t="s">
        <v>2654</v>
      </c>
      <c r="F757" t="s">
        <v>2654</v>
      </c>
      <c r="G757" t="s">
        <v>2654</v>
      </c>
      <c r="H757" t="s">
        <v>2654</v>
      </c>
      <c r="I757" t="s">
        <v>2288</v>
      </c>
      <c r="K757" t="str">
        <f t="shared" si="11"/>
        <v>COM_200202_P3T72025</v>
      </c>
    </row>
    <row r="758" spans="1:11">
      <c r="A758">
        <v>2026</v>
      </c>
      <c r="B758" t="s">
        <v>891</v>
      </c>
      <c r="C758" t="s">
        <v>2654</v>
      </c>
      <c r="D758" t="s">
        <v>2653</v>
      </c>
      <c r="E758" t="s">
        <v>2654</v>
      </c>
      <c r="F758" t="s">
        <v>2654</v>
      </c>
      <c r="G758" t="s">
        <v>2654</v>
      </c>
      <c r="H758" t="s">
        <v>2654</v>
      </c>
      <c r="I758" t="s">
        <v>2288</v>
      </c>
      <c r="K758" t="str">
        <f t="shared" si="11"/>
        <v>COM_200202_P3T72026</v>
      </c>
    </row>
    <row r="759" spans="1:11">
      <c r="A759">
        <v>2027</v>
      </c>
      <c r="B759" t="s">
        <v>891</v>
      </c>
      <c r="C759" t="s">
        <v>2654</v>
      </c>
      <c r="D759" t="s">
        <v>2653</v>
      </c>
      <c r="E759" t="s">
        <v>2654</v>
      </c>
      <c r="F759" t="s">
        <v>2654</v>
      </c>
      <c r="G759" t="s">
        <v>2654</v>
      </c>
      <c r="H759" t="s">
        <v>2654</v>
      </c>
      <c r="I759" t="s">
        <v>2288</v>
      </c>
      <c r="K759" t="str">
        <f t="shared" si="11"/>
        <v>COM_200202_P3T72027</v>
      </c>
    </row>
    <row r="760" spans="1:11">
      <c r="A760">
        <v>2024</v>
      </c>
      <c r="B760" t="s">
        <v>701</v>
      </c>
      <c r="C760" t="s">
        <v>2654</v>
      </c>
      <c r="D760" t="s">
        <v>2653</v>
      </c>
      <c r="E760" t="s">
        <v>2654</v>
      </c>
      <c r="F760" t="s">
        <v>2654</v>
      </c>
      <c r="G760" t="s">
        <v>2654</v>
      </c>
      <c r="H760" t="s">
        <v>2654</v>
      </c>
      <c r="I760" t="s">
        <v>2291</v>
      </c>
      <c r="K760" t="str">
        <f t="shared" si="11"/>
        <v>COM_200202_P3T82024</v>
      </c>
    </row>
    <row r="761" spans="1:11">
      <c r="A761">
        <v>2025</v>
      </c>
      <c r="B761" t="s">
        <v>701</v>
      </c>
      <c r="C761" t="s">
        <v>2654</v>
      </c>
      <c r="D761" t="s">
        <v>2653</v>
      </c>
      <c r="E761" t="s">
        <v>2654</v>
      </c>
      <c r="F761" t="s">
        <v>2654</v>
      </c>
      <c r="G761" t="s">
        <v>2654</v>
      </c>
      <c r="H761" t="s">
        <v>2654</v>
      </c>
      <c r="I761" t="s">
        <v>2291</v>
      </c>
      <c r="K761" t="str">
        <f t="shared" si="11"/>
        <v>COM_200202_P3T82025</v>
      </c>
    </row>
    <row r="762" spans="1:11">
      <c r="A762">
        <v>2026</v>
      </c>
      <c r="B762" t="s">
        <v>701</v>
      </c>
      <c r="C762" t="s">
        <v>2654</v>
      </c>
      <c r="D762" t="s">
        <v>2653</v>
      </c>
      <c r="E762" t="s">
        <v>2654</v>
      </c>
      <c r="F762" t="s">
        <v>2654</v>
      </c>
      <c r="G762" t="s">
        <v>2654</v>
      </c>
      <c r="H762" t="s">
        <v>2654</v>
      </c>
      <c r="I762" t="s">
        <v>2291</v>
      </c>
      <c r="K762" t="str">
        <f t="shared" si="11"/>
        <v>COM_200202_P3T82026</v>
      </c>
    </row>
    <row r="763" spans="1:11">
      <c r="A763">
        <v>2027</v>
      </c>
      <c r="B763" t="s">
        <v>701</v>
      </c>
      <c r="C763" t="s">
        <v>2654</v>
      </c>
      <c r="D763" t="s">
        <v>2653</v>
      </c>
      <c r="E763" t="s">
        <v>2654</v>
      </c>
      <c r="F763" t="s">
        <v>2654</v>
      </c>
      <c r="G763" t="s">
        <v>2654</v>
      </c>
      <c r="H763" t="s">
        <v>2654</v>
      </c>
      <c r="I763" t="s">
        <v>2291</v>
      </c>
      <c r="K763" t="str">
        <f t="shared" si="11"/>
        <v>COM_200202_P3T82027</v>
      </c>
    </row>
    <row r="764" spans="1:11">
      <c r="A764">
        <v>2024</v>
      </c>
      <c r="B764" t="s">
        <v>892</v>
      </c>
      <c r="C764" t="s">
        <v>2654</v>
      </c>
      <c r="D764" t="s">
        <v>2653</v>
      </c>
      <c r="E764" t="s">
        <v>2654</v>
      </c>
      <c r="F764" t="s">
        <v>2654</v>
      </c>
      <c r="G764" t="s">
        <v>2654</v>
      </c>
      <c r="H764" t="s">
        <v>2654</v>
      </c>
      <c r="I764" t="s">
        <v>2294</v>
      </c>
      <c r="K764" t="str">
        <f t="shared" si="11"/>
        <v>COM_200202_P3T92024</v>
      </c>
    </row>
    <row r="765" spans="1:11">
      <c r="A765">
        <v>2025</v>
      </c>
      <c r="B765" t="s">
        <v>892</v>
      </c>
      <c r="C765" t="s">
        <v>2654</v>
      </c>
      <c r="D765" t="s">
        <v>2653</v>
      </c>
      <c r="E765" t="s">
        <v>2654</v>
      </c>
      <c r="F765" t="s">
        <v>2654</v>
      </c>
      <c r="G765" t="s">
        <v>2654</v>
      </c>
      <c r="H765" t="s">
        <v>2654</v>
      </c>
      <c r="I765" t="s">
        <v>2294</v>
      </c>
      <c r="K765" t="str">
        <f t="shared" si="11"/>
        <v>COM_200202_P3T92025</v>
      </c>
    </row>
    <row r="766" spans="1:11">
      <c r="A766">
        <v>2026</v>
      </c>
      <c r="B766" t="s">
        <v>892</v>
      </c>
      <c r="C766" t="s">
        <v>2654</v>
      </c>
      <c r="D766" t="s">
        <v>2653</v>
      </c>
      <c r="E766" t="s">
        <v>2654</v>
      </c>
      <c r="F766" t="s">
        <v>2654</v>
      </c>
      <c r="G766" t="s">
        <v>2654</v>
      </c>
      <c r="H766" t="s">
        <v>2654</v>
      </c>
      <c r="I766" t="s">
        <v>2294</v>
      </c>
      <c r="K766" t="str">
        <f t="shared" si="11"/>
        <v>COM_200202_P3T92026</v>
      </c>
    </row>
    <row r="767" spans="1:11">
      <c r="A767">
        <v>2027</v>
      </c>
      <c r="B767" t="s">
        <v>892</v>
      </c>
      <c r="C767" t="s">
        <v>2654</v>
      </c>
      <c r="D767" t="s">
        <v>2653</v>
      </c>
      <c r="E767" t="s">
        <v>2654</v>
      </c>
      <c r="F767" t="s">
        <v>2654</v>
      </c>
      <c r="G767" t="s">
        <v>2654</v>
      </c>
      <c r="H767" t="s">
        <v>2654</v>
      </c>
      <c r="I767" t="s">
        <v>2294</v>
      </c>
      <c r="K767" t="str">
        <f t="shared" si="11"/>
        <v>COM_200202_P3T92027</v>
      </c>
    </row>
    <row r="768" spans="1:11">
      <c r="A768">
        <v>2024</v>
      </c>
      <c r="B768" t="s">
        <v>382</v>
      </c>
      <c r="C768" t="s">
        <v>2654</v>
      </c>
      <c r="D768" t="s">
        <v>2653</v>
      </c>
      <c r="E768" t="s">
        <v>2654</v>
      </c>
      <c r="F768" t="s">
        <v>2654</v>
      </c>
      <c r="G768" t="s">
        <v>2654</v>
      </c>
      <c r="H768" t="s">
        <v>2654</v>
      </c>
      <c r="I768" t="s">
        <v>1750</v>
      </c>
      <c r="K768" t="str">
        <f t="shared" si="11"/>
        <v>RES_200601_P3T12024</v>
      </c>
    </row>
    <row r="769" spans="1:11">
      <c r="A769">
        <v>2025</v>
      </c>
      <c r="B769" t="s">
        <v>382</v>
      </c>
      <c r="C769" t="s">
        <v>2654</v>
      </c>
      <c r="D769" t="s">
        <v>2653</v>
      </c>
      <c r="E769" t="s">
        <v>2654</v>
      </c>
      <c r="F769" t="s">
        <v>2654</v>
      </c>
      <c r="G769" t="s">
        <v>2654</v>
      </c>
      <c r="H769" t="s">
        <v>2654</v>
      </c>
      <c r="I769" t="s">
        <v>1750</v>
      </c>
      <c r="K769" t="str">
        <f t="shared" si="11"/>
        <v>RES_200601_P3T12025</v>
      </c>
    </row>
    <row r="770" spans="1:11">
      <c r="A770">
        <v>2026</v>
      </c>
      <c r="B770" t="s">
        <v>382</v>
      </c>
      <c r="C770" t="s">
        <v>2654</v>
      </c>
      <c r="D770" t="s">
        <v>2653</v>
      </c>
      <c r="E770" t="s">
        <v>2654</v>
      </c>
      <c r="F770" t="s">
        <v>2654</v>
      </c>
      <c r="G770" t="s">
        <v>2654</v>
      </c>
      <c r="H770" t="s">
        <v>2654</v>
      </c>
      <c r="I770" t="s">
        <v>1750</v>
      </c>
      <c r="K770" t="str">
        <f t="shared" si="11"/>
        <v>RES_200601_P3T12026</v>
      </c>
    </row>
    <row r="771" spans="1:11">
      <c r="A771">
        <v>2027</v>
      </c>
      <c r="B771" t="s">
        <v>382</v>
      </c>
      <c r="C771" t="s">
        <v>2654</v>
      </c>
      <c r="D771" t="s">
        <v>2653</v>
      </c>
      <c r="E771" t="s">
        <v>2654</v>
      </c>
      <c r="F771" t="s">
        <v>2654</v>
      </c>
      <c r="G771" t="s">
        <v>2654</v>
      </c>
      <c r="H771" t="s">
        <v>2654</v>
      </c>
      <c r="I771" t="s">
        <v>1750</v>
      </c>
      <c r="K771" t="str">
        <f t="shared" ref="K771:K834" si="12">B771&amp;A771</f>
        <v>RES_200601_P3T12027</v>
      </c>
    </row>
    <row r="772" spans="1:11">
      <c r="A772">
        <v>2024</v>
      </c>
      <c r="B772" t="s">
        <v>375</v>
      </c>
      <c r="C772" t="s">
        <v>2654</v>
      </c>
      <c r="D772" t="s">
        <v>2653</v>
      </c>
      <c r="E772" t="s">
        <v>2654</v>
      </c>
      <c r="F772" t="s">
        <v>2654</v>
      </c>
      <c r="G772" t="s">
        <v>2654</v>
      </c>
      <c r="H772" t="s">
        <v>2654</v>
      </c>
      <c r="I772" t="s">
        <v>1734</v>
      </c>
      <c r="K772" t="str">
        <f t="shared" si="12"/>
        <v>RES_200401_P3T12024</v>
      </c>
    </row>
    <row r="773" spans="1:11">
      <c r="A773">
        <v>2025</v>
      </c>
      <c r="B773" t="s">
        <v>375</v>
      </c>
      <c r="C773" t="s">
        <v>2654</v>
      </c>
      <c r="D773" t="s">
        <v>2653</v>
      </c>
      <c r="E773" t="s">
        <v>2654</v>
      </c>
      <c r="F773" t="s">
        <v>2654</v>
      </c>
      <c r="G773" t="s">
        <v>2654</v>
      </c>
      <c r="H773" t="s">
        <v>2654</v>
      </c>
      <c r="I773" t="s">
        <v>1734</v>
      </c>
      <c r="K773" t="str">
        <f t="shared" si="12"/>
        <v>RES_200401_P3T12025</v>
      </c>
    </row>
    <row r="774" spans="1:11">
      <c r="A774">
        <v>2026</v>
      </c>
      <c r="B774" t="s">
        <v>375</v>
      </c>
      <c r="C774" t="s">
        <v>2654</v>
      </c>
      <c r="D774" t="s">
        <v>2653</v>
      </c>
      <c r="E774" t="s">
        <v>2654</v>
      </c>
      <c r="F774" t="s">
        <v>2654</v>
      </c>
      <c r="G774" t="s">
        <v>2654</v>
      </c>
      <c r="H774" t="s">
        <v>2654</v>
      </c>
      <c r="I774" t="s">
        <v>1734</v>
      </c>
      <c r="K774" t="str">
        <f t="shared" si="12"/>
        <v>RES_200401_P3T12026</v>
      </c>
    </row>
    <row r="775" spans="1:11">
      <c r="A775">
        <v>2027</v>
      </c>
      <c r="B775" t="s">
        <v>375</v>
      </c>
      <c r="C775" t="s">
        <v>2654</v>
      </c>
      <c r="D775" t="s">
        <v>2653</v>
      </c>
      <c r="E775" t="s">
        <v>2654</v>
      </c>
      <c r="F775" t="s">
        <v>2654</v>
      </c>
      <c r="G775" t="s">
        <v>2654</v>
      </c>
      <c r="H775" t="s">
        <v>2654</v>
      </c>
      <c r="I775" t="s">
        <v>1734</v>
      </c>
      <c r="K775" t="str">
        <f t="shared" si="12"/>
        <v>RES_200401_P3T12027</v>
      </c>
    </row>
    <row r="776" spans="1:11">
      <c r="A776">
        <v>2024</v>
      </c>
      <c r="B776" t="s">
        <v>376</v>
      </c>
      <c r="C776" t="s">
        <v>2654</v>
      </c>
      <c r="D776" t="s">
        <v>2653</v>
      </c>
      <c r="E776" t="s">
        <v>2654</v>
      </c>
      <c r="F776" t="s">
        <v>2654</v>
      </c>
      <c r="G776" t="s">
        <v>2654</v>
      </c>
      <c r="H776" t="s">
        <v>2654</v>
      </c>
      <c r="I776" t="s">
        <v>1735</v>
      </c>
      <c r="K776" t="str">
        <f t="shared" si="12"/>
        <v>RES_200401_P3T22024</v>
      </c>
    </row>
    <row r="777" spans="1:11">
      <c r="A777">
        <v>2025</v>
      </c>
      <c r="B777" t="s">
        <v>376</v>
      </c>
      <c r="C777" t="s">
        <v>2654</v>
      </c>
      <c r="D777" t="s">
        <v>2653</v>
      </c>
      <c r="E777" t="s">
        <v>2654</v>
      </c>
      <c r="F777" t="s">
        <v>2654</v>
      </c>
      <c r="G777" t="s">
        <v>2654</v>
      </c>
      <c r="H777" t="s">
        <v>2654</v>
      </c>
      <c r="I777" t="s">
        <v>1735</v>
      </c>
      <c r="K777" t="str">
        <f t="shared" si="12"/>
        <v>RES_200401_P3T22025</v>
      </c>
    </row>
    <row r="778" spans="1:11">
      <c r="A778">
        <v>2026</v>
      </c>
      <c r="B778" t="s">
        <v>376</v>
      </c>
      <c r="C778" t="s">
        <v>2654</v>
      </c>
      <c r="D778" t="s">
        <v>2653</v>
      </c>
      <c r="E778" t="s">
        <v>2654</v>
      </c>
      <c r="F778" t="s">
        <v>2654</v>
      </c>
      <c r="G778" t="s">
        <v>2654</v>
      </c>
      <c r="H778" t="s">
        <v>2654</v>
      </c>
      <c r="I778" t="s">
        <v>1735</v>
      </c>
      <c r="K778" t="str">
        <f t="shared" si="12"/>
        <v>RES_200401_P3T22026</v>
      </c>
    </row>
    <row r="779" spans="1:11">
      <c r="A779">
        <v>2027</v>
      </c>
      <c r="B779" t="s">
        <v>376</v>
      </c>
      <c r="C779" t="s">
        <v>2654</v>
      </c>
      <c r="D779" t="s">
        <v>2653</v>
      </c>
      <c r="E779" t="s">
        <v>2654</v>
      </c>
      <c r="F779" t="s">
        <v>2654</v>
      </c>
      <c r="G779" t="s">
        <v>2654</v>
      </c>
      <c r="H779" t="s">
        <v>2654</v>
      </c>
      <c r="I779" t="s">
        <v>1735</v>
      </c>
      <c r="K779" t="str">
        <f t="shared" si="12"/>
        <v>RES_200401_P3T22027</v>
      </c>
    </row>
    <row r="780" spans="1:11">
      <c r="A780">
        <v>2024</v>
      </c>
      <c r="B780" t="s">
        <v>968</v>
      </c>
      <c r="C780" t="s">
        <v>2654</v>
      </c>
      <c r="D780" t="s">
        <v>2653</v>
      </c>
      <c r="E780" t="s">
        <v>2654</v>
      </c>
      <c r="F780" t="s">
        <v>2654</v>
      </c>
      <c r="G780" t="s">
        <v>2654</v>
      </c>
      <c r="H780" t="s">
        <v>2654</v>
      </c>
      <c r="I780" t="s">
        <v>1751</v>
      </c>
      <c r="K780" t="str">
        <f t="shared" si="12"/>
        <v>RES_200601_P3T22024</v>
      </c>
    </row>
    <row r="781" spans="1:11">
      <c r="A781">
        <v>2025</v>
      </c>
      <c r="B781" t="s">
        <v>968</v>
      </c>
      <c r="C781" t="s">
        <v>2654</v>
      </c>
      <c r="D781" t="s">
        <v>2653</v>
      </c>
      <c r="E781" t="s">
        <v>2654</v>
      </c>
      <c r="F781" t="s">
        <v>2654</v>
      </c>
      <c r="G781" t="s">
        <v>2654</v>
      </c>
      <c r="H781" t="s">
        <v>2654</v>
      </c>
      <c r="I781" t="s">
        <v>1751</v>
      </c>
      <c r="K781" t="str">
        <f t="shared" si="12"/>
        <v>RES_200601_P3T22025</v>
      </c>
    </row>
    <row r="782" spans="1:11">
      <c r="A782">
        <v>2026</v>
      </c>
      <c r="B782" t="s">
        <v>968</v>
      </c>
      <c r="C782" t="s">
        <v>2654</v>
      </c>
      <c r="D782" t="s">
        <v>2653</v>
      </c>
      <c r="E782" t="s">
        <v>2654</v>
      </c>
      <c r="F782" t="s">
        <v>2654</v>
      </c>
      <c r="G782" t="s">
        <v>2654</v>
      </c>
      <c r="H782" t="s">
        <v>2654</v>
      </c>
      <c r="I782" t="s">
        <v>1751</v>
      </c>
      <c r="K782" t="str">
        <f t="shared" si="12"/>
        <v>RES_200601_P3T22026</v>
      </c>
    </row>
    <row r="783" spans="1:11">
      <c r="A783">
        <v>2027</v>
      </c>
      <c r="B783" t="s">
        <v>968</v>
      </c>
      <c r="C783" t="s">
        <v>2654</v>
      </c>
      <c r="D783" t="s">
        <v>2653</v>
      </c>
      <c r="E783" t="s">
        <v>2654</v>
      </c>
      <c r="F783" t="s">
        <v>2654</v>
      </c>
      <c r="G783" t="s">
        <v>2654</v>
      </c>
      <c r="H783" t="s">
        <v>2654</v>
      </c>
      <c r="I783" t="s">
        <v>1751</v>
      </c>
      <c r="K783" t="str">
        <f t="shared" si="12"/>
        <v>RES_200601_P3T22027</v>
      </c>
    </row>
    <row r="784" spans="1:11">
      <c r="A784">
        <v>2024</v>
      </c>
      <c r="B784" t="s">
        <v>969</v>
      </c>
      <c r="C784" t="s">
        <v>2654</v>
      </c>
      <c r="D784" t="s">
        <v>2653</v>
      </c>
      <c r="E784" t="s">
        <v>2654</v>
      </c>
      <c r="F784" t="s">
        <v>2654</v>
      </c>
      <c r="G784" t="s">
        <v>2654</v>
      </c>
      <c r="H784" t="s">
        <v>2654</v>
      </c>
      <c r="I784" t="s">
        <v>1752</v>
      </c>
      <c r="K784" t="str">
        <f t="shared" si="12"/>
        <v>RES_200601_P3T32024</v>
      </c>
    </row>
    <row r="785" spans="1:11">
      <c r="A785">
        <v>2025</v>
      </c>
      <c r="B785" t="s">
        <v>969</v>
      </c>
      <c r="C785" t="s">
        <v>2654</v>
      </c>
      <c r="D785" t="s">
        <v>2653</v>
      </c>
      <c r="E785" t="s">
        <v>2654</v>
      </c>
      <c r="F785" t="s">
        <v>2654</v>
      </c>
      <c r="G785" t="s">
        <v>2654</v>
      </c>
      <c r="H785" t="s">
        <v>2654</v>
      </c>
      <c r="I785" t="s">
        <v>1752</v>
      </c>
      <c r="K785" t="str">
        <f t="shared" si="12"/>
        <v>RES_200601_P3T32025</v>
      </c>
    </row>
    <row r="786" spans="1:11">
      <c r="A786">
        <v>2026</v>
      </c>
      <c r="B786" t="s">
        <v>969</v>
      </c>
      <c r="C786" t="s">
        <v>2654</v>
      </c>
      <c r="D786" t="s">
        <v>2653</v>
      </c>
      <c r="E786" t="s">
        <v>2654</v>
      </c>
      <c r="F786" t="s">
        <v>2654</v>
      </c>
      <c r="G786" t="s">
        <v>2654</v>
      </c>
      <c r="H786" t="s">
        <v>2654</v>
      </c>
      <c r="I786" t="s">
        <v>1752</v>
      </c>
      <c r="K786" t="str">
        <f t="shared" si="12"/>
        <v>RES_200601_P3T32026</v>
      </c>
    </row>
    <row r="787" spans="1:11">
      <c r="A787">
        <v>2027</v>
      </c>
      <c r="B787" t="s">
        <v>969</v>
      </c>
      <c r="C787" t="s">
        <v>2654</v>
      </c>
      <c r="D787" t="s">
        <v>2653</v>
      </c>
      <c r="E787" t="s">
        <v>2654</v>
      </c>
      <c r="F787" t="s">
        <v>2654</v>
      </c>
      <c r="G787" t="s">
        <v>2654</v>
      </c>
      <c r="H787" t="s">
        <v>2654</v>
      </c>
      <c r="I787" t="s">
        <v>1752</v>
      </c>
      <c r="K787" t="str">
        <f t="shared" si="12"/>
        <v>RES_200601_P3T32027</v>
      </c>
    </row>
    <row r="788" spans="1:11">
      <c r="A788">
        <v>2024</v>
      </c>
      <c r="B788" t="s">
        <v>866</v>
      </c>
      <c r="C788" t="s">
        <v>2654</v>
      </c>
      <c r="D788" t="s">
        <v>2653</v>
      </c>
      <c r="E788" t="s">
        <v>2654</v>
      </c>
      <c r="F788" t="s">
        <v>2654</v>
      </c>
      <c r="G788" t="s">
        <v>2654</v>
      </c>
      <c r="H788" t="s">
        <v>2654</v>
      </c>
      <c r="I788" t="s">
        <v>1168</v>
      </c>
      <c r="K788" t="str">
        <f t="shared" si="12"/>
        <v>RES_200601_P3T52024</v>
      </c>
    </row>
    <row r="789" spans="1:11">
      <c r="A789">
        <v>2025</v>
      </c>
      <c r="B789" t="s">
        <v>866</v>
      </c>
      <c r="C789" t="s">
        <v>2654</v>
      </c>
      <c r="D789" t="s">
        <v>2653</v>
      </c>
      <c r="E789" t="s">
        <v>2654</v>
      </c>
      <c r="F789" t="s">
        <v>2654</v>
      </c>
      <c r="G789" t="s">
        <v>2654</v>
      </c>
      <c r="H789" t="s">
        <v>2654</v>
      </c>
      <c r="I789" t="s">
        <v>1168</v>
      </c>
      <c r="K789" t="str">
        <f t="shared" si="12"/>
        <v>RES_200601_P3T52025</v>
      </c>
    </row>
    <row r="790" spans="1:11">
      <c r="A790">
        <v>2026</v>
      </c>
      <c r="B790" t="s">
        <v>866</v>
      </c>
      <c r="C790" t="s">
        <v>2654</v>
      </c>
      <c r="D790" t="s">
        <v>2653</v>
      </c>
      <c r="E790" t="s">
        <v>2654</v>
      </c>
      <c r="F790" t="s">
        <v>2654</v>
      </c>
      <c r="G790" t="s">
        <v>2654</v>
      </c>
      <c r="H790" t="s">
        <v>2654</v>
      </c>
      <c r="I790" t="s">
        <v>1168</v>
      </c>
      <c r="K790" t="str">
        <f t="shared" si="12"/>
        <v>RES_200601_P3T52026</v>
      </c>
    </row>
    <row r="791" spans="1:11">
      <c r="A791">
        <v>2027</v>
      </c>
      <c r="B791" t="s">
        <v>866</v>
      </c>
      <c r="C791" t="s">
        <v>2654</v>
      </c>
      <c r="D791" t="s">
        <v>2653</v>
      </c>
      <c r="E791" t="s">
        <v>2654</v>
      </c>
      <c r="F791" t="s">
        <v>2654</v>
      </c>
      <c r="G791" t="s">
        <v>2654</v>
      </c>
      <c r="H791" t="s">
        <v>2654</v>
      </c>
      <c r="I791" t="s">
        <v>1168</v>
      </c>
      <c r="K791" t="str">
        <f t="shared" si="12"/>
        <v>RES_200601_P3T52027</v>
      </c>
    </row>
    <row r="792" spans="1:11">
      <c r="A792">
        <v>2024</v>
      </c>
      <c r="B792" t="s">
        <v>971</v>
      </c>
      <c r="C792" t="s">
        <v>2654</v>
      </c>
      <c r="D792" t="s">
        <v>2653</v>
      </c>
      <c r="E792" t="s">
        <v>2654</v>
      </c>
      <c r="F792" t="s">
        <v>2654</v>
      </c>
      <c r="G792" t="s">
        <v>2654</v>
      </c>
      <c r="H792" t="s">
        <v>2654</v>
      </c>
      <c r="I792" t="s">
        <v>2098</v>
      </c>
      <c r="K792" t="str">
        <f t="shared" si="12"/>
        <v>RES_200601_P3T62024</v>
      </c>
    </row>
    <row r="793" spans="1:11">
      <c r="A793">
        <v>2025</v>
      </c>
      <c r="B793" t="s">
        <v>971</v>
      </c>
      <c r="C793" t="s">
        <v>2654</v>
      </c>
      <c r="D793" t="s">
        <v>2653</v>
      </c>
      <c r="E793" t="s">
        <v>2654</v>
      </c>
      <c r="F793" t="s">
        <v>2654</v>
      </c>
      <c r="G793" t="s">
        <v>2654</v>
      </c>
      <c r="H793" t="s">
        <v>2654</v>
      </c>
      <c r="I793" t="s">
        <v>2098</v>
      </c>
      <c r="K793" t="str">
        <f t="shared" si="12"/>
        <v>RES_200601_P3T62025</v>
      </c>
    </row>
    <row r="794" spans="1:11">
      <c r="A794">
        <v>2026</v>
      </c>
      <c r="B794" t="s">
        <v>971</v>
      </c>
      <c r="C794" t="s">
        <v>2654</v>
      </c>
      <c r="D794" t="s">
        <v>2653</v>
      </c>
      <c r="E794" t="s">
        <v>2654</v>
      </c>
      <c r="F794" t="s">
        <v>2654</v>
      </c>
      <c r="G794" t="s">
        <v>2654</v>
      </c>
      <c r="H794" t="s">
        <v>2654</v>
      </c>
      <c r="I794" t="s">
        <v>2098</v>
      </c>
      <c r="K794" t="str">
        <f t="shared" si="12"/>
        <v>RES_200601_P3T62026</v>
      </c>
    </row>
    <row r="795" spans="1:11">
      <c r="A795">
        <v>2027</v>
      </c>
      <c r="B795" t="s">
        <v>971</v>
      </c>
      <c r="C795" t="s">
        <v>2654</v>
      </c>
      <c r="D795" t="s">
        <v>2653</v>
      </c>
      <c r="E795" t="s">
        <v>2654</v>
      </c>
      <c r="F795" t="s">
        <v>2654</v>
      </c>
      <c r="G795" t="s">
        <v>2654</v>
      </c>
      <c r="H795" t="s">
        <v>2654</v>
      </c>
      <c r="I795" t="s">
        <v>2098</v>
      </c>
      <c r="K795" t="str">
        <f t="shared" si="12"/>
        <v>RES_200601_P3T62027</v>
      </c>
    </row>
    <row r="796" spans="1:11">
      <c r="A796">
        <v>2024</v>
      </c>
      <c r="B796" t="s">
        <v>61</v>
      </c>
      <c r="C796" t="s">
        <v>2654</v>
      </c>
      <c r="D796" t="s">
        <v>2653</v>
      </c>
      <c r="E796" t="s">
        <v>2654</v>
      </c>
      <c r="F796" t="s">
        <v>2654</v>
      </c>
      <c r="G796" t="s">
        <v>2654</v>
      </c>
      <c r="H796" t="s">
        <v>2654</v>
      </c>
      <c r="I796" t="s">
        <v>1144</v>
      </c>
      <c r="K796" t="str">
        <f t="shared" si="12"/>
        <v>RES_201301_P3T42024</v>
      </c>
    </row>
    <row r="797" spans="1:11">
      <c r="A797">
        <v>2025</v>
      </c>
      <c r="B797" t="s">
        <v>61</v>
      </c>
      <c r="C797" t="s">
        <v>2654</v>
      </c>
      <c r="D797" t="s">
        <v>2653</v>
      </c>
      <c r="E797" t="s">
        <v>2654</v>
      </c>
      <c r="F797" t="s">
        <v>2654</v>
      </c>
      <c r="G797" t="s">
        <v>2654</v>
      </c>
      <c r="H797" t="s">
        <v>2654</v>
      </c>
      <c r="I797" t="s">
        <v>1144</v>
      </c>
      <c r="K797" t="str">
        <f t="shared" si="12"/>
        <v>RES_201301_P3T42025</v>
      </c>
    </row>
    <row r="798" spans="1:11">
      <c r="A798">
        <v>2026</v>
      </c>
      <c r="B798" t="s">
        <v>61</v>
      </c>
      <c r="C798" t="s">
        <v>2654</v>
      </c>
      <c r="D798" t="s">
        <v>2653</v>
      </c>
      <c r="E798" t="s">
        <v>2654</v>
      </c>
      <c r="F798" t="s">
        <v>2654</v>
      </c>
      <c r="G798" t="s">
        <v>2654</v>
      </c>
      <c r="H798" t="s">
        <v>2654</v>
      </c>
      <c r="I798" t="s">
        <v>1144</v>
      </c>
      <c r="K798" t="str">
        <f t="shared" si="12"/>
        <v>RES_201301_P3T42026</v>
      </c>
    </row>
    <row r="799" spans="1:11">
      <c r="A799">
        <v>2027</v>
      </c>
      <c r="B799" t="s">
        <v>61</v>
      </c>
      <c r="C799" t="s">
        <v>2654</v>
      </c>
      <c r="D799" t="s">
        <v>2653</v>
      </c>
      <c r="E799" t="s">
        <v>2654</v>
      </c>
      <c r="F799" t="s">
        <v>2654</v>
      </c>
      <c r="G799" t="s">
        <v>2654</v>
      </c>
      <c r="H799" t="s">
        <v>2654</v>
      </c>
      <c r="I799" t="s">
        <v>1144</v>
      </c>
      <c r="K799" t="str">
        <f t="shared" si="12"/>
        <v>RES_201301_P3T42027</v>
      </c>
    </row>
    <row r="800" spans="1:11">
      <c r="A800">
        <v>2024</v>
      </c>
      <c r="B800" t="s">
        <v>405</v>
      </c>
      <c r="C800" t="s">
        <v>2654</v>
      </c>
      <c r="D800" t="s">
        <v>2653</v>
      </c>
      <c r="E800" t="s">
        <v>2654</v>
      </c>
      <c r="F800" t="s">
        <v>2654</v>
      </c>
      <c r="G800" t="s">
        <v>2654</v>
      </c>
      <c r="H800" t="s">
        <v>2654</v>
      </c>
      <c r="I800" t="s">
        <v>1753</v>
      </c>
      <c r="K800" t="str">
        <f t="shared" si="12"/>
        <v>RES_200601_P4T12024</v>
      </c>
    </row>
    <row r="801" spans="1:11">
      <c r="A801">
        <v>2025</v>
      </c>
      <c r="B801" t="s">
        <v>405</v>
      </c>
      <c r="C801" t="s">
        <v>2654</v>
      </c>
      <c r="D801" t="s">
        <v>2653</v>
      </c>
      <c r="E801" t="s">
        <v>2654</v>
      </c>
      <c r="F801" t="s">
        <v>2654</v>
      </c>
      <c r="G801" t="s">
        <v>2654</v>
      </c>
      <c r="H801" t="s">
        <v>2654</v>
      </c>
      <c r="I801" t="s">
        <v>1753</v>
      </c>
      <c r="K801" t="str">
        <f t="shared" si="12"/>
        <v>RES_200601_P4T12025</v>
      </c>
    </row>
    <row r="802" spans="1:11">
      <c r="A802">
        <v>2026</v>
      </c>
      <c r="B802" t="s">
        <v>405</v>
      </c>
      <c r="C802" t="s">
        <v>2654</v>
      </c>
      <c r="D802" t="s">
        <v>2653</v>
      </c>
      <c r="E802" t="s">
        <v>2654</v>
      </c>
      <c r="F802" t="s">
        <v>2654</v>
      </c>
      <c r="G802" t="s">
        <v>2654</v>
      </c>
      <c r="H802" t="s">
        <v>2654</v>
      </c>
      <c r="I802" t="s">
        <v>1753</v>
      </c>
      <c r="K802" t="str">
        <f t="shared" si="12"/>
        <v>RES_200601_P4T12026</v>
      </c>
    </row>
    <row r="803" spans="1:11">
      <c r="A803">
        <v>2027</v>
      </c>
      <c r="B803" t="s">
        <v>405</v>
      </c>
      <c r="C803" t="s">
        <v>2654</v>
      </c>
      <c r="D803" t="s">
        <v>2653</v>
      </c>
      <c r="E803" t="s">
        <v>2654</v>
      </c>
      <c r="F803" t="s">
        <v>2654</v>
      </c>
      <c r="G803" t="s">
        <v>2654</v>
      </c>
      <c r="H803" t="s">
        <v>2654</v>
      </c>
      <c r="I803" t="s">
        <v>1753</v>
      </c>
      <c r="K803" t="str">
        <f t="shared" si="12"/>
        <v>RES_200601_P4T12027</v>
      </c>
    </row>
    <row r="804" spans="1:11">
      <c r="A804">
        <v>2024</v>
      </c>
      <c r="B804" t="s">
        <v>406</v>
      </c>
      <c r="C804" t="s">
        <v>2654</v>
      </c>
      <c r="D804" t="s">
        <v>2653</v>
      </c>
      <c r="E804" t="s">
        <v>2654</v>
      </c>
      <c r="F804" t="s">
        <v>2654</v>
      </c>
      <c r="G804" t="s">
        <v>2654</v>
      </c>
      <c r="H804" t="s">
        <v>2654</v>
      </c>
      <c r="I804" t="s">
        <v>1754</v>
      </c>
      <c r="K804" t="str">
        <f t="shared" si="12"/>
        <v>RES_200601_P4T22024</v>
      </c>
    </row>
    <row r="805" spans="1:11">
      <c r="A805">
        <v>2025</v>
      </c>
      <c r="B805" t="s">
        <v>406</v>
      </c>
      <c r="C805" t="s">
        <v>2654</v>
      </c>
      <c r="D805" t="s">
        <v>2653</v>
      </c>
      <c r="E805" t="s">
        <v>2654</v>
      </c>
      <c r="F805" t="s">
        <v>2654</v>
      </c>
      <c r="G805" t="s">
        <v>2654</v>
      </c>
      <c r="H805" t="s">
        <v>2654</v>
      </c>
      <c r="I805" t="s">
        <v>1754</v>
      </c>
      <c r="K805" t="str">
        <f t="shared" si="12"/>
        <v>RES_200601_P4T22025</v>
      </c>
    </row>
    <row r="806" spans="1:11">
      <c r="A806">
        <v>2026</v>
      </c>
      <c r="B806" t="s">
        <v>406</v>
      </c>
      <c r="C806" t="s">
        <v>2654</v>
      </c>
      <c r="D806" t="s">
        <v>2653</v>
      </c>
      <c r="E806" t="s">
        <v>2654</v>
      </c>
      <c r="F806" t="s">
        <v>2654</v>
      </c>
      <c r="G806" t="s">
        <v>2654</v>
      </c>
      <c r="H806" t="s">
        <v>2654</v>
      </c>
      <c r="I806" t="s">
        <v>1754</v>
      </c>
      <c r="K806" t="str">
        <f t="shared" si="12"/>
        <v>RES_200601_P4T22026</v>
      </c>
    </row>
    <row r="807" spans="1:11">
      <c r="A807">
        <v>2027</v>
      </c>
      <c r="B807" t="s">
        <v>406</v>
      </c>
      <c r="C807" t="s">
        <v>2654</v>
      </c>
      <c r="D807" t="s">
        <v>2653</v>
      </c>
      <c r="E807" t="s">
        <v>2654</v>
      </c>
      <c r="F807" t="s">
        <v>2654</v>
      </c>
      <c r="G807" t="s">
        <v>2654</v>
      </c>
      <c r="H807" t="s">
        <v>2654</v>
      </c>
      <c r="I807" t="s">
        <v>1754</v>
      </c>
      <c r="K807" t="str">
        <f t="shared" si="12"/>
        <v>RES_200601_P4T22027</v>
      </c>
    </row>
    <row r="808" spans="1:11">
      <c r="A808">
        <v>2024</v>
      </c>
      <c r="B808" t="s">
        <v>407</v>
      </c>
      <c r="C808" t="s">
        <v>2654</v>
      </c>
      <c r="D808" t="s">
        <v>2653</v>
      </c>
      <c r="E808" t="s">
        <v>2654</v>
      </c>
      <c r="F808" t="s">
        <v>2654</v>
      </c>
      <c r="G808" t="s">
        <v>2654</v>
      </c>
      <c r="H808" t="s">
        <v>2654</v>
      </c>
      <c r="I808" t="s">
        <v>1755</v>
      </c>
      <c r="K808" t="str">
        <f t="shared" si="12"/>
        <v>RES_200601_P4T32024</v>
      </c>
    </row>
    <row r="809" spans="1:11">
      <c r="A809">
        <v>2025</v>
      </c>
      <c r="B809" t="s">
        <v>407</v>
      </c>
      <c r="C809" t="s">
        <v>2654</v>
      </c>
      <c r="D809" t="s">
        <v>2653</v>
      </c>
      <c r="E809" t="s">
        <v>2654</v>
      </c>
      <c r="F809" t="s">
        <v>2654</v>
      </c>
      <c r="G809" t="s">
        <v>2654</v>
      </c>
      <c r="H809" t="s">
        <v>2654</v>
      </c>
      <c r="I809" t="s">
        <v>1755</v>
      </c>
      <c r="K809" t="str">
        <f t="shared" si="12"/>
        <v>RES_200601_P4T32025</v>
      </c>
    </row>
    <row r="810" spans="1:11">
      <c r="A810">
        <v>2026</v>
      </c>
      <c r="B810" t="s">
        <v>407</v>
      </c>
      <c r="C810" t="s">
        <v>2654</v>
      </c>
      <c r="D810" t="s">
        <v>2653</v>
      </c>
      <c r="E810" t="s">
        <v>2654</v>
      </c>
      <c r="F810" t="s">
        <v>2654</v>
      </c>
      <c r="G810" t="s">
        <v>2654</v>
      </c>
      <c r="H810" t="s">
        <v>2654</v>
      </c>
      <c r="I810" t="s">
        <v>1755</v>
      </c>
      <c r="K810" t="str">
        <f t="shared" si="12"/>
        <v>RES_200601_P4T32026</v>
      </c>
    </row>
    <row r="811" spans="1:11">
      <c r="A811">
        <v>2027</v>
      </c>
      <c r="B811" t="s">
        <v>407</v>
      </c>
      <c r="C811" t="s">
        <v>2654</v>
      </c>
      <c r="D811" t="s">
        <v>2653</v>
      </c>
      <c r="E811" t="s">
        <v>2654</v>
      </c>
      <c r="F811" t="s">
        <v>2654</v>
      </c>
      <c r="G811" t="s">
        <v>2654</v>
      </c>
      <c r="H811" t="s">
        <v>2654</v>
      </c>
      <c r="I811" t="s">
        <v>1755</v>
      </c>
      <c r="K811" t="str">
        <f t="shared" si="12"/>
        <v>RES_200601_P4T32027</v>
      </c>
    </row>
    <row r="812" spans="1:11">
      <c r="A812">
        <v>2024</v>
      </c>
      <c r="B812" t="s">
        <v>21</v>
      </c>
      <c r="C812" t="s">
        <v>2654</v>
      </c>
      <c r="D812" t="s">
        <v>2653</v>
      </c>
      <c r="E812" t="s">
        <v>2654</v>
      </c>
      <c r="F812" t="s">
        <v>2654</v>
      </c>
      <c r="G812" t="s">
        <v>2654</v>
      </c>
      <c r="H812" t="s">
        <v>2654</v>
      </c>
      <c r="I812" t="s">
        <v>1160</v>
      </c>
      <c r="K812" t="str">
        <f t="shared" si="12"/>
        <v>COM_200202_P4T62024</v>
      </c>
    </row>
    <row r="813" spans="1:11">
      <c r="A813">
        <v>2025</v>
      </c>
      <c r="B813" t="s">
        <v>21</v>
      </c>
      <c r="C813" t="s">
        <v>2654</v>
      </c>
      <c r="D813" t="s">
        <v>2653</v>
      </c>
      <c r="E813" t="s">
        <v>2654</v>
      </c>
      <c r="F813" t="s">
        <v>2654</v>
      </c>
      <c r="G813" t="s">
        <v>2654</v>
      </c>
      <c r="H813" t="s">
        <v>2654</v>
      </c>
      <c r="I813" t="s">
        <v>1160</v>
      </c>
      <c r="K813" t="str">
        <f t="shared" si="12"/>
        <v>COM_200202_P4T62025</v>
      </c>
    </row>
    <row r="814" spans="1:11">
      <c r="A814">
        <v>2026</v>
      </c>
      <c r="B814" t="s">
        <v>21</v>
      </c>
      <c r="C814" t="s">
        <v>2654</v>
      </c>
      <c r="D814" t="s">
        <v>2653</v>
      </c>
      <c r="E814" t="s">
        <v>2654</v>
      </c>
      <c r="F814" t="s">
        <v>2654</v>
      </c>
      <c r="G814" t="s">
        <v>2654</v>
      </c>
      <c r="H814" t="s">
        <v>2654</v>
      </c>
      <c r="I814" t="s">
        <v>1160</v>
      </c>
      <c r="K814" t="str">
        <f t="shared" si="12"/>
        <v>COM_200202_P4T62026</v>
      </c>
    </row>
    <row r="815" spans="1:11">
      <c r="A815">
        <v>2027</v>
      </c>
      <c r="B815" t="s">
        <v>21</v>
      </c>
      <c r="C815" t="s">
        <v>2654</v>
      </c>
      <c r="D815" t="s">
        <v>2653</v>
      </c>
      <c r="E815" t="s">
        <v>2654</v>
      </c>
      <c r="F815" t="s">
        <v>2654</v>
      </c>
      <c r="G815" t="s">
        <v>2654</v>
      </c>
      <c r="H815" t="s">
        <v>2654</v>
      </c>
      <c r="I815" t="s">
        <v>1160</v>
      </c>
      <c r="K815" t="str">
        <f t="shared" si="12"/>
        <v>COM_200202_P4T62027</v>
      </c>
    </row>
    <row r="816" spans="1:11">
      <c r="A816">
        <v>2024</v>
      </c>
      <c r="B816" t="s">
        <v>68</v>
      </c>
      <c r="C816" t="s">
        <v>2654</v>
      </c>
      <c r="D816" t="s">
        <v>2653</v>
      </c>
      <c r="E816" t="s">
        <v>2654</v>
      </c>
      <c r="F816" t="s">
        <v>2654</v>
      </c>
      <c r="G816" t="s">
        <v>2654</v>
      </c>
      <c r="H816" t="s">
        <v>2654</v>
      </c>
      <c r="I816" t="s">
        <v>1166</v>
      </c>
      <c r="K816" t="str">
        <f t="shared" si="12"/>
        <v>RES_200601_P4T42024</v>
      </c>
    </row>
    <row r="817" spans="1:11">
      <c r="A817">
        <v>2025</v>
      </c>
      <c r="B817" t="s">
        <v>68</v>
      </c>
      <c r="C817" t="s">
        <v>2654</v>
      </c>
      <c r="D817" t="s">
        <v>2653</v>
      </c>
      <c r="E817" t="s">
        <v>2654</v>
      </c>
      <c r="F817" t="s">
        <v>2654</v>
      </c>
      <c r="G817" t="s">
        <v>2654</v>
      </c>
      <c r="H817" t="s">
        <v>2654</v>
      </c>
      <c r="I817" t="s">
        <v>1166</v>
      </c>
      <c r="K817" t="str">
        <f t="shared" si="12"/>
        <v>RES_200601_P4T42025</v>
      </c>
    </row>
    <row r="818" spans="1:11">
      <c r="A818">
        <v>2026</v>
      </c>
      <c r="B818" t="s">
        <v>68</v>
      </c>
      <c r="C818" t="s">
        <v>2654</v>
      </c>
      <c r="D818" t="s">
        <v>2653</v>
      </c>
      <c r="E818" t="s">
        <v>2654</v>
      </c>
      <c r="F818" t="s">
        <v>2654</v>
      </c>
      <c r="G818" t="s">
        <v>2654</v>
      </c>
      <c r="H818" t="s">
        <v>2654</v>
      </c>
      <c r="I818" t="s">
        <v>1166</v>
      </c>
      <c r="K818" t="str">
        <f t="shared" si="12"/>
        <v>RES_200601_P4T42026</v>
      </c>
    </row>
    <row r="819" spans="1:11">
      <c r="A819">
        <v>2027</v>
      </c>
      <c r="B819" t="s">
        <v>68</v>
      </c>
      <c r="C819" t="s">
        <v>2654</v>
      </c>
      <c r="D819" t="s">
        <v>2653</v>
      </c>
      <c r="E819" t="s">
        <v>2654</v>
      </c>
      <c r="F819" t="s">
        <v>2654</v>
      </c>
      <c r="G819" t="s">
        <v>2654</v>
      </c>
      <c r="H819" t="s">
        <v>2654</v>
      </c>
      <c r="I819" t="s">
        <v>1166</v>
      </c>
      <c r="K819" t="str">
        <f t="shared" si="12"/>
        <v>RES_200601_P4T42027</v>
      </c>
    </row>
    <row r="820" spans="1:11">
      <c r="A820">
        <v>2024</v>
      </c>
      <c r="B820" t="s">
        <v>893</v>
      </c>
      <c r="C820" t="s">
        <v>2654</v>
      </c>
      <c r="D820" t="s">
        <v>2653</v>
      </c>
      <c r="E820" t="s">
        <v>2654</v>
      </c>
      <c r="F820" t="s">
        <v>2654</v>
      </c>
      <c r="G820" t="s">
        <v>2654</v>
      </c>
      <c r="H820" t="s">
        <v>2654</v>
      </c>
      <c r="I820" t="s">
        <v>1162</v>
      </c>
      <c r="K820" t="str">
        <f t="shared" si="12"/>
        <v>COM_200202_P4T72024</v>
      </c>
    </row>
    <row r="821" spans="1:11">
      <c r="A821">
        <v>2025</v>
      </c>
      <c r="B821" t="s">
        <v>893</v>
      </c>
      <c r="C821" t="s">
        <v>2654</v>
      </c>
      <c r="D821" t="s">
        <v>2653</v>
      </c>
      <c r="E821" t="s">
        <v>2654</v>
      </c>
      <c r="F821" t="s">
        <v>2654</v>
      </c>
      <c r="G821" t="s">
        <v>2654</v>
      </c>
      <c r="H821" t="s">
        <v>2654</v>
      </c>
      <c r="I821" t="s">
        <v>1162</v>
      </c>
      <c r="K821" t="str">
        <f t="shared" si="12"/>
        <v>COM_200202_P4T72025</v>
      </c>
    </row>
    <row r="822" spans="1:11">
      <c r="A822">
        <v>2026</v>
      </c>
      <c r="B822" t="s">
        <v>893</v>
      </c>
      <c r="C822" t="s">
        <v>2654</v>
      </c>
      <c r="D822" t="s">
        <v>2653</v>
      </c>
      <c r="E822" t="s">
        <v>2654</v>
      </c>
      <c r="F822" t="s">
        <v>2654</v>
      </c>
      <c r="G822" t="s">
        <v>2654</v>
      </c>
      <c r="H822" t="s">
        <v>2654</v>
      </c>
      <c r="I822" t="s">
        <v>1162</v>
      </c>
      <c r="K822" t="str">
        <f t="shared" si="12"/>
        <v>COM_200202_P4T72026</v>
      </c>
    </row>
    <row r="823" spans="1:11">
      <c r="A823">
        <v>2027</v>
      </c>
      <c r="B823" t="s">
        <v>893</v>
      </c>
      <c r="C823" t="s">
        <v>2654</v>
      </c>
      <c r="D823" t="s">
        <v>2653</v>
      </c>
      <c r="E823" t="s">
        <v>2654</v>
      </c>
      <c r="F823" t="s">
        <v>2654</v>
      </c>
      <c r="G823" t="s">
        <v>2654</v>
      </c>
      <c r="H823" t="s">
        <v>2654</v>
      </c>
      <c r="I823" t="s">
        <v>1162</v>
      </c>
      <c r="K823" t="str">
        <f t="shared" si="12"/>
        <v>COM_200202_P4T72027</v>
      </c>
    </row>
    <row r="824" spans="1:11">
      <c r="A824">
        <v>2024</v>
      </c>
      <c r="B824" t="s">
        <v>703</v>
      </c>
      <c r="C824" t="s">
        <v>2654</v>
      </c>
      <c r="D824" t="s">
        <v>2653</v>
      </c>
      <c r="E824" t="s">
        <v>2654</v>
      </c>
      <c r="F824" t="s">
        <v>2654</v>
      </c>
      <c r="G824" t="s">
        <v>2654</v>
      </c>
      <c r="H824" t="s">
        <v>2654</v>
      </c>
      <c r="I824" t="s">
        <v>1689</v>
      </c>
      <c r="K824" t="str">
        <f t="shared" si="12"/>
        <v>COM_200202_P4T82024</v>
      </c>
    </row>
    <row r="825" spans="1:11">
      <c r="A825">
        <v>2025</v>
      </c>
      <c r="B825" t="s">
        <v>703</v>
      </c>
      <c r="C825" t="s">
        <v>2654</v>
      </c>
      <c r="D825" t="s">
        <v>2653</v>
      </c>
      <c r="E825" t="s">
        <v>2654</v>
      </c>
      <c r="F825" t="s">
        <v>2654</v>
      </c>
      <c r="G825" t="s">
        <v>2654</v>
      </c>
      <c r="H825" t="s">
        <v>2654</v>
      </c>
      <c r="I825" t="s">
        <v>1689</v>
      </c>
      <c r="K825" t="str">
        <f t="shared" si="12"/>
        <v>COM_200202_P4T82025</v>
      </c>
    </row>
    <row r="826" spans="1:11">
      <c r="A826">
        <v>2026</v>
      </c>
      <c r="B826" t="s">
        <v>703</v>
      </c>
      <c r="C826" t="s">
        <v>2654</v>
      </c>
      <c r="D826" t="s">
        <v>2653</v>
      </c>
      <c r="E826" t="s">
        <v>2654</v>
      </c>
      <c r="F826" t="s">
        <v>2654</v>
      </c>
      <c r="G826" t="s">
        <v>2654</v>
      </c>
      <c r="H826" t="s">
        <v>2654</v>
      </c>
      <c r="I826" t="s">
        <v>1689</v>
      </c>
      <c r="K826" t="str">
        <f t="shared" si="12"/>
        <v>COM_200202_P4T82026</v>
      </c>
    </row>
    <row r="827" spans="1:11">
      <c r="A827">
        <v>2027</v>
      </c>
      <c r="B827" t="s">
        <v>703</v>
      </c>
      <c r="C827" t="s">
        <v>2654</v>
      </c>
      <c r="D827" t="s">
        <v>2653</v>
      </c>
      <c r="E827" t="s">
        <v>2654</v>
      </c>
      <c r="F827" t="s">
        <v>2654</v>
      </c>
      <c r="G827" t="s">
        <v>2654</v>
      </c>
      <c r="H827" t="s">
        <v>2654</v>
      </c>
      <c r="I827" t="s">
        <v>1689</v>
      </c>
      <c r="K827" t="str">
        <f t="shared" si="12"/>
        <v>COM_200202_P4T82027</v>
      </c>
    </row>
    <row r="828" spans="1:11">
      <c r="A828">
        <v>2024</v>
      </c>
      <c r="B828" t="s">
        <v>972</v>
      </c>
      <c r="C828" t="s">
        <v>2654</v>
      </c>
      <c r="D828" t="s">
        <v>2653</v>
      </c>
      <c r="E828" t="s">
        <v>2654</v>
      </c>
      <c r="F828" t="s">
        <v>2654</v>
      </c>
      <c r="G828" t="s">
        <v>2654</v>
      </c>
      <c r="H828" t="s">
        <v>2654</v>
      </c>
      <c r="I828" t="s">
        <v>2099</v>
      </c>
      <c r="K828" t="str">
        <f t="shared" si="12"/>
        <v>RES_200601_P4T62024</v>
      </c>
    </row>
    <row r="829" spans="1:11">
      <c r="A829">
        <v>2025</v>
      </c>
      <c r="B829" t="s">
        <v>972</v>
      </c>
      <c r="C829" t="s">
        <v>2654</v>
      </c>
      <c r="D829" t="s">
        <v>2653</v>
      </c>
      <c r="E829" t="s">
        <v>2654</v>
      </c>
      <c r="F829" t="s">
        <v>2654</v>
      </c>
      <c r="G829" t="s">
        <v>2654</v>
      </c>
      <c r="H829" t="s">
        <v>2654</v>
      </c>
      <c r="I829" t="s">
        <v>2099</v>
      </c>
      <c r="K829" t="str">
        <f t="shared" si="12"/>
        <v>RES_200601_P4T62025</v>
      </c>
    </row>
    <row r="830" spans="1:11">
      <c r="A830">
        <v>2026</v>
      </c>
      <c r="B830" t="s">
        <v>972</v>
      </c>
      <c r="C830" t="s">
        <v>2654</v>
      </c>
      <c r="D830" t="s">
        <v>2653</v>
      </c>
      <c r="E830" t="s">
        <v>2654</v>
      </c>
      <c r="F830" t="s">
        <v>2654</v>
      </c>
      <c r="G830" t="s">
        <v>2654</v>
      </c>
      <c r="H830" t="s">
        <v>2654</v>
      </c>
      <c r="I830" t="s">
        <v>2099</v>
      </c>
      <c r="K830" t="str">
        <f t="shared" si="12"/>
        <v>RES_200601_P4T62026</v>
      </c>
    </row>
    <row r="831" spans="1:11">
      <c r="A831">
        <v>2027</v>
      </c>
      <c r="B831" t="s">
        <v>972</v>
      </c>
      <c r="C831" t="s">
        <v>2654</v>
      </c>
      <c r="D831" t="s">
        <v>2653</v>
      </c>
      <c r="E831" t="s">
        <v>2654</v>
      </c>
      <c r="F831" t="s">
        <v>2654</v>
      </c>
      <c r="G831" t="s">
        <v>2654</v>
      </c>
      <c r="H831" t="s">
        <v>2654</v>
      </c>
      <c r="I831" t="s">
        <v>2099</v>
      </c>
      <c r="K831" t="str">
        <f t="shared" si="12"/>
        <v>RES_200601_P4T62027</v>
      </c>
    </row>
    <row r="832" spans="1:11">
      <c r="A832">
        <v>2024</v>
      </c>
      <c r="B832" t="s">
        <v>704</v>
      </c>
      <c r="C832" t="s">
        <v>2654</v>
      </c>
      <c r="D832" t="s">
        <v>2653</v>
      </c>
      <c r="E832" t="s">
        <v>2654</v>
      </c>
      <c r="F832" t="s">
        <v>2654</v>
      </c>
      <c r="G832" t="s">
        <v>2654</v>
      </c>
      <c r="H832" t="s">
        <v>2654</v>
      </c>
      <c r="I832" t="s">
        <v>1690</v>
      </c>
      <c r="K832" t="str">
        <f t="shared" si="12"/>
        <v>COM_200202_P4T92024</v>
      </c>
    </row>
    <row r="833" spans="1:11">
      <c r="A833">
        <v>2025</v>
      </c>
      <c r="B833" t="s">
        <v>704</v>
      </c>
      <c r="C833" t="s">
        <v>2654</v>
      </c>
      <c r="D833" t="s">
        <v>2653</v>
      </c>
      <c r="E833" t="s">
        <v>2654</v>
      </c>
      <c r="F833" t="s">
        <v>2654</v>
      </c>
      <c r="G833" t="s">
        <v>2654</v>
      </c>
      <c r="H833" t="s">
        <v>2654</v>
      </c>
      <c r="I833" t="s">
        <v>1690</v>
      </c>
      <c r="K833" t="str">
        <f t="shared" si="12"/>
        <v>COM_200202_P4T92025</v>
      </c>
    </row>
    <row r="834" spans="1:11">
      <c r="A834">
        <v>2026</v>
      </c>
      <c r="B834" t="s">
        <v>704</v>
      </c>
      <c r="C834" t="s">
        <v>2654</v>
      </c>
      <c r="D834" t="s">
        <v>2653</v>
      </c>
      <c r="E834" t="s">
        <v>2654</v>
      </c>
      <c r="F834" t="s">
        <v>2654</v>
      </c>
      <c r="G834" t="s">
        <v>2654</v>
      </c>
      <c r="H834" t="s">
        <v>2654</v>
      </c>
      <c r="I834" t="s">
        <v>1690</v>
      </c>
      <c r="K834" t="str">
        <f t="shared" si="12"/>
        <v>COM_200202_P4T92026</v>
      </c>
    </row>
    <row r="835" spans="1:11">
      <c r="A835">
        <v>2027</v>
      </c>
      <c r="B835" t="s">
        <v>704</v>
      </c>
      <c r="C835" t="s">
        <v>2654</v>
      </c>
      <c r="D835" t="s">
        <v>2653</v>
      </c>
      <c r="E835" t="s">
        <v>2654</v>
      </c>
      <c r="F835" t="s">
        <v>2654</v>
      </c>
      <c r="G835" t="s">
        <v>2654</v>
      </c>
      <c r="H835" t="s">
        <v>2654</v>
      </c>
      <c r="I835" t="s">
        <v>1690</v>
      </c>
      <c r="K835" t="str">
        <f t="shared" ref="K835:K898" si="13">B835&amp;A835</f>
        <v>COM_200202_P4T92027</v>
      </c>
    </row>
    <row r="836" spans="1:11">
      <c r="A836">
        <v>2027</v>
      </c>
      <c r="B836" t="s">
        <v>396</v>
      </c>
      <c r="C836" t="s">
        <v>2654</v>
      </c>
      <c r="D836" t="s">
        <v>2653</v>
      </c>
      <c r="E836" t="s">
        <v>2654</v>
      </c>
      <c r="F836" t="s">
        <v>2654</v>
      </c>
      <c r="G836" t="s">
        <v>2654</v>
      </c>
      <c r="H836" t="s">
        <v>2654</v>
      </c>
      <c r="I836" t="s">
        <v>1737</v>
      </c>
      <c r="K836" t="str">
        <f t="shared" si="13"/>
        <v>RES_200401_P4T12027</v>
      </c>
    </row>
    <row r="837" spans="1:11">
      <c r="A837">
        <v>2026</v>
      </c>
      <c r="B837" t="s">
        <v>396</v>
      </c>
      <c r="C837" t="s">
        <v>2654</v>
      </c>
      <c r="D837" t="s">
        <v>2653</v>
      </c>
      <c r="E837" t="s">
        <v>2654</v>
      </c>
      <c r="F837" t="s">
        <v>2654</v>
      </c>
      <c r="G837" t="s">
        <v>2654</v>
      </c>
      <c r="H837" t="s">
        <v>2654</v>
      </c>
      <c r="I837" t="s">
        <v>1737</v>
      </c>
      <c r="K837" t="str">
        <f t="shared" si="13"/>
        <v>RES_200401_P4T12026</v>
      </c>
    </row>
    <row r="838" spans="1:11">
      <c r="A838">
        <v>2024</v>
      </c>
      <c r="B838" t="s">
        <v>396</v>
      </c>
      <c r="C838" t="s">
        <v>2654</v>
      </c>
      <c r="D838" t="s">
        <v>2653</v>
      </c>
      <c r="E838" t="s">
        <v>2654</v>
      </c>
      <c r="F838" t="s">
        <v>2654</v>
      </c>
      <c r="G838" t="s">
        <v>2654</v>
      </c>
      <c r="H838" t="s">
        <v>2654</v>
      </c>
      <c r="I838" t="s">
        <v>1737</v>
      </c>
      <c r="K838" t="str">
        <f t="shared" si="13"/>
        <v>RES_200401_P4T12024</v>
      </c>
    </row>
    <row r="839" spans="1:11">
      <c r="A839">
        <v>2025</v>
      </c>
      <c r="B839" t="s">
        <v>396</v>
      </c>
      <c r="C839" t="s">
        <v>2654</v>
      </c>
      <c r="D839" t="s">
        <v>2653</v>
      </c>
      <c r="E839" t="s">
        <v>2654</v>
      </c>
      <c r="F839" t="s">
        <v>2654</v>
      </c>
      <c r="G839" t="s">
        <v>2654</v>
      </c>
      <c r="H839" t="s">
        <v>2654</v>
      </c>
      <c r="I839" t="s">
        <v>1737</v>
      </c>
      <c r="K839" t="str">
        <f t="shared" si="13"/>
        <v>RES_200401_P4T12025</v>
      </c>
    </row>
    <row r="840" spans="1:11">
      <c r="A840">
        <v>2026</v>
      </c>
      <c r="B840" t="s">
        <v>397</v>
      </c>
      <c r="C840" t="s">
        <v>2654</v>
      </c>
      <c r="D840" t="s">
        <v>2653</v>
      </c>
      <c r="E840" t="s">
        <v>2654</v>
      </c>
      <c r="F840" t="s">
        <v>2654</v>
      </c>
      <c r="G840" t="s">
        <v>2654</v>
      </c>
      <c r="H840" t="s">
        <v>2654</v>
      </c>
      <c r="I840" t="s">
        <v>1738</v>
      </c>
      <c r="K840" t="str">
        <f t="shared" si="13"/>
        <v>RES_200401_P4T22026</v>
      </c>
    </row>
    <row r="841" spans="1:11">
      <c r="A841">
        <v>2024</v>
      </c>
      <c r="B841" t="s">
        <v>397</v>
      </c>
      <c r="C841" t="s">
        <v>2654</v>
      </c>
      <c r="D841" t="s">
        <v>2653</v>
      </c>
      <c r="E841" t="s">
        <v>2654</v>
      </c>
      <c r="F841" t="s">
        <v>2654</v>
      </c>
      <c r="G841" t="s">
        <v>2654</v>
      </c>
      <c r="H841" t="s">
        <v>2654</v>
      </c>
      <c r="I841" t="s">
        <v>1738</v>
      </c>
      <c r="K841" t="str">
        <f t="shared" si="13"/>
        <v>RES_200401_P4T22024</v>
      </c>
    </row>
    <row r="842" spans="1:11">
      <c r="A842">
        <v>2025</v>
      </c>
      <c r="B842" t="s">
        <v>397</v>
      </c>
      <c r="C842" t="s">
        <v>2654</v>
      </c>
      <c r="D842" t="s">
        <v>2653</v>
      </c>
      <c r="E842" t="s">
        <v>2654</v>
      </c>
      <c r="F842" t="s">
        <v>2654</v>
      </c>
      <c r="G842" t="s">
        <v>2654</v>
      </c>
      <c r="H842" t="s">
        <v>2654</v>
      </c>
      <c r="I842" t="s">
        <v>1738</v>
      </c>
      <c r="K842" t="str">
        <f t="shared" si="13"/>
        <v>RES_200401_P4T22025</v>
      </c>
    </row>
    <row r="843" spans="1:11">
      <c r="A843">
        <v>2027</v>
      </c>
      <c r="B843" t="s">
        <v>397</v>
      </c>
      <c r="C843" t="s">
        <v>2654</v>
      </c>
      <c r="D843" t="s">
        <v>2653</v>
      </c>
      <c r="E843" t="s">
        <v>2654</v>
      </c>
      <c r="F843" t="s">
        <v>2654</v>
      </c>
      <c r="G843" t="s">
        <v>2654</v>
      </c>
      <c r="H843" t="s">
        <v>2654</v>
      </c>
      <c r="I843" t="s">
        <v>1738</v>
      </c>
      <c r="K843" t="str">
        <f t="shared" si="13"/>
        <v>RES_200401_P4T22027</v>
      </c>
    </row>
    <row r="844" spans="1:11">
      <c r="A844">
        <v>2027</v>
      </c>
      <c r="B844" t="s">
        <v>398</v>
      </c>
      <c r="C844" t="s">
        <v>2654</v>
      </c>
      <c r="D844" t="s">
        <v>2653</v>
      </c>
      <c r="E844" t="s">
        <v>2654</v>
      </c>
      <c r="F844" t="s">
        <v>2654</v>
      </c>
      <c r="G844" t="s">
        <v>2654</v>
      </c>
      <c r="H844" t="s">
        <v>2654</v>
      </c>
      <c r="I844" t="s">
        <v>1739</v>
      </c>
      <c r="K844" t="str">
        <f t="shared" si="13"/>
        <v>RES_200401_P4T32027</v>
      </c>
    </row>
    <row r="845" spans="1:11">
      <c r="A845">
        <v>2025</v>
      </c>
      <c r="B845" t="s">
        <v>398</v>
      </c>
      <c r="C845" t="s">
        <v>2654</v>
      </c>
      <c r="D845" t="s">
        <v>2653</v>
      </c>
      <c r="E845" t="s">
        <v>2654</v>
      </c>
      <c r="F845" t="s">
        <v>2654</v>
      </c>
      <c r="G845" t="s">
        <v>2654</v>
      </c>
      <c r="H845" t="s">
        <v>2654</v>
      </c>
      <c r="I845" t="s">
        <v>1739</v>
      </c>
      <c r="K845" t="str">
        <f t="shared" si="13"/>
        <v>RES_200401_P4T32025</v>
      </c>
    </row>
    <row r="846" spans="1:11">
      <c r="A846">
        <v>2024</v>
      </c>
      <c r="B846" t="s">
        <v>398</v>
      </c>
      <c r="C846" t="s">
        <v>2654</v>
      </c>
      <c r="D846" t="s">
        <v>2653</v>
      </c>
      <c r="E846" t="s">
        <v>2654</v>
      </c>
      <c r="F846" t="s">
        <v>2654</v>
      </c>
      <c r="G846" t="s">
        <v>2654</v>
      </c>
      <c r="H846" t="s">
        <v>2654</v>
      </c>
      <c r="I846" t="s">
        <v>1739</v>
      </c>
      <c r="K846" t="str">
        <f t="shared" si="13"/>
        <v>RES_200401_P4T32024</v>
      </c>
    </row>
    <row r="847" spans="1:11">
      <c r="A847">
        <v>2026</v>
      </c>
      <c r="B847" t="s">
        <v>398</v>
      </c>
      <c r="C847" t="s">
        <v>2654</v>
      </c>
      <c r="D847" t="s">
        <v>2653</v>
      </c>
      <c r="E847" t="s">
        <v>2654</v>
      </c>
      <c r="F847" t="s">
        <v>2654</v>
      </c>
      <c r="G847" t="s">
        <v>2654</v>
      </c>
      <c r="H847" t="s">
        <v>2654</v>
      </c>
      <c r="I847" t="s">
        <v>1739</v>
      </c>
      <c r="K847" t="str">
        <f t="shared" si="13"/>
        <v>RES_200401_P4T32026</v>
      </c>
    </row>
    <row r="848" spans="1:11">
      <c r="A848">
        <v>2024</v>
      </c>
      <c r="B848" t="s">
        <v>63</v>
      </c>
      <c r="C848" t="s">
        <v>2654</v>
      </c>
      <c r="D848" t="s">
        <v>2653</v>
      </c>
      <c r="E848" t="s">
        <v>2654</v>
      </c>
      <c r="F848" t="s">
        <v>2654</v>
      </c>
      <c r="G848" t="s">
        <v>2654</v>
      </c>
      <c r="H848" t="s">
        <v>2654</v>
      </c>
      <c r="I848" t="s">
        <v>1142</v>
      </c>
      <c r="K848" t="str">
        <f t="shared" si="13"/>
        <v>RES_201301_P4T42024</v>
      </c>
    </row>
    <row r="849" spans="1:11">
      <c r="A849">
        <v>2025</v>
      </c>
      <c r="B849" t="s">
        <v>63</v>
      </c>
      <c r="C849" t="s">
        <v>2654</v>
      </c>
      <c r="D849" t="s">
        <v>2653</v>
      </c>
      <c r="E849" t="s">
        <v>2654</v>
      </c>
      <c r="F849" t="s">
        <v>2654</v>
      </c>
      <c r="G849" t="s">
        <v>2654</v>
      </c>
      <c r="H849" t="s">
        <v>2654</v>
      </c>
      <c r="I849" t="s">
        <v>1142</v>
      </c>
      <c r="K849" t="str">
        <f t="shared" si="13"/>
        <v>RES_201301_P4T42025</v>
      </c>
    </row>
    <row r="850" spans="1:11">
      <c r="A850">
        <v>2026</v>
      </c>
      <c r="B850" t="s">
        <v>63</v>
      </c>
      <c r="C850" t="s">
        <v>2654</v>
      </c>
      <c r="D850" t="s">
        <v>2653</v>
      </c>
      <c r="E850" t="s">
        <v>2654</v>
      </c>
      <c r="F850" t="s">
        <v>2654</v>
      </c>
      <c r="G850" t="s">
        <v>2654</v>
      </c>
      <c r="H850" t="s">
        <v>2654</v>
      </c>
      <c r="I850" t="s">
        <v>1142</v>
      </c>
      <c r="K850" t="str">
        <f t="shared" si="13"/>
        <v>RES_201301_P4T42026</v>
      </c>
    </row>
    <row r="851" spans="1:11">
      <c r="A851">
        <v>2027</v>
      </c>
      <c r="B851" t="s">
        <v>63</v>
      </c>
      <c r="C851" t="s">
        <v>2654</v>
      </c>
      <c r="D851" t="s">
        <v>2653</v>
      </c>
      <c r="E851" t="s">
        <v>2654</v>
      </c>
      <c r="F851" t="s">
        <v>2654</v>
      </c>
      <c r="G851" t="s">
        <v>2654</v>
      </c>
      <c r="H851" t="s">
        <v>2654</v>
      </c>
      <c r="I851" t="s">
        <v>1142</v>
      </c>
      <c r="K851" t="str">
        <f t="shared" si="13"/>
        <v>RES_201301_P4T42027</v>
      </c>
    </row>
    <row r="852" spans="1:11">
      <c r="A852">
        <v>2024</v>
      </c>
      <c r="B852" t="s">
        <v>1578</v>
      </c>
      <c r="C852" t="s">
        <v>2654</v>
      </c>
      <c r="D852" t="s">
        <v>2653</v>
      </c>
      <c r="E852" t="s">
        <v>2654</v>
      </c>
      <c r="F852" t="s">
        <v>2654</v>
      </c>
      <c r="G852" t="s">
        <v>2654</v>
      </c>
      <c r="H852" t="s">
        <v>2654</v>
      </c>
      <c r="I852" t="s">
        <v>1683</v>
      </c>
      <c r="K852" t="str">
        <f t="shared" si="13"/>
        <v>COM_200202_P4T102024</v>
      </c>
    </row>
    <row r="853" spans="1:11">
      <c r="A853">
        <v>2025</v>
      </c>
      <c r="B853" t="s">
        <v>1578</v>
      </c>
      <c r="C853" t="s">
        <v>2654</v>
      </c>
      <c r="D853" t="s">
        <v>2653</v>
      </c>
      <c r="E853" t="s">
        <v>2654</v>
      </c>
      <c r="F853" t="s">
        <v>2654</v>
      </c>
      <c r="G853" t="s">
        <v>2654</v>
      </c>
      <c r="H853" t="s">
        <v>2654</v>
      </c>
      <c r="I853" t="s">
        <v>1683</v>
      </c>
      <c r="K853" t="str">
        <f t="shared" si="13"/>
        <v>COM_200202_P4T102025</v>
      </c>
    </row>
    <row r="854" spans="1:11">
      <c r="A854">
        <v>2026</v>
      </c>
      <c r="B854" t="s">
        <v>1578</v>
      </c>
      <c r="C854" t="s">
        <v>2654</v>
      </c>
      <c r="D854" t="s">
        <v>2653</v>
      </c>
      <c r="E854" t="s">
        <v>2654</v>
      </c>
      <c r="F854" t="s">
        <v>2654</v>
      </c>
      <c r="G854" t="s">
        <v>2654</v>
      </c>
      <c r="H854" t="s">
        <v>2654</v>
      </c>
      <c r="I854" t="s">
        <v>1683</v>
      </c>
      <c r="K854" t="str">
        <f t="shared" si="13"/>
        <v>COM_200202_P4T102026</v>
      </c>
    </row>
    <row r="855" spans="1:11">
      <c r="A855">
        <v>2027</v>
      </c>
      <c r="B855" t="s">
        <v>1578</v>
      </c>
      <c r="C855" t="s">
        <v>2654</v>
      </c>
      <c r="D855" t="s">
        <v>2653</v>
      </c>
      <c r="E855" t="s">
        <v>2654</v>
      </c>
      <c r="F855" t="s">
        <v>2654</v>
      </c>
      <c r="G855" t="s">
        <v>2654</v>
      </c>
      <c r="H855" t="s">
        <v>2654</v>
      </c>
      <c r="I855" t="s">
        <v>1683</v>
      </c>
      <c r="K855" t="str">
        <f t="shared" si="13"/>
        <v>COM_200202_P4T102027</v>
      </c>
    </row>
    <row r="856" spans="1:11">
      <c r="A856">
        <v>2024</v>
      </c>
      <c r="B856" t="s">
        <v>1579</v>
      </c>
      <c r="C856" t="s">
        <v>2654</v>
      </c>
      <c r="D856" t="s">
        <v>2653</v>
      </c>
      <c r="E856" t="s">
        <v>2654</v>
      </c>
      <c r="F856" t="s">
        <v>2654</v>
      </c>
      <c r="G856" t="s">
        <v>2654</v>
      </c>
      <c r="H856" t="s">
        <v>2654</v>
      </c>
      <c r="I856" t="s">
        <v>1684</v>
      </c>
      <c r="K856" t="str">
        <f t="shared" si="13"/>
        <v>COM_200202_P4T112024</v>
      </c>
    </row>
    <row r="857" spans="1:11">
      <c r="A857">
        <v>2025</v>
      </c>
      <c r="B857" t="s">
        <v>1579</v>
      </c>
      <c r="C857" t="s">
        <v>2654</v>
      </c>
      <c r="D857" t="s">
        <v>2653</v>
      </c>
      <c r="E857" t="s">
        <v>2654</v>
      </c>
      <c r="F857" t="s">
        <v>2654</v>
      </c>
      <c r="G857" t="s">
        <v>2654</v>
      </c>
      <c r="H857" t="s">
        <v>2654</v>
      </c>
      <c r="I857" t="s">
        <v>1684</v>
      </c>
      <c r="K857" t="str">
        <f t="shared" si="13"/>
        <v>COM_200202_P4T112025</v>
      </c>
    </row>
    <row r="858" spans="1:11">
      <c r="A858">
        <v>2026</v>
      </c>
      <c r="B858" t="s">
        <v>1579</v>
      </c>
      <c r="C858" t="s">
        <v>2654</v>
      </c>
      <c r="D858" t="s">
        <v>2653</v>
      </c>
      <c r="E858" t="s">
        <v>2654</v>
      </c>
      <c r="F858" t="s">
        <v>2654</v>
      </c>
      <c r="G858" t="s">
        <v>2654</v>
      </c>
      <c r="H858" t="s">
        <v>2654</v>
      </c>
      <c r="I858" t="s">
        <v>1684</v>
      </c>
      <c r="K858" t="str">
        <f t="shared" si="13"/>
        <v>COM_200202_P4T112026</v>
      </c>
    </row>
    <row r="859" spans="1:11">
      <c r="A859">
        <v>2027</v>
      </c>
      <c r="B859" t="s">
        <v>1579</v>
      </c>
      <c r="C859" t="s">
        <v>2654</v>
      </c>
      <c r="D859" t="s">
        <v>2653</v>
      </c>
      <c r="E859" t="s">
        <v>2654</v>
      </c>
      <c r="F859" t="s">
        <v>2654</v>
      </c>
      <c r="G859" t="s">
        <v>2654</v>
      </c>
      <c r="H859" t="s">
        <v>2654</v>
      </c>
      <c r="I859" t="s">
        <v>1684</v>
      </c>
      <c r="K859" t="str">
        <f t="shared" si="13"/>
        <v>COM_200202_P4T112027</v>
      </c>
    </row>
    <row r="860" spans="1:11">
      <c r="A860">
        <v>2024</v>
      </c>
      <c r="B860" t="s">
        <v>2351</v>
      </c>
      <c r="C860" t="s">
        <v>2654</v>
      </c>
      <c r="D860" t="s">
        <v>2653</v>
      </c>
      <c r="E860" t="s">
        <v>2654</v>
      </c>
      <c r="F860" t="s">
        <v>2654</v>
      </c>
      <c r="G860" t="s">
        <v>2654</v>
      </c>
      <c r="H860" t="s">
        <v>2654</v>
      </c>
      <c r="I860" t="s">
        <v>2425</v>
      </c>
      <c r="K860" t="str">
        <f t="shared" si="13"/>
        <v>COM_202201_P1T12024</v>
      </c>
    </row>
    <row r="861" spans="1:11">
      <c r="A861">
        <v>2025</v>
      </c>
      <c r="B861" t="s">
        <v>2351</v>
      </c>
      <c r="C861" t="s">
        <v>2654</v>
      </c>
      <c r="D861" t="s">
        <v>2653</v>
      </c>
      <c r="E861" t="s">
        <v>2654</v>
      </c>
      <c r="F861" t="s">
        <v>2654</v>
      </c>
      <c r="G861" t="s">
        <v>2654</v>
      </c>
      <c r="H861" t="s">
        <v>2654</v>
      </c>
      <c r="I861" t="s">
        <v>2425</v>
      </c>
      <c r="K861" t="str">
        <f t="shared" si="13"/>
        <v>COM_202201_P1T12025</v>
      </c>
    </row>
    <row r="862" spans="1:11">
      <c r="A862">
        <v>2026</v>
      </c>
      <c r="B862" t="s">
        <v>2351</v>
      </c>
      <c r="C862" t="s">
        <v>2654</v>
      </c>
      <c r="D862" t="s">
        <v>2653</v>
      </c>
      <c r="E862" t="s">
        <v>2654</v>
      </c>
      <c r="F862" t="s">
        <v>2654</v>
      </c>
      <c r="G862" t="s">
        <v>2654</v>
      </c>
      <c r="H862" t="s">
        <v>2654</v>
      </c>
      <c r="I862" t="s">
        <v>2425</v>
      </c>
      <c r="K862" t="str">
        <f t="shared" si="13"/>
        <v>COM_202201_P1T12026</v>
      </c>
    </row>
    <row r="863" spans="1:11">
      <c r="A863">
        <v>2027</v>
      </c>
      <c r="B863" t="s">
        <v>2351</v>
      </c>
      <c r="C863" t="s">
        <v>2654</v>
      </c>
      <c r="D863" t="s">
        <v>2653</v>
      </c>
      <c r="E863" t="s">
        <v>2654</v>
      </c>
      <c r="F863" t="s">
        <v>2654</v>
      </c>
      <c r="G863" t="s">
        <v>2654</v>
      </c>
      <c r="H863" t="s">
        <v>2654</v>
      </c>
      <c r="I863" t="s">
        <v>2425</v>
      </c>
      <c r="K863" t="str">
        <f t="shared" si="13"/>
        <v>COM_202201_P1T12027</v>
      </c>
    </row>
    <row r="864" spans="1:11">
      <c r="A864">
        <v>2024</v>
      </c>
      <c r="B864" t="s">
        <v>57</v>
      </c>
      <c r="C864" t="s">
        <v>2654</v>
      </c>
      <c r="D864" t="s">
        <v>2653</v>
      </c>
      <c r="E864" t="s">
        <v>2654</v>
      </c>
      <c r="F864" t="s">
        <v>2654</v>
      </c>
      <c r="G864" t="s">
        <v>2653</v>
      </c>
      <c r="H864" t="s">
        <v>2653</v>
      </c>
      <c r="I864" t="s">
        <v>1813</v>
      </c>
      <c r="K864" t="str">
        <f t="shared" si="13"/>
        <v>RES_201301_P1T42024</v>
      </c>
    </row>
    <row r="865" spans="1:11">
      <c r="A865">
        <v>2025</v>
      </c>
      <c r="B865" t="s">
        <v>57</v>
      </c>
      <c r="C865" t="s">
        <v>2654</v>
      </c>
      <c r="D865" t="s">
        <v>2653</v>
      </c>
      <c r="E865" t="s">
        <v>2654</v>
      </c>
      <c r="F865" t="s">
        <v>2654</v>
      </c>
      <c r="G865" t="s">
        <v>2653</v>
      </c>
      <c r="H865" t="s">
        <v>2653</v>
      </c>
      <c r="I865" t="s">
        <v>1813</v>
      </c>
      <c r="K865" t="str">
        <f t="shared" si="13"/>
        <v>RES_201301_P1T42025</v>
      </c>
    </row>
    <row r="866" spans="1:11">
      <c r="A866">
        <v>2026</v>
      </c>
      <c r="B866" t="s">
        <v>57</v>
      </c>
      <c r="C866" t="s">
        <v>2654</v>
      </c>
      <c r="D866" t="s">
        <v>2653</v>
      </c>
      <c r="E866" t="s">
        <v>2654</v>
      </c>
      <c r="F866" t="s">
        <v>2654</v>
      </c>
      <c r="G866" t="s">
        <v>2653</v>
      </c>
      <c r="H866" t="s">
        <v>2653</v>
      </c>
      <c r="I866" t="s">
        <v>1813</v>
      </c>
      <c r="K866" t="str">
        <f t="shared" si="13"/>
        <v>RES_201301_P1T42026</v>
      </c>
    </row>
    <row r="867" spans="1:11">
      <c r="A867">
        <v>2027</v>
      </c>
      <c r="B867" t="s">
        <v>57</v>
      </c>
      <c r="C867" t="s">
        <v>2654</v>
      </c>
      <c r="D867" t="s">
        <v>2653</v>
      </c>
      <c r="E867" t="s">
        <v>2654</v>
      </c>
      <c r="F867" t="s">
        <v>2654</v>
      </c>
      <c r="G867" t="s">
        <v>2653</v>
      </c>
      <c r="H867" t="s">
        <v>2653</v>
      </c>
      <c r="I867" t="s">
        <v>1813</v>
      </c>
      <c r="K867" t="str">
        <f t="shared" si="13"/>
        <v>RES_201301_P1T42027</v>
      </c>
    </row>
    <row r="868" spans="1:11">
      <c r="A868">
        <v>2024</v>
      </c>
      <c r="B868" t="s">
        <v>1611</v>
      </c>
      <c r="C868" t="s">
        <v>2654</v>
      </c>
      <c r="D868" t="s">
        <v>2653</v>
      </c>
      <c r="E868" t="s">
        <v>2654</v>
      </c>
      <c r="F868" t="s">
        <v>2654</v>
      </c>
      <c r="G868" t="s">
        <v>2653</v>
      </c>
      <c r="H868" t="s">
        <v>2653</v>
      </c>
      <c r="I868" t="s">
        <v>1814</v>
      </c>
      <c r="K868" t="str">
        <f t="shared" si="13"/>
        <v>RES_201301_P1T62024</v>
      </c>
    </row>
    <row r="869" spans="1:11">
      <c r="A869">
        <v>2025</v>
      </c>
      <c r="B869" t="s">
        <v>1611</v>
      </c>
      <c r="C869" t="s">
        <v>2654</v>
      </c>
      <c r="D869" t="s">
        <v>2653</v>
      </c>
      <c r="E869" t="s">
        <v>2654</v>
      </c>
      <c r="F869" t="s">
        <v>2654</v>
      </c>
      <c r="G869" t="s">
        <v>2653</v>
      </c>
      <c r="H869" t="s">
        <v>2653</v>
      </c>
      <c r="I869" t="s">
        <v>1814</v>
      </c>
      <c r="K869" t="str">
        <f t="shared" si="13"/>
        <v>RES_201301_P1T62025</v>
      </c>
    </row>
    <row r="870" spans="1:11">
      <c r="A870">
        <v>2026</v>
      </c>
      <c r="B870" t="s">
        <v>1611</v>
      </c>
      <c r="C870" t="s">
        <v>2654</v>
      </c>
      <c r="D870" t="s">
        <v>2653</v>
      </c>
      <c r="E870" t="s">
        <v>2654</v>
      </c>
      <c r="F870" t="s">
        <v>2654</v>
      </c>
      <c r="G870" t="s">
        <v>2653</v>
      </c>
      <c r="H870" t="s">
        <v>2653</v>
      </c>
      <c r="I870" t="s">
        <v>1814</v>
      </c>
      <c r="K870" t="str">
        <f t="shared" si="13"/>
        <v>RES_201301_P1T62026</v>
      </c>
    </row>
    <row r="871" spans="1:11">
      <c r="A871">
        <v>2027</v>
      </c>
      <c r="B871" t="s">
        <v>1611</v>
      </c>
      <c r="C871" t="s">
        <v>2654</v>
      </c>
      <c r="D871" t="s">
        <v>2653</v>
      </c>
      <c r="E871" t="s">
        <v>2654</v>
      </c>
      <c r="F871" t="s">
        <v>2654</v>
      </c>
      <c r="G871" t="s">
        <v>2653</v>
      </c>
      <c r="H871" t="s">
        <v>2653</v>
      </c>
      <c r="I871" t="s">
        <v>1814</v>
      </c>
      <c r="K871" t="str">
        <f t="shared" si="13"/>
        <v>RES_201301_P1T62027</v>
      </c>
    </row>
    <row r="872" spans="1:11">
      <c r="A872">
        <v>2024</v>
      </c>
      <c r="B872" t="s">
        <v>1612</v>
      </c>
      <c r="C872" t="s">
        <v>2654</v>
      </c>
      <c r="D872" t="s">
        <v>2653</v>
      </c>
      <c r="E872" t="s">
        <v>2654</v>
      </c>
      <c r="F872" t="s">
        <v>2654</v>
      </c>
      <c r="G872" t="s">
        <v>2653</v>
      </c>
      <c r="H872" t="s">
        <v>2653</v>
      </c>
      <c r="I872" t="s">
        <v>1815</v>
      </c>
      <c r="K872" t="str">
        <f t="shared" si="13"/>
        <v>RES_201301_P1T72024</v>
      </c>
    </row>
    <row r="873" spans="1:11">
      <c r="A873">
        <v>2025</v>
      </c>
      <c r="B873" t="s">
        <v>1612</v>
      </c>
      <c r="C873" t="s">
        <v>2654</v>
      </c>
      <c r="D873" t="s">
        <v>2653</v>
      </c>
      <c r="E873" t="s">
        <v>2654</v>
      </c>
      <c r="F873" t="s">
        <v>2654</v>
      </c>
      <c r="G873" t="s">
        <v>2653</v>
      </c>
      <c r="H873" t="s">
        <v>2653</v>
      </c>
      <c r="I873" t="s">
        <v>1815</v>
      </c>
      <c r="K873" t="str">
        <f t="shared" si="13"/>
        <v>RES_201301_P1T72025</v>
      </c>
    </row>
    <row r="874" spans="1:11">
      <c r="A874">
        <v>2026</v>
      </c>
      <c r="B874" t="s">
        <v>1612</v>
      </c>
      <c r="C874" t="s">
        <v>2654</v>
      </c>
      <c r="D874" t="s">
        <v>2653</v>
      </c>
      <c r="E874" t="s">
        <v>2654</v>
      </c>
      <c r="F874" t="s">
        <v>2654</v>
      </c>
      <c r="G874" t="s">
        <v>2653</v>
      </c>
      <c r="H874" t="s">
        <v>2653</v>
      </c>
      <c r="I874" t="s">
        <v>1815</v>
      </c>
      <c r="K874" t="str">
        <f t="shared" si="13"/>
        <v>RES_201301_P1T72026</v>
      </c>
    </row>
    <row r="875" spans="1:11">
      <c r="A875">
        <v>2027</v>
      </c>
      <c r="B875" t="s">
        <v>1612</v>
      </c>
      <c r="C875" t="s">
        <v>2654</v>
      </c>
      <c r="D875" t="s">
        <v>2653</v>
      </c>
      <c r="E875" t="s">
        <v>2654</v>
      </c>
      <c r="F875" t="s">
        <v>2654</v>
      </c>
      <c r="G875" t="s">
        <v>2653</v>
      </c>
      <c r="H875" t="s">
        <v>2653</v>
      </c>
      <c r="I875" t="s">
        <v>1815</v>
      </c>
      <c r="K875" t="str">
        <f t="shared" si="13"/>
        <v>RES_201301_P1T72027</v>
      </c>
    </row>
    <row r="876" spans="1:11">
      <c r="A876">
        <v>2024</v>
      </c>
      <c r="B876" t="s">
        <v>1613</v>
      </c>
      <c r="C876" t="s">
        <v>2654</v>
      </c>
      <c r="D876" t="s">
        <v>2653</v>
      </c>
      <c r="E876" t="s">
        <v>2654</v>
      </c>
      <c r="F876" t="s">
        <v>2654</v>
      </c>
      <c r="G876" t="s">
        <v>2653</v>
      </c>
      <c r="H876" t="s">
        <v>2653</v>
      </c>
      <c r="I876" t="s">
        <v>1816</v>
      </c>
      <c r="K876" t="str">
        <f t="shared" si="13"/>
        <v>RES_201301_P1T82024</v>
      </c>
    </row>
    <row r="877" spans="1:11">
      <c r="A877">
        <v>2025</v>
      </c>
      <c r="B877" t="s">
        <v>1613</v>
      </c>
      <c r="C877" t="s">
        <v>2654</v>
      </c>
      <c r="D877" t="s">
        <v>2653</v>
      </c>
      <c r="E877" t="s">
        <v>2654</v>
      </c>
      <c r="F877" t="s">
        <v>2654</v>
      </c>
      <c r="G877" t="s">
        <v>2653</v>
      </c>
      <c r="H877" t="s">
        <v>2653</v>
      </c>
      <c r="I877" t="s">
        <v>1816</v>
      </c>
      <c r="K877" t="str">
        <f t="shared" si="13"/>
        <v>RES_201301_P1T82025</v>
      </c>
    </row>
    <row r="878" spans="1:11">
      <c r="A878">
        <v>2026</v>
      </c>
      <c r="B878" t="s">
        <v>1613</v>
      </c>
      <c r="C878" t="s">
        <v>2654</v>
      </c>
      <c r="D878" t="s">
        <v>2653</v>
      </c>
      <c r="E878" t="s">
        <v>2654</v>
      </c>
      <c r="F878" t="s">
        <v>2654</v>
      </c>
      <c r="G878" t="s">
        <v>2653</v>
      </c>
      <c r="H878" t="s">
        <v>2653</v>
      </c>
      <c r="I878" t="s">
        <v>1816</v>
      </c>
      <c r="K878" t="str">
        <f t="shared" si="13"/>
        <v>RES_201301_P1T82026</v>
      </c>
    </row>
    <row r="879" spans="1:11">
      <c r="A879">
        <v>2027</v>
      </c>
      <c r="B879" t="s">
        <v>1613</v>
      </c>
      <c r="C879" t="s">
        <v>2654</v>
      </c>
      <c r="D879" t="s">
        <v>2653</v>
      </c>
      <c r="E879" t="s">
        <v>2654</v>
      </c>
      <c r="F879" t="s">
        <v>2654</v>
      </c>
      <c r="G879" t="s">
        <v>2653</v>
      </c>
      <c r="H879" t="s">
        <v>2653</v>
      </c>
      <c r="I879" t="s">
        <v>1816</v>
      </c>
      <c r="K879" t="str">
        <f t="shared" si="13"/>
        <v>RES_201301_P1T82027</v>
      </c>
    </row>
    <row r="880" spans="1:11">
      <c r="A880">
        <v>2024</v>
      </c>
      <c r="B880" t="s">
        <v>60</v>
      </c>
      <c r="C880" t="s">
        <v>2654</v>
      </c>
      <c r="D880" t="s">
        <v>2653</v>
      </c>
      <c r="E880" t="s">
        <v>2654</v>
      </c>
      <c r="F880" t="s">
        <v>2654</v>
      </c>
      <c r="G880" t="s">
        <v>2653</v>
      </c>
      <c r="H880" t="s">
        <v>2653</v>
      </c>
      <c r="I880" t="s">
        <v>1828</v>
      </c>
      <c r="K880" t="str">
        <f t="shared" si="13"/>
        <v>RES_201301_P2T52024</v>
      </c>
    </row>
    <row r="881" spans="1:11">
      <c r="A881">
        <v>2025</v>
      </c>
      <c r="B881" t="s">
        <v>60</v>
      </c>
      <c r="C881" t="s">
        <v>2654</v>
      </c>
      <c r="D881" t="s">
        <v>2653</v>
      </c>
      <c r="E881" t="s">
        <v>2654</v>
      </c>
      <c r="F881" t="s">
        <v>2654</v>
      </c>
      <c r="G881" t="s">
        <v>2653</v>
      </c>
      <c r="H881" t="s">
        <v>2653</v>
      </c>
      <c r="I881" t="s">
        <v>1828</v>
      </c>
      <c r="K881" t="str">
        <f t="shared" si="13"/>
        <v>RES_201301_P2T52025</v>
      </c>
    </row>
    <row r="882" spans="1:11">
      <c r="A882">
        <v>2026</v>
      </c>
      <c r="B882" t="s">
        <v>60</v>
      </c>
      <c r="C882" t="s">
        <v>2654</v>
      </c>
      <c r="D882" t="s">
        <v>2653</v>
      </c>
      <c r="E882" t="s">
        <v>2654</v>
      </c>
      <c r="F882" t="s">
        <v>2654</v>
      </c>
      <c r="G882" t="s">
        <v>2653</v>
      </c>
      <c r="H882" t="s">
        <v>2653</v>
      </c>
      <c r="I882" t="s">
        <v>1828</v>
      </c>
      <c r="K882" t="str">
        <f t="shared" si="13"/>
        <v>RES_201301_P2T52026</v>
      </c>
    </row>
    <row r="883" spans="1:11">
      <c r="A883">
        <v>2027</v>
      </c>
      <c r="B883" t="s">
        <v>60</v>
      </c>
      <c r="C883" t="s">
        <v>2654</v>
      </c>
      <c r="D883" t="s">
        <v>2653</v>
      </c>
      <c r="E883" t="s">
        <v>2654</v>
      </c>
      <c r="F883" t="s">
        <v>2654</v>
      </c>
      <c r="G883" t="s">
        <v>2653</v>
      </c>
      <c r="H883" t="s">
        <v>2653</v>
      </c>
      <c r="I883" t="s">
        <v>1828</v>
      </c>
      <c r="K883" t="str">
        <f t="shared" si="13"/>
        <v>RES_201301_P2T52027</v>
      </c>
    </row>
    <row r="884" spans="1:11">
      <c r="A884">
        <v>2024</v>
      </c>
      <c r="B884" t="s">
        <v>1617</v>
      </c>
      <c r="C884" t="s">
        <v>2654</v>
      </c>
      <c r="D884" t="s">
        <v>2653</v>
      </c>
      <c r="E884" t="s">
        <v>2654</v>
      </c>
      <c r="F884" t="s">
        <v>2654</v>
      </c>
      <c r="G884" t="s">
        <v>2653</v>
      </c>
      <c r="H884" t="s">
        <v>2653</v>
      </c>
      <c r="I884" t="s">
        <v>1829</v>
      </c>
      <c r="K884" t="str">
        <f t="shared" si="13"/>
        <v>RES_201301_P2T62024</v>
      </c>
    </row>
    <row r="885" spans="1:11">
      <c r="A885">
        <v>2025</v>
      </c>
      <c r="B885" t="s">
        <v>1617</v>
      </c>
      <c r="C885" t="s">
        <v>2654</v>
      </c>
      <c r="D885" t="s">
        <v>2653</v>
      </c>
      <c r="E885" t="s">
        <v>2654</v>
      </c>
      <c r="F885" t="s">
        <v>2654</v>
      </c>
      <c r="G885" t="s">
        <v>2653</v>
      </c>
      <c r="H885" t="s">
        <v>2653</v>
      </c>
      <c r="I885" t="s">
        <v>1829</v>
      </c>
      <c r="K885" t="str">
        <f t="shared" si="13"/>
        <v>RES_201301_P2T62025</v>
      </c>
    </row>
    <row r="886" spans="1:11">
      <c r="A886">
        <v>2026</v>
      </c>
      <c r="B886" t="s">
        <v>1617</v>
      </c>
      <c r="C886" t="s">
        <v>2654</v>
      </c>
      <c r="D886" t="s">
        <v>2653</v>
      </c>
      <c r="E886" t="s">
        <v>2654</v>
      </c>
      <c r="F886" t="s">
        <v>2654</v>
      </c>
      <c r="G886" t="s">
        <v>2653</v>
      </c>
      <c r="H886" t="s">
        <v>2653</v>
      </c>
      <c r="I886" t="s">
        <v>1829</v>
      </c>
      <c r="K886" t="str">
        <f t="shared" si="13"/>
        <v>RES_201301_P2T62026</v>
      </c>
    </row>
    <row r="887" spans="1:11">
      <c r="A887">
        <v>2027</v>
      </c>
      <c r="B887" t="s">
        <v>1617</v>
      </c>
      <c r="C887" t="s">
        <v>2654</v>
      </c>
      <c r="D887" t="s">
        <v>2653</v>
      </c>
      <c r="E887" t="s">
        <v>2654</v>
      </c>
      <c r="F887" t="s">
        <v>2654</v>
      </c>
      <c r="G887" t="s">
        <v>2653</v>
      </c>
      <c r="H887" t="s">
        <v>2653</v>
      </c>
      <c r="I887" t="s">
        <v>1829</v>
      </c>
      <c r="K887" t="str">
        <f t="shared" si="13"/>
        <v>RES_201301_P2T62027</v>
      </c>
    </row>
    <row r="888" spans="1:11">
      <c r="A888">
        <v>2024</v>
      </c>
      <c r="B888" t="s">
        <v>1618</v>
      </c>
      <c r="C888" t="s">
        <v>2654</v>
      </c>
      <c r="D888" t="s">
        <v>2653</v>
      </c>
      <c r="E888" t="s">
        <v>2654</v>
      </c>
      <c r="F888" t="s">
        <v>2654</v>
      </c>
      <c r="G888" t="s">
        <v>2653</v>
      </c>
      <c r="H888" t="s">
        <v>2653</v>
      </c>
      <c r="I888" t="s">
        <v>1830</v>
      </c>
      <c r="K888" t="str">
        <f t="shared" si="13"/>
        <v>RES_201301_P2T72024</v>
      </c>
    </row>
    <row r="889" spans="1:11">
      <c r="A889">
        <v>2025</v>
      </c>
      <c r="B889" t="s">
        <v>1618</v>
      </c>
      <c r="C889" t="s">
        <v>2654</v>
      </c>
      <c r="D889" t="s">
        <v>2653</v>
      </c>
      <c r="E889" t="s">
        <v>2654</v>
      </c>
      <c r="F889" t="s">
        <v>2654</v>
      </c>
      <c r="G889" t="s">
        <v>2653</v>
      </c>
      <c r="H889" t="s">
        <v>2653</v>
      </c>
      <c r="I889" t="s">
        <v>1830</v>
      </c>
      <c r="K889" t="str">
        <f t="shared" si="13"/>
        <v>RES_201301_P2T72025</v>
      </c>
    </row>
    <row r="890" spans="1:11">
      <c r="A890">
        <v>2026</v>
      </c>
      <c r="B890" t="s">
        <v>1618</v>
      </c>
      <c r="C890" t="s">
        <v>2654</v>
      </c>
      <c r="D890" t="s">
        <v>2653</v>
      </c>
      <c r="E890" t="s">
        <v>2654</v>
      </c>
      <c r="F890" t="s">
        <v>2654</v>
      </c>
      <c r="G890" t="s">
        <v>2653</v>
      </c>
      <c r="H890" t="s">
        <v>2653</v>
      </c>
      <c r="I890" t="s">
        <v>1830</v>
      </c>
      <c r="K890" t="str">
        <f t="shared" si="13"/>
        <v>RES_201301_P2T72026</v>
      </c>
    </row>
    <row r="891" spans="1:11">
      <c r="A891">
        <v>2027</v>
      </c>
      <c r="B891" t="s">
        <v>1618</v>
      </c>
      <c r="C891" t="s">
        <v>2654</v>
      </c>
      <c r="D891" t="s">
        <v>2653</v>
      </c>
      <c r="E891" t="s">
        <v>2654</v>
      </c>
      <c r="F891" t="s">
        <v>2654</v>
      </c>
      <c r="G891" t="s">
        <v>2653</v>
      </c>
      <c r="H891" t="s">
        <v>2653</v>
      </c>
      <c r="I891" t="s">
        <v>1830</v>
      </c>
      <c r="K891" t="str">
        <f t="shared" si="13"/>
        <v>RES_201301_P2T72027</v>
      </c>
    </row>
    <row r="892" spans="1:11">
      <c r="A892">
        <v>2024</v>
      </c>
      <c r="B892" t="s">
        <v>62</v>
      </c>
      <c r="C892" t="s">
        <v>2654</v>
      </c>
      <c r="D892" t="s">
        <v>2653</v>
      </c>
      <c r="E892" t="s">
        <v>2654</v>
      </c>
      <c r="F892" t="s">
        <v>2654</v>
      </c>
      <c r="G892" t="s">
        <v>2653</v>
      </c>
      <c r="H892" t="s">
        <v>2653</v>
      </c>
      <c r="I892" t="s">
        <v>1831</v>
      </c>
      <c r="K892" t="str">
        <f t="shared" si="13"/>
        <v>RES_201301_P3T52024</v>
      </c>
    </row>
    <row r="893" spans="1:11">
      <c r="A893">
        <v>2025</v>
      </c>
      <c r="B893" t="s">
        <v>62</v>
      </c>
      <c r="C893" t="s">
        <v>2654</v>
      </c>
      <c r="D893" t="s">
        <v>2653</v>
      </c>
      <c r="E893" t="s">
        <v>2654</v>
      </c>
      <c r="F893" t="s">
        <v>2654</v>
      </c>
      <c r="G893" t="s">
        <v>2653</v>
      </c>
      <c r="H893" t="s">
        <v>2653</v>
      </c>
      <c r="I893" t="s">
        <v>1831</v>
      </c>
      <c r="K893" t="str">
        <f t="shared" si="13"/>
        <v>RES_201301_P3T52025</v>
      </c>
    </row>
    <row r="894" spans="1:11">
      <c r="A894">
        <v>2026</v>
      </c>
      <c r="B894" t="s">
        <v>62</v>
      </c>
      <c r="C894" t="s">
        <v>2654</v>
      </c>
      <c r="D894" t="s">
        <v>2653</v>
      </c>
      <c r="E894" t="s">
        <v>2654</v>
      </c>
      <c r="F894" t="s">
        <v>2654</v>
      </c>
      <c r="G894" t="s">
        <v>2653</v>
      </c>
      <c r="H894" t="s">
        <v>2653</v>
      </c>
      <c r="I894" t="s">
        <v>1831</v>
      </c>
      <c r="K894" t="str">
        <f t="shared" si="13"/>
        <v>RES_201301_P3T52026</v>
      </c>
    </row>
    <row r="895" spans="1:11">
      <c r="A895">
        <v>2027</v>
      </c>
      <c r="B895" t="s">
        <v>62</v>
      </c>
      <c r="C895" t="s">
        <v>2654</v>
      </c>
      <c r="D895" t="s">
        <v>2653</v>
      </c>
      <c r="E895" t="s">
        <v>2654</v>
      </c>
      <c r="F895" t="s">
        <v>2654</v>
      </c>
      <c r="G895" t="s">
        <v>2653</v>
      </c>
      <c r="H895" t="s">
        <v>2653</v>
      </c>
      <c r="I895" t="s">
        <v>1831</v>
      </c>
      <c r="K895" t="str">
        <f t="shared" si="13"/>
        <v>RES_201301_P3T52027</v>
      </c>
    </row>
    <row r="896" spans="1:11">
      <c r="A896">
        <v>2024</v>
      </c>
      <c r="B896" t="s">
        <v>1619</v>
      </c>
      <c r="C896" t="s">
        <v>2654</v>
      </c>
      <c r="D896" t="s">
        <v>2653</v>
      </c>
      <c r="E896" t="s">
        <v>2654</v>
      </c>
      <c r="F896" t="s">
        <v>2654</v>
      </c>
      <c r="G896" t="s">
        <v>2653</v>
      </c>
      <c r="H896" t="s">
        <v>2653</v>
      </c>
      <c r="I896" t="s">
        <v>1832</v>
      </c>
      <c r="K896" t="str">
        <f t="shared" si="13"/>
        <v>RES_201301_P3T62024</v>
      </c>
    </row>
    <row r="897" spans="1:11">
      <c r="A897">
        <v>2025</v>
      </c>
      <c r="B897" t="s">
        <v>1619</v>
      </c>
      <c r="C897" t="s">
        <v>2654</v>
      </c>
      <c r="D897" t="s">
        <v>2653</v>
      </c>
      <c r="E897" t="s">
        <v>2654</v>
      </c>
      <c r="F897" t="s">
        <v>2654</v>
      </c>
      <c r="G897" t="s">
        <v>2653</v>
      </c>
      <c r="H897" t="s">
        <v>2653</v>
      </c>
      <c r="I897" t="s">
        <v>1832</v>
      </c>
      <c r="K897" t="str">
        <f t="shared" si="13"/>
        <v>RES_201301_P3T62025</v>
      </c>
    </row>
    <row r="898" spans="1:11">
      <c r="A898">
        <v>2026</v>
      </c>
      <c r="B898" t="s">
        <v>1619</v>
      </c>
      <c r="C898" t="s">
        <v>2654</v>
      </c>
      <c r="D898" t="s">
        <v>2653</v>
      </c>
      <c r="E898" t="s">
        <v>2654</v>
      </c>
      <c r="F898" t="s">
        <v>2654</v>
      </c>
      <c r="G898" t="s">
        <v>2653</v>
      </c>
      <c r="H898" t="s">
        <v>2653</v>
      </c>
      <c r="I898" t="s">
        <v>1832</v>
      </c>
      <c r="K898" t="str">
        <f t="shared" si="13"/>
        <v>RES_201301_P3T62026</v>
      </c>
    </row>
    <row r="899" spans="1:11">
      <c r="A899">
        <v>2027</v>
      </c>
      <c r="B899" t="s">
        <v>1619</v>
      </c>
      <c r="C899" t="s">
        <v>2654</v>
      </c>
      <c r="D899" t="s">
        <v>2653</v>
      </c>
      <c r="E899" t="s">
        <v>2654</v>
      </c>
      <c r="F899" t="s">
        <v>2654</v>
      </c>
      <c r="G899" t="s">
        <v>2653</v>
      </c>
      <c r="H899" t="s">
        <v>2653</v>
      </c>
      <c r="I899" t="s">
        <v>1832</v>
      </c>
      <c r="K899" t="str">
        <f t="shared" ref="K899:K962" si="14">B899&amp;A899</f>
        <v>RES_201301_P3T62027</v>
      </c>
    </row>
    <row r="900" spans="1:11">
      <c r="A900">
        <v>2024</v>
      </c>
      <c r="B900" t="s">
        <v>1620</v>
      </c>
      <c r="C900" t="s">
        <v>2654</v>
      </c>
      <c r="D900" t="s">
        <v>2653</v>
      </c>
      <c r="E900" t="s">
        <v>2654</v>
      </c>
      <c r="F900" t="s">
        <v>2654</v>
      </c>
      <c r="G900" t="s">
        <v>2653</v>
      </c>
      <c r="H900" t="s">
        <v>2653</v>
      </c>
      <c r="I900" t="s">
        <v>1833</v>
      </c>
      <c r="K900" t="str">
        <f t="shared" si="14"/>
        <v>RES_201301_P3T72024</v>
      </c>
    </row>
    <row r="901" spans="1:11">
      <c r="A901">
        <v>2025</v>
      </c>
      <c r="B901" t="s">
        <v>1620</v>
      </c>
      <c r="C901" t="s">
        <v>2654</v>
      </c>
      <c r="D901" t="s">
        <v>2653</v>
      </c>
      <c r="E901" t="s">
        <v>2654</v>
      </c>
      <c r="F901" t="s">
        <v>2654</v>
      </c>
      <c r="G901" t="s">
        <v>2653</v>
      </c>
      <c r="H901" t="s">
        <v>2653</v>
      </c>
      <c r="I901" t="s">
        <v>1833</v>
      </c>
      <c r="K901" t="str">
        <f t="shared" si="14"/>
        <v>RES_201301_P3T72025</v>
      </c>
    </row>
    <row r="902" spans="1:11">
      <c r="A902">
        <v>2026</v>
      </c>
      <c r="B902" t="s">
        <v>1620</v>
      </c>
      <c r="C902" t="s">
        <v>2654</v>
      </c>
      <c r="D902" t="s">
        <v>2653</v>
      </c>
      <c r="E902" t="s">
        <v>2654</v>
      </c>
      <c r="F902" t="s">
        <v>2654</v>
      </c>
      <c r="G902" t="s">
        <v>2653</v>
      </c>
      <c r="H902" t="s">
        <v>2653</v>
      </c>
      <c r="I902" t="s">
        <v>1833</v>
      </c>
      <c r="K902" t="str">
        <f t="shared" si="14"/>
        <v>RES_201301_P3T72026</v>
      </c>
    </row>
    <row r="903" spans="1:11">
      <c r="A903">
        <v>2027</v>
      </c>
      <c r="B903" t="s">
        <v>1620</v>
      </c>
      <c r="C903" t="s">
        <v>2654</v>
      </c>
      <c r="D903" t="s">
        <v>2653</v>
      </c>
      <c r="E903" t="s">
        <v>2654</v>
      </c>
      <c r="F903" t="s">
        <v>2654</v>
      </c>
      <c r="G903" t="s">
        <v>2653</v>
      </c>
      <c r="H903" t="s">
        <v>2653</v>
      </c>
      <c r="I903" t="s">
        <v>1833</v>
      </c>
      <c r="K903" t="str">
        <f t="shared" si="14"/>
        <v>RES_201301_P3T72027</v>
      </c>
    </row>
    <row r="904" spans="1:11">
      <c r="A904">
        <v>2024</v>
      </c>
      <c r="B904" t="s">
        <v>399</v>
      </c>
      <c r="C904" t="s">
        <v>2654</v>
      </c>
      <c r="D904" t="s">
        <v>2653</v>
      </c>
      <c r="E904" t="s">
        <v>2654</v>
      </c>
      <c r="F904" t="s">
        <v>2654</v>
      </c>
      <c r="G904" t="s">
        <v>2653</v>
      </c>
      <c r="H904" t="s">
        <v>2653</v>
      </c>
      <c r="I904" t="s">
        <v>1834</v>
      </c>
      <c r="K904" t="str">
        <f t="shared" si="14"/>
        <v>RES_201301_P4T62024</v>
      </c>
    </row>
    <row r="905" spans="1:11">
      <c r="A905">
        <v>2025</v>
      </c>
      <c r="B905" t="s">
        <v>399</v>
      </c>
      <c r="C905" t="s">
        <v>2654</v>
      </c>
      <c r="D905" t="s">
        <v>2653</v>
      </c>
      <c r="E905" t="s">
        <v>2654</v>
      </c>
      <c r="F905" t="s">
        <v>2654</v>
      </c>
      <c r="G905" t="s">
        <v>2653</v>
      </c>
      <c r="H905" t="s">
        <v>2653</v>
      </c>
      <c r="I905" t="s">
        <v>1834</v>
      </c>
      <c r="K905" t="str">
        <f t="shared" si="14"/>
        <v>RES_201301_P4T62025</v>
      </c>
    </row>
    <row r="906" spans="1:11">
      <c r="A906">
        <v>2026</v>
      </c>
      <c r="B906" t="s">
        <v>399</v>
      </c>
      <c r="C906" t="s">
        <v>2654</v>
      </c>
      <c r="D906" t="s">
        <v>2653</v>
      </c>
      <c r="E906" t="s">
        <v>2654</v>
      </c>
      <c r="F906" t="s">
        <v>2654</v>
      </c>
      <c r="G906" t="s">
        <v>2653</v>
      </c>
      <c r="H906" t="s">
        <v>2653</v>
      </c>
      <c r="I906" t="s">
        <v>1834</v>
      </c>
      <c r="K906" t="str">
        <f t="shared" si="14"/>
        <v>RES_201301_P4T62026</v>
      </c>
    </row>
    <row r="907" spans="1:11">
      <c r="A907">
        <v>2027</v>
      </c>
      <c r="B907" t="s">
        <v>399</v>
      </c>
      <c r="C907" t="s">
        <v>2654</v>
      </c>
      <c r="D907" t="s">
        <v>2653</v>
      </c>
      <c r="E907" t="s">
        <v>2654</v>
      </c>
      <c r="F907" t="s">
        <v>2654</v>
      </c>
      <c r="G907" t="s">
        <v>2653</v>
      </c>
      <c r="H907" t="s">
        <v>2653</v>
      </c>
      <c r="I907" t="s">
        <v>1834</v>
      </c>
      <c r="K907" t="str">
        <f t="shared" si="14"/>
        <v>RES_201301_P4T62027</v>
      </c>
    </row>
    <row r="908" spans="1:11">
      <c r="A908">
        <v>2024</v>
      </c>
      <c r="B908" t="s">
        <v>1621</v>
      </c>
      <c r="C908" t="s">
        <v>2654</v>
      </c>
      <c r="D908" t="s">
        <v>2653</v>
      </c>
      <c r="E908" t="s">
        <v>2654</v>
      </c>
      <c r="F908" t="s">
        <v>2654</v>
      </c>
      <c r="G908" t="s">
        <v>2653</v>
      </c>
      <c r="H908" t="s">
        <v>2653</v>
      </c>
      <c r="I908" t="s">
        <v>1835</v>
      </c>
      <c r="K908" t="str">
        <f t="shared" si="14"/>
        <v>RES_201301_P4T72024</v>
      </c>
    </row>
    <row r="909" spans="1:11">
      <c r="A909">
        <v>2025</v>
      </c>
      <c r="B909" t="s">
        <v>1621</v>
      </c>
      <c r="C909" t="s">
        <v>2654</v>
      </c>
      <c r="D909" t="s">
        <v>2653</v>
      </c>
      <c r="E909" t="s">
        <v>2654</v>
      </c>
      <c r="F909" t="s">
        <v>2654</v>
      </c>
      <c r="G909" t="s">
        <v>2653</v>
      </c>
      <c r="H909" t="s">
        <v>2653</v>
      </c>
      <c r="I909" t="s">
        <v>1835</v>
      </c>
      <c r="K909" t="str">
        <f t="shared" si="14"/>
        <v>RES_201301_P4T72025</v>
      </c>
    </row>
    <row r="910" spans="1:11">
      <c r="A910">
        <v>2026</v>
      </c>
      <c r="B910" t="s">
        <v>1621</v>
      </c>
      <c r="C910" t="s">
        <v>2654</v>
      </c>
      <c r="D910" t="s">
        <v>2653</v>
      </c>
      <c r="E910" t="s">
        <v>2654</v>
      </c>
      <c r="F910" t="s">
        <v>2654</v>
      </c>
      <c r="G910" t="s">
        <v>2653</v>
      </c>
      <c r="H910" t="s">
        <v>2653</v>
      </c>
      <c r="I910" t="s">
        <v>1835</v>
      </c>
      <c r="K910" t="str">
        <f t="shared" si="14"/>
        <v>RES_201301_P4T72026</v>
      </c>
    </row>
    <row r="911" spans="1:11">
      <c r="A911">
        <v>2027</v>
      </c>
      <c r="B911" t="s">
        <v>1621</v>
      </c>
      <c r="C911" t="s">
        <v>2654</v>
      </c>
      <c r="D911" t="s">
        <v>2653</v>
      </c>
      <c r="E911" t="s">
        <v>2654</v>
      </c>
      <c r="F911" t="s">
        <v>2654</v>
      </c>
      <c r="G911" t="s">
        <v>2653</v>
      </c>
      <c r="H911" t="s">
        <v>2653</v>
      </c>
      <c r="I911" t="s">
        <v>1835</v>
      </c>
      <c r="K911" t="str">
        <f t="shared" si="14"/>
        <v>RES_201301_P4T72027</v>
      </c>
    </row>
    <row r="912" spans="1:11">
      <c r="A912">
        <v>2024</v>
      </c>
      <c r="B912" t="s">
        <v>1622</v>
      </c>
      <c r="C912" t="s">
        <v>2654</v>
      </c>
      <c r="D912" t="s">
        <v>2653</v>
      </c>
      <c r="E912" t="s">
        <v>2654</v>
      </c>
      <c r="F912" t="s">
        <v>2654</v>
      </c>
      <c r="G912" t="s">
        <v>2653</v>
      </c>
      <c r="H912" t="s">
        <v>2653</v>
      </c>
      <c r="I912" t="s">
        <v>1836</v>
      </c>
      <c r="K912" t="str">
        <f t="shared" si="14"/>
        <v>RES_201301_P4T82024</v>
      </c>
    </row>
    <row r="913" spans="1:11">
      <c r="A913">
        <v>2025</v>
      </c>
      <c r="B913" t="s">
        <v>1622</v>
      </c>
      <c r="C913" t="s">
        <v>2654</v>
      </c>
      <c r="D913" t="s">
        <v>2653</v>
      </c>
      <c r="E913" t="s">
        <v>2654</v>
      </c>
      <c r="F913" t="s">
        <v>2654</v>
      </c>
      <c r="G913" t="s">
        <v>2653</v>
      </c>
      <c r="H913" t="s">
        <v>2653</v>
      </c>
      <c r="I913" t="s">
        <v>1836</v>
      </c>
      <c r="K913" t="str">
        <f t="shared" si="14"/>
        <v>RES_201301_P4T82025</v>
      </c>
    </row>
    <row r="914" spans="1:11">
      <c r="A914">
        <v>2026</v>
      </c>
      <c r="B914" t="s">
        <v>1622</v>
      </c>
      <c r="C914" t="s">
        <v>2654</v>
      </c>
      <c r="D914" t="s">
        <v>2653</v>
      </c>
      <c r="E914" t="s">
        <v>2654</v>
      </c>
      <c r="F914" t="s">
        <v>2654</v>
      </c>
      <c r="G914" t="s">
        <v>2653</v>
      </c>
      <c r="H914" t="s">
        <v>2653</v>
      </c>
      <c r="I914" t="s">
        <v>1836</v>
      </c>
      <c r="K914" t="str">
        <f t="shared" si="14"/>
        <v>RES_201301_P4T82026</v>
      </c>
    </row>
    <row r="915" spans="1:11">
      <c r="A915">
        <v>2027</v>
      </c>
      <c r="B915" t="s">
        <v>1622</v>
      </c>
      <c r="C915" t="s">
        <v>2654</v>
      </c>
      <c r="D915" t="s">
        <v>2653</v>
      </c>
      <c r="E915" t="s">
        <v>2654</v>
      </c>
      <c r="F915" t="s">
        <v>2654</v>
      </c>
      <c r="G915" t="s">
        <v>2653</v>
      </c>
      <c r="H915" t="s">
        <v>2653</v>
      </c>
      <c r="I915" t="s">
        <v>1836</v>
      </c>
      <c r="K915" t="str">
        <f t="shared" si="14"/>
        <v>RES_201301_P4T82027</v>
      </c>
    </row>
    <row r="916" spans="1:11">
      <c r="A916">
        <v>2024</v>
      </c>
      <c r="B916" t="s">
        <v>94</v>
      </c>
      <c r="C916" t="s">
        <v>2653</v>
      </c>
      <c r="D916" t="s">
        <v>2653</v>
      </c>
      <c r="E916" t="s">
        <v>2654</v>
      </c>
      <c r="F916" t="s">
        <v>2653</v>
      </c>
      <c r="G916" t="s">
        <v>2653</v>
      </c>
      <c r="H916" t="s">
        <v>2653</v>
      </c>
      <c r="I916" t="s">
        <v>2372</v>
      </c>
      <c r="K916" t="str">
        <f t="shared" si="14"/>
        <v>RES_201403_P8T22024</v>
      </c>
    </row>
    <row r="917" spans="1:11">
      <c r="A917">
        <v>2024</v>
      </c>
      <c r="B917" t="s">
        <v>95</v>
      </c>
      <c r="C917" t="s">
        <v>2653</v>
      </c>
      <c r="D917" t="s">
        <v>2653</v>
      </c>
      <c r="E917" t="s">
        <v>2654</v>
      </c>
      <c r="F917" t="s">
        <v>2653</v>
      </c>
      <c r="G917" t="s">
        <v>2653</v>
      </c>
      <c r="H917" t="s">
        <v>2653</v>
      </c>
      <c r="I917" t="s">
        <v>2373</v>
      </c>
      <c r="K917" t="str">
        <f t="shared" si="14"/>
        <v>RES_201403_P8T32024</v>
      </c>
    </row>
    <row r="918" spans="1:11">
      <c r="A918">
        <v>2024</v>
      </c>
      <c r="B918" t="s">
        <v>359</v>
      </c>
      <c r="C918" t="s">
        <v>2654</v>
      </c>
      <c r="D918" t="s">
        <v>2653</v>
      </c>
      <c r="E918" t="s">
        <v>2654</v>
      </c>
      <c r="F918" t="s">
        <v>2653</v>
      </c>
      <c r="G918" t="s">
        <v>2653</v>
      </c>
      <c r="H918" t="s">
        <v>2653</v>
      </c>
      <c r="I918" t="s">
        <v>1743</v>
      </c>
      <c r="K918" t="str">
        <f t="shared" si="14"/>
        <v>RES_200601_P1T12024</v>
      </c>
    </row>
    <row r="919" spans="1:11">
      <c r="A919">
        <v>2026</v>
      </c>
      <c r="B919" t="s">
        <v>359</v>
      </c>
      <c r="C919" t="s">
        <v>2654</v>
      </c>
      <c r="D919" t="s">
        <v>2653</v>
      </c>
      <c r="E919" t="s">
        <v>2654</v>
      </c>
      <c r="F919" t="s">
        <v>2653</v>
      </c>
      <c r="G919" t="s">
        <v>2653</v>
      </c>
      <c r="H919" t="s">
        <v>2653</v>
      </c>
      <c r="I919" t="s">
        <v>1743</v>
      </c>
      <c r="K919" t="str">
        <f t="shared" si="14"/>
        <v>RES_200601_P1T12026</v>
      </c>
    </row>
    <row r="920" spans="1:11">
      <c r="A920">
        <v>2025</v>
      </c>
      <c r="B920" t="s">
        <v>359</v>
      </c>
      <c r="C920" t="s">
        <v>2654</v>
      </c>
      <c r="D920" t="s">
        <v>2653</v>
      </c>
      <c r="E920" t="s">
        <v>2654</v>
      </c>
      <c r="F920" t="s">
        <v>2653</v>
      </c>
      <c r="G920" t="s">
        <v>2653</v>
      </c>
      <c r="H920" t="s">
        <v>2653</v>
      </c>
      <c r="I920" t="s">
        <v>1743</v>
      </c>
      <c r="K920" t="str">
        <f t="shared" si="14"/>
        <v>RES_200601_P1T12025</v>
      </c>
    </row>
    <row r="921" spans="1:11">
      <c r="A921">
        <v>2027</v>
      </c>
      <c r="B921" t="s">
        <v>359</v>
      </c>
      <c r="C921" t="s">
        <v>2654</v>
      </c>
      <c r="D921" t="s">
        <v>2653</v>
      </c>
      <c r="E921" t="s">
        <v>2654</v>
      </c>
      <c r="F921" t="s">
        <v>2653</v>
      </c>
      <c r="G921" t="s">
        <v>2653</v>
      </c>
      <c r="H921" t="s">
        <v>2653</v>
      </c>
      <c r="I921" t="s">
        <v>1743</v>
      </c>
      <c r="K921" t="str">
        <f t="shared" si="14"/>
        <v>RES_200601_P1T12027</v>
      </c>
    </row>
    <row r="922" spans="1:11">
      <c r="A922">
        <v>2024</v>
      </c>
      <c r="B922" t="s">
        <v>360</v>
      </c>
      <c r="C922" t="s">
        <v>2654</v>
      </c>
      <c r="D922" t="s">
        <v>2653</v>
      </c>
      <c r="E922" t="s">
        <v>2654</v>
      </c>
      <c r="F922" t="s">
        <v>2653</v>
      </c>
      <c r="G922" t="s">
        <v>2653</v>
      </c>
      <c r="H922" t="s">
        <v>2653</v>
      </c>
      <c r="I922" t="s">
        <v>1744</v>
      </c>
      <c r="K922" t="str">
        <f t="shared" si="14"/>
        <v>RES_200601_P1T22024</v>
      </c>
    </row>
    <row r="923" spans="1:11">
      <c r="A923">
        <v>2025</v>
      </c>
      <c r="B923" t="s">
        <v>360</v>
      </c>
      <c r="C923" t="s">
        <v>2654</v>
      </c>
      <c r="D923" t="s">
        <v>2653</v>
      </c>
      <c r="E923" t="s">
        <v>2654</v>
      </c>
      <c r="F923" t="s">
        <v>2653</v>
      </c>
      <c r="G923" t="s">
        <v>2653</v>
      </c>
      <c r="H923" t="s">
        <v>2653</v>
      </c>
      <c r="I923" t="s">
        <v>1744</v>
      </c>
      <c r="K923" t="str">
        <f t="shared" si="14"/>
        <v>RES_200601_P1T22025</v>
      </c>
    </row>
    <row r="924" spans="1:11">
      <c r="A924">
        <v>2026</v>
      </c>
      <c r="B924" t="s">
        <v>360</v>
      </c>
      <c r="C924" t="s">
        <v>2654</v>
      </c>
      <c r="D924" t="s">
        <v>2653</v>
      </c>
      <c r="E924" t="s">
        <v>2654</v>
      </c>
      <c r="F924" t="s">
        <v>2653</v>
      </c>
      <c r="G924" t="s">
        <v>2653</v>
      </c>
      <c r="H924" t="s">
        <v>2653</v>
      </c>
      <c r="I924" t="s">
        <v>1744</v>
      </c>
      <c r="K924" t="str">
        <f t="shared" si="14"/>
        <v>RES_200601_P1T22026</v>
      </c>
    </row>
    <row r="925" spans="1:11">
      <c r="A925">
        <v>2027</v>
      </c>
      <c r="B925" t="s">
        <v>360</v>
      </c>
      <c r="C925" t="s">
        <v>2654</v>
      </c>
      <c r="D925" t="s">
        <v>2653</v>
      </c>
      <c r="E925" t="s">
        <v>2654</v>
      </c>
      <c r="F925" t="s">
        <v>2653</v>
      </c>
      <c r="G925" t="s">
        <v>2653</v>
      </c>
      <c r="H925" t="s">
        <v>2653</v>
      </c>
      <c r="I925" t="s">
        <v>1744</v>
      </c>
      <c r="K925" t="str">
        <f t="shared" si="14"/>
        <v>RES_200601_P1T22027</v>
      </c>
    </row>
    <row r="926" spans="1:11">
      <c r="A926">
        <v>2024</v>
      </c>
      <c r="B926" t="s">
        <v>367</v>
      </c>
      <c r="C926" t="s">
        <v>2654</v>
      </c>
      <c r="D926" t="s">
        <v>2653</v>
      </c>
      <c r="E926" t="s">
        <v>2654</v>
      </c>
      <c r="F926" t="s">
        <v>2653</v>
      </c>
      <c r="G926" t="s">
        <v>2653</v>
      </c>
      <c r="H926" t="s">
        <v>2653</v>
      </c>
      <c r="I926" t="s">
        <v>1671</v>
      </c>
      <c r="K926" t="str">
        <f t="shared" si="14"/>
        <v>COM_200202_P2T12024</v>
      </c>
    </row>
    <row r="927" spans="1:11">
      <c r="A927">
        <v>2025</v>
      </c>
      <c r="B927" t="s">
        <v>367</v>
      </c>
      <c r="C927" t="s">
        <v>2654</v>
      </c>
      <c r="D927" t="s">
        <v>2653</v>
      </c>
      <c r="E927" t="s">
        <v>2654</v>
      </c>
      <c r="F927" t="s">
        <v>2653</v>
      </c>
      <c r="G927" t="s">
        <v>2653</v>
      </c>
      <c r="H927" t="s">
        <v>2653</v>
      </c>
      <c r="I927" t="s">
        <v>1671</v>
      </c>
      <c r="K927" t="str">
        <f t="shared" si="14"/>
        <v>COM_200202_P2T12025</v>
      </c>
    </row>
    <row r="928" spans="1:11">
      <c r="A928">
        <v>2026</v>
      </c>
      <c r="B928" t="s">
        <v>367</v>
      </c>
      <c r="C928" t="s">
        <v>2654</v>
      </c>
      <c r="D928" t="s">
        <v>2653</v>
      </c>
      <c r="E928" t="s">
        <v>2654</v>
      </c>
      <c r="F928" t="s">
        <v>2653</v>
      </c>
      <c r="G928" t="s">
        <v>2653</v>
      </c>
      <c r="H928" t="s">
        <v>2653</v>
      </c>
      <c r="I928" t="s">
        <v>1671</v>
      </c>
      <c r="K928" t="str">
        <f t="shared" si="14"/>
        <v>COM_200202_P2T12026</v>
      </c>
    </row>
    <row r="929" spans="1:11">
      <c r="A929">
        <v>2027</v>
      </c>
      <c r="B929" t="s">
        <v>367</v>
      </c>
      <c r="C929" t="s">
        <v>2654</v>
      </c>
      <c r="D929" t="s">
        <v>2653</v>
      </c>
      <c r="E929" t="s">
        <v>2654</v>
      </c>
      <c r="F929" t="s">
        <v>2653</v>
      </c>
      <c r="G929" t="s">
        <v>2653</v>
      </c>
      <c r="H929" t="s">
        <v>2653</v>
      </c>
      <c r="I929" t="s">
        <v>1671</v>
      </c>
      <c r="K929" t="str">
        <f t="shared" si="14"/>
        <v>COM_200202_P2T12027</v>
      </c>
    </row>
    <row r="930" spans="1:11">
      <c r="A930">
        <v>2024</v>
      </c>
      <c r="B930" t="s">
        <v>371</v>
      </c>
      <c r="C930" t="s">
        <v>2654</v>
      </c>
      <c r="D930" t="s">
        <v>2653</v>
      </c>
      <c r="E930" t="s">
        <v>2654</v>
      </c>
      <c r="F930" t="s">
        <v>2653</v>
      </c>
      <c r="G930" t="s">
        <v>2653</v>
      </c>
      <c r="H930" t="s">
        <v>2653</v>
      </c>
      <c r="I930" t="s">
        <v>1747</v>
      </c>
      <c r="K930" t="str">
        <f t="shared" si="14"/>
        <v>RES_200601_P2T12024</v>
      </c>
    </row>
    <row r="931" spans="1:11">
      <c r="A931">
        <v>2025</v>
      </c>
      <c r="B931" t="s">
        <v>371</v>
      </c>
      <c r="C931" t="s">
        <v>2654</v>
      </c>
      <c r="D931" t="s">
        <v>2653</v>
      </c>
      <c r="E931" t="s">
        <v>2654</v>
      </c>
      <c r="F931" t="s">
        <v>2653</v>
      </c>
      <c r="G931" t="s">
        <v>2653</v>
      </c>
      <c r="H931" t="s">
        <v>2653</v>
      </c>
      <c r="I931" t="s">
        <v>1747</v>
      </c>
      <c r="K931" t="str">
        <f t="shared" si="14"/>
        <v>RES_200601_P2T12025</v>
      </c>
    </row>
    <row r="932" spans="1:11">
      <c r="A932">
        <v>2026</v>
      </c>
      <c r="B932" t="s">
        <v>371</v>
      </c>
      <c r="C932" t="s">
        <v>2654</v>
      </c>
      <c r="D932" t="s">
        <v>2653</v>
      </c>
      <c r="E932" t="s">
        <v>2654</v>
      </c>
      <c r="F932" t="s">
        <v>2653</v>
      </c>
      <c r="G932" t="s">
        <v>2653</v>
      </c>
      <c r="H932" t="s">
        <v>2653</v>
      </c>
      <c r="I932" t="s">
        <v>1747</v>
      </c>
      <c r="K932" t="str">
        <f t="shared" si="14"/>
        <v>RES_200601_P2T12026</v>
      </c>
    </row>
    <row r="933" spans="1:11">
      <c r="A933">
        <v>2027</v>
      </c>
      <c r="B933" t="s">
        <v>371</v>
      </c>
      <c r="C933" t="s">
        <v>2654</v>
      </c>
      <c r="D933" t="s">
        <v>2653</v>
      </c>
      <c r="E933" t="s">
        <v>2654</v>
      </c>
      <c r="F933" t="s">
        <v>2653</v>
      </c>
      <c r="G933" t="s">
        <v>2653</v>
      </c>
      <c r="H933" t="s">
        <v>2653</v>
      </c>
      <c r="I933" t="s">
        <v>1747</v>
      </c>
      <c r="K933" t="str">
        <f t="shared" si="14"/>
        <v>RES_200601_P2T12027</v>
      </c>
    </row>
    <row r="934" spans="1:11">
      <c r="A934">
        <v>2024</v>
      </c>
      <c r="B934" t="s">
        <v>615</v>
      </c>
      <c r="C934" t="s">
        <v>2654</v>
      </c>
      <c r="D934" t="s">
        <v>2653</v>
      </c>
      <c r="E934" t="s">
        <v>2654</v>
      </c>
      <c r="F934" t="s">
        <v>2653</v>
      </c>
      <c r="G934" t="s">
        <v>2653</v>
      </c>
      <c r="H934" t="s">
        <v>2653</v>
      </c>
      <c r="I934" t="s">
        <v>1164</v>
      </c>
      <c r="K934" t="str">
        <f t="shared" si="14"/>
        <v>RES_200601_P3T42024</v>
      </c>
    </row>
    <row r="935" spans="1:11">
      <c r="A935">
        <v>2025</v>
      </c>
      <c r="B935" t="s">
        <v>615</v>
      </c>
      <c r="C935" t="s">
        <v>2654</v>
      </c>
      <c r="D935" t="s">
        <v>2653</v>
      </c>
      <c r="E935" t="s">
        <v>2654</v>
      </c>
      <c r="F935" t="s">
        <v>2653</v>
      </c>
      <c r="G935" t="s">
        <v>2653</v>
      </c>
      <c r="H935" t="s">
        <v>2653</v>
      </c>
      <c r="I935" t="s">
        <v>1164</v>
      </c>
      <c r="K935" t="str">
        <f t="shared" si="14"/>
        <v>RES_200601_P3T42025</v>
      </c>
    </row>
    <row r="936" spans="1:11">
      <c r="A936">
        <v>2026</v>
      </c>
      <c r="B936" t="s">
        <v>615</v>
      </c>
      <c r="C936" t="s">
        <v>2654</v>
      </c>
      <c r="D936" t="s">
        <v>2653</v>
      </c>
      <c r="E936" t="s">
        <v>2654</v>
      </c>
      <c r="F936" t="s">
        <v>2653</v>
      </c>
      <c r="G936" t="s">
        <v>2653</v>
      </c>
      <c r="H936" t="s">
        <v>2653</v>
      </c>
      <c r="I936" t="s">
        <v>1164</v>
      </c>
      <c r="K936" t="str">
        <f t="shared" si="14"/>
        <v>RES_200601_P3T42026</v>
      </c>
    </row>
    <row r="937" spans="1:11">
      <c r="A937">
        <v>2027</v>
      </c>
      <c r="B937" t="s">
        <v>615</v>
      </c>
      <c r="C937" t="s">
        <v>2654</v>
      </c>
      <c r="D937" t="s">
        <v>2653</v>
      </c>
      <c r="E937" t="s">
        <v>2654</v>
      </c>
      <c r="F937" t="s">
        <v>2653</v>
      </c>
      <c r="G937" t="s">
        <v>2653</v>
      </c>
      <c r="H937" t="s">
        <v>2653</v>
      </c>
      <c r="I937" t="s">
        <v>1164</v>
      </c>
      <c r="K937" t="str">
        <f t="shared" si="14"/>
        <v>RES_200601_P3T42027</v>
      </c>
    </row>
    <row r="938" spans="1:11">
      <c r="A938">
        <v>2024</v>
      </c>
      <c r="B938" t="s">
        <v>102</v>
      </c>
      <c r="C938" t="s">
        <v>2653</v>
      </c>
      <c r="D938" t="s">
        <v>2653</v>
      </c>
      <c r="E938" t="s">
        <v>2654</v>
      </c>
      <c r="F938" t="s">
        <v>2653</v>
      </c>
      <c r="G938" t="s">
        <v>2653</v>
      </c>
      <c r="H938" t="s">
        <v>2653</v>
      </c>
      <c r="I938" t="s">
        <v>1534</v>
      </c>
      <c r="K938" t="str">
        <f t="shared" si="14"/>
        <v>RES_201403_P9T02024</v>
      </c>
    </row>
    <row r="939" spans="1:11">
      <c r="A939">
        <v>2025</v>
      </c>
      <c r="B939" t="s">
        <v>102</v>
      </c>
      <c r="C939" t="s">
        <v>2653</v>
      </c>
      <c r="D939" t="s">
        <v>2653</v>
      </c>
      <c r="E939" t="s">
        <v>2654</v>
      </c>
      <c r="F939" t="s">
        <v>2653</v>
      </c>
      <c r="G939" t="s">
        <v>2653</v>
      </c>
      <c r="H939" t="s">
        <v>2653</v>
      </c>
      <c r="I939" t="s">
        <v>1534</v>
      </c>
      <c r="K939" t="str">
        <f t="shared" si="14"/>
        <v>RES_201403_P9T02025</v>
      </c>
    </row>
    <row r="940" spans="1:11">
      <c r="A940">
        <v>2026</v>
      </c>
      <c r="B940" t="s">
        <v>102</v>
      </c>
      <c r="C940" t="s">
        <v>2653</v>
      </c>
      <c r="D940" t="s">
        <v>2653</v>
      </c>
      <c r="E940" t="s">
        <v>2654</v>
      </c>
      <c r="F940" t="s">
        <v>2653</v>
      </c>
      <c r="G940" t="s">
        <v>2653</v>
      </c>
      <c r="H940" t="s">
        <v>2653</v>
      </c>
      <c r="I940" t="s">
        <v>1534</v>
      </c>
      <c r="K940" t="str">
        <f t="shared" si="14"/>
        <v>RES_201403_P9T02026</v>
      </c>
    </row>
    <row r="941" spans="1:11">
      <c r="A941">
        <v>2027</v>
      </c>
      <c r="B941" t="s">
        <v>102</v>
      </c>
      <c r="C941" t="s">
        <v>2653</v>
      </c>
      <c r="D941" t="s">
        <v>2653</v>
      </c>
      <c r="E941" t="s">
        <v>2654</v>
      </c>
      <c r="F941" t="s">
        <v>2653</v>
      </c>
      <c r="G941" t="s">
        <v>2653</v>
      </c>
      <c r="H941" t="s">
        <v>2653</v>
      </c>
      <c r="I941" t="s">
        <v>1534</v>
      </c>
      <c r="K941" t="str">
        <f t="shared" si="14"/>
        <v>RES_201403_P9T02027</v>
      </c>
    </row>
    <row r="942" spans="1:11">
      <c r="A942">
        <v>2024</v>
      </c>
      <c r="B942" t="s">
        <v>1649</v>
      </c>
      <c r="C942" t="s">
        <v>2653</v>
      </c>
      <c r="D942" t="s">
        <v>2653</v>
      </c>
      <c r="E942" t="s">
        <v>2654</v>
      </c>
      <c r="F942" t="s">
        <v>2653</v>
      </c>
      <c r="G942" t="s">
        <v>2653</v>
      </c>
      <c r="H942" t="s">
        <v>2653</v>
      </c>
      <c r="I942" t="s">
        <v>1867</v>
      </c>
      <c r="K942" t="str">
        <f t="shared" si="14"/>
        <v>RES_201403_P3T02024</v>
      </c>
    </row>
    <row r="943" spans="1:11">
      <c r="A943">
        <v>2025</v>
      </c>
      <c r="B943" t="s">
        <v>1649</v>
      </c>
      <c r="C943" t="s">
        <v>2653</v>
      </c>
      <c r="D943" t="s">
        <v>2653</v>
      </c>
      <c r="E943" t="s">
        <v>2654</v>
      </c>
      <c r="F943" t="s">
        <v>2653</v>
      </c>
      <c r="G943" t="s">
        <v>2653</v>
      </c>
      <c r="H943" t="s">
        <v>2653</v>
      </c>
      <c r="I943" t="s">
        <v>1867</v>
      </c>
      <c r="K943" t="str">
        <f t="shared" si="14"/>
        <v>RES_201403_P3T02025</v>
      </c>
    </row>
    <row r="944" spans="1:11">
      <c r="A944">
        <v>2026</v>
      </c>
      <c r="B944" t="s">
        <v>1649</v>
      </c>
      <c r="C944" t="s">
        <v>2653</v>
      </c>
      <c r="D944" t="s">
        <v>2653</v>
      </c>
      <c r="E944" t="s">
        <v>2654</v>
      </c>
      <c r="F944" t="s">
        <v>2653</v>
      </c>
      <c r="G944" t="s">
        <v>2653</v>
      </c>
      <c r="H944" t="s">
        <v>2653</v>
      </c>
      <c r="I944" t="s">
        <v>1867</v>
      </c>
      <c r="K944" t="str">
        <f t="shared" si="14"/>
        <v>RES_201403_P3T02026</v>
      </c>
    </row>
    <row r="945" spans="1:11">
      <c r="A945">
        <v>2027</v>
      </c>
      <c r="B945" t="s">
        <v>1649</v>
      </c>
      <c r="C945" t="s">
        <v>2653</v>
      </c>
      <c r="D945" t="s">
        <v>2653</v>
      </c>
      <c r="E945" t="s">
        <v>2654</v>
      </c>
      <c r="F945" t="s">
        <v>2653</v>
      </c>
      <c r="G945" t="s">
        <v>2653</v>
      </c>
      <c r="H945" t="s">
        <v>2653</v>
      </c>
      <c r="I945" t="s">
        <v>1867</v>
      </c>
      <c r="K945" t="str">
        <f t="shared" si="14"/>
        <v>RES_201403_P3T02027</v>
      </c>
    </row>
    <row r="946" spans="1:11">
      <c r="A946">
        <v>2025</v>
      </c>
      <c r="B946" t="s">
        <v>334</v>
      </c>
      <c r="C946" t="s">
        <v>2653</v>
      </c>
      <c r="D946" t="s">
        <v>2653</v>
      </c>
      <c r="E946" t="s">
        <v>2654</v>
      </c>
      <c r="F946" t="s">
        <v>2653</v>
      </c>
      <c r="G946" t="s">
        <v>2653</v>
      </c>
      <c r="H946" t="s">
        <v>2653</v>
      </c>
      <c r="I946" t="s">
        <v>1513</v>
      </c>
      <c r="K946" t="str">
        <f t="shared" si="14"/>
        <v>RES_201403_P2T22025</v>
      </c>
    </row>
    <row r="947" spans="1:11">
      <c r="A947">
        <v>2026</v>
      </c>
      <c r="B947" t="s">
        <v>334</v>
      </c>
      <c r="C947" t="s">
        <v>2653</v>
      </c>
      <c r="D947" t="s">
        <v>2653</v>
      </c>
      <c r="E947" t="s">
        <v>2654</v>
      </c>
      <c r="F947" t="s">
        <v>2653</v>
      </c>
      <c r="G947" t="s">
        <v>2653</v>
      </c>
      <c r="H947" t="s">
        <v>2653</v>
      </c>
      <c r="I947" t="s">
        <v>1513</v>
      </c>
      <c r="K947" t="str">
        <f t="shared" si="14"/>
        <v>RES_201403_P2T22026</v>
      </c>
    </row>
    <row r="948" spans="1:11">
      <c r="A948">
        <v>2027</v>
      </c>
      <c r="B948" t="s">
        <v>334</v>
      </c>
      <c r="C948" t="s">
        <v>2653</v>
      </c>
      <c r="D948" t="s">
        <v>2653</v>
      </c>
      <c r="E948" t="s">
        <v>2654</v>
      </c>
      <c r="F948" t="s">
        <v>2653</v>
      </c>
      <c r="G948" t="s">
        <v>2653</v>
      </c>
      <c r="H948" t="s">
        <v>2653</v>
      </c>
      <c r="I948" t="s">
        <v>1513</v>
      </c>
      <c r="K948" t="str">
        <f t="shared" si="14"/>
        <v>RES_201403_P2T22027</v>
      </c>
    </row>
    <row r="949" spans="1:11">
      <c r="A949">
        <v>2024</v>
      </c>
      <c r="B949" t="s">
        <v>1651</v>
      </c>
      <c r="C949" t="s">
        <v>2653</v>
      </c>
      <c r="D949" t="s">
        <v>2653</v>
      </c>
      <c r="E949" t="s">
        <v>2654</v>
      </c>
      <c r="F949" t="s">
        <v>2653</v>
      </c>
      <c r="G949" t="s">
        <v>2653</v>
      </c>
      <c r="H949" t="s">
        <v>2653</v>
      </c>
      <c r="I949" t="s">
        <v>1872</v>
      </c>
      <c r="K949" t="str">
        <f t="shared" si="14"/>
        <v>RES_201403_P4T42024</v>
      </c>
    </row>
    <row r="950" spans="1:11">
      <c r="A950">
        <v>2025</v>
      </c>
      <c r="B950" t="s">
        <v>1651</v>
      </c>
      <c r="C950" t="s">
        <v>2653</v>
      </c>
      <c r="D950" t="s">
        <v>2653</v>
      </c>
      <c r="E950" t="s">
        <v>2654</v>
      </c>
      <c r="F950" t="s">
        <v>2653</v>
      </c>
      <c r="G950" t="s">
        <v>2653</v>
      </c>
      <c r="H950" t="s">
        <v>2653</v>
      </c>
      <c r="I950" t="s">
        <v>1872</v>
      </c>
      <c r="K950" t="str">
        <f t="shared" si="14"/>
        <v>RES_201403_P4T42025</v>
      </c>
    </row>
    <row r="951" spans="1:11">
      <c r="A951">
        <v>2026</v>
      </c>
      <c r="B951" t="s">
        <v>1651</v>
      </c>
      <c r="C951" t="s">
        <v>2653</v>
      </c>
      <c r="D951" t="s">
        <v>2653</v>
      </c>
      <c r="E951" t="s">
        <v>2654</v>
      </c>
      <c r="F951" t="s">
        <v>2653</v>
      </c>
      <c r="G951" t="s">
        <v>2653</v>
      </c>
      <c r="H951" t="s">
        <v>2653</v>
      </c>
      <c r="I951" t="s">
        <v>1872</v>
      </c>
      <c r="K951" t="str">
        <f t="shared" si="14"/>
        <v>RES_201403_P4T42026</v>
      </c>
    </row>
    <row r="952" spans="1:11">
      <c r="A952">
        <v>2027</v>
      </c>
      <c r="B952" t="s">
        <v>1651</v>
      </c>
      <c r="C952" t="s">
        <v>2653</v>
      </c>
      <c r="D952" t="s">
        <v>2653</v>
      </c>
      <c r="E952" t="s">
        <v>2654</v>
      </c>
      <c r="F952" t="s">
        <v>2653</v>
      </c>
      <c r="G952" t="s">
        <v>2653</v>
      </c>
      <c r="H952" t="s">
        <v>2653</v>
      </c>
      <c r="I952" t="s">
        <v>1872</v>
      </c>
      <c r="K952" t="str">
        <f t="shared" si="14"/>
        <v>RES_201403_P4T42027</v>
      </c>
    </row>
    <row r="953" spans="1:11">
      <c r="A953">
        <v>2025</v>
      </c>
      <c r="B953" t="s">
        <v>333</v>
      </c>
      <c r="C953" t="s">
        <v>2653</v>
      </c>
      <c r="D953" t="s">
        <v>2653</v>
      </c>
      <c r="E953" t="s">
        <v>2654</v>
      </c>
      <c r="F953" t="s">
        <v>2653</v>
      </c>
      <c r="G953" t="s">
        <v>2653</v>
      </c>
      <c r="H953" t="s">
        <v>2653</v>
      </c>
      <c r="I953" t="s">
        <v>1512</v>
      </c>
      <c r="K953" t="str">
        <f t="shared" si="14"/>
        <v>RES_201403_P2T12025</v>
      </c>
    </row>
    <row r="954" spans="1:11">
      <c r="A954">
        <v>2026</v>
      </c>
      <c r="B954" t="s">
        <v>333</v>
      </c>
      <c r="C954" t="s">
        <v>2653</v>
      </c>
      <c r="D954" t="s">
        <v>2653</v>
      </c>
      <c r="E954" t="s">
        <v>2654</v>
      </c>
      <c r="F954" t="s">
        <v>2653</v>
      </c>
      <c r="G954" t="s">
        <v>2653</v>
      </c>
      <c r="H954" t="s">
        <v>2653</v>
      </c>
      <c r="I954" t="s">
        <v>1512</v>
      </c>
      <c r="K954" t="str">
        <f t="shared" si="14"/>
        <v>RES_201403_P2T12026</v>
      </c>
    </row>
    <row r="955" spans="1:11">
      <c r="A955">
        <v>2027</v>
      </c>
      <c r="B955" t="s">
        <v>333</v>
      </c>
      <c r="C955" t="s">
        <v>2653</v>
      </c>
      <c r="D955" t="s">
        <v>2653</v>
      </c>
      <c r="E955" t="s">
        <v>2654</v>
      </c>
      <c r="F955" t="s">
        <v>2653</v>
      </c>
      <c r="G955" t="s">
        <v>2653</v>
      </c>
      <c r="H955" t="s">
        <v>2653</v>
      </c>
      <c r="I955" t="s">
        <v>1512</v>
      </c>
      <c r="K955" t="str">
        <f t="shared" si="14"/>
        <v>RES_201403_P2T12027</v>
      </c>
    </row>
    <row r="956" spans="1:11">
      <c r="A956">
        <v>2024</v>
      </c>
      <c r="B956" t="s">
        <v>127</v>
      </c>
      <c r="C956" t="s">
        <v>2653</v>
      </c>
      <c r="D956" t="s">
        <v>2653</v>
      </c>
      <c r="E956" t="s">
        <v>2654</v>
      </c>
      <c r="F956" t="s">
        <v>2653</v>
      </c>
      <c r="G956" t="s">
        <v>2653</v>
      </c>
      <c r="H956" t="s">
        <v>2653</v>
      </c>
      <c r="I956" t="s">
        <v>2370</v>
      </c>
      <c r="K956" t="str">
        <f t="shared" si="14"/>
        <v>RES_201403_P8T02024</v>
      </c>
    </row>
    <row r="957" spans="1:11">
      <c r="A957">
        <v>2024</v>
      </c>
      <c r="B957" t="s">
        <v>1659</v>
      </c>
      <c r="C957" t="s">
        <v>2653</v>
      </c>
      <c r="D957" t="s">
        <v>2653</v>
      </c>
      <c r="E957" t="s">
        <v>2654</v>
      </c>
      <c r="F957" t="s">
        <v>2653</v>
      </c>
      <c r="G957" t="s">
        <v>2653</v>
      </c>
      <c r="H957" t="s">
        <v>2653</v>
      </c>
      <c r="I957" t="s">
        <v>2374</v>
      </c>
      <c r="K957" t="str">
        <f t="shared" si="14"/>
        <v>RES_201403_P8T42024</v>
      </c>
    </row>
    <row r="958" spans="1:11">
      <c r="A958">
        <v>2024</v>
      </c>
      <c r="B958" t="s">
        <v>23</v>
      </c>
      <c r="C958" t="s">
        <v>2653</v>
      </c>
      <c r="D958" t="s">
        <v>2653</v>
      </c>
      <c r="E958" t="s">
        <v>2654</v>
      </c>
      <c r="F958" t="s">
        <v>2653</v>
      </c>
      <c r="G958" t="s">
        <v>2653</v>
      </c>
      <c r="H958" t="s">
        <v>2653</v>
      </c>
      <c r="I958" t="s">
        <v>2144</v>
      </c>
      <c r="K958" t="str">
        <f t="shared" si="14"/>
        <v>COM_200803_P1T12024</v>
      </c>
    </row>
    <row r="959" spans="1:11">
      <c r="A959">
        <v>2025</v>
      </c>
      <c r="B959" t="s">
        <v>23</v>
      </c>
      <c r="C959" t="s">
        <v>2653</v>
      </c>
      <c r="D959" t="s">
        <v>2653</v>
      </c>
      <c r="E959" t="s">
        <v>2654</v>
      </c>
      <c r="F959" t="s">
        <v>2653</v>
      </c>
      <c r="G959" t="s">
        <v>2653</v>
      </c>
      <c r="H959" t="s">
        <v>2653</v>
      </c>
      <c r="I959" t="s">
        <v>2144</v>
      </c>
      <c r="K959" t="str">
        <f t="shared" si="14"/>
        <v>COM_200803_P1T12025</v>
      </c>
    </row>
    <row r="960" spans="1:11">
      <c r="A960">
        <v>2026</v>
      </c>
      <c r="B960" t="s">
        <v>23</v>
      </c>
      <c r="C960" t="s">
        <v>2653</v>
      </c>
      <c r="D960" t="s">
        <v>2653</v>
      </c>
      <c r="E960" t="s">
        <v>2654</v>
      </c>
      <c r="F960" t="s">
        <v>2653</v>
      </c>
      <c r="G960" t="s">
        <v>2653</v>
      </c>
      <c r="H960" t="s">
        <v>2653</v>
      </c>
      <c r="I960" t="s">
        <v>2144</v>
      </c>
      <c r="K960" t="str">
        <f t="shared" si="14"/>
        <v>COM_200803_P1T12026</v>
      </c>
    </row>
    <row r="961" spans="1:11">
      <c r="A961">
        <v>2027</v>
      </c>
      <c r="B961" t="s">
        <v>23</v>
      </c>
      <c r="C961" t="s">
        <v>2653</v>
      </c>
      <c r="D961" t="s">
        <v>2653</v>
      </c>
      <c r="E961" t="s">
        <v>2654</v>
      </c>
      <c r="F961" t="s">
        <v>2653</v>
      </c>
      <c r="G961" t="s">
        <v>2653</v>
      </c>
      <c r="H961" t="s">
        <v>2653</v>
      </c>
      <c r="I961" t="s">
        <v>2144</v>
      </c>
      <c r="K961" t="str">
        <f t="shared" si="14"/>
        <v>COM_200803_P1T12027</v>
      </c>
    </row>
    <row r="962" spans="1:11">
      <c r="A962">
        <v>2024</v>
      </c>
      <c r="B962" t="s">
        <v>28</v>
      </c>
      <c r="C962" t="s">
        <v>2653</v>
      </c>
      <c r="D962" t="s">
        <v>2653</v>
      </c>
      <c r="E962" t="s">
        <v>2654</v>
      </c>
      <c r="F962" t="s">
        <v>2653</v>
      </c>
      <c r="G962" t="s">
        <v>2653</v>
      </c>
      <c r="H962" t="s">
        <v>2653</v>
      </c>
      <c r="I962" t="s">
        <v>1193</v>
      </c>
      <c r="K962" t="str">
        <f t="shared" si="14"/>
        <v>COM_201403_P2T12024</v>
      </c>
    </row>
    <row r="963" spans="1:11">
      <c r="A963">
        <v>2025</v>
      </c>
      <c r="B963" t="s">
        <v>28</v>
      </c>
      <c r="C963" t="s">
        <v>2653</v>
      </c>
      <c r="D963" t="s">
        <v>2653</v>
      </c>
      <c r="E963" t="s">
        <v>2654</v>
      </c>
      <c r="F963" t="s">
        <v>2653</v>
      </c>
      <c r="G963" t="s">
        <v>2653</v>
      </c>
      <c r="H963" t="s">
        <v>2653</v>
      </c>
      <c r="I963" t="s">
        <v>1193</v>
      </c>
      <c r="K963" t="str">
        <f t="shared" ref="K963:K1026" si="15">B963&amp;A963</f>
        <v>COM_201403_P2T12025</v>
      </c>
    </row>
    <row r="964" spans="1:11">
      <c r="A964">
        <v>2026</v>
      </c>
      <c r="B964" t="s">
        <v>28</v>
      </c>
      <c r="C964" t="s">
        <v>2653</v>
      </c>
      <c r="D964" t="s">
        <v>2653</v>
      </c>
      <c r="E964" t="s">
        <v>2654</v>
      </c>
      <c r="F964" t="s">
        <v>2653</v>
      </c>
      <c r="G964" t="s">
        <v>2653</v>
      </c>
      <c r="H964" t="s">
        <v>2653</v>
      </c>
      <c r="I964" t="s">
        <v>1193</v>
      </c>
      <c r="K964" t="str">
        <f t="shared" si="15"/>
        <v>COM_201403_P2T12026</v>
      </c>
    </row>
    <row r="965" spans="1:11">
      <c r="A965">
        <v>2027</v>
      </c>
      <c r="B965" t="s">
        <v>28</v>
      </c>
      <c r="C965" t="s">
        <v>2653</v>
      </c>
      <c r="D965" t="s">
        <v>2653</v>
      </c>
      <c r="E965" t="s">
        <v>2654</v>
      </c>
      <c r="F965" t="s">
        <v>2653</v>
      </c>
      <c r="G965" t="s">
        <v>2653</v>
      </c>
      <c r="H965" t="s">
        <v>2653</v>
      </c>
      <c r="I965" t="s">
        <v>1193</v>
      </c>
      <c r="K965" t="str">
        <f t="shared" si="15"/>
        <v>COM_201403_P2T12027</v>
      </c>
    </row>
    <row r="966" spans="1:11">
      <c r="A966">
        <v>2024</v>
      </c>
      <c r="B966" t="s">
        <v>90</v>
      </c>
      <c r="C966" t="s">
        <v>2653</v>
      </c>
      <c r="D966" t="s">
        <v>2653</v>
      </c>
      <c r="E966" t="s">
        <v>2654</v>
      </c>
      <c r="F966" t="s">
        <v>2653</v>
      </c>
      <c r="G966" t="s">
        <v>2653</v>
      </c>
      <c r="H966" t="s">
        <v>2653</v>
      </c>
      <c r="I966" t="s">
        <v>1199</v>
      </c>
      <c r="K966" t="str">
        <f t="shared" si="15"/>
        <v>COM_201403_P4T12024</v>
      </c>
    </row>
    <row r="967" spans="1:11">
      <c r="A967">
        <v>2025</v>
      </c>
      <c r="B967" t="s">
        <v>90</v>
      </c>
      <c r="C967" t="s">
        <v>2653</v>
      </c>
      <c r="D967" t="s">
        <v>2653</v>
      </c>
      <c r="E967" t="s">
        <v>2654</v>
      </c>
      <c r="F967" t="s">
        <v>2653</v>
      </c>
      <c r="G967" t="s">
        <v>2653</v>
      </c>
      <c r="H967" t="s">
        <v>2653</v>
      </c>
      <c r="I967" t="s">
        <v>1199</v>
      </c>
      <c r="K967" t="str">
        <f t="shared" si="15"/>
        <v>COM_201403_P4T12025</v>
      </c>
    </row>
    <row r="968" spans="1:11">
      <c r="A968">
        <v>2026</v>
      </c>
      <c r="B968" t="s">
        <v>90</v>
      </c>
      <c r="C968" t="s">
        <v>2653</v>
      </c>
      <c r="D968" t="s">
        <v>2653</v>
      </c>
      <c r="E968" t="s">
        <v>2654</v>
      </c>
      <c r="F968" t="s">
        <v>2653</v>
      </c>
      <c r="G968" t="s">
        <v>2653</v>
      </c>
      <c r="H968" t="s">
        <v>2653</v>
      </c>
      <c r="I968" t="s">
        <v>1199</v>
      </c>
      <c r="K968" t="str">
        <f t="shared" si="15"/>
        <v>COM_201403_P4T12026</v>
      </c>
    </row>
    <row r="969" spans="1:11">
      <c r="A969">
        <v>2027</v>
      </c>
      <c r="B969" t="s">
        <v>90</v>
      </c>
      <c r="C969" t="s">
        <v>2653</v>
      </c>
      <c r="D969" t="s">
        <v>2653</v>
      </c>
      <c r="E969" t="s">
        <v>2654</v>
      </c>
      <c r="F969" t="s">
        <v>2653</v>
      </c>
      <c r="G969" t="s">
        <v>2653</v>
      </c>
      <c r="H969" t="s">
        <v>2653</v>
      </c>
      <c r="I969" t="s">
        <v>1199</v>
      </c>
      <c r="K969" t="str">
        <f t="shared" si="15"/>
        <v>COM_201403_P4T12027</v>
      </c>
    </row>
    <row r="970" spans="1:11">
      <c r="A970">
        <v>2024</v>
      </c>
      <c r="B970" t="s">
        <v>27</v>
      </c>
      <c r="C970" t="s">
        <v>2653</v>
      </c>
      <c r="D970" t="s">
        <v>2653</v>
      </c>
      <c r="E970" t="s">
        <v>2654</v>
      </c>
      <c r="F970" t="s">
        <v>2653</v>
      </c>
      <c r="G970" t="s">
        <v>2653</v>
      </c>
      <c r="H970" t="s">
        <v>2653</v>
      </c>
      <c r="I970" t="s">
        <v>1195</v>
      </c>
      <c r="K970" t="str">
        <f t="shared" si="15"/>
        <v>COM_201403_P1T12024</v>
      </c>
    </row>
    <row r="971" spans="1:11">
      <c r="A971">
        <v>2025</v>
      </c>
      <c r="B971" t="s">
        <v>27</v>
      </c>
      <c r="C971" t="s">
        <v>2653</v>
      </c>
      <c r="D971" t="s">
        <v>2653</v>
      </c>
      <c r="E971" t="s">
        <v>2654</v>
      </c>
      <c r="F971" t="s">
        <v>2653</v>
      </c>
      <c r="G971" t="s">
        <v>2653</v>
      </c>
      <c r="H971" t="s">
        <v>2653</v>
      </c>
      <c r="I971" t="s">
        <v>1195</v>
      </c>
      <c r="K971" t="str">
        <f t="shared" si="15"/>
        <v>COM_201403_P1T12025</v>
      </c>
    </row>
    <row r="972" spans="1:11">
      <c r="A972">
        <v>2026</v>
      </c>
      <c r="B972" t="s">
        <v>27</v>
      </c>
      <c r="C972" t="s">
        <v>2653</v>
      </c>
      <c r="D972" t="s">
        <v>2653</v>
      </c>
      <c r="E972" t="s">
        <v>2654</v>
      </c>
      <c r="F972" t="s">
        <v>2653</v>
      </c>
      <c r="G972" t="s">
        <v>2653</v>
      </c>
      <c r="H972" t="s">
        <v>2653</v>
      </c>
      <c r="I972" t="s">
        <v>1195</v>
      </c>
      <c r="K972" t="str">
        <f t="shared" si="15"/>
        <v>COM_201403_P1T12026</v>
      </c>
    </row>
    <row r="973" spans="1:11">
      <c r="A973">
        <v>2027</v>
      </c>
      <c r="B973" t="s">
        <v>27</v>
      </c>
      <c r="C973" t="s">
        <v>2653</v>
      </c>
      <c r="D973" t="s">
        <v>2653</v>
      </c>
      <c r="E973" t="s">
        <v>2654</v>
      </c>
      <c r="F973" t="s">
        <v>2653</v>
      </c>
      <c r="G973" t="s">
        <v>2653</v>
      </c>
      <c r="H973" t="s">
        <v>2653</v>
      </c>
      <c r="I973" t="s">
        <v>1195</v>
      </c>
      <c r="K973" t="str">
        <f t="shared" si="15"/>
        <v>COM_201403_P1T12027</v>
      </c>
    </row>
    <row r="974" spans="1:11">
      <c r="A974">
        <v>2024</v>
      </c>
      <c r="B974" t="s">
        <v>89</v>
      </c>
      <c r="C974" t="s">
        <v>2653</v>
      </c>
      <c r="D974" t="s">
        <v>2653</v>
      </c>
      <c r="E974" t="s">
        <v>2654</v>
      </c>
      <c r="F974" t="s">
        <v>2653</v>
      </c>
      <c r="G974" t="s">
        <v>2653</v>
      </c>
      <c r="H974" t="s">
        <v>2653</v>
      </c>
      <c r="I974" t="s">
        <v>1197</v>
      </c>
      <c r="K974" t="str">
        <f t="shared" si="15"/>
        <v>COM_201403_P3T12024</v>
      </c>
    </row>
    <row r="975" spans="1:11">
      <c r="A975">
        <v>2025</v>
      </c>
      <c r="B975" t="s">
        <v>89</v>
      </c>
      <c r="C975" t="s">
        <v>2653</v>
      </c>
      <c r="D975" t="s">
        <v>2653</v>
      </c>
      <c r="E975" t="s">
        <v>2654</v>
      </c>
      <c r="F975" t="s">
        <v>2653</v>
      </c>
      <c r="G975" t="s">
        <v>2653</v>
      </c>
      <c r="H975" t="s">
        <v>2653</v>
      </c>
      <c r="I975" t="s">
        <v>1197</v>
      </c>
      <c r="K975" t="str">
        <f t="shared" si="15"/>
        <v>COM_201403_P3T12025</v>
      </c>
    </row>
    <row r="976" spans="1:11">
      <c r="A976">
        <v>2026</v>
      </c>
      <c r="B976" t="s">
        <v>89</v>
      </c>
      <c r="C976" t="s">
        <v>2653</v>
      </c>
      <c r="D976" t="s">
        <v>2653</v>
      </c>
      <c r="E976" t="s">
        <v>2654</v>
      </c>
      <c r="F976" t="s">
        <v>2653</v>
      </c>
      <c r="G976" t="s">
        <v>2653</v>
      </c>
      <c r="H976" t="s">
        <v>2653</v>
      </c>
      <c r="I976" t="s">
        <v>1197</v>
      </c>
      <c r="K976" t="str">
        <f t="shared" si="15"/>
        <v>COM_201403_P3T12026</v>
      </c>
    </row>
    <row r="977" spans="1:11">
      <c r="A977">
        <v>2027</v>
      </c>
      <c r="B977" t="s">
        <v>89</v>
      </c>
      <c r="C977" t="s">
        <v>2653</v>
      </c>
      <c r="D977" t="s">
        <v>2653</v>
      </c>
      <c r="E977" t="s">
        <v>2654</v>
      </c>
      <c r="F977" t="s">
        <v>2653</v>
      </c>
      <c r="G977" t="s">
        <v>2653</v>
      </c>
      <c r="H977" t="s">
        <v>2653</v>
      </c>
      <c r="I977" t="s">
        <v>1197</v>
      </c>
      <c r="K977" t="str">
        <f t="shared" si="15"/>
        <v>COM_201403_P3T12027</v>
      </c>
    </row>
    <row r="978" spans="1:11">
      <c r="A978">
        <v>2024</v>
      </c>
      <c r="B978" t="s">
        <v>81</v>
      </c>
      <c r="C978" t="s">
        <v>2654</v>
      </c>
      <c r="D978" t="s">
        <v>2653</v>
      </c>
      <c r="E978" t="s">
        <v>2654</v>
      </c>
      <c r="F978" t="s">
        <v>2653</v>
      </c>
      <c r="G978" t="s">
        <v>2653</v>
      </c>
      <c r="H978" t="s">
        <v>2654</v>
      </c>
      <c r="I978" t="s">
        <v>1140</v>
      </c>
      <c r="K978" t="str">
        <f t="shared" si="15"/>
        <v>RES_201301_P3T32024</v>
      </c>
    </row>
    <row r="979" spans="1:11">
      <c r="A979">
        <v>2025</v>
      </c>
      <c r="B979" t="s">
        <v>81</v>
      </c>
      <c r="C979" t="s">
        <v>2654</v>
      </c>
      <c r="D979" t="s">
        <v>2653</v>
      </c>
      <c r="E979" t="s">
        <v>2654</v>
      </c>
      <c r="F979" t="s">
        <v>2653</v>
      </c>
      <c r="G979" t="s">
        <v>2653</v>
      </c>
      <c r="H979" t="s">
        <v>2654</v>
      </c>
      <c r="I979" t="s">
        <v>1140</v>
      </c>
      <c r="K979" t="str">
        <f t="shared" si="15"/>
        <v>RES_201301_P3T32025</v>
      </c>
    </row>
    <row r="980" spans="1:11">
      <c r="A980">
        <v>2026</v>
      </c>
      <c r="B980" t="s">
        <v>81</v>
      </c>
      <c r="C980" t="s">
        <v>2654</v>
      </c>
      <c r="D980" t="s">
        <v>2653</v>
      </c>
      <c r="E980" t="s">
        <v>2654</v>
      </c>
      <c r="F980" t="s">
        <v>2653</v>
      </c>
      <c r="G980" t="s">
        <v>2653</v>
      </c>
      <c r="H980" t="s">
        <v>2654</v>
      </c>
      <c r="I980" t="s">
        <v>1140</v>
      </c>
      <c r="K980" t="str">
        <f t="shared" si="15"/>
        <v>RES_201301_P3T32026</v>
      </c>
    </row>
    <row r="981" spans="1:11">
      <c r="A981">
        <v>2027</v>
      </c>
      <c r="B981" t="s">
        <v>81</v>
      </c>
      <c r="C981" t="s">
        <v>2654</v>
      </c>
      <c r="D981" t="s">
        <v>2653</v>
      </c>
      <c r="E981" t="s">
        <v>2654</v>
      </c>
      <c r="F981" t="s">
        <v>2653</v>
      </c>
      <c r="G981" t="s">
        <v>2653</v>
      </c>
      <c r="H981" t="s">
        <v>2654</v>
      </c>
      <c r="I981" t="s">
        <v>1140</v>
      </c>
      <c r="K981" t="str">
        <f t="shared" si="15"/>
        <v>RES_201301_P3T32027</v>
      </c>
    </row>
    <row r="982" spans="1:11">
      <c r="A982">
        <v>2024</v>
      </c>
      <c r="B982" t="s">
        <v>354</v>
      </c>
      <c r="C982" t="s">
        <v>2654</v>
      </c>
      <c r="D982" t="s">
        <v>2653</v>
      </c>
      <c r="E982" t="s">
        <v>2654</v>
      </c>
      <c r="F982" t="s">
        <v>2653</v>
      </c>
      <c r="G982" t="s">
        <v>2654</v>
      </c>
      <c r="H982" t="s">
        <v>2654</v>
      </c>
      <c r="I982" t="s">
        <v>1663</v>
      </c>
      <c r="K982" t="str">
        <f t="shared" si="15"/>
        <v>COM_200202_P1T12024</v>
      </c>
    </row>
    <row r="983" spans="1:11">
      <c r="A983">
        <v>2025</v>
      </c>
      <c r="B983" t="s">
        <v>354</v>
      </c>
      <c r="C983" t="s">
        <v>2654</v>
      </c>
      <c r="D983" t="s">
        <v>2653</v>
      </c>
      <c r="E983" t="s">
        <v>2654</v>
      </c>
      <c r="F983" t="s">
        <v>2653</v>
      </c>
      <c r="G983" t="s">
        <v>2654</v>
      </c>
      <c r="H983" t="s">
        <v>2654</v>
      </c>
      <c r="I983" t="s">
        <v>1663</v>
      </c>
      <c r="K983" t="str">
        <f t="shared" si="15"/>
        <v>COM_200202_P1T12025</v>
      </c>
    </row>
    <row r="984" spans="1:11">
      <c r="A984">
        <v>2026</v>
      </c>
      <c r="B984" t="s">
        <v>354</v>
      </c>
      <c r="C984" t="s">
        <v>2654</v>
      </c>
      <c r="D984" t="s">
        <v>2653</v>
      </c>
      <c r="E984" t="s">
        <v>2654</v>
      </c>
      <c r="F984" t="s">
        <v>2653</v>
      </c>
      <c r="G984" t="s">
        <v>2654</v>
      </c>
      <c r="H984" t="s">
        <v>2654</v>
      </c>
      <c r="I984" t="s">
        <v>1663</v>
      </c>
      <c r="K984" t="str">
        <f t="shared" si="15"/>
        <v>COM_200202_P1T12026</v>
      </c>
    </row>
    <row r="985" spans="1:11">
      <c r="A985">
        <v>2027</v>
      </c>
      <c r="B985" t="s">
        <v>354</v>
      </c>
      <c r="C985" t="s">
        <v>2654</v>
      </c>
      <c r="D985" t="s">
        <v>2653</v>
      </c>
      <c r="E985" t="s">
        <v>2654</v>
      </c>
      <c r="F985" t="s">
        <v>2653</v>
      </c>
      <c r="G985" t="s">
        <v>2654</v>
      </c>
      <c r="H985" t="s">
        <v>2654</v>
      </c>
      <c r="I985" t="s">
        <v>1663</v>
      </c>
      <c r="K985" t="str">
        <f t="shared" si="15"/>
        <v>COM_200202_P1T12027</v>
      </c>
    </row>
    <row r="986" spans="1:11">
      <c r="A986">
        <v>2024</v>
      </c>
      <c r="B986" t="s">
        <v>355</v>
      </c>
      <c r="C986" t="s">
        <v>2654</v>
      </c>
      <c r="D986" t="s">
        <v>2653</v>
      </c>
      <c r="E986" t="s">
        <v>2654</v>
      </c>
      <c r="F986" t="s">
        <v>2653</v>
      </c>
      <c r="G986" t="s">
        <v>2654</v>
      </c>
      <c r="H986" t="s">
        <v>2654</v>
      </c>
      <c r="I986" t="s">
        <v>1665</v>
      </c>
      <c r="K986" t="str">
        <f t="shared" si="15"/>
        <v>COM_200202_P1T22024</v>
      </c>
    </row>
    <row r="987" spans="1:11">
      <c r="A987">
        <v>2025</v>
      </c>
      <c r="B987" t="s">
        <v>355</v>
      </c>
      <c r="C987" t="s">
        <v>2654</v>
      </c>
      <c r="D987" t="s">
        <v>2653</v>
      </c>
      <c r="E987" t="s">
        <v>2654</v>
      </c>
      <c r="F987" t="s">
        <v>2653</v>
      </c>
      <c r="G987" t="s">
        <v>2654</v>
      </c>
      <c r="H987" t="s">
        <v>2654</v>
      </c>
      <c r="I987" t="s">
        <v>1665</v>
      </c>
      <c r="K987" t="str">
        <f t="shared" si="15"/>
        <v>COM_200202_P1T22025</v>
      </c>
    </row>
    <row r="988" spans="1:11">
      <c r="A988">
        <v>2026</v>
      </c>
      <c r="B988" t="s">
        <v>355</v>
      </c>
      <c r="C988" t="s">
        <v>2654</v>
      </c>
      <c r="D988" t="s">
        <v>2653</v>
      </c>
      <c r="E988" t="s">
        <v>2654</v>
      </c>
      <c r="F988" t="s">
        <v>2653</v>
      </c>
      <c r="G988" t="s">
        <v>2654</v>
      </c>
      <c r="H988" t="s">
        <v>2654</v>
      </c>
      <c r="I988" t="s">
        <v>1665</v>
      </c>
      <c r="K988" t="str">
        <f t="shared" si="15"/>
        <v>COM_200202_P1T22026</v>
      </c>
    </row>
    <row r="989" spans="1:11">
      <c r="A989">
        <v>2027</v>
      </c>
      <c r="B989" t="s">
        <v>355</v>
      </c>
      <c r="C989" t="s">
        <v>2654</v>
      </c>
      <c r="D989" t="s">
        <v>2653</v>
      </c>
      <c r="E989" t="s">
        <v>2654</v>
      </c>
      <c r="F989" t="s">
        <v>2653</v>
      </c>
      <c r="G989" t="s">
        <v>2654</v>
      </c>
      <c r="H989" t="s">
        <v>2654</v>
      </c>
      <c r="I989" t="s">
        <v>1665</v>
      </c>
      <c r="K989" t="str">
        <f t="shared" si="15"/>
        <v>COM_200202_P1T22027</v>
      </c>
    </row>
    <row r="990" spans="1:11">
      <c r="A990">
        <v>2024</v>
      </c>
      <c r="B990" t="s">
        <v>356</v>
      </c>
      <c r="C990" t="s">
        <v>2654</v>
      </c>
      <c r="D990" t="s">
        <v>2653</v>
      </c>
      <c r="E990" t="s">
        <v>2654</v>
      </c>
      <c r="F990" t="s">
        <v>2653</v>
      </c>
      <c r="G990" t="s">
        <v>2654</v>
      </c>
      <c r="H990" t="s">
        <v>2654</v>
      </c>
      <c r="I990" t="s">
        <v>1666</v>
      </c>
      <c r="K990" t="str">
        <f t="shared" si="15"/>
        <v>COM_200202_P1T32024</v>
      </c>
    </row>
    <row r="991" spans="1:11">
      <c r="A991">
        <v>2025</v>
      </c>
      <c r="B991" t="s">
        <v>356</v>
      </c>
      <c r="C991" t="s">
        <v>2654</v>
      </c>
      <c r="D991" t="s">
        <v>2653</v>
      </c>
      <c r="E991" t="s">
        <v>2654</v>
      </c>
      <c r="F991" t="s">
        <v>2653</v>
      </c>
      <c r="G991" t="s">
        <v>2654</v>
      </c>
      <c r="H991" t="s">
        <v>2654</v>
      </c>
      <c r="I991" t="s">
        <v>1666</v>
      </c>
      <c r="K991" t="str">
        <f t="shared" si="15"/>
        <v>COM_200202_P1T32025</v>
      </c>
    </row>
    <row r="992" spans="1:11">
      <c r="A992">
        <v>2026</v>
      </c>
      <c r="B992" t="s">
        <v>356</v>
      </c>
      <c r="C992" t="s">
        <v>2654</v>
      </c>
      <c r="D992" t="s">
        <v>2653</v>
      </c>
      <c r="E992" t="s">
        <v>2654</v>
      </c>
      <c r="F992" t="s">
        <v>2653</v>
      </c>
      <c r="G992" t="s">
        <v>2654</v>
      </c>
      <c r="H992" t="s">
        <v>2654</v>
      </c>
      <c r="I992" t="s">
        <v>1666</v>
      </c>
      <c r="K992" t="str">
        <f t="shared" si="15"/>
        <v>COM_200202_P1T32026</v>
      </c>
    </row>
    <row r="993" spans="1:11">
      <c r="A993">
        <v>2027</v>
      </c>
      <c r="B993" t="s">
        <v>356</v>
      </c>
      <c r="C993" t="s">
        <v>2654</v>
      </c>
      <c r="D993" t="s">
        <v>2653</v>
      </c>
      <c r="E993" t="s">
        <v>2654</v>
      </c>
      <c r="F993" t="s">
        <v>2653</v>
      </c>
      <c r="G993" t="s">
        <v>2654</v>
      </c>
      <c r="H993" t="s">
        <v>2654</v>
      </c>
      <c r="I993" t="s">
        <v>1666</v>
      </c>
      <c r="K993" t="str">
        <f t="shared" si="15"/>
        <v>COM_200202_P1T32027</v>
      </c>
    </row>
    <row r="994" spans="1:11">
      <c r="A994">
        <v>2024</v>
      </c>
      <c r="B994" t="s">
        <v>357</v>
      </c>
      <c r="C994" t="s">
        <v>2654</v>
      </c>
      <c r="D994" t="s">
        <v>2653</v>
      </c>
      <c r="E994" t="s">
        <v>2654</v>
      </c>
      <c r="F994" t="s">
        <v>2653</v>
      </c>
      <c r="G994" t="s">
        <v>2654</v>
      </c>
      <c r="H994" t="s">
        <v>2654</v>
      </c>
      <c r="I994" t="s">
        <v>1667</v>
      </c>
      <c r="K994" t="str">
        <f t="shared" si="15"/>
        <v>COM_200202_P1T42024</v>
      </c>
    </row>
    <row r="995" spans="1:11">
      <c r="A995">
        <v>2025</v>
      </c>
      <c r="B995" t="s">
        <v>357</v>
      </c>
      <c r="C995" t="s">
        <v>2654</v>
      </c>
      <c r="D995" t="s">
        <v>2653</v>
      </c>
      <c r="E995" t="s">
        <v>2654</v>
      </c>
      <c r="F995" t="s">
        <v>2653</v>
      </c>
      <c r="G995" t="s">
        <v>2654</v>
      </c>
      <c r="H995" t="s">
        <v>2654</v>
      </c>
      <c r="I995" t="s">
        <v>1667</v>
      </c>
      <c r="K995" t="str">
        <f t="shared" si="15"/>
        <v>COM_200202_P1T42025</v>
      </c>
    </row>
    <row r="996" spans="1:11">
      <c r="A996">
        <v>2026</v>
      </c>
      <c r="B996" t="s">
        <v>357</v>
      </c>
      <c r="C996" t="s">
        <v>2654</v>
      </c>
      <c r="D996" t="s">
        <v>2653</v>
      </c>
      <c r="E996" t="s">
        <v>2654</v>
      </c>
      <c r="F996" t="s">
        <v>2653</v>
      </c>
      <c r="G996" t="s">
        <v>2654</v>
      </c>
      <c r="H996" t="s">
        <v>2654</v>
      </c>
      <c r="I996" t="s">
        <v>1667</v>
      </c>
      <c r="K996" t="str">
        <f t="shared" si="15"/>
        <v>COM_200202_P1T42026</v>
      </c>
    </row>
    <row r="997" spans="1:11">
      <c r="A997">
        <v>2027</v>
      </c>
      <c r="B997" t="s">
        <v>357</v>
      </c>
      <c r="C997" t="s">
        <v>2654</v>
      </c>
      <c r="D997" t="s">
        <v>2653</v>
      </c>
      <c r="E997" t="s">
        <v>2654</v>
      </c>
      <c r="F997" t="s">
        <v>2653</v>
      </c>
      <c r="G997" t="s">
        <v>2654</v>
      </c>
      <c r="H997" t="s">
        <v>2654</v>
      </c>
      <c r="I997" t="s">
        <v>1667</v>
      </c>
      <c r="K997" t="str">
        <f t="shared" si="15"/>
        <v>COM_200202_P1T42027</v>
      </c>
    </row>
    <row r="998" spans="1:11">
      <c r="A998">
        <v>2024</v>
      </c>
      <c r="B998" t="s">
        <v>18</v>
      </c>
      <c r="C998" t="s">
        <v>2654</v>
      </c>
      <c r="D998" t="s">
        <v>2653</v>
      </c>
      <c r="E998" t="s">
        <v>2654</v>
      </c>
      <c r="F998" t="s">
        <v>2653</v>
      </c>
      <c r="G998" t="s">
        <v>2654</v>
      </c>
      <c r="H998" t="s">
        <v>2654</v>
      </c>
      <c r="I998" t="s">
        <v>1152</v>
      </c>
      <c r="K998" t="str">
        <f t="shared" si="15"/>
        <v>COM_200202_P1T52024</v>
      </c>
    </row>
    <row r="999" spans="1:11">
      <c r="A999">
        <v>2025</v>
      </c>
      <c r="B999" t="s">
        <v>18</v>
      </c>
      <c r="C999" t="s">
        <v>2654</v>
      </c>
      <c r="D999" t="s">
        <v>2653</v>
      </c>
      <c r="E999" t="s">
        <v>2654</v>
      </c>
      <c r="F999" t="s">
        <v>2653</v>
      </c>
      <c r="G999" t="s">
        <v>2654</v>
      </c>
      <c r="H999" t="s">
        <v>2654</v>
      </c>
      <c r="I999" t="s">
        <v>1152</v>
      </c>
      <c r="K999" t="str">
        <f t="shared" si="15"/>
        <v>COM_200202_P1T52025</v>
      </c>
    </row>
    <row r="1000" spans="1:11">
      <c r="A1000">
        <v>2026</v>
      </c>
      <c r="B1000" t="s">
        <v>18</v>
      </c>
      <c r="C1000" t="s">
        <v>2654</v>
      </c>
      <c r="D1000" t="s">
        <v>2653</v>
      </c>
      <c r="E1000" t="s">
        <v>2654</v>
      </c>
      <c r="F1000" t="s">
        <v>2653</v>
      </c>
      <c r="G1000" t="s">
        <v>2654</v>
      </c>
      <c r="H1000" t="s">
        <v>2654</v>
      </c>
      <c r="I1000" t="s">
        <v>1152</v>
      </c>
      <c r="K1000" t="str">
        <f t="shared" si="15"/>
        <v>COM_200202_P1T52026</v>
      </c>
    </row>
    <row r="1001" spans="1:11">
      <c r="A1001">
        <v>2027</v>
      </c>
      <c r="B1001" t="s">
        <v>18</v>
      </c>
      <c r="C1001" t="s">
        <v>2654</v>
      </c>
      <c r="D1001" t="s">
        <v>2653</v>
      </c>
      <c r="E1001" t="s">
        <v>2654</v>
      </c>
      <c r="F1001" t="s">
        <v>2653</v>
      </c>
      <c r="G1001" t="s">
        <v>2654</v>
      </c>
      <c r="H1001" t="s">
        <v>2654</v>
      </c>
      <c r="I1001" t="s">
        <v>1152</v>
      </c>
      <c r="K1001" t="str">
        <f t="shared" si="15"/>
        <v>COM_200202_P1T52027</v>
      </c>
    </row>
    <row r="1002" spans="1:11">
      <c r="A1002">
        <v>2024</v>
      </c>
      <c r="B1002" t="s">
        <v>368</v>
      </c>
      <c r="C1002" t="s">
        <v>2654</v>
      </c>
      <c r="D1002" t="s">
        <v>2653</v>
      </c>
      <c r="E1002" t="s">
        <v>2654</v>
      </c>
      <c r="F1002" t="s">
        <v>2653</v>
      </c>
      <c r="G1002" t="s">
        <v>2654</v>
      </c>
      <c r="H1002" t="s">
        <v>2654</v>
      </c>
      <c r="I1002" t="s">
        <v>1672</v>
      </c>
      <c r="K1002" t="str">
        <f t="shared" si="15"/>
        <v>COM_200202_P2T22024</v>
      </c>
    </row>
    <row r="1003" spans="1:11">
      <c r="A1003">
        <v>2025</v>
      </c>
      <c r="B1003" t="s">
        <v>368</v>
      </c>
      <c r="C1003" t="s">
        <v>2654</v>
      </c>
      <c r="D1003" t="s">
        <v>2653</v>
      </c>
      <c r="E1003" t="s">
        <v>2654</v>
      </c>
      <c r="F1003" t="s">
        <v>2653</v>
      </c>
      <c r="G1003" t="s">
        <v>2654</v>
      </c>
      <c r="H1003" t="s">
        <v>2654</v>
      </c>
      <c r="I1003" t="s">
        <v>1672</v>
      </c>
      <c r="K1003" t="str">
        <f t="shared" si="15"/>
        <v>COM_200202_P2T22025</v>
      </c>
    </row>
    <row r="1004" spans="1:11">
      <c r="A1004">
        <v>2026</v>
      </c>
      <c r="B1004" t="s">
        <v>368</v>
      </c>
      <c r="C1004" t="s">
        <v>2654</v>
      </c>
      <c r="D1004" t="s">
        <v>2653</v>
      </c>
      <c r="E1004" t="s">
        <v>2654</v>
      </c>
      <c r="F1004" t="s">
        <v>2653</v>
      </c>
      <c r="G1004" t="s">
        <v>2654</v>
      </c>
      <c r="H1004" t="s">
        <v>2654</v>
      </c>
      <c r="I1004" t="s">
        <v>1672</v>
      </c>
      <c r="K1004" t="str">
        <f t="shared" si="15"/>
        <v>COM_200202_P2T22026</v>
      </c>
    </row>
    <row r="1005" spans="1:11">
      <c r="A1005">
        <v>2027</v>
      </c>
      <c r="B1005" t="s">
        <v>368</v>
      </c>
      <c r="C1005" t="s">
        <v>2654</v>
      </c>
      <c r="D1005" t="s">
        <v>2653</v>
      </c>
      <c r="E1005" t="s">
        <v>2654</v>
      </c>
      <c r="F1005" t="s">
        <v>2653</v>
      </c>
      <c r="G1005" t="s">
        <v>2654</v>
      </c>
      <c r="H1005" t="s">
        <v>2654</v>
      </c>
      <c r="I1005" t="s">
        <v>1672</v>
      </c>
      <c r="K1005" t="str">
        <f t="shared" si="15"/>
        <v>COM_200202_P2T22027</v>
      </c>
    </row>
    <row r="1006" spans="1:11">
      <c r="A1006">
        <v>2025</v>
      </c>
      <c r="B1006" t="s">
        <v>369</v>
      </c>
      <c r="C1006" t="s">
        <v>2654</v>
      </c>
      <c r="D1006" t="s">
        <v>2653</v>
      </c>
      <c r="E1006" t="s">
        <v>2654</v>
      </c>
      <c r="F1006" t="s">
        <v>2653</v>
      </c>
      <c r="G1006" t="s">
        <v>2654</v>
      </c>
      <c r="H1006" t="s">
        <v>2654</v>
      </c>
      <c r="I1006" t="s">
        <v>1673</v>
      </c>
      <c r="K1006" t="str">
        <f t="shared" si="15"/>
        <v>COM_200202_P2T32025</v>
      </c>
    </row>
    <row r="1007" spans="1:11">
      <c r="A1007">
        <v>2026</v>
      </c>
      <c r="B1007" t="s">
        <v>369</v>
      </c>
      <c r="C1007" t="s">
        <v>2654</v>
      </c>
      <c r="D1007" t="s">
        <v>2653</v>
      </c>
      <c r="E1007" t="s">
        <v>2654</v>
      </c>
      <c r="F1007" t="s">
        <v>2653</v>
      </c>
      <c r="G1007" t="s">
        <v>2654</v>
      </c>
      <c r="H1007" t="s">
        <v>2654</v>
      </c>
      <c r="I1007" t="s">
        <v>1673</v>
      </c>
      <c r="K1007" t="str">
        <f t="shared" si="15"/>
        <v>COM_200202_P2T32026</v>
      </c>
    </row>
    <row r="1008" spans="1:11">
      <c r="A1008">
        <v>2027</v>
      </c>
      <c r="B1008" t="s">
        <v>369</v>
      </c>
      <c r="C1008" t="s">
        <v>2654</v>
      </c>
      <c r="D1008" t="s">
        <v>2653</v>
      </c>
      <c r="E1008" t="s">
        <v>2654</v>
      </c>
      <c r="F1008" t="s">
        <v>2653</v>
      </c>
      <c r="G1008" t="s">
        <v>2654</v>
      </c>
      <c r="H1008" t="s">
        <v>2654</v>
      </c>
      <c r="I1008" t="s">
        <v>1673</v>
      </c>
      <c r="K1008" t="str">
        <f t="shared" si="15"/>
        <v>COM_200202_P2T32027</v>
      </c>
    </row>
    <row r="1009" spans="1:11">
      <c r="A1009">
        <v>2024</v>
      </c>
      <c r="B1009" t="s">
        <v>369</v>
      </c>
      <c r="C1009" t="s">
        <v>2654</v>
      </c>
      <c r="D1009" t="s">
        <v>2653</v>
      </c>
      <c r="E1009" t="s">
        <v>2654</v>
      </c>
      <c r="F1009" t="s">
        <v>2653</v>
      </c>
      <c r="G1009" t="s">
        <v>2654</v>
      </c>
      <c r="H1009" t="s">
        <v>2654</v>
      </c>
      <c r="I1009" t="s">
        <v>1673</v>
      </c>
      <c r="K1009" t="str">
        <f t="shared" si="15"/>
        <v>COM_200202_P2T32024</v>
      </c>
    </row>
    <row r="1010" spans="1:11">
      <c r="A1010">
        <v>2024</v>
      </c>
      <c r="B1010" t="s">
        <v>377</v>
      </c>
      <c r="C1010" t="s">
        <v>2654</v>
      </c>
      <c r="D1010" t="s">
        <v>2653</v>
      </c>
      <c r="E1010" t="s">
        <v>2654</v>
      </c>
      <c r="F1010" t="s">
        <v>2653</v>
      </c>
      <c r="G1010" t="s">
        <v>2654</v>
      </c>
      <c r="H1010" t="s">
        <v>2654</v>
      </c>
      <c r="I1010" t="s">
        <v>1678</v>
      </c>
      <c r="K1010" t="str">
        <f t="shared" si="15"/>
        <v>COM_200202_P3T12024</v>
      </c>
    </row>
    <row r="1011" spans="1:11">
      <c r="A1011">
        <v>2025</v>
      </c>
      <c r="B1011" t="s">
        <v>377</v>
      </c>
      <c r="C1011" t="s">
        <v>2654</v>
      </c>
      <c r="D1011" t="s">
        <v>2653</v>
      </c>
      <c r="E1011" t="s">
        <v>2654</v>
      </c>
      <c r="F1011" t="s">
        <v>2653</v>
      </c>
      <c r="G1011" t="s">
        <v>2654</v>
      </c>
      <c r="H1011" t="s">
        <v>2654</v>
      </c>
      <c r="I1011" t="s">
        <v>1678</v>
      </c>
      <c r="K1011" t="str">
        <f t="shared" si="15"/>
        <v>COM_200202_P3T12025</v>
      </c>
    </row>
    <row r="1012" spans="1:11">
      <c r="A1012">
        <v>2026</v>
      </c>
      <c r="B1012" t="s">
        <v>377</v>
      </c>
      <c r="C1012" t="s">
        <v>2654</v>
      </c>
      <c r="D1012" t="s">
        <v>2653</v>
      </c>
      <c r="E1012" t="s">
        <v>2654</v>
      </c>
      <c r="F1012" t="s">
        <v>2653</v>
      </c>
      <c r="G1012" t="s">
        <v>2654</v>
      </c>
      <c r="H1012" t="s">
        <v>2654</v>
      </c>
      <c r="I1012" t="s">
        <v>1678</v>
      </c>
      <c r="K1012" t="str">
        <f t="shared" si="15"/>
        <v>COM_200202_P3T12026</v>
      </c>
    </row>
    <row r="1013" spans="1:11">
      <c r="A1013">
        <v>2027</v>
      </c>
      <c r="B1013" t="s">
        <v>377</v>
      </c>
      <c r="C1013" t="s">
        <v>2654</v>
      </c>
      <c r="D1013" t="s">
        <v>2653</v>
      </c>
      <c r="E1013" t="s">
        <v>2654</v>
      </c>
      <c r="F1013" t="s">
        <v>2653</v>
      </c>
      <c r="G1013" t="s">
        <v>2654</v>
      </c>
      <c r="H1013" t="s">
        <v>2654</v>
      </c>
      <c r="I1013" t="s">
        <v>1678</v>
      </c>
      <c r="K1013" t="str">
        <f t="shared" si="15"/>
        <v>COM_200202_P3T12027</v>
      </c>
    </row>
    <row r="1014" spans="1:11">
      <c r="A1014">
        <v>2024</v>
      </c>
      <c r="B1014" t="s">
        <v>378</v>
      </c>
      <c r="C1014" t="s">
        <v>2654</v>
      </c>
      <c r="D1014" t="s">
        <v>2653</v>
      </c>
      <c r="E1014" t="s">
        <v>2654</v>
      </c>
      <c r="F1014" t="s">
        <v>2653</v>
      </c>
      <c r="G1014" t="s">
        <v>2654</v>
      </c>
      <c r="H1014" t="s">
        <v>2654</v>
      </c>
      <c r="I1014" t="s">
        <v>1679</v>
      </c>
      <c r="K1014" t="str">
        <f t="shared" si="15"/>
        <v>COM_200202_P3T22024</v>
      </c>
    </row>
    <row r="1015" spans="1:11">
      <c r="A1015">
        <v>2025</v>
      </c>
      <c r="B1015" t="s">
        <v>378</v>
      </c>
      <c r="C1015" t="s">
        <v>2654</v>
      </c>
      <c r="D1015" t="s">
        <v>2653</v>
      </c>
      <c r="E1015" t="s">
        <v>2654</v>
      </c>
      <c r="F1015" t="s">
        <v>2653</v>
      </c>
      <c r="G1015" t="s">
        <v>2654</v>
      </c>
      <c r="H1015" t="s">
        <v>2654</v>
      </c>
      <c r="I1015" t="s">
        <v>1679</v>
      </c>
      <c r="K1015" t="str">
        <f t="shared" si="15"/>
        <v>COM_200202_P3T22025</v>
      </c>
    </row>
    <row r="1016" spans="1:11">
      <c r="A1016">
        <v>2026</v>
      </c>
      <c r="B1016" t="s">
        <v>378</v>
      </c>
      <c r="C1016" t="s">
        <v>2654</v>
      </c>
      <c r="D1016" t="s">
        <v>2653</v>
      </c>
      <c r="E1016" t="s">
        <v>2654</v>
      </c>
      <c r="F1016" t="s">
        <v>2653</v>
      </c>
      <c r="G1016" t="s">
        <v>2654</v>
      </c>
      <c r="H1016" t="s">
        <v>2654</v>
      </c>
      <c r="I1016" t="s">
        <v>1679</v>
      </c>
      <c r="K1016" t="str">
        <f t="shared" si="15"/>
        <v>COM_200202_P3T22026</v>
      </c>
    </row>
    <row r="1017" spans="1:11">
      <c r="A1017">
        <v>2027</v>
      </c>
      <c r="B1017" t="s">
        <v>378</v>
      </c>
      <c r="C1017" t="s">
        <v>2654</v>
      </c>
      <c r="D1017" t="s">
        <v>2653</v>
      </c>
      <c r="E1017" t="s">
        <v>2654</v>
      </c>
      <c r="F1017" t="s">
        <v>2653</v>
      </c>
      <c r="G1017" t="s">
        <v>2654</v>
      </c>
      <c r="H1017" t="s">
        <v>2654</v>
      </c>
      <c r="I1017" t="s">
        <v>1679</v>
      </c>
      <c r="K1017" t="str">
        <f t="shared" si="15"/>
        <v>COM_200202_P3T22027</v>
      </c>
    </row>
    <row r="1018" spans="1:11">
      <c r="A1018">
        <v>2024</v>
      </c>
      <c r="B1018" t="s">
        <v>379</v>
      </c>
      <c r="C1018" t="s">
        <v>2654</v>
      </c>
      <c r="D1018" t="s">
        <v>2653</v>
      </c>
      <c r="E1018" t="s">
        <v>2654</v>
      </c>
      <c r="F1018" t="s">
        <v>2653</v>
      </c>
      <c r="G1018" t="s">
        <v>2654</v>
      </c>
      <c r="H1018" t="s">
        <v>2654</v>
      </c>
      <c r="I1018" t="s">
        <v>1680</v>
      </c>
      <c r="K1018" t="str">
        <f t="shared" si="15"/>
        <v>COM_200202_P3T32024</v>
      </c>
    </row>
    <row r="1019" spans="1:11">
      <c r="A1019">
        <v>2025</v>
      </c>
      <c r="B1019" t="s">
        <v>379</v>
      </c>
      <c r="C1019" t="s">
        <v>2654</v>
      </c>
      <c r="D1019" t="s">
        <v>2653</v>
      </c>
      <c r="E1019" t="s">
        <v>2654</v>
      </c>
      <c r="F1019" t="s">
        <v>2653</v>
      </c>
      <c r="G1019" t="s">
        <v>2654</v>
      </c>
      <c r="H1019" t="s">
        <v>2654</v>
      </c>
      <c r="I1019" t="s">
        <v>1680</v>
      </c>
      <c r="K1019" t="str">
        <f t="shared" si="15"/>
        <v>COM_200202_P3T32025</v>
      </c>
    </row>
    <row r="1020" spans="1:11">
      <c r="A1020">
        <v>2026</v>
      </c>
      <c r="B1020" t="s">
        <v>379</v>
      </c>
      <c r="C1020" t="s">
        <v>2654</v>
      </c>
      <c r="D1020" t="s">
        <v>2653</v>
      </c>
      <c r="E1020" t="s">
        <v>2654</v>
      </c>
      <c r="F1020" t="s">
        <v>2653</v>
      </c>
      <c r="G1020" t="s">
        <v>2654</v>
      </c>
      <c r="H1020" t="s">
        <v>2654</v>
      </c>
      <c r="I1020" t="s">
        <v>1680</v>
      </c>
      <c r="K1020" t="str">
        <f t="shared" si="15"/>
        <v>COM_200202_P3T32026</v>
      </c>
    </row>
    <row r="1021" spans="1:11">
      <c r="A1021">
        <v>2027</v>
      </c>
      <c r="B1021" t="s">
        <v>379</v>
      </c>
      <c r="C1021" t="s">
        <v>2654</v>
      </c>
      <c r="D1021" t="s">
        <v>2653</v>
      </c>
      <c r="E1021" t="s">
        <v>2654</v>
      </c>
      <c r="F1021" t="s">
        <v>2653</v>
      </c>
      <c r="G1021" t="s">
        <v>2654</v>
      </c>
      <c r="H1021" t="s">
        <v>2654</v>
      </c>
      <c r="I1021" t="s">
        <v>1680</v>
      </c>
      <c r="K1021" t="str">
        <f t="shared" si="15"/>
        <v>COM_200202_P3T32027</v>
      </c>
    </row>
    <row r="1022" spans="1:11">
      <c r="A1022">
        <v>2025</v>
      </c>
      <c r="B1022" t="s">
        <v>380</v>
      </c>
      <c r="C1022" t="s">
        <v>2654</v>
      </c>
      <c r="D1022" t="s">
        <v>2653</v>
      </c>
      <c r="E1022" t="s">
        <v>2654</v>
      </c>
      <c r="F1022" t="s">
        <v>2653</v>
      </c>
      <c r="G1022" t="s">
        <v>2654</v>
      </c>
      <c r="H1022" t="s">
        <v>2654</v>
      </c>
      <c r="I1022" t="s">
        <v>1681</v>
      </c>
      <c r="K1022" t="str">
        <f t="shared" si="15"/>
        <v>COM_200202_P3T42025</v>
      </c>
    </row>
    <row r="1023" spans="1:11">
      <c r="A1023">
        <v>2026</v>
      </c>
      <c r="B1023" t="s">
        <v>380</v>
      </c>
      <c r="C1023" t="s">
        <v>2654</v>
      </c>
      <c r="D1023" t="s">
        <v>2653</v>
      </c>
      <c r="E1023" t="s">
        <v>2654</v>
      </c>
      <c r="F1023" t="s">
        <v>2653</v>
      </c>
      <c r="G1023" t="s">
        <v>2654</v>
      </c>
      <c r="H1023" t="s">
        <v>2654</v>
      </c>
      <c r="I1023" t="s">
        <v>1681</v>
      </c>
      <c r="K1023" t="str">
        <f t="shared" si="15"/>
        <v>COM_200202_P3T42026</v>
      </c>
    </row>
    <row r="1024" spans="1:11">
      <c r="A1024">
        <v>2027</v>
      </c>
      <c r="B1024" t="s">
        <v>380</v>
      </c>
      <c r="C1024" t="s">
        <v>2654</v>
      </c>
      <c r="D1024" t="s">
        <v>2653</v>
      </c>
      <c r="E1024" t="s">
        <v>2654</v>
      </c>
      <c r="F1024" t="s">
        <v>2653</v>
      </c>
      <c r="G1024" t="s">
        <v>2654</v>
      </c>
      <c r="H1024" t="s">
        <v>2654</v>
      </c>
      <c r="I1024" t="s">
        <v>1681</v>
      </c>
      <c r="K1024" t="str">
        <f t="shared" si="15"/>
        <v>COM_200202_P3T42027</v>
      </c>
    </row>
    <row r="1025" spans="1:11">
      <c r="A1025">
        <v>2024</v>
      </c>
      <c r="B1025" t="s">
        <v>380</v>
      </c>
      <c r="C1025" t="s">
        <v>2654</v>
      </c>
      <c r="D1025" t="s">
        <v>2653</v>
      </c>
      <c r="E1025" t="s">
        <v>2654</v>
      </c>
      <c r="F1025" t="s">
        <v>2653</v>
      </c>
      <c r="G1025" t="s">
        <v>2654</v>
      </c>
      <c r="H1025" t="s">
        <v>2654</v>
      </c>
      <c r="I1025" t="s">
        <v>1681</v>
      </c>
      <c r="K1025" t="str">
        <f t="shared" si="15"/>
        <v>COM_200202_P3T42024</v>
      </c>
    </row>
    <row r="1026" spans="1:11">
      <c r="A1026">
        <v>2024</v>
      </c>
      <c r="B1026" t="s">
        <v>400</v>
      </c>
      <c r="C1026" t="s">
        <v>2654</v>
      </c>
      <c r="D1026" t="s">
        <v>2653</v>
      </c>
      <c r="E1026" t="s">
        <v>2654</v>
      </c>
      <c r="F1026" t="s">
        <v>2653</v>
      </c>
      <c r="G1026" t="s">
        <v>2654</v>
      </c>
      <c r="H1026" t="s">
        <v>2654</v>
      </c>
      <c r="I1026" t="s">
        <v>1682</v>
      </c>
      <c r="K1026" t="str">
        <f t="shared" si="15"/>
        <v>COM_200202_P4T12024</v>
      </c>
    </row>
    <row r="1027" spans="1:11">
      <c r="A1027">
        <v>2025</v>
      </c>
      <c r="B1027" t="s">
        <v>400</v>
      </c>
      <c r="C1027" t="s">
        <v>2654</v>
      </c>
      <c r="D1027" t="s">
        <v>2653</v>
      </c>
      <c r="E1027" t="s">
        <v>2654</v>
      </c>
      <c r="F1027" t="s">
        <v>2653</v>
      </c>
      <c r="G1027" t="s">
        <v>2654</v>
      </c>
      <c r="H1027" t="s">
        <v>2654</v>
      </c>
      <c r="I1027" t="s">
        <v>1682</v>
      </c>
      <c r="K1027" t="str">
        <f t="shared" ref="K1027:K1090" si="16">B1027&amp;A1027</f>
        <v>COM_200202_P4T12025</v>
      </c>
    </row>
    <row r="1028" spans="1:11">
      <c r="A1028">
        <v>2026</v>
      </c>
      <c r="B1028" t="s">
        <v>400</v>
      </c>
      <c r="C1028" t="s">
        <v>2654</v>
      </c>
      <c r="D1028" t="s">
        <v>2653</v>
      </c>
      <c r="E1028" t="s">
        <v>2654</v>
      </c>
      <c r="F1028" t="s">
        <v>2653</v>
      </c>
      <c r="G1028" t="s">
        <v>2654</v>
      </c>
      <c r="H1028" t="s">
        <v>2654</v>
      </c>
      <c r="I1028" t="s">
        <v>1682</v>
      </c>
      <c r="K1028" t="str">
        <f t="shared" si="16"/>
        <v>COM_200202_P4T12026</v>
      </c>
    </row>
    <row r="1029" spans="1:11">
      <c r="A1029">
        <v>2027</v>
      </c>
      <c r="B1029" t="s">
        <v>400</v>
      </c>
      <c r="C1029" t="s">
        <v>2654</v>
      </c>
      <c r="D1029" t="s">
        <v>2653</v>
      </c>
      <c r="E1029" t="s">
        <v>2654</v>
      </c>
      <c r="F1029" t="s">
        <v>2653</v>
      </c>
      <c r="G1029" t="s">
        <v>2654</v>
      </c>
      <c r="H1029" t="s">
        <v>2654</v>
      </c>
      <c r="I1029" t="s">
        <v>1682</v>
      </c>
      <c r="K1029" t="str">
        <f t="shared" si="16"/>
        <v>COM_200202_P4T12027</v>
      </c>
    </row>
    <row r="1030" spans="1:11">
      <c r="A1030">
        <v>2024</v>
      </c>
      <c r="B1030" t="s">
        <v>401</v>
      </c>
      <c r="C1030" t="s">
        <v>2654</v>
      </c>
      <c r="D1030" t="s">
        <v>2653</v>
      </c>
      <c r="E1030" t="s">
        <v>2654</v>
      </c>
      <c r="F1030" t="s">
        <v>2653</v>
      </c>
      <c r="G1030" t="s">
        <v>2654</v>
      </c>
      <c r="H1030" t="s">
        <v>2654</v>
      </c>
      <c r="I1030" t="s">
        <v>1685</v>
      </c>
      <c r="K1030" t="str">
        <f t="shared" si="16"/>
        <v>COM_200202_P4T22024</v>
      </c>
    </row>
    <row r="1031" spans="1:11">
      <c r="A1031">
        <v>2025</v>
      </c>
      <c r="B1031" t="s">
        <v>401</v>
      </c>
      <c r="C1031" t="s">
        <v>2654</v>
      </c>
      <c r="D1031" t="s">
        <v>2653</v>
      </c>
      <c r="E1031" t="s">
        <v>2654</v>
      </c>
      <c r="F1031" t="s">
        <v>2653</v>
      </c>
      <c r="G1031" t="s">
        <v>2654</v>
      </c>
      <c r="H1031" t="s">
        <v>2654</v>
      </c>
      <c r="I1031" t="s">
        <v>1685</v>
      </c>
      <c r="K1031" t="str">
        <f t="shared" si="16"/>
        <v>COM_200202_P4T22025</v>
      </c>
    </row>
    <row r="1032" spans="1:11">
      <c r="A1032">
        <v>2026</v>
      </c>
      <c r="B1032" t="s">
        <v>401</v>
      </c>
      <c r="C1032" t="s">
        <v>2654</v>
      </c>
      <c r="D1032" t="s">
        <v>2653</v>
      </c>
      <c r="E1032" t="s">
        <v>2654</v>
      </c>
      <c r="F1032" t="s">
        <v>2653</v>
      </c>
      <c r="G1032" t="s">
        <v>2654</v>
      </c>
      <c r="H1032" t="s">
        <v>2654</v>
      </c>
      <c r="I1032" t="s">
        <v>1685</v>
      </c>
      <c r="K1032" t="str">
        <f t="shared" si="16"/>
        <v>COM_200202_P4T22026</v>
      </c>
    </row>
    <row r="1033" spans="1:11">
      <c r="A1033">
        <v>2027</v>
      </c>
      <c r="B1033" t="s">
        <v>401</v>
      </c>
      <c r="C1033" t="s">
        <v>2654</v>
      </c>
      <c r="D1033" t="s">
        <v>2653</v>
      </c>
      <c r="E1033" t="s">
        <v>2654</v>
      </c>
      <c r="F1033" t="s">
        <v>2653</v>
      </c>
      <c r="G1033" t="s">
        <v>2654</v>
      </c>
      <c r="H1033" t="s">
        <v>2654</v>
      </c>
      <c r="I1033" t="s">
        <v>1685</v>
      </c>
      <c r="K1033" t="str">
        <f t="shared" si="16"/>
        <v>COM_200202_P4T22027</v>
      </c>
    </row>
    <row r="1034" spans="1:11">
      <c r="A1034">
        <v>2024</v>
      </c>
      <c r="B1034" t="s">
        <v>412</v>
      </c>
      <c r="C1034" t="s">
        <v>2654</v>
      </c>
      <c r="D1034" t="s">
        <v>2653</v>
      </c>
      <c r="E1034" t="s">
        <v>2654</v>
      </c>
      <c r="F1034" t="s">
        <v>2653</v>
      </c>
      <c r="G1034" t="s">
        <v>2654</v>
      </c>
      <c r="H1034" t="s">
        <v>2654</v>
      </c>
      <c r="I1034" t="s">
        <v>1686</v>
      </c>
      <c r="K1034" t="str">
        <f t="shared" si="16"/>
        <v>COM_200202_P4T32024</v>
      </c>
    </row>
    <row r="1035" spans="1:11">
      <c r="A1035">
        <v>2025</v>
      </c>
      <c r="B1035" t="s">
        <v>412</v>
      </c>
      <c r="C1035" t="s">
        <v>2654</v>
      </c>
      <c r="D1035" t="s">
        <v>2653</v>
      </c>
      <c r="E1035" t="s">
        <v>2654</v>
      </c>
      <c r="F1035" t="s">
        <v>2653</v>
      </c>
      <c r="G1035" t="s">
        <v>2654</v>
      </c>
      <c r="H1035" t="s">
        <v>2654</v>
      </c>
      <c r="I1035" t="s">
        <v>1686</v>
      </c>
      <c r="K1035" t="str">
        <f t="shared" si="16"/>
        <v>COM_200202_P4T32025</v>
      </c>
    </row>
    <row r="1036" spans="1:11">
      <c r="A1036">
        <v>2026</v>
      </c>
      <c r="B1036" t="s">
        <v>412</v>
      </c>
      <c r="C1036" t="s">
        <v>2654</v>
      </c>
      <c r="D1036" t="s">
        <v>2653</v>
      </c>
      <c r="E1036" t="s">
        <v>2654</v>
      </c>
      <c r="F1036" t="s">
        <v>2653</v>
      </c>
      <c r="G1036" t="s">
        <v>2654</v>
      </c>
      <c r="H1036" t="s">
        <v>2654</v>
      </c>
      <c r="I1036" t="s">
        <v>1686</v>
      </c>
      <c r="K1036" t="str">
        <f t="shared" si="16"/>
        <v>COM_200202_P4T32026</v>
      </c>
    </row>
    <row r="1037" spans="1:11">
      <c r="A1037">
        <v>2027</v>
      </c>
      <c r="B1037" t="s">
        <v>412</v>
      </c>
      <c r="C1037" t="s">
        <v>2654</v>
      </c>
      <c r="D1037" t="s">
        <v>2653</v>
      </c>
      <c r="E1037" t="s">
        <v>2654</v>
      </c>
      <c r="F1037" t="s">
        <v>2653</v>
      </c>
      <c r="G1037" t="s">
        <v>2654</v>
      </c>
      <c r="H1037" t="s">
        <v>2654</v>
      </c>
      <c r="I1037" t="s">
        <v>1686</v>
      </c>
      <c r="K1037" t="str">
        <f t="shared" si="16"/>
        <v>COM_200202_P4T32027</v>
      </c>
    </row>
    <row r="1038" spans="1:11">
      <c r="A1038">
        <v>2024</v>
      </c>
      <c r="B1038" t="s">
        <v>402</v>
      </c>
      <c r="C1038" t="s">
        <v>2654</v>
      </c>
      <c r="D1038" t="s">
        <v>2653</v>
      </c>
      <c r="E1038" t="s">
        <v>2654</v>
      </c>
      <c r="F1038" t="s">
        <v>2653</v>
      </c>
      <c r="G1038" t="s">
        <v>2654</v>
      </c>
      <c r="H1038" t="s">
        <v>2654</v>
      </c>
      <c r="I1038" t="s">
        <v>1687</v>
      </c>
      <c r="K1038" t="str">
        <f t="shared" si="16"/>
        <v>COM_200202_P4T42024</v>
      </c>
    </row>
    <row r="1039" spans="1:11">
      <c r="A1039">
        <v>2025</v>
      </c>
      <c r="B1039" t="s">
        <v>402</v>
      </c>
      <c r="C1039" t="s">
        <v>2654</v>
      </c>
      <c r="D1039" t="s">
        <v>2653</v>
      </c>
      <c r="E1039" t="s">
        <v>2654</v>
      </c>
      <c r="F1039" t="s">
        <v>2653</v>
      </c>
      <c r="G1039" t="s">
        <v>2654</v>
      </c>
      <c r="H1039" t="s">
        <v>2654</v>
      </c>
      <c r="I1039" t="s">
        <v>1687</v>
      </c>
      <c r="K1039" t="str">
        <f t="shared" si="16"/>
        <v>COM_200202_P4T42025</v>
      </c>
    </row>
    <row r="1040" spans="1:11">
      <c r="A1040">
        <v>2026</v>
      </c>
      <c r="B1040" t="s">
        <v>402</v>
      </c>
      <c r="C1040" t="s">
        <v>2654</v>
      </c>
      <c r="D1040" t="s">
        <v>2653</v>
      </c>
      <c r="E1040" t="s">
        <v>2654</v>
      </c>
      <c r="F1040" t="s">
        <v>2653</v>
      </c>
      <c r="G1040" t="s">
        <v>2654</v>
      </c>
      <c r="H1040" t="s">
        <v>2654</v>
      </c>
      <c r="I1040" t="s">
        <v>1687</v>
      </c>
      <c r="K1040" t="str">
        <f t="shared" si="16"/>
        <v>COM_200202_P4T42026</v>
      </c>
    </row>
    <row r="1041" spans="1:11">
      <c r="A1041">
        <v>2027</v>
      </c>
      <c r="B1041" t="s">
        <v>402</v>
      </c>
      <c r="C1041" t="s">
        <v>2654</v>
      </c>
      <c r="D1041" t="s">
        <v>2653</v>
      </c>
      <c r="E1041" t="s">
        <v>2654</v>
      </c>
      <c r="F1041" t="s">
        <v>2653</v>
      </c>
      <c r="G1041" t="s">
        <v>2654</v>
      </c>
      <c r="H1041" t="s">
        <v>2654</v>
      </c>
      <c r="I1041" t="s">
        <v>1687</v>
      </c>
      <c r="K1041" t="str">
        <f t="shared" si="16"/>
        <v>COM_200202_P4T42027</v>
      </c>
    </row>
    <row r="1042" spans="1:11">
      <c r="A1042">
        <v>2025</v>
      </c>
      <c r="B1042" t="s">
        <v>403</v>
      </c>
      <c r="C1042" t="s">
        <v>2654</v>
      </c>
      <c r="D1042" t="s">
        <v>2653</v>
      </c>
      <c r="E1042" t="s">
        <v>2654</v>
      </c>
      <c r="F1042" t="s">
        <v>2653</v>
      </c>
      <c r="G1042" t="s">
        <v>2654</v>
      </c>
      <c r="H1042" t="s">
        <v>2654</v>
      </c>
      <c r="I1042" t="s">
        <v>1688</v>
      </c>
      <c r="K1042" t="str">
        <f t="shared" si="16"/>
        <v>COM_200202_P4T52025</v>
      </c>
    </row>
    <row r="1043" spans="1:11">
      <c r="A1043">
        <v>2026</v>
      </c>
      <c r="B1043" t="s">
        <v>403</v>
      </c>
      <c r="C1043" t="s">
        <v>2654</v>
      </c>
      <c r="D1043" t="s">
        <v>2653</v>
      </c>
      <c r="E1043" t="s">
        <v>2654</v>
      </c>
      <c r="F1043" t="s">
        <v>2653</v>
      </c>
      <c r="G1043" t="s">
        <v>2654</v>
      </c>
      <c r="H1043" t="s">
        <v>2654</v>
      </c>
      <c r="I1043" t="s">
        <v>1688</v>
      </c>
      <c r="K1043" t="str">
        <f t="shared" si="16"/>
        <v>COM_200202_P4T52026</v>
      </c>
    </row>
    <row r="1044" spans="1:11">
      <c r="A1044">
        <v>2027</v>
      </c>
      <c r="B1044" t="s">
        <v>403</v>
      </c>
      <c r="C1044" t="s">
        <v>2654</v>
      </c>
      <c r="D1044" t="s">
        <v>2653</v>
      </c>
      <c r="E1044" t="s">
        <v>2654</v>
      </c>
      <c r="F1044" t="s">
        <v>2653</v>
      </c>
      <c r="G1044" t="s">
        <v>2654</v>
      </c>
      <c r="H1044" t="s">
        <v>2654</v>
      </c>
      <c r="I1044" t="s">
        <v>1688</v>
      </c>
      <c r="K1044" t="str">
        <f t="shared" si="16"/>
        <v>COM_200202_P4T52027</v>
      </c>
    </row>
    <row r="1045" spans="1:11">
      <c r="A1045">
        <v>2024</v>
      </c>
      <c r="B1045" t="s">
        <v>403</v>
      </c>
      <c r="C1045" t="s">
        <v>2654</v>
      </c>
      <c r="D1045" t="s">
        <v>2653</v>
      </c>
      <c r="E1045" t="s">
        <v>2654</v>
      </c>
      <c r="F1045" t="s">
        <v>2653</v>
      </c>
      <c r="G1045" t="s">
        <v>2654</v>
      </c>
      <c r="H1045" t="s">
        <v>2654</v>
      </c>
      <c r="I1045" t="s">
        <v>1688</v>
      </c>
      <c r="K1045" t="str">
        <f t="shared" si="16"/>
        <v>COM_200202_P4T52024</v>
      </c>
    </row>
    <row r="1046" spans="1:11">
      <c r="A1046">
        <v>2024</v>
      </c>
      <c r="B1046" t="s">
        <v>69</v>
      </c>
      <c r="C1046" t="s">
        <v>2654</v>
      </c>
      <c r="D1046" t="s">
        <v>2653</v>
      </c>
      <c r="E1046" t="s">
        <v>2654</v>
      </c>
      <c r="F1046" t="s">
        <v>2653</v>
      </c>
      <c r="G1046" t="s">
        <v>2654</v>
      </c>
      <c r="H1046" t="s">
        <v>2654</v>
      </c>
      <c r="I1046" t="s">
        <v>1170</v>
      </c>
      <c r="K1046" t="str">
        <f t="shared" si="16"/>
        <v>RES_200601_P4T52024</v>
      </c>
    </row>
    <row r="1047" spans="1:11">
      <c r="A1047">
        <v>2025</v>
      </c>
      <c r="B1047" t="s">
        <v>69</v>
      </c>
      <c r="C1047" t="s">
        <v>2654</v>
      </c>
      <c r="D1047" t="s">
        <v>2653</v>
      </c>
      <c r="E1047" t="s">
        <v>2654</v>
      </c>
      <c r="F1047" t="s">
        <v>2653</v>
      </c>
      <c r="G1047" t="s">
        <v>2654</v>
      </c>
      <c r="H1047" t="s">
        <v>2654</v>
      </c>
      <c r="I1047" t="s">
        <v>1170</v>
      </c>
      <c r="K1047" t="str">
        <f t="shared" si="16"/>
        <v>RES_200601_P4T52025</v>
      </c>
    </row>
    <row r="1048" spans="1:11">
      <c r="A1048">
        <v>2026</v>
      </c>
      <c r="B1048" t="s">
        <v>69</v>
      </c>
      <c r="C1048" t="s">
        <v>2654</v>
      </c>
      <c r="D1048" t="s">
        <v>2653</v>
      </c>
      <c r="E1048" t="s">
        <v>2654</v>
      </c>
      <c r="F1048" t="s">
        <v>2653</v>
      </c>
      <c r="G1048" t="s">
        <v>2654</v>
      </c>
      <c r="H1048" t="s">
        <v>2654</v>
      </c>
      <c r="I1048" t="s">
        <v>1170</v>
      </c>
      <c r="K1048" t="str">
        <f t="shared" si="16"/>
        <v>RES_200601_P4T52026</v>
      </c>
    </row>
    <row r="1049" spans="1:11">
      <c r="A1049">
        <v>2027</v>
      </c>
      <c r="B1049" t="s">
        <v>69</v>
      </c>
      <c r="C1049" t="s">
        <v>2654</v>
      </c>
      <c r="D1049" t="s">
        <v>2653</v>
      </c>
      <c r="E1049" t="s">
        <v>2654</v>
      </c>
      <c r="F1049" t="s">
        <v>2653</v>
      </c>
      <c r="G1049" t="s">
        <v>2654</v>
      </c>
      <c r="H1049" t="s">
        <v>2654</v>
      </c>
      <c r="I1049" t="s">
        <v>1170</v>
      </c>
      <c r="K1049" t="str">
        <f t="shared" si="16"/>
        <v>RES_200601_P4T52027</v>
      </c>
    </row>
    <row r="1050" spans="1:11">
      <c r="A1050">
        <v>2024</v>
      </c>
      <c r="B1050" t="s">
        <v>64</v>
      </c>
      <c r="C1050" t="s">
        <v>2654</v>
      </c>
      <c r="D1050" t="s">
        <v>2653</v>
      </c>
      <c r="E1050" t="s">
        <v>2654</v>
      </c>
      <c r="F1050" t="s">
        <v>2653</v>
      </c>
      <c r="G1050" t="s">
        <v>2654</v>
      </c>
      <c r="H1050" t="s">
        <v>2654</v>
      </c>
      <c r="I1050" t="s">
        <v>1146</v>
      </c>
      <c r="K1050" t="str">
        <f t="shared" si="16"/>
        <v>RES_201301_P4T52024</v>
      </c>
    </row>
    <row r="1051" spans="1:11">
      <c r="A1051">
        <v>2025</v>
      </c>
      <c r="B1051" t="s">
        <v>64</v>
      </c>
      <c r="C1051" t="s">
        <v>2654</v>
      </c>
      <c r="D1051" t="s">
        <v>2653</v>
      </c>
      <c r="E1051" t="s">
        <v>2654</v>
      </c>
      <c r="F1051" t="s">
        <v>2653</v>
      </c>
      <c r="G1051" t="s">
        <v>2654</v>
      </c>
      <c r="H1051" t="s">
        <v>2654</v>
      </c>
      <c r="I1051" t="s">
        <v>1146</v>
      </c>
      <c r="K1051" t="str">
        <f t="shared" si="16"/>
        <v>RES_201301_P4T52025</v>
      </c>
    </row>
    <row r="1052" spans="1:11">
      <c r="A1052">
        <v>2026</v>
      </c>
      <c r="B1052" t="s">
        <v>64</v>
      </c>
      <c r="C1052" t="s">
        <v>2654</v>
      </c>
      <c r="D1052" t="s">
        <v>2653</v>
      </c>
      <c r="E1052" t="s">
        <v>2654</v>
      </c>
      <c r="F1052" t="s">
        <v>2653</v>
      </c>
      <c r="G1052" t="s">
        <v>2654</v>
      </c>
      <c r="H1052" t="s">
        <v>2654</v>
      </c>
      <c r="I1052" t="s">
        <v>1146</v>
      </c>
      <c r="K1052" t="str">
        <f t="shared" si="16"/>
        <v>RES_201301_P4T52026</v>
      </c>
    </row>
    <row r="1053" spans="1:11">
      <c r="A1053">
        <v>2027</v>
      </c>
      <c r="B1053" t="s">
        <v>64</v>
      </c>
      <c r="C1053" t="s">
        <v>2654</v>
      </c>
      <c r="D1053" t="s">
        <v>2653</v>
      </c>
      <c r="E1053" t="s">
        <v>2654</v>
      </c>
      <c r="F1053" t="s">
        <v>2653</v>
      </c>
      <c r="G1053" t="s">
        <v>2654</v>
      </c>
      <c r="H1053" t="s">
        <v>2654</v>
      </c>
      <c r="I1053" t="s">
        <v>1146</v>
      </c>
      <c r="K1053" t="str">
        <f t="shared" si="16"/>
        <v>RES_201301_P4T52027</v>
      </c>
    </row>
    <row r="1054" spans="1:11">
      <c r="A1054">
        <v>2024</v>
      </c>
      <c r="B1054" t="s">
        <v>93</v>
      </c>
      <c r="C1054" t="s">
        <v>2653</v>
      </c>
      <c r="D1054" t="s">
        <v>2653</v>
      </c>
      <c r="E1054" t="s">
        <v>2654</v>
      </c>
      <c r="F1054" t="s">
        <v>2653</v>
      </c>
      <c r="G1054" t="s">
        <v>2653</v>
      </c>
      <c r="H1054" t="s">
        <v>2654</v>
      </c>
      <c r="I1054" t="s">
        <v>2371</v>
      </c>
      <c r="K1054" t="str">
        <f t="shared" si="16"/>
        <v>RES_201403_P8T12024</v>
      </c>
    </row>
    <row r="1055" spans="1:11">
      <c r="A1055">
        <v>2025</v>
      </c>
      <c r="B1055" t="s">
        <v>93</v>
      </c>
      <c r="C1055" t="s">
        <v>2653</v>
      </c>
      <c r="D1055" t="s">
        <v>2653</v>
      </c>
      <c r="E1055" t="s">
        <v>2654</v>
      </c>
      <c r="F1055" t="s">
        <v>2653</v>
      </c>
      <c r="G1055" t="s">
        <v>2653</v>
      </c>
      <c r="H1055" t="s">
        <v>2654</v>
      </c>
      <c r="I1055" t="s">
        <v>2371</v>
      </c>
      <c r="K1055" t="str">
        <f t="shared" si="16"/>
        <v>RES_201403_P8T12025</v>
      </c>
    </row>
    <row r="1056" spans="1:11">
      <c r="A1056">
        <v>2026</v>
      </c>
      <c r="B1056" t="s">
        <v>93</v>
      </c>
      <c r="C1056" t="s">
        <v>2653</v>
      </c>
      <c r="D1056" t="s">
        <v>2653</v>
      </c>
      <c r="E1056" t="s">
        <v>2654</v>
      </c>
      <c r="F1056" t="s">
        <v>2653</v>
      </c>
      <c r="G1056" t="s">
        <v>2653</v>
      </c>
      <c r="H1056" t="s">
        <v>2654</v>
      </c>
      <c r="I1056" t="s">
        <v>2371</v>
      </c>
      <c r="K1056" t="str">
        <f t="shared" si="16"/>
        <v>RES_201403_P8T12026</v>
      </c>
    </row>
    <row r="1057" spans="1:11">
      <c r="A1057">
        <v>2027</v>
      </c>
      <c r="B1057" t="s">
        <v>93</v>
      </c>
      <c r="C1057" t="s">
        <v>2653</v>
      </c>
      <c r="D1057" t="s">
        <v>2653</v>
      </c>
      <c r="E1057" t="s">
        <v>2654</v>
      </c>
      <c r="F1057" t="s">
        <v>2653</v>
      </c>
      <c r="G1057" t="s">
        <v>2653</v>
      </c>
      <c r="H1057" t="s">
        <v>2654</v>
      </c>
      <c r="I1057" t="s">
        <v>2371</v>
      </c>
      <c r="K1057" t="str">
        <f t="shared" si="16"/>
        <v>RES_201403_P8T12027</v>
      </c>
    </row>
    <row r="1058" spans="1:11">
      <c r="A1058">
        <v>2025</v>
      </c>
      <c r="B1058" t="s">
        <v>94</v>
      </c>
      <c r="C1058" t="s">
        <v>2653</v>
      </c>
      <c r="D1058" t="s">
        <v>2653</v>
      </c>
      <c r="E1058" t="s">
        <v>2654</v>
      </c>
      <c r="F1058" t="s">
        <v>2653</v>
      </c>
      <c r="G1058" t="s">
        <v>2653</v>
      </c>
      <c r="H1058" t="s">
        <v>2654</v>
      </c>
      <c r="I1058" t="s">
        <v>2372</v>
      </c>
      <c r="K1058" t="str">
        <f t="shared" si="16"/>
        <v>RES_201403_P8T22025</v>
      </c>
    </row>
    <row r="1059" spans="1:11">
      <c r="A1059">
        <v>2026</v>
      </c>
      <c r="B1059" t="s">
        <v>94</v>
      </c>
      <c r="C1059" t="s">
        <v>2653</v>
      </c>
      <c r="D1059" t="s">
        <v>2653</v>
      </c>
      <c r="E1059" t="s">
        <v>2654</v>
      </c>
      <c r="F1059" t="s">
        <v>2653</v>
      </c>
      <c r="G1059" t="s">
        <v>2653</v>
      </c>
      <c r="H1059" t="s">
        <v>2654</v>
      </c>
      <c r="I1059" t="s">
        <v>2372</v>
      </c>
      <c r="K1059" t="str">
        <f t="shared" si="16"/>
        <v>RES_201403_P8T22026</v>
      </c>
    </row>
    <row r="1060" spans="1:11">
      <c r="A1060">
        <v>2027</v>
      </c>
      <c r="B1060" t="s">
        <v>94</v>
      </c>
      <c r="C1060" t="s">
        <v>2653</v>
      </c>
      <c r="D1060" t="s">
        <v>2653</v>
      </c>
      <c r="E1060" t="s">
        <v>2654</v>
      </c>
      <c r="F1060" t="s">
        <v>2653</v>
      </c>
      <c r="G1060" t="s">
        <v>2653</v>
      </c>
      <c r="H1060" t="s">
        <v>2654</v>
      </c>
      <c r="I1060" t="s">
        <v>2372</v>
      </c>
      <c r="K1060" t="str">
        <f t="shared" si="16"/>
        <v>RES_201403_P8T22027</v>
      </c>
    </row>
    <row r="1061" spans="1:11">
      <c r="A1061">
        <v>2025</v>
      </c>
      <c r="B1061" t="s">
        <v>95</v>
      </c>
      <c r="C1061" t="s">
        <v>2653</v>
      </c>
      <c r="D1061" t="s">
        <v>2653</v>
      </c>
      <c r="E1061" t="s">
        <v>2654</v>
      </c>
      <c r="F1061" t="s">
        <v>2653</v>
      </c>
      <c r="G1061" t="s">
        <v>2653</v>
      </c>
      <c r="H1061" t="s">
        <v>2654</v>
      </c>
      <c r="I1061" t="s">
        <v>2373</v>
      </c>
      <c r="K1061" t="str">
        <f t="shared" si="16"/>
        <v>RES_201403_P8T32025</v>
      </c>
    </row>
    <row r="1062" spans="1:11">
      <c r="A1062">
        <v>2026</v>
      </c>
      <c r="B1062" t="s">
        <v>95</v>
      </c>
      <c r="C1062" t="s">
        <v>2653</v>
      </c>
      <c r="D1062" t="s">
        <v>2653</v>
      </c>
      <c r="E1062" t="s">
        <v>2654</v>
      </c>
      <c r="F1062" t="s">
        <v>2653</v>
      </c>
      <c r="G1062" t="s">
        <v>2653</v>
      </c>
      <c r="H1062" t="s">
        <v>2654</v>
      </c>
      <c r="I1062" t="s">
        <v>2373</v>
      </c>
      <c r="K1062" t="str">
        <f t="shared" si="16"/>
        <v>RES_201403_P8T32026</v>
      </c>
    </row>
    <row r="1063" spans="1:11">
      <c r="A1063">
        <v>2027</v>
      </c>
      <c r="B1063" t="s">
        <v>95</v>
      </c>
      <c r="C1063" t="s">
        <v>2653</v>
      </c>
      <c r="D1063" t="s">
        <v>2653</v>
      </c>
      <c r="E1063" t="s">
        <v>2654</v>
      </c>
      <c r="F1063" t="s">
        <v>2653</v>
      </c>
      <c r="G1063" t="s">
        <v>2653</v>
      </c>
      <c r="H1063" t="s">
        <v>2654</v>
      </c>
      <c r="I1063" t="s">
        <v>2373</v>
      </c>
      <c r="K1063" t="str">
        <f t="shared" si="16"/>
        <v>RES_201403_P8T32027</v>
      </c>
    </row>
    <row r="1064" spans="1:11">
      <c r="A1064">
        <v>2024</v>
      </c>
      <c r="B1064" t="s">
        <v>25</v>
      </c>
      <c r="C1064" t="s">
        <v>2653</v>
      </c>
      <c r="D1064" t="s">
        <v>2653</v>
      </c>
      <c r="E1064" t="s">
        <v>2654</v>
      </c>
      <c r="F1064" t="s">
        <v>2653</v>
      </c>
      <c r="G1064" t="s">
        <v>2654</v>
      </c>
      <c r="H1064" t="s">
        <v>2654</v>
      </c>
      <c r="I1064" t="s">
        <v>2165</v>
      </c>
      <c r="K1064" t="str">
        <f t="shared" si="16"/>
        <v>COM_201305_P1T12024</v>
      </c>
    </row>
    <row r="1065" spans="1:11">
      <c r="A1065">
        <v>2025</v>
      </c>
      <c r="B1065" t="s">
        <v>25</v>
      </c>
      <c r="C1065" t="s">
        <v>2653</v>
      </c>
      <c r="D1065" t="s">
        <v>2653</v>
      </c>
      <c r="E1065" t="s">
        <v>2654</v>
      </c>
      <c r="F1065" t="s">
        <v>2653</v>
      </c>
      <c r="G1065" t="s">
        <v>2654</v>
      </c>
      <c r="H1065" t="s">
        <v>2654</v>
      </c>
      <c r="I1065" t="s">
        <v>2165</v>
      </c>
      <c r="K1065" t="str">
        <f t="shared" si="16"/>
        <v>COM_201305_P1T12025</v>
      </c>
    </row>
    <row r="1066" spans="1:11">
      <c r="A1066">
        <v>2026</v>
      </c>
      <c r="B1066" t="s">
        <v>25</v>
      </c>
      <c r="C1066" t="s">
        <v>2653</v>
      </c>
      <c r="D1066" t="s">
        <v>2653</v>
      </c>
      <c r="E1066" t="s">
        <v>2654</v>
      </c>
      <c r="F1066" t="s">
        <v>2653</v>
      </c>
      <c r="G1066" t="s">
        <v>2654</v>
      </c>
      <c r="H1066" t="s">
        <v>2654</v>
      </c>
      <c r="I1066" t="s">
        <v>2165</v>
      </c>
      <c r="K1066" t="str">
        <f t="shared" si="16"/>
        <v>COM_201305_P1T12026</v>
      </c>
    </row>
    <row r="1067" spans="1:11">
      <c r="A1067">
        <v>2027</v>
      </c>
      <c r="B1067" t="s">
        <v>25</v>
      </c>
      <c r="C1067" t="s">
        <v>2653</v>
      </c>
      <c r="D1067" t="s">
        <v>2653</v>
      </c>
      <c r="E1067" t="s">
        <v>2654</v>
      </c>
      <c r="F1067" t="s">
        <v>2653</v>
      </c>
      <c r="G1067" t="s">
        <v>2654</v>
      </c>
      <c r="H1067" t="s">
        <v>2654</v>
      </c>
      <c r="I1067" t="s">
        <v>2165</v>
      </c>
      <c r="K1067" t="str">
        <f t="shared" si="16"/>
        <v>COM_201305_P1T12027</v>
      </c>
    </row>
    <row r="1068" spans="1:11">
      <c r="A1068">
        <v>2024</v>
      </c>
      <c r="B1068" t="s">
        <v>2126</v>
      </c>
      <c r="C1068" t="s">
        <v>2653</v>
      </c>
      <c r="D1068" t="s">
        <v>2653</v>
      </c>
      <c r="E1068" t="s">
        <v>2654</v>
      </c>
      <c r="F1068" t="s">
        <v>2653</v>
      </c>
      <c r="G1068" t="s">
        <v>2654</v>
      </c>
      <c r="H1068" t="s">
        <v>2654</v>
      </c>
      <c r="I1068" t="s">
        <v>2127</v>
      </c>
      <c r="K1068" t="str">
        <f t="shared" si="16"/>
        <v>AGR_201401_P1T12024</v>
      </c>
    </row>
    <row r="1069" spans="1:11">
      <c r="A1069">
        <v>2025</v>
      </c>
      <c r="B1069" t="s">
        <v>2126</v>
      </c>
      <c r="C1069" t="s">
        <v>2653</v>
      </c>
      <c r="D1069" t="s">
        <v>2653</v>
      </c>
      <c r="E1069" t="s">
        <v>2654</v>
      </c>
      <c r="F1069" t="s">
        <v>2653</v>
      </c>
      <c r="G1069" t="s">
        <v>2654</v>
      </c>
      <c r="H1069" t="s">
        <v>2654</v>
      </c>
      <c r="I1069" t="s">
        <v>2127</v>
      </c>
      <c r="K1069" t="str">
        <f t="shared" si="16"/>
        <v>AGR_201401_P1T12025</v>
      </c>
    </row>
    <row r="1070" spans="1:11">
      <c r="A1070">
        <v>2026</v>
      </c>
      <c r="B1070" t="s">
        <v>2126</v>
      </c>
      <c r="C1070" t="s">
        <v>2653</v>
      </c>
      <c r="D1070" t="s">
        <v>2653</v>
      </c>
      <c r="E1070" t="s">
        <v>2654</v>
      </c>
      <c r="F1070" t="s">
        <v>2653</v>
      </c>
      <c r="G1070" t="s">
        <v>2654</v>
      </c>
      <c r="H1070" t="s">
        <v>2654</v>
      </c>
      <c r="I1070" t="s">
        <v>2127</v>
      </c>
      <c r="K1070" t="str">
        <f t="shared" si="16"/>
        <v>AGR_201401_P1T12026</v>
      </c>
    </row>
    <row r="1071" spans="1:11">
      <c r="A1071">
        <v>2027</v>
      </c>
      <c r="B1071" t="s">
        <v>2126</v>
      </c>
      <c r="C1071" t="s">
        <v>2653</v>
      </c>
      <c r="D1071" t="s">
        <v>2653</v>
      </c>
      <c r="E1071" t="s">
        <v>2654</v>
      </c>
      <c r="F1071" t="s">
        <v>2653</v>
      </c>
      <c r="G1071" t="s">
        <v>2654</v>
      </c>
      <c r="H1071" t="s">
        <v>2654</v>
      </c>
      <c r="I1071" t="s">
        <v>2127</v>
      </c>
      <c r="K1071" t="str">
        <f t="shared" si="16"/>
        <v>AGR_201401_P1T12027</v>
      </c>
    </row>
    <row r="1072" spans="1:11">
      <c r="A1072">
        <v>2024</v>
      </c>
      <c r="B1072" t="s">
        <v>26</v>
      </c>
      <c r="C1072" t="s">
        <v>2653</v>
      </c>
      <c r="D1072" t="s">
        <v>2653</v>
      </c>
      <c r="E1072" t="s">
        <v>2654</v>
      </c>
      <c r="F1072" t="s">
        <v>2653</v>
      </c>
      <c r="G1072" t="s">
        <v>2654</v>
      </c>
      <c r="H1072" t="s">
        <v>2654</v>
      </c>
      <c r="I1072" t="s">
        <v>132</v>
      </c>
      <c r="K1072" t="str">
        <f t="shared" si="16"/>
        <v>COM_201401_P1T12024</v>
      </c>
    </row>
    <row r="1073" spans="1:11">
      <c r="A1073">
        <v>2025</v>
      </c>
      <c r="B1073" t="s">
        <v>26</v>
      </c>
      <c r="C1073" t="s">
        <v>2653</v>
      </c>
      <c r="D1073" t="s">
        <v>2653</v>
      </c>
      <c r="E1073" t="s">
        <v>2654</v>
      </c>
      <c r="F1073" t="s">
        <v>2653</v>
      </c>
      <c r="G1073" t="s">
        <v>2654</v>
      </c>
      <c r="H1073" t="s">
        <v>2654</v>
      </c>
      <c r="I1073" t="s">
        <v>132</v>
      </c>
      <c r="K1073" t="str">
        <f t="shared" si="16"/>
        <v>COM_201401_P1T12025</v>
      </c>
    </row>
    <row r="1074" spans="1:11">
      <c r="A1074">
        <v>2026</v>
      </c>
      <c r="B1074" t="s">
        <v>26</v>
      </c>
      <c r="C1074" t="s">
        <v>2653</v>
      </c>
      <c r="D1074" t="s">
        <v>2653</v>
      </c>
      <c r="E1074" t="s">
        <v>2654</v>
      </c>
      <c r="F1074" t="s">
        <v>2653</v>
      </c>
      <c r="G1074" t="s">
        <v>2654</v>
      </c>
      <c r="H1074" t="s">
        <v>2654</v>
      </c>
      <c r="I1074" t="s">
        <v>132</v>
      </c>
      <c r="K1074" t="str">
        <f t="shared" si="16"/>
        <v>COM_201401_P1T12026</v>
      </c>
    </row>
    <row r="1075" spans="1:11">
      <c r="A1075">
        <v>2027</v>
      </c>
      <c r="B1075" t="s">
        <v>26</v>
      </c>
      <c r="C1075" t="s">
        <v>2653</v>
      </c>
      <c r="D1075" t="s">
        <v>2653</v>
      </c>
      <c r="E1075" t="s">
        <v>2654</v>
      </c>
      <c r="F1075" t="s">
        <v>2653</v>
      </c>
      <c r="G1075" t="s">
        <v>2654</v>
      </c>
      <c r="H1075" t="s">
        <v>2654</v>
      </c>
      <c r="I1075" t="s">
        <v>132</v>
      </c>
      <c r="K1075" t="str">
        <f t="shared" si="16"/>
        <v>COM_201401_P1T12027</v>
      </c>
    </row>
    <row r="1076" spans="1:11">
      <c r="A1076">
        <v>2025</v>
      </c>
      <c r="B1076" t="s">
        <v>35</v>
      </c>
      <c r="C1076" t="s">
        <v>2653</v>
      </c>
      <c r="D1076" t="s">
        <v>2653</v>
      </c>
      <c r="E1076" t="s">
        <v>2654</v>
      </c>
      <c r="F1076" t="s">
        <v>2653</v>
      </c>
      <c r="G1076" t="s">
        <v>2654</v>
      </c>
      <c r="H1076" t="s">
        <v>2654</v>
      </c>
      <c r="I1076" t="s">
        <v>1117</v>
      </c>
      <c r="K1076" t="str">
        <f t="shared" si="16"/>
        <v>IND_201301_P1T12025</v>
      </c>
    </row>
    <row r="1077" spans="1:11">
      <c r="A1077">
        <v>2026</v>
      </c>
      <c r="B1077" t="s">
        <v>35</v>
      </c>
      <c r="C1077" t="s">
        <v>2653</v>
      </c>
      <c r="D1077" t="s">
        <v>2653</v>
      </c>
      <c r="E1077" t="s">
        <v>2654</v>
      </c>
      <c r="F1077" t="s">
        <v>2653</v>
      </c>
      <c r="G1077" t="s">
        <v>2654</v>
      </c>
      <c r="H1077" t="s">
        <v>2654</v>
      </c>
      <c r="I1077" t="s">
        <v>1117</v>
      </c>
      <c r="K1077" t="str">
        <f t="shared" si="16"/>
        <v>IND_201301_P1T12026</v>
      </c>
    </row>
    <row r="1078" spans="1:11">
      <c r="A1078">
        <v>2027</v>
      </c>
      <c r="B1078" t="s">
        <v>35</v>
      </c>
      <c r="C1078" t="s">
        <v>2653</v>
      </c>
      <c r="D1078" t="s">
        <v>2653</v>
      </c>
      <c r="E1078" t="s">
        <v>2654</v>
      </c>
      <c r="F1078" t="s">
        <v>2653</v>
      </c>
      <c r="G1078" t="s">
        <v>2654</v>
      </c>
      <c r="H1078" t="s">
        <v>2654</v>
      </c>
      <c r="I1078" t="s">
        <v>1117</v>
      </c>
      <c r="K1078" t="str">
        <f t="shared" si="16"/>
        <v>IND_201301_P1T12027</v>
      </c>
    </row>
    <row r="1079" spans="1:11">
      <c r="A1079">
        <v>2024</v>
      </c>
      <c r="B1079" t="s">
        <v>1628</v>
      </c>
      <c r="C1079" t="s">
        <v>2653</v>
      </c>
      <c r="D1079" t="s">
        <v>2653</v>
      </c>
      <c r="E1079" t="s">
        <v>2654</v>
      </c>
      <c r="F1079" t="s">
        <v>2653</v>
      </c>
      <c r="G1079" t="s">
        <v>2653</v>
      </c>
      <c r="H1079" t="s">
        <v>2654</v>
      </c>
      <c r="I1079" t="s">
        <v>1853</v>
      </c>
      <c r="K1079" t="str">
        <f t="shared" si="16"/>
        <v>RES_201403_P12T02024</v>
      </c>
    </row>
    <row r="1080" spans="1:11">
      <c r="A1080">
        <v>2025</v>
      </c>
      <c r="B1080" t="s">
        <v>1628</v>
      </c>
      <c r="C1080" t="s">
        <v>2653</v>
      </c>
      <c r="D1080" t="s">
        <v>2653</v>
      </c>
      <c r="E1080" t="s">
        <v>2654</v>
      </c>
      <c r="F1080" t="s">
        <v>2653</v>
      </c>
      <c r="G1080" t="s">
        <v>2653</v>
      </c>
      <c r="H1080" t="s">
        <v>2654</v>
      </c>
      <c r="I1080" t="s">
        <v>1853</v>
      </c>
      <c r="K1080" t="str">
        <f t="shared" si="16"/>
        <v>RES_201403_P12T02025</v>
      </c>
    </row>
    <row r="1081" spans="1:11">
      <c r="A1081">
        <v>2026</v>
      </c>
      <c r="B1081" t="s">
        <v>1628</v>
      </c>
      <c r="C1081" t="s">
        <v>2653</v>
      </c>
      <c r="D1081" t="s">
        <v>2653</v>
      </c>
      <c r="E1081" t="s">
        <v>2654</v>
      </c>
      <c r="F1081" t="s">
        <v>2653</v>
      </c>
      <c r="G1081" t="s">
        <v>2653</v>
      </c>
      <c r="H1081" t="s">
        <v>2654</v>
      </c>
      <c r="I1081" t="s">
        <v>1853</v>
      </c>
      <c r="K1081" t="str">
        <f t="shared" si="16"/>
        <v>RES_201403_P12T02026</v>
      </c>
    </row>
    <row r="1082" spans="1:11">
      <c r="A1082">
        <v>2027</v>
      </c>
      <c r="B1082" t="s">
        <v>1628</v>
      </c>
      <c r="C1082" t="s">
        <v>2653</v>
      </c>
      <c r="D1082" t="s">
        <v>2653</v>
      </c>
      <c r="E1082" t="s">
        <v>2654</v>
      </c>
      <c r="F1082" t="s">
        <v>2653</v>
      </c>
      <c r="G1082" t="s">
        <v>2653</v>
      </c>
      <c r="H1082" t="s">
        <v>2654</v>
      </c>
      <c r="I1082" t="s">
        <v>1853</v>
      </c>
      <c r="K1082" t="str">
        <f t="shared" si="16"/>
        <v>RES_201403_P12T02027</v>
      </c>
    </row>
    <row r="1083" spans="1:11">
      <c r="A1083">
        <v>2024</v>
      </c>
      <c r="B1083" t="s">
        <v>1630</v>
      </c>
      <c r="C1083" t="s">
        <v>2653</v>
      </c>
      <c r="D1083" t="s">
        <v>2653</v>
      </c>
      <c r="E1083" t="s">
        <v>2654</v>
      </c>
      <c r="F1083" t="s">
        <v>2653</v>
      </c>
      <c r="G1083" t="s">
        <v>2653</v>
      </c>
      <c r="H1083" t="s">
        <v>2654</v>
      </c>
      <c r="I1083" t="s">
        <v>1547</v>
      </c>
      <c r="K1083" t="str">
        <f t="shared" si="16"/>
        <v>RES_201403_P13T02024</v>
      </c>
    </row>
    <row r="1084" spans="1:11">
      <c r="A1084">
        <v>2025</v>
      </c>
      <c r="B1084" t="s">
        <v>1630</v>
      </c>
      <c r="C1084" t="s">
        <v>2653</v>
      </c>
      <c r="D1084" t="s">
        <v>2653</v>
      </c>
      <c r="E1084" t="s">
        <v>2654</v>
      </c>
      <c r="F1084" t="s">
        <v>2653</v>
      </c>
      <c r="G1084" t="s">
        <v>2653</v>
      </c>
      <c r="H1084" t="s">
        <v>2654</v>
      </c>
      <c r="I1084" t="s">
        <v>1547</v>
      </c>
      <c r="K1084" t="str">
        <f t="shared" si="16"/>
        <v>RES_201403_P13T02025</v>
      </c>
    </row>
    <row r="1085" spans="1:11">
      <c r="A1085">
        <v>2026</v>
      </c>
      <c r="B1085" t="s">
        <v>1630</v>
      </c>
      <c r="C1085" t="s">
        <v>2653</v>
      </c>
      <c r="D1085" t="s">
        <v>2653</v>
      </c>
      <c r="E1085" t="s">
        <v>2654</v>
      </c>
      <c r="F1085" t="s">
        <v>2653</v>
      </c>
      <c r="G1085" t="s">
        <v>2653</v>
      </c>
      <c r="H1085" t="s">
        <v>2654</v>
      </c>
      <c r="I1085" t="s">
        <v>1547</v>
      </c>
      <c r="K1085" t="str">
        <f t="shared" si="16"/>
        <v>RES_201403_P13T02026</v>
      </c>
    </row>
    <row r="1086" spans="1:11">
      <c r="A1086">
        <v>2027</v>
      </c>
      <c r="B1086" t="s">
        <v>1630</v>
      </c>
      <c r="C1086" t="s">
        <v>2653</v>
      </c>
      <c r="D1086" t="s">
        <v>2653</v>
      </c>
      <c r="E1086" t="s">
        <v>2654</v>
      </c>
      <c r="F1086" t="s">
        <v>2653</v>
      </c>
      <c r="G1086" t="s">
        <v>2653</v>
      </c>
      <c r="H1086" t="s">
        <v>2654</v>
      </c>
      <c r="I1086" t="s">
        <v>1547</v>
      </c>
      <c r="K1086" t="str">
        <f t="shared" si="16"/>
        <v>RES_201403_P13T02027</v>
      </c>
    </row>
    <row r="1087" spans="1:11">
      <c r="A1087">
        <v>2024</v>
      </c>
      <c r="B1087" t="s">
        <v>334</v>
      </c>
      <c r="C1087" t="s">
        <v>2653</v>
      </c>
      <c r="D1087" t="s">
        <v>2653</v>
      </c>
      <c r="E1087" t="s">
        <v>2654</v>
      </c>
      <c r="F1087" t="s">
        <v>2653</v>
      </c>
      <c r="G1087" t="s">
        <v>2653</v>
      </c>
      <c r="H1087" t="s">
        <v>2654</v>
      </c>
      <c r="I1087" t="s">
        <v>1513</v>
      </c>
      <c r="K1087" t="str">
        <f t="shared" si="16"/>
        <v>RES_201403_P2T22024</v>
      </c>
    </row>
    <row r="1088" spans="1:11">
      <c r="A1088">
        <v>2024</v>
      </c>
      <c r="B1088" t="s">
        <v>389</v>
      </c>
      <c r="C1088" t="s">
        <v>2653</v>
      </c>
      <c r="D1088" t="s">
        <v>2653</v>
      </c>
      <c r="E1088" t="s">
        <v>2654</v>
      </c>
      <c r="F1088" t="s">
        <v>2653</v>
      </c>
      <c r="G1088" t="s">
        <v>2653</v>
      </c>
      <c r="H1088" t="s">
        <v>2654</v>
      </c>
      <c r="I1088" t="s">
        <v>2363</v>
      </c>
      <c r="K1088" t="str">
        <f t="shared" si="16"/>
        <v>RES_201403_P12T22024</v>
      </c>
    </row>
    <row r="1089" spans="1:11">
      <c r="A1089">
        <v>2025</v>
      </c>
      <c r="B1089" t="s">
        <v>389</v>
      </c>
      <c r="C1089" t="s">
        <v>2653</v>
      </c>
      <c r="D1089" t="s">
        <v>2653</v>
      </c>
      <c r="E1089" t="s">
        <v>2654</v>
      </c>
      <c r="F1089" t="s">
        <v>2653</v>
      </c>
      <c r="G1089" t="s">
        <v>2653</v>
      </c>
      <c r="H1089" t="s">
        <v>2654</v>
      </c>
      <c r="I1089" t="s">
        <v>2363</v>
      </c>
      <c r="K1089" t="str">
        <f t="shared" si="16"/>
        <v>RES_201403_P12T22025</v>
      </c>
    </row>
    <row r="1090" spans="1:11">
      <c r="A1090">
        <v>2026</v>
      </c>
      <c r="B1090" t="s">
        <v>389</v>
      </c>
      <c r="C1090" t="s">
        <v>2653</v>
      </c>
      <c r="D1090" t="s">
        <v>2653</v>
      </c>
      <c r="E1090" t="s">
        <v>2654</v>
      </c>
      <c r="F1090" t="s">
        <v>2653</v>
      </c>
      <c r="G1090" t="s">
        <v>2653</v>
      </c>
      <c r="H1090" t="s">
        <v>2654</v>
      </c>
      <c r="I1090" t="s">
        <v>2363</v>
      </c>
      <c r="K1090" t="str">
        <f t="shared" si="16"/>
        <v>RES_201403_P12T22026</v>
      </c>
    </row>
    <row r="1091" spans="1:11">
      <c r="A1091">
        <v>2027</v>
      </c>
      <c r="B1091" t="s">
        <v>389</v>
      </c>
      <c r="C1091" t="s">
        <v>2653</v>
      </c>
      <c r="D1091" t="s">
        <v>2653</v>
      </c>
      <c r="E1091" t="s">
        <v>2654</v>
      </c>
      <c r="F1091" t="s">
        <v>2653</v>
      </c>
      <c r="G1091" t="s">
        <v>2653</v>
      </c>
      <c r="H1091" t="s">
        <v>2654</v>
      </c>
      <c r="I1091" t="s">
        <v>2363</v>
      </c>
      <c r="K1091" t="str">
        <f t="shared" ref="K1091:K1154" si="17">B1091&amp;A1091</f>
        <v>RES_201403_P12T22027</v>
      </c>
    </row>
    <row r="1092" spans="1:11">
      <c r="A1092">
        <v>2024</v>
      </c>
      <c r="B1092" t="s">
        <v>391</v>
      </c>
      <c r="C1092" t="s">
        <v>2653</v>
      </c>
      <c r="D1092" t="s">
        <v>2653</v>
      </c>
      <c r="E1092" t="s">
        <v>2654</v>
      </c>
      <c r="F1092" t="s">
        <v>2653</v>
      </c>
      <c r="G1092" t="s">
        <v>2653</v>
      </c>
      <c r="H1092" t="s">
        <v>2654</v>
      </c>
      <c r="I1092" t="s">
        <v>2366</v>
      </c>
      <c r="K1092" t="str">
        <f t="shared" si="17"/>
        <v>RES_201403_P13T22024</v>
      </c>
    </row>
    <row r="1093" spans="1:11">
      <c r="A1093">
        <v>2025</v>
      </c>
      <c r="B1093" t="s">
        <v>391</v>
      </c>
      <c r="C1093" t="s">
        <v>2653</v>
      </c>
      <c r="D1093" t="s">
        <v>2653</v>
      </c>
      <c r="E1093" t="s">
        <v>2654</v>
      </c>
      <c r="F1093" t="s">
        <v>2653</v>
      </c>
      <c r="G1093" t="s">
        <v>2653</v>
      </c>
      <c r="H1093" t="s">
        <v>2654</v>
      </c>
      <c r="I1093" t="s">
        <v>2366</v>
      </c>
      <c r="K1093" t="str">
        <f t="shared" si="17"/>
        <v>RES_201403_P13T22025</v>
      </c>
    </row>
    <row r="1094" spans="1:11">
      <c r="A1094">
        <v>2026</v>
      </c>
      <c r="B1094" t="s">
        <v>391</v>
      </c>
      <c r="C1094" t="s">
        <v>2653</v>
      </c>
      <c r="D1094" t="s">
        <v>2653</v>
      </c>
      <c r="E1094" t="s">
        <v>2654</v>
      </c>
      <c r="F1094" t="s">
        <v>2653</v>
      </c>
      <c r="G1094" t="s">
        <v>2653</v>
      </c>
      <c r="H1094" t="s">
        <v>2654</v>
      </c>
      <c r="I1094" t="s">
        <v>2366</v>
      </c>
      <c r="K1094" t="str">
        <f t="shared" si="17"/>
        <v>RES_201403_P13T22026</v>
      </c>
    </row>
    <row r="1095" spans="1:11">
      <c r="A1095">
        <v>2027</v>
      </c>
      <c r="B1095" t="s">
        <v>391</v>
      </c>
      <c r="C1095" t="s">
        <v>2653</v>
      </c>
      <c r="D1095" t="s">
        <v>2653</v>
      </c>
      <c r="E1095" t="s">
        <v>2654</v>
      </c>
      <c r="F1095" t="s">
        <v>2653</v>
      </c>
      <c r="G1095" t="s">
        <v>2653</v>
      </c>
      <c r="H1095" t="s">
        <v>2654</v>
      </c>
      <c r="I1095" t="s">
        <v>2366</v>
      </c>
      <c r="K1095" t="str">
        <f t="shared" si="17"/>
        <v>RES_201403_P13T22027</v>
      </c>
    </row>
    <row r="1096" spans="1:11">
      <c r="A1096">
        <v>2024</v>
      </c>
      <c r="B1096" t="s">
        <v>1629</v>
      </c>
      <c r="C1096" t="s">
        <v>2653</v>
      </c>
      <c r="D1096" t="s">
        <v>2653</v>
      </c>
      <c r="E1096" t="s">
        <v>2654</v>
      </c>
      <c r="F1096" t="s">
        <v>2653</v>
      </c>
      <c r="G1096" t="s">
        <v>2653</v>
      </c>
      <c r="H1096" t="s">
        <v>2654</v>
      </c>
      <c r="I1096" t="s">
        <v>1866</v>
      </c>
      <c r="K1096" t="str">
        <f t="shared" si="17"/>
        <v>RES_201403_P12T32024</v>
      </c>
    </row>
    <row r="1097" spans="1:11">
      <c r="A1097">
        <v>2025</v>
      </c>
      <c r="B1097" t="s">
        <v>1629</v>
      </c>
      <c r="C1097" t="s">
        <v>2653</v>
      </c>
      <c r="D1097" t="s">
        <v>2653</v>
      </c>
      <c r="E1097" t="s">
        <v>2654</v>
      </c>
      <c r="F1097" t="s">
        <v>2653</v>
      </c>
      <c r="G1097" t="s">
        <v>2653</v>
      </c>
      <c r="H1097" t="s">
        <v>2654</v>
      </c>
      <c r="I1097" t="s">
        <v>1866</v>
      </c>
      <c r="K1097" t="str">
        <f t="shared" si="17"/>
        <v>RES_201403_P12T32025</v>
      </c>
    </row>
    <row r="1098" spans="1:11">
      <c r="A1098">
        <v>2026</v>
      </c>
      <c r="B1098" t="s">
        <v>1629</v>
      </c>
      <c r="C1098" t="s">
        <v>2653</v>
      </c>
      <c r="D1098" t="s">
        <v>2653</v>
      </c>
      <c r="E1098" t="s">
        <v>2654</v>
      </c>
      <c r="F1098" t="s">
        <v>2653</v>
      </c>
      <c r="G1098" t="s">
        <v>2653</v>
      </c>
      <c r="H1098" t="s">
        <v>2654</v>
      </c>
      <c r="I1098" t="s">
        <v>1866</v>
      </c>
      <c r="K1098" t="str">
        <f t="shared" si="17"/>
        <v>RES_201403_P12T32026</v>
      </c>
    </row>
    <row r="1099" spans="1:11">
      <c r="A1099">
        <v>2027</v>
      </c>
      <c r="B1099" t="s">
        <v>1629</v>
      </c>
      <c r="C1099" t="s">
        <v>2653</v>
      </c>
      <c r="D1099" t="s">
        <v>2653</v>
      </c>
      <c r="E1099" t="s">
        <v>2654</v>
      </c>
      <c r="F1099" t="s">
        <v>2653</v>
      </c>
      <c r="G1099" t="s">
        <v>2653</v>
      </c>
      <c r="H1099" t="s">
        <v>2654</v>
      </c>
      <c r="I1099" t="s">
        <v>1866</v>
      </c>
      <c r="K1099" t="str">
        <f t="shared" si="17"/>
        <v>RES_201403_P12T32027</v>
      </c>
    </row>
    <row r="1100" spans="1:11">
      <c r="A1100">
        <v>2024</v>
      </c>
      <c r="B1100" t="s">
        <v>1654</v>
      </c>
      <c r="C1100" t="s">
        <v>2653</v>
      </c>
      <c r="D1100" t="s">
        <v>2653</v>
      </c>
      <c r="E1100" t="s">
        <v>2654</v>
      </c>
      <c r="F1100" t="s">
        <v>2653</v>
      </c>
      <c r="G1100" t="s">
        <v>2653</v>
      </c>
      <c r="H1100" t="s">
        <v>2654</v>
      </c>
      <c r="I1100" t="s">
        <v>1866</v>
      </c>
      <c r="K1100" t="str">
        <f t="shared" si="17"/>
        <v>RES_201403_P6T32024</v>
      </c>
    </row>
    <row r="1101" spans="1:11">
      <c r="A1101">
        <v>2025</v>
      </c>
      <c r="B1101" t="s">
        <v>1654</v>
      </c>
      <c r="C1101" t="s">
        <v>2653</v>
      </c>
      <c r="D1101" t="s">
        <v>2653</v>
      </c>
      <c r="E1101" t="s">
        <v>2654</v>
      </c>
      <c r="F1101" t="s">
        <v>2653</v>
      </c>
      <c r="G1101" t="s">
        <v>2653</v>
      </c>
      <c r="H1101" t="s">
        <v>2654</v>
      </c>
      <c r="I1101" t="s">
        <v>1866</v>
      </c>
      <c r="K1101" t="str">
        <f t="shared" si="17"/>
        <v>RES_201403_P6T32025</v>
      </c>
    </row>
    <row r="1102" spans="1:11">
      <c r="A1102">
        <v>2026</v>
      </c>
      <c r="B1102" t="s">
        <v>1654</v>
      </c>
      <c r="C1102" t="s">
        <v>2653</v>
      </c>
      <c r="D1102" t="s">
        <v>2653</v>
      </c>
      <c r="E1102" t="s">
        <v>2654</v>
      </c>
      <c r="F1102" t="s">
        <v>2653</v>
      </c>
      <c r="G1102" t="s">
        <v>2653</v>
      </c>
      <c r="H1102" t="s">
        <v>2654</v>
      </c>
      <c r="I1102" t="s">
        <v>1866</v>
      </c>
      <c r="K1102" t="str">
        <f t="shared" si="17"/>
        <v>RES_201403_P6T32026</v>
      </c>
    </row>
    <row r="1103" spans="1:11">
      <c r="A1103">
        <v>2027</v>
      </c>
      <c r="B1103" t="s">
        <v>1654</v>
      </c>
      <c r="C1103" t="s">
        <v>2653</v>
      </c>
      <c r="D1103" t="s">
        <v>2653</v>
      </c>
      <c r="E1103" t="s">
        <v>2654</v>
      </c>
      <c r="F1103" t="s">
        <v>2653</v>
      </c>
      <c r="G1103" t="s">
        <v>2653</v>
      </c>
      <c r="H1103" t="s">
        <v>2654</v>
      </c>
      <c r="I1103" t="s">
        <v>1866</v>
      </c>
      <c r="K1103" t="str">
        <f t="shared" si="17"/>
        <v>RES_201403_P6T32027</v>
      </c>
    </row>
    <row r="1104" spans="1:11">
      <c r="A1104">
        <v>2024</v>
      </c>
      <c r="B1104" t="s">
        <v>1631</v>
      </c>
      <c r="C1104" t="s">
        <v>2653</v>
      </c>
      <c r="D1104" t="s">
        <v>2653</v>
      </c>
      <c r="E1104" t="s">
        <v>2654</v>
      </c>
      <c r="F1104" t="s">
        <v>2653</v>
      </c>
      <c r="G1104" t="s">
        <v>2653</v>
      </c>
      <c r="H1104" t="s">
        <v>2654</v>
      </c>
      <c r="I1104" t="s">
        <v>1546</v>
      </c>
      <c r="K1104" t="str">
        <f t="shared" si="17"/>
        <v>RES_201403_P13T32024</v>
      </c>
    </row>
    <row r="1105" spans="1:11">
      <c r="A1105">
        <v>2025</v>
      </c>
      <c r="B1105" t="s">
        <v>1631</v>
      </c>
      <c r="C1105" t="s">
        <v>2653</v>
      </c>
      <c r="D1105" t="s">
        <v>2653</v>
      </c>
      <c r="E1105" t="s">
        <v>2654</v>
      </c>
      <c r="F1105" t="s">
        <v>2653</v>
      </c>
      <c r="G1105" t="s">
        <v>2653</v>
      </c>
      <c r="H1105" t="s">
        <v>2654</v>
      </c>
      <c r="I1105" t="s">
        <v>1546</v>
      </c>
      <c r="K1105" t="str">
        <f t="shared" si="17"/>
        <v>RES_201403_P13T32025</v>
      </c>
    </row>
    <row r="1106" spans="1:11">
      <c r="A1106">
        <v>2026</v>
      </c>
      <c r="B1106" t="s">
        <v>1631</v>
      </c>
      <c r="C1106" t="s">
        <v>2653</v>
      </c>
      <c r="D1106" t="s">
        <v>2653</v>
      </c>
      <c r="E1106" t="s">
        <v>2654</v>
      </c>
      <c r="F1106" t="s">
        <v>2653</v>
      </c>
      <c r="G1106" t="s">
        <v>2653</v>
      </c>
      <c r="H1106" t="s">
        <v>2654</v>
      </c>
      <c r="I1106" t="s">
        <v>1546</v>
      </c>
      <c r="K1106" t="str">
        <f t="shared" si="17"/>
        <v>RES_201403_P13T32026</v>
      </c>
    </row>
    <row r="1107" spans="1:11">
      <c r="A1107">
        <v>2027</v>
      </c>
      <c r="B1107" t="s">
        <v>1631</v>
      </c>
      <c r="C1107" t="s">
        <v>2653</v>
      </c>
      <c r="D1107" t="s">
        <v>2653</v>
      </c>
      <c r="E1107" t="s">
        <v>2654</v>
      </c>
      <c r="F1107" t="s">
        <v>2653</v>
      </c>
      <c r="G1107" t="s">
        <v>2653</v>
      </c>
      <c r="H1107" t="s">
        <v>2654</v>
      </c>
      <c r="I1107" t="s">
        <v>1546</v>
      </c>
      <c r="K1107" t="str">
        <f t="shared" si="17"/>
        <v>RES_201403_P13T32027</v>
      </c>
    </row>
    <row r="1108" spans="1:11">
      <c r="A1108">
        <v>2024</v>
      </c>
      <c r="B1108" t="s">
        <v>395</v>
      </c>
      <c r="C1108" t="s">
        <v>2653</v>
      </c>
      <c r="D1108" t="s">
        <v>2653</v>
      </c>
      <c r="E1108" t="s">
        <v>2654</v>
      </c>
      <c r="F1108" t="s">
        <v>2653</v>
      </c>
      <c r="G1108" t="s">
        <v>2653</v>
      </c>
      <c r="H1108" t="s">
        <v>2654</v>
      </c>
      <c r="I1108" t="s">
        <v>1537</v>
      </c>
      <c r="K1108" t="str">
        <f t="shared" si="17"/>
        <v>RES_201403_P5T32024</v>
      </c>
    </row>
    <row r="1109" spans="1:11">
      <c r="A1109">
        <v>2025</v>
      </c>
      <c r="B1109" t="s">
        <v>395</v>
      </c>
      <c r="C1109" t="s">
        <v>2653</v>
      </c>
      <c r="D1109" t="s">
        <v>2653</v>
      </c>
      <c r="E1109" t="s">
        <v>2654</v>
      </c>
      <c r="F1109" t="s">
        <v>2653</v>
      </c>
      <c r="G1109" t="s">
        <v>2653</v>
      </c>
      <c r="H1109" t="s">
        <v>2654</v>
      </c>
      <c r="I1109" t="s">
        <v>1537</v>
      </c>
      <c r="K1109" t="str">
        <f t="shared" si="17"/>
        <v>RES_201403_P5T32025</v>
      </c>
    </row>
    <row r="1110" spans="1:11">
      <c r="A1110">
        <v>2026</v>
      </c>
      <c r="B1110" t="s">
        <v>395</v>
      </c>
      <c r="C1110" t="s">
        <v>2653</v>
      </c>
      <c r="D1110" t="s">
        <v>2653</v>
      </c>
      <c r="E1110" t="s">
        <v>2654</v>
      </c>
      <c r="F1110" t="s">
        <v>2653</v>
      </c>
      <c r="G1110" t="s">
        <v>2653</v>
      </c>
      <c r="H1110" t="s">
        <v>2654</v>
      </c>
      <c r="I1110" t="s">
        <v>1537</v>
      </c>
      <c r="K1110" t="str">
        <f t="shared" si="17"/>
        <v>RES_201403_P5T32026</v>
      </c>
    </row>
    <row r="1111" spans="1:11">
      <c r="A1111">
        <v>2027</v>
      </c>
      <c r="B1111" t="s">
        <v>395</v>
      </c>
      <c r="C1111" t="s">
        <v>2653</v>
      </c>
      <c r="D1111" t="s">
        <v>2653</v>
      </c>
      <c r="E1111" t="s">
        <v>2654</v>
      </c>
      <c r="F1111" t="s">
        <v>2653</v>
      </c>
      <c r="G1111" t="s">
        <v>2653</v>
      </c>
      <c r="H1111" t="s">
        <v>2654</v>
      </c>
      <c r="I1111" t="s">
        <v>1537</v>
      </c>
      <c r="K1111" t="str">
        <f t="shared" si="17"/>
        <v>RES_201403_P5T32027</v>
      </c>
    </row>
    <row r="1112" spans="1:11">
      <c r="A1112">
        <v>2024</v>
      </c>
      <c r="B1112" t="s">
        <v>333</v>
      </c>
      <c r="C1112" t="s">
        <v>2653</v>
      </c>
      <c r="D1112" t="s">
        <v>2653</v>
      </c>
      <c r="E1112" t="s">
        <v>2654</v>
      </c>
      <c r="F1112" t="s">
        <v>2653</v>
      </c>
      <c r="G1112" t="s">
        <v>2653</v>
      </c>
      <c r="H1112" t="s">
        <v>2654</v>
      </c>
      <c r="I1112" t="s">
        <v>1512</v>
      </c>
      <c r="K1112" t="str">
        <f t="shared" si="17"/>
        <v>RES_201403_P2T12024</v>
      </c>
    </row>
    <row r="1113" spans="1:11">
      <c r="A1113">
        <v>2024</v>
      </c>
      <c r="B1113" t="s">
        <v>116</v>
      </c>
      <c r="C1113" t="s">
        <v>2653</v>
      </c>
      <c r="D1113" t="s">
        <v>2653</v>
      </c>
      <c r="E1113" t="s">
        <v>2654</v>
      </c>
      <c r="F1113" t="s">
        <v>2653</v>
      </c>
      <c r="G1113" t="s">
        <v>2653</v>
      </c>
      <c r="H1113" t="s">
        <v>2654</v>
      </c>
      <c r="I1113" t="s">
        <v>1220</v>
      </c>
      <c r="K1113" t="str">
        <f t="shared" si="17"/>
        <v>RES_201403_P3T12024</v>
      </c>
    </row>
    <row r="1114" spans="1:11">
      <c r="A1114">
        <v>2025</v>
      </c>
      <c r="B1114" t="s">
        <v>116</v>
      </c>
      <c r="C1114" t="s">
        <v>2653</v>
      </c>
      <c r="D1114" t="s">
        <v>2653</v>
      </c>
      <c r="E1114" t="s">
        <v>2654</v>
      </c>
      <c r="F1114" t="s">
        <v>2653</v>
      </c>
      <c r="G1114" t="s">
        <v>2653</v>
      </c>
      <c r="H1114" t="s">
        <v>2654</v>
      </c>
      <c r="I1114" t="s">
        <v>1220</v>
      </c>
      <c r="K1114" t="str">
        <f t="shared" si="17"/>
        <v>RES_201403_P3T12025</v>
      </c>
    </row>
    <row r="1115" spans="1:11">
      <c r="A1115">
        <v>2026</v>
      </c>
      <c r="B1115" t="s">
        <v>116</v>
      </c>
      <c r="C1115" t="s">
        <v>2653</v>
      </c>
      <c r="D1115" t="s">
        <v>2653</v>
      </c>
      <c r="E1115" t="s">
        <v>2654</v>
      </c>
      <c r="F1115" t="s">
        <v>2653</v>
      </c>
      <c r="G1115" t="s">
        <v>2653</v>
      </c>
      <c r="H1115" t="s">
        <v>2654</v>
      </c>
      <c r="I1115" t="s">
        <v>1220</v>
      </c>
      <c r="K1115" t="str">
        <f t="shared" si="17"/>
        <v>RES_201403_P3T12026</v>
      </c>
    </row>
    <row r="1116" spans="1:11">
      <c r="A1116">
        <v>2027</v>
      </c>
      <c r="B1116" t="s">
        <v>116</v>
      </c>
      <c r="C1116" t="s">
        <v>2653</v>
      </c>
      <c r="D1116" t="s">
        <v>2653</v>
      </c>
      <c r="E1116" t="s">
        <v>2654</v>
      </c>
      <c r="F1116" t="s">
        <v>2653</v>
      </c>
      <c r="G1116" t="s">
        <v>2653</v>
      </c>
      <c r="H1116" t="s">
        <v>2654</v>
      </c>
      <c r="I1116" t="s">
        <v>1220</v>
      </c>
      <c r="K1116" t="str">
        <f t="shared" si="17"/>
        <v>RES_201403_P3T12027</v>
      </c>
    </row>
    <row r="1117" spans="1:11">
      <c r="A1117">
        <v>2024</v>
      </c>
      <c r="B1117" t="s">
        <v>91</v>
      </c>
      <c r="C1117" t="s">
        <v>2653</v>
      </c>
      <c r="D1117" t="s">
        <v>2653</v>
      </c>
      <c r="E1117" t="s">
        <v>2654</v>
      </c>
      <c r="F1117" t="s">
        <v>2653</v>
      </c>
      <c r="G1117" t="s">
        <v>2653</v>
      </c>
      <c r="H1117" t="s">
        <v>2654</v>
      </c>
      <c r="I1117" t="s">
        <v>2347</v>
      </c>
      <c r="K1117" t="str">
        <f t="shared" si="17"/>
        <v>RES_201403_P6T12024</v>
      </c>
    </row>
    <row r="1118" spans="1:11">
      <c r="A1118">
        <v>2025</v>
      </c>
      <c r="B1118" t="s">
        <v>91</v>
      </c>
      <c r="C1118" t="s">
        <v>2653</v>
      </c>
      <c r="D1118" t="s">
        <v>2653</v>
      </c>
      <c r="E1118" t="s">
        <v>2654</v>
      </c>
      <c r="F1118" t="s">
        <v>2653</v>
      </c>
      <c r="G1118" t="s">
        <v>2653</v>
      </c>
      <c r="H1118" t="s">
        <v>2654</v>
      </c>
      <c r="I1118" t="s">
        <v>2347</v>
      </c>
      <c r="K1118" t="str">
        <f t="shared" si="17"/>
        <v>RES_201403_P6T12025</v>
      </c>
    </row>
    <row r="1119" spans="1:11">
      <c r="A1119">
        <v>2026</v>
      </c>
      <c r="B1119" t="s">
        <v>91</v>
      </c>
      <c r="C1119" t="s">
        <v>2653</v>
      </c>
      <c r="D1119" t="s">
        <v>2653</v>
      </c>
      <c r="E1119" t="s">
        <v>2654</v>
      </c>
      <c r="F1119" t="s">
        <v>2653</v>
      </c>
      <c r="G1119" t="s">
        <v>2653</v>
      </c>
      <c r="H1119" t="s">
        <v>2654</v>
      </c>
      <c r="I1119" t="s">
        <v>2347</v>
      </c>
      <c r="K1119" t="str">
        <f t="shared" si="17"/>
        <v>RES_201403_P6T12026</v>
      </c>
    </row>
    <row r="1120" spans="1:11">
      <c r="A1120">
        <v>2027</v>
      </c>
      <c r="B1120" t="s">
        <v>91</v>
      </c>
      <c r="C1120" t="s">
        <v>2653</v>
      </c>
      <c r="D1120" t="s">
        <v>2653</v>
      </c>
      <c r="E1120" t="s">
        <v>2654</v>
      </c>
      <c r="F1120" t="s">
        <v>2653</v>
      </c>
      <c r="G1120" t="s">
        <v>2653</v>
      </c>
      <c r="H1120" t="s">
        <v>2654</v>
      </c>
      <c r="I1120" t="s">
        <v>2347</v>
      </c>
      <c r="K1120" t="str">
        <f t="shared" si="17"/>
        <v>RES_201403_P6T12027</v>
      </c>
    </row>
    <row r="1121" spans="1:11">
      <c r="A1121">
        <v>2024</v>
      </c>
      <c r="B1121" t="s">
        <v>92</v>
      </c>
      <c r="C1121" t="s">
        <v>2653</v>
      </c>
      <c r="D1121" t="s">
        <v>2653</v>
      </c>
      <c r="E1121" t="s">
        <v>2654</v>
      </c>
      <c r="F1121" t="s">
        <v>2653</v>
      </c>
      <c r="G1121" t="s">
        <v>2653</v>
      </c>
      <c r="H1121" t="s">
        <v>2654</v>
      </c>
      <c r="I1121" t="s">
        <v>2348</v>
      </c>
      <c r="K1121" t="str">
        <f t="shared" si="17"/>
        <v>RES_201403_P6T22024</v>
      </c>
    </row>
    <row r="1122" spans="1:11">
      <c r="A1122">
        <v>2025</v>
      </c>
      <c r="B1122" t="s">
        <v>92</v>
      </c>
      <c r="C1122" t="s">
        <v>2653</v>
      </c>
      <c r="D1122" t="s">
        <v>2653</v>
      </c>
      <c r="E1122" t="s">
        <v>2654</v>
      </c>
      <c r="F1122" t="s">
        <v>2653</v>
      </c>
      <c r="G1122" t="s">
        <v>2653</v>
      </c>
      <c r="H1122" t="s">
        <v>2654</v>
      </c>
      <c r="I1122" t="s">
        <v>2348</v>
      </c>
      <c r="K1122" t="str">
        <f t="shared" si="17"/>
        <v>RES_201403_P6T22025</v>
      </c>
    </row>
    <row r="1123" spans="1:11">
      <c r="A1123">
        <v>2026</v>
      </c>
      <c r="B1123" t="s">
        <v>92</v>
      </c>
      <c r="C1123" t="s">
        <v>2653</v>
      </c>
      <c r="D1123" t="s">
        <v>2653</v>
      </c>
      <c r="E1123" t="s">
        <v>2654</v>
      </c>
      <c r="F1123" t="s">
        <v>2653</v>
      </c>
      <c r="G1123" t="s">
        <v>2653</v>
      </c>
      <c r="H1123" t="s">
        <v>2654</v>
      </c>
      <c r="I1123" t="s">
        <v>2348</v>
      </c>
      <c r="K1123" t="str">
        <f t="shared" si="17"/>
        <v>RES_201403_P6T22026</v>
      </c>
    </row>
    <row r="1124" spans="1:11">
      <c r="A1124">
        <v>2027</v>
      </c>
      <c r="B1124" t="s">
        <v>92</v>
      </c>
      <c r="C1124" t="s">
        <v>2653</v>
      </c>
      <c r="D1124" t="s">
        <v>2653</v>
      </c>
      <c r="E1124" t="s">
        <v>2654</v>
      </c>
      <c r="F1124" t="s">
        <v>2653</v>
      </c>
      <c r="G1124" t="s">
        <v>2653</v>
      </c>
      <c r="H1124" t="s">
        <v>2654</v>
      </c>
      <c r="I1124" t="s">
        <v>2348</v>
      </c>
      <c r="K1124" t="str">
        <f t="shared" si="17"/>
        <v>RES_201403_P6T22027</v>
      </c>
    </row>
    <row r="1125" spans="1:11">
      <c r="A1125">
        <v>2024</v>
      </c>
      <c r="B1125" t="s">
        <v>910</v>
      </c>
      <c r="C1125" t="s">
        <v>2653</v>
      </c>
      <c r="D1125" t="s">
        <v>2653</v>
      </c>
      <c r="E1125" t="s">
        <v>2654</v>
      </c>
      <c r="F1125" t="s">
        <v>2653</v>
      </c>
      <c r="G1125" t="s">
        <v>2653</v>
      </c>
      <c r="H1125" t="s">
        <v>2654</v>
      </c>
      <c r="I1125" t="s">
        <v>1221</v>
      </c>
      <c r="K1125" t="str">
        <f t="shared" si="17"/>
        <v>RES_201403_P3T22024</v>
      </c>
    </row>
    <row r="1126" spans="1:11">
      <c r="A1126">
        <v>2025</v>
      </c>
      <c r="B1126" t="s">
        <v>910</v>
      </c>
      <c r="C1126" t="s">
        <v>2653</v>
      </c>
      <c r="D1126" t="s">
        <v>2653</v>
      </c>
      <c r="E1126" t="s">
        <v>2654</v>
      </c>
      <c r="F1126" t="s">
        <v>2653</v>
      </c>
      <c r="G1126" t="s">
        <v>2653</v>
      </c>
      <c r="H1126" t="s">
        <v>2654</v>
      </c>
      <c r="I1126" t="s">
        <v>1221</v>
      </c>
      <c r="K1126" t="str">
        <f t="shared" si="17"/>
        <v>RES_201403_P3T22025</v>
      </c>
    </row>
    <row r="1127" spans="1:11">
      <c r="A1127">
        <v>2026</v>
      </c>
      <c r="B1127" t="s">
        <v>910</v>
      </c>
      <c r="C1127" t="s">
        <v>2653</v>
      </c>
      <c r="D1127" t="s">
        <v>2653</v>
      </c>
      <c r="E1127" t="s">
        <v>2654</v>
      </c>
      <c r="F1127" t="s">
        <v>2653</v>
      </c>
      <c r="G1127" t="s">
        <v>2653</v>
      </c>
      <c r="H1127" t="s">
        <v>2654</v>
      </c>
      <c r="I1127" t="s">
        <v>1221</v>
      </c>
      <c r="K1127" t="str">
        <f t="shared" si="17"/>
        <v>RES_201403_P3T22026</v>
      </c>
    </row>
    <row r="1128" spans="1:11">
      <c r="A1128">
        <v>2027</v>
      </c>
      <c r="B1128" t="s">
        <v>910</v>
      </c>
      <c r="C1128" t="s">
        <v>2653</v>
      </c>
      <c r="D1128" t="s">
        <v>2653</v>
      </c>
      <c r="E1128" t="s">
        <v>2654</v>
      </c>
      <c r="F1128" t="s">
        <v>2653</v>
      </c>
      <c r="G1128" t="s">
        <v>2653</v>
      </c>
      <c r="H1128" t="s">
        <v>2654</v>
      </c>
      <c r="I1128" t="s">
        <v>1221</v>
      </c>
      <c r="K1128" t="str">
        <f t="shared" si="17"/>
        <v>RES_201403_P3T22027</v>
      </c>
    </row>
    <row r="1129" spans="1:11">
      <c r="A1129">
        <v>2025</v>
      </c>
      <c r="B1129" t="s">
        <v>388</v>
      </c>
      <c r="C1129" t="s">
        <v>2653</v>
      </c>
      <c r="D1129" t="s">
        <v>2653</v>
      </c>
      <c r="E1129" t="s">
        <v>2654</v>
      </c>
      <c r="F1129" t="s">
        <v>2653</v>
      </c>
      <c r="G1129" t="s">
        <v>2653</v>
      </c>
      <c r="H1129" t="s">
        <v>2654</v>
      </c>
      <c r="I1129" t="s">
        <v>2362</v>
      </c>
      <c r="K1129" t="str">
        <f t="shared" si="17"/>
        <v>RES_201403_P12T12025</v>
      </c>
    </row>
    <row r="1130" spans="1:11">
      <c r="A1130">
        <v>2026</v>
      </c>
      <c r="B1130" t="s">
        <v>388</v>
      </c>
      <c r="C1130" t="s">
        <v>2653</v>
      </c>
      <c r="D1130" t="s">
        <v>2653</v>
      </c>
      <c r="E1130" t="s">
        <v>2654</v>
      </c>
      <c r="F1130" t="s">
        <v>2653</v>
      </c>
      <c r="G1130" t="s">
        <v>2653</v>
      </c>
      <c r="H1130" t="s">
        <v>2654</v>
      </c>
      <c r="I1130" t="s">
        <v>2362</v>
      </c>
      <c r="K1130" t="str">
        <f t="shared" si="17"/>
        <v>RES_201403_P12T12026</v>
      </c>
    </row>
    <row r="1131" spans="1:11">
      <c r="A1131">
        <v>2027</v>
      </c>
      <c r="B1131" t="s">
        <v>388</v>
      </c>
      <c r="C1131" t="s">
        <v>2653</v>
      </c>
      <c r="D1131" t="s">
        <v>2653</v>
      </c>
      <c r="E1131" t="s">
        <v>2654</v>
      </c>
      <c r="F1131" t="s">
        <v>2653</v>
      </c>
      <c r="G1131" t="s">
        <v>2653</v>
      </c>
      <c r="H1131" t="s">
        <v>2654</v>
      </c>
      <c r="I1131" t="s">
        <v>2362</v>
      </c>
      <c r="K1131" t="str">
        <f t="shared" si="17"/>
        <v>RES_201403_P12T12027</v>
      </c>
    </row>
    <row r="1132" spans="1:11">
      <c r="A1132">
        <v>2024</v>
      </c>
      <c r="B1132" t="s">
        <v>390</v>
      </c>
      <c r="C1132" t="s">
        <v>2653</v>
      </c>
      <c r="D1132" t="s">
        <v>2653</v>
      </c>
      <c r="E1132" t="s">
        <v>2654</v>
      </c>
      <c r="F1132" t="s">
        <v>2653</v>
      </c>
      <c r="G1132" t="s">
        <v>2653</v>
      </c>
      <c r="H1132" t="s">
        <v>2654</v>
      </c>
      <c r="I1132" t="s">
        <v>2365</v>
      </c>
      <c r="K1132" t="str">
        <f t="shared" si="17"/>
        <v>RES_201403_P13T12024</v>
      </c>
    </row>
    <row r="1133" spans="1:11">
      <c r="A1133">
        <v>2025</v>
      </c>
      <c r="B1133" t="s">
        <v>390</v>
      </c>
      <c r="C1133" t="s">
        <v>2653</v>
      </c>
      <c r="D1133" t="s">
        <v>2653</v>
      </c>
      <c r="E1133" t="s">
        <v>2654</v>
      </c>
      <c r="F1133" t="s">
        <v>2653</v>
      </c>
      <c r="G1133" t="s">
        <v>2653</v>
      </c>
      <c r="H1133" t="s">
        <v>2654</v>
      </c>
      <c r="I1133" t="s">
        <v>2365</v>
      </c>
      <c r="K1133" t="str">
        <f t="shared" si="17"/>
        <v>RES_201403_P13T12025</v>
      </c>
    </row>
    <row r="1134" spans="1:11">
      <c r="A1134">
        <v>2026</v>
      </c>
      <c r="B1134" t="s">
        <v>390</v>
      </c>
      <c r="C1134" t="s">
        <v>2653</v>
      </c>
      <c r="D1134" t="s">
        <v>2653</v>
      </c>
      <c r="E1134" t="s">
        <v>2654</v>
      </c>
      <c r="F1134" t="s">
        <v>2653</v>
      </c>
      <c r="G1134" t="s">
        <v>2653</v>
      </c>
      <c r="H1134" t="s">
        <v>2654</v>
      </c>
      <c r="I1134" t="s">
        <v>2365</v>
      </c>
      <c r="K1134" t="str">
        <f t="shared" si="17"/>
        <v>RES_201403_P13T12026</v>
      </c>
    </row>
    <row r="1135" spans="1:11">
      <c r="A1135">
        <v>2027</v>
      </c>
      <c r="B1135" t="s">
        <v>390</v>
      </c>
      <c r="C1135" t="s">
        <v>2653</v>
      </c>
      <c r="D1135" t="s">
        <v>2653</v>
      </c>
      <c r="E1135" t="s">
        <v>2654</v>
      </c>
      <c r="F1135" t="s">
        <v>2653</v>
      </c>
      <c r="G1135" t="s">
        <v>2653</v>
      </c>
      <c r="H1135" t="s">
        <v>2654</v>
      </c>
      <c r="I1135" t="s">
        <v>2365</v>
      </c>
      <c r="K1135" t="str">
        <f t="shared" si="17"/>
        <v>RES_201403_P13T12027</v>
      </c>
    </row>
    <row r="1136" spans="1:11">
      <c r="A1136">
        <v>2024</v>
      </c>
      <c r="B1136" t="s">
        <v>112</v>
      </c>
      <c r="C1136" t="s">
        <v>2653</v>
      </c>
      <c r="D1136" t="s">
        <v>2653</v>
      </c>
      <c r="E1136" t="s">
        <v>2654</v>
      </c>
      <c r="F1136" t="s">
        <v>2653</v>
      </c>
      <c r="G1136" t="s">
        <v>2653</v>
      </c>
      <c r="H1136" t="s">
        <v>2654</v>
      </c>
      <c r="I1136" t="s">
        <v>1216</v>
      </c>
      <c r="K1136" t="str">
        <f t="shared" si="17"/>
        <v>RES_201403_P5T12024</v>
      </c>
    </row>
    <row r="1137" spans="1:11">
      <c r="A1137">
        <v>2025</v>
      </c>
      <c r="B1137" t="s">
        <v>112</v>
      </c>
      <c r="C1137" t="s">
        <v>2653</v>
      </c>
      <c r="D1137" t="s">
        <v>2653</v>
      </c>
      <c r="E1137" t="s">
        <v>2654</v>
      </c>
      <c r="F1137" t="s">
        <v>2653</v>
      </c>
      <c r="G1137" t="s">
        <v>2653</v>
      </c>
      <c r="H1137" t="s">
        <v>2654</v>
      </c>
      <c r="I1137" t="s">
        <v>1216</v>
      </c>
      <c r="K1137" t="str">
        <f t="shared" si="17"/>
        <v>RES_201403_P5T12025</v>
      </c>
    </row>
    <row r="1138" spans="1:11">
      <c r="A1138">
        <v>2026</v>
      </c>
      <c r="B1138" t="s">
        <v>112</v>
      </c>
      <c r="C1138" t="s">
        <v>2653</v>
      </c>
      <c r="D1138" t="s">
        <v>2653</v>
      </c>
      <c r="E1138" t="s">
        <v>2654</v>
      </c>
      <c r="F1138" t="s">
        <v>2653</v>
      </c>
      <c r="G1138" t="s">
        <v>2653</v>
      </c>
      <c r="H1138" t="s">
        <v>2654</v>
      </c>
      <c r="I1138" t="s">
        <v>1216</v>
      </c>
      <c r="K1138" t="str">
        <f t="shared" si="17"/>
        <v>RES_201403_P5T12026</v>
      </c>
    </row>
    <row r="1139" spans="1:11">
      <c r="A1139">
        <v>2027</v>
      </c>
      <c r="B1139" t="s">
        <v>112</v>
      </c>
      <c r="C1139" t="s">
        <v>2653</v>
      </c>
      <c r="D1139" t="s">
        <v>2653</v>
      </c>
      <c r="E1139" t="s">
        <v>2654</v>
      </c>
      <c r="F1139" t="s">
        <v>2653</v>
      </c>
      <c r="G1139" t="s">
        <v>2653</v>
      </c>
      <c r="H1139" t="s">
        <v>2654</v>
      </c>
      <c r="I1139" t="s">
        <v>1216</v>
      </c>
      <c r="K1139" t="str">
        <f t="shared" si="17"/>
        <v>RES_201403_P5T12027</v>
      </c>
    </row>
    <row r="1140" spans="1:11">
      <c r="A1140">
        <v>2024</v>
      </c>
      <c r="B1140" t="s">
        <v>988</v>
      </c>
      <c r="C1140" t="s">
        <v>2653</v>
      </c>
      <c r="D1140" t="s">
        <v>2653</v>
      </c>
      <c r="E1140" t="s">
        <v>2654</v>
      </c>
      <c r="F1140" t="s">
        <v>2653</v>
      </c>
      <c r="G1140" t="s">
        <v>2653</v>
      </c>
      <c r="H1140" t="s">
        <v>2654</v>
      </c>
      <c r="I1140" t="s">
        <v>1217</v>
      </c>
      <c r="K1140" t="str">
        <f t="shared" si="17"/>
        <v>RES_201403_P5T22024</v>
      </c>
    </row>
    <row r="1141" spans="1:11">
      <c r="A1141">
        <v>2025</v>
      </c>
      <c r="B1141" t="s">
        <v>988</v>
      </c>
      <c r="C1141" t="s">
        <v>2653</v>
      </c>
      <c r="D1141" t="s">
        <v>2653</v>
      </c>
      <c r="E1141" t="s">
        <v>2654</v>
      </c>
      <c r="F1141" t="s">
        <v>2653</v>
      </c>
      <c r="G1141" t="s">
        <v>2653</v>
      </c>
      <c r="H1141" t="s">
        <v>2654</v>
      </c>
      <c r="I1141" t="s">
        <v>1217</v>
      </c>
      <c r="K1141" t="str">
        <f t="shared" si="17"/>
        <v>RES_201403_P5T22025</v>
      </c>
    </row>
    <row r="1142" spans="1:11">
      <c r="A1142">
        <v>2026</v>
      </c>
      <c r="B1142" t="s">
        <v>988</v>
      </c>
      <c r="C1142" t="s">
        <v>2653</v>
      </c>
      <c r="D1142" t="s">
        <v>2653</v>
      </c>
      <c r="E1142" t="s">
        <v>2654</v>
      </c>
      <c r="F1142" t="s">
        <v>2653</v>
      </c>
      <c r="G1142" t="s">
        <v>2653</v>
      </c>
      <c r="H1142" t="s">
        <v>2654</v>
      </c>
      <c r="I1142" t="s">
        <v>1217</v>
      </c>
      <c r="K1142" t="str">
        <f t="shared" si="17"/>
        <v>RES_201403_P5T22026</v>
      </c>
    </row>
    <row r="1143" spans="1:11">
      <c r="A1143">
        <v>2027</v>
      </c>
      <c r="B1143" t="s">
        <v>988</v>
      </c>
      <c r="C1143" t="s">
        <v>2653</v>
      </c>
      <c r="D1143" t="s">
        <v>2653</v>
      </c>
      <c r="E1143" t="s">
        <v>2654</v>
      </c>
      <c r="F1143" t="s">
        <v>2653</v>
      </c>
      <c r="G1143" t="s">
        <v>2653</v>
      </c>
      <c r="H1143" t="s">
        <v>2654</v>
      </c>
      <c r="I1143" t="s">
        <v>1217</v>
      </c>
      <c r="K1143" t="str">
        <f t="shared" si="17"/>
        <v>RES_201403_P5T22027</v>
      </c>
    </row>
    <row r="1144" spans="1:11">
      <c r="A1144">
        <v>2025</v>
      </c>
      <c r="B1144" t="s">
        <v>127</v>
      </c>
      <c r="C1144" t="s">
        <v>2653</v>
      </c>
      <c r="D1144" t="s">
        <v>2653</v>
      </c>
      <c r="E1144" t="s">
        <v>2654</v>
      </c>
      <c r="F1144" t="s">
        <v>2653</v>
      </c>
      <c r="G1144" t="s">
        <v>2654</v>
      </c>
      <c r="H1144" t="s">
        <v>2654</v>
      </c>
      <c r="I1144" t="s">
        <v>2370</v>
      </c>
      <c r="K1144" t="str">
        <f t="shared" si="17"/>
        <v>RES_201403_P8T02025</v>
      </c>
    </row>
    <row r="1145" spans="1:11">
      <c r="A1145">
        <v>2026</v>
      </c>
      <c r="B1145" t="s">
        <v>127</v>
      </c>
      <c r="C1145" t="s">
        <v>2653</v>
      </c>
      <c r="D1145" t="s">
        <v>2653</v>
      </c>
      <c r="E1145" t="s">
        <v>2654</v>
      </c>
      <c r="F1145" t="s">
        <v>2653</v>
      </c>
      <c r="G1145" t="s">
        <v>2654</v>
      </c>
      <c r="H1145" t="s">
        <v>2654</v>
      </c>
      <c r="I1145" t="s">
        <v>2370</v>
      </c>
      <c r="K1145" t="str">
        <f t="shared" si="17"/>
        <v>RES_201403_P8T02026</v>
      </c>
    </row>
    <row r="1146" spans="1:11">
      <c r="A1146">
        <v>2027</v>
      </c>
      <c r="B1146" t="s">
        <v>127</v>
      </c>
      <c r="C1146" t="s">
        <v>2653</v>
      </c>
      <c r="D1146" t="s">
        <v>2653</v>
      </c>
      <c r="E1146" t="s">
        <v>2654</v>
      </c>
      <c r="F1146" t="s">
        <v>2653</v>
      </c>
      <c r="G1146" t="s">
        <v>2654</v>
      </c>
      <c r="H1146" t="s">
        <v>2654</v>
      </c>
      <c r="I1146" t="s">
        <v>2370</v>
      </c>
      <c r="K1146" t="str">
        <f t="shared" si="17"/>
        <v>RES_201403_P8T02027</v>
      </c>
    </row>
    <row r="1147" spans="1:11">
      <c r="A1147">
        <v>2024</v>
      </c>
      <c r="B1147" t="s">
        <v>1235</v>
      </c>
      <c r="C1147" t="s">
        <v>2653</v>
      </c>
      <c r="D1147" t="s">
        <v>2653</v>
      </c>
      <c r="E1147" t="s">
        <v>2654</v>
      </c>
      <c r="F1147" t="s">
        <v>2653</v>
      </c>
      <c r="G1147" t="s">
        <v>2654</v>
      </c>
      <c r="H1147" t="s">
        <v>2654</v>
      </c>
      <c r="I1147" t="s">
        <v>2358</v>
      </c>
      <c r="K1147" t="str">
        <f t="shared" si="17"/>
        <v>RES_201403_P11T02024</v>
      </c>
    </row>
    <row r="1148" spans="1:11">
      <c r="A1148">
        <v>2025</v>
      </c>
      <c r="B1148" t="s">
        <v>1235</v>
      </c>
      <c r="C1148" t="s">
        <v>2653</v>
      </c>
      <c r="D1148" t="s">
        <v>2653</v>
      </c>
      <c r="E1148" t="s">
        <v>2654</v>
      </c>
      <c r="F1148" t="s">
        <v>2653</v>
      </c>
      <c r="G1148" t="s">
        <v>2654</v>
      </c>
      <c r="H1148" t="s">
        <v>2654</v>
      </c>
      <c r="I1148" t="s">
        <v>2358</v>
      </c>
      <c r="K1148" t="str">
        <f t="shared" si="17"/>
        <v>RES_201403_P11T02025</v>
      </c>
    </row>
    <row r="1149" spans="1:11">
      <c r="A1149">
        <v>2026</v>
      </c>
      <c r="B1149" t="s">
        <v>1235</v>
      </c>
      <c r="C1149" t="s">
        <v>2653</v>
      </c>
      <c r="D1149" t="s">
        <v>2653</v>
      </c>
      <c r="E1149" t="s">
        <v>2654</v>
      </c>
      <c r="F1149" t="s">
        <v>2653</v>
      </c>
      <c r="G1149" t="s">
        <v>2654</v>
      </c>
      <c r="H1149" t="s">
        <v>2654</v>
      </c>
      <c r="I1149" t="s">
        <v>2358</v>
      </c>
      <c r="K1149" t="str">
        <f t="shared" si="17"/>
        <v>RES_201403_P11T02026</v>
      </c>
    </row>
    <row r="1150" spans="1:11">
      <c r="A1150">
        <v>2027</v>
      </c>
      <c r="B1150" t="s">
        <v>1235</v>
      </c>
      <c r="C1150" t="s">
        <v>2653</v>
      </c>
      <c r="D1150" t="s">
        <v>2653</v>
      </c>
      <c r="E1150" t="s">
        <v>2654</v>
      </c>
      <c r="F1150" t="s">
        <v>2653</v>
      </c>
      <c r="G1150" t="s">
        <v>2654</v>
      </c>
      <c r="H1150" t="s">
        <v>2654</v>
      </c>
      <c r="I1150" t="s">
        <v>2358</v>
      </c>
      <c r="K1150" t="str">
        <f t="shared" si="17"/>
        <v>RES_201403_P11T02027</v>
      </c>
    </row>
    <row r="1151" spans="1:11">
      <c r="A1151">
        <v>2025</v>
      </c>
      <c r="B1151" t="s">
        <v>1659</v>
      </c>
      <c r="C1151" t="s">
        <v>2653</v>
      </c>
      <c r="D1151" t="s">
        <v>2653</v>
      </c>
      <c r="E1151" t="s">
        <v>2654</v>
      </c>
      <c r="F1151" t="s">
        <v>2653</v>
      </c>
      <c r="G1151" t="s">
        <v>2653</v>
      </c>
      <c r="H1151" t="s">
        <v>2654</v>
      </c>
      <c r="I1151" t="s">
        <v>2374</v>
      </c>
      <c r="K1151" t="str">
        <f t="shared" si="17"/>
        <v>RES_201403_P8T42025</v>
      </c>
    </row>
    <row r="1152" spans="1:11">
      <c r="A1152">
        <v>2026</v>
      </c>
      <c r="B1152" t="s">
        <v>1659</v>
      </c>
      <c r="C1152" t="s">
        <v>2653</v>
      </c>
      <c r="D1152" t="s">
        <v>2653</v>
      </c>
      <c r="E1152" t="s">
        <v>2654</v>
      </c>
      <c r="F1152" t="s">
        <v>2653</v>
      </c>
      <c r="G1152" t="s">
        <v>2653</v>
      </c>
      <c r="H1152" t="s">
        <v>2654</v>
      </c>
      <c r="I1152" t="s">
        <v>2374</v>
      </c>
      <c r="K1152" t="str">
        <f t="shared" si="17"/>
        <v>RES_201403_P8T42026</v>
      </c>
    </row>
    <row r="1153" spans="1:11">
      <c r="A1153">
        <v>2027</v>
      </c>
      <c r="B1153" t="s">
        <v>1659</v>
      </c>
      <c r="C1153" t="s">
        <v>2653</v>
      </c>
      <c r="D1153" t="s">
        <v>2653</v>
      </c>
      <c r="E1153" t="s">
        <v>2654</v>
      </c>
      <c r="F1153" t="s">
        <v>2653</v>
      </c>
      <c r="G1153" t="s">
        <v>2653</v>
      </c>
      <c r="H1153" t="s">
        <v>2654</v>
      </c>
      <c r="I1153" t="s">
        <v>2374</v>
      </c>
      <c r="K1153" t="str">
        <f t="shared" si="17"/>
        <v>RES_201403_P8T42027</v>
      </c>
    </row>
    <row r="1154" spans="1:11">
      <c r="A1154">
        <v>2024</v>
      </c>
      <c r="B1154" t="s">
        <v>1653</v>
      </c>
      <c r="C1154" t="s">
        <v>2653</v>
      </c>
      <c r="D1154" t="s">
        <v>2653</v>
      </c>
      <c r="E1154" t="s">
        <v>2654</v>
      </c>
      <c r="F1154" t="s">
        <v>2653</v>
      </c>
      <c r="G1154" t="s">
        <v>2653</v>
      </c>
      <c r="H1154" t="s">
        <v>2654</v>
      </c>
      <c r="I1154" t="s">
        <v>1545</v>
      </c>
      <c r="K1154" t="str">
        <f t="shared" si="17"/>
        <v>RES_201403_P6T02024</v>
      </c>
    </row>
    <row r="1155" spans="1:11">
      <c r="A1155">
        <v>2025</v>
      </c>
      <c r="B1155" t="s">
        <v>1653</v>
      </c>
      <c r="C1155" t="s">
        <v>2653</v>
      </c>
      <c r="D1155" t="s">
        <v>2653</v>
      </c>
      <c r="E1155" t="s">
        <v>2654</v>
      </c>
      <c r="F1155" t="s">
        <v>2653</v>
      </c>
      <c r="G1155" t="s">
        <v>2653</v>
      </c>
      <c r="H1155" t="s">
        <v>2654</v>
      </c>
      <c r="I1155" t="s">
        <v>1545</v>
      </c>
      <c r="K1155" t="str">
        <f t="shared" ref="K1155:K1218" si="18">B1155&amp;A1155</f>
        <v>RES_201403_P6T02025</v>
      </c>
    </row>
    <row r="1156" spans="1:11">
      <c r="A1156">
        <v>2026</v>
      </c>
      <c r="B1156" t="s">
        <v>1653</v>
      </c>
      <c r="C1156" t="s">
        <v>2653</v>
      </c>
      <c r="D1156" t="s">
        <v>2653</v>
      </c>
      <c r="E1156" t="s">
        <v>2654</v>
      </c>
      <c r="F1156" t="s">
        <v>2653</v>
      </c>
      <c r="G1156" t="s">
        <v>2653</v>
      </c>
      <c r="H1156" t="s">
        <v>2654</v>
      </c>
      <c r="I1156" t="s">
        <v>1545</v>
      </c>
      <c r="K1156" t="str">
        <f t="shared" si="18"/>
        <v>RES_201403_P6T02026</v>
      </c>
    </row>
    <row r="1157" spans="1:11">
      <c r="A1157">
        <v>2027</v>
      </c>
      <c r="B1157" t="s">
        <v>1653</v>
      </c>
      <c r="C1157" t="s">
        <v>2653</v>
      </c>
      <c r="D1157" t="s">
        <v>2653</v>
      </c>
      <c r="E1157" t="s">
        <v>2654</v>
      </c>
      <c r="F1157" t="s">
        <v>2653</v>
      </c>
      <c r="G1157" t="s">
        <v>2653</v>
      </c>
      <c r="H1157" t="s">
        <v>2654</v>
      </c>
      <c r="I1157" t="s">
        <v>1545</v>
      </c>
      <c r="K1157" t="str">
        <f t="shared" si="18"/>
        <v>RES_201403_P6T02027</v>
      </c>
    </row>
    <row r="1158" spans="1:11">
      <c r="A1158">
        <v>2024</v>
      </c>
      <c r="B1158" t="s">
        <v>1589</v>
      </c>
      <c r="C1158" t="s">
        <v>2653</v>
      </c>
      <c r="D1158" t="s">
        <v>2653</v>
      </c>
      <c r="E1158" t="s">
        <v>2654</v>
      </c>
      <c r="F1158" t="s">
        <v>2653</v>
      </c>
      <c r="G1158" t="s">
        <v>2654</v>
      </c>
      <c r="H1158" t="s">
        <v>2654</v>
      </c>
      <c r="I1158" t="s">
        <v>1240</v>
      </c>
      <c r="K1158" t="str">
        <f t="shared" si="18"/>
        <v>COM_201402_P1T12024</v>
      </c>
    </row>
    <row r="1159" spans="1:11">
      <c r="A1159">
        <v>2025</v>
      </c>
      <c r="B1159" t="s">
        <v>1589</v>
      </c>
      <c r="C1159" t="s">
        <v>2653</v>
      </c>
      <c r="D1159" t="s">
        <v>2653</v>
      </c>
      <c r="E1159" t="s">
        <v>2654</v>
      </c>
      <c r="F1159" t="s">
        <v>2653</v>
      </c>
      <c r="G1159" t="s">
        <v>2654</v>
      </c>
      <c r="H1159" t="s">
        <v>2654</v>
      </c>
      <c r="I1159" t="s">
        <v>1240</v>
      </c>
      <c r="K1159" t="str">
        <f t="shared" si="18"/>
        <v>COM_201402_P1T12025</v>
      </c>
    </row>
    <row r="1160" spans="1:11">
      <c r="A1160">
        <v>2026</v>
      </c>
      <c r="B1160" t="s">
        <v>1589</v>
      </c>
      <c r="C1160" t="s">
        <v>2653</v>
      </c>
      <c r="D1160" t="s">
        <v>2653</v>
      </c>
      <c r="E1160" t="s">
        <v>2654</v>
      </c>
      <c r="F1160" t="s">
        <v>2653</v>
      </c>
      <c r="G1160" t="s">
        <v>2654</v>
      </c>
      <c r="H1160" t="s">
        <v>2654</v>
      </c>
      <c r="I1160" t="s">
        <v>1240</v>
      </c>
      <c r="K1160" t="str">
        <f t="shared" si="18"/>
        <v>COM_201402_P1T12026</v>
      </c>
    </row>
    <row r="1161" spans="1:11">
      <c r="A1161">
        <v>2027</v>
      </c>
      <c r="B1161" t="s">
        <v>1589</v>
      </c>
      <c r="C1161" t="s">
        <v>2653</v>
      </c>
      <c r="D1161" t="s">
        <v>2653</v>
      </c>
      <c r="E1161" t="s">
        <v>2654</v>
      </c>
      <c r="F1161" t="s">
        <v>2653</v>
      </c>
      <c r="G1161" t="s">
        <v>2654</v>
      </c>
      <c r="H1161" t="s">
        <v>2654</v>
      </c>
      <c r="I1161" t="s">
        <v>1240</v>
      </c>
      <c r="K1161" t="str">
        <f t="shared" si="18"/>
        <v>COM_201402_P1T12027</v>
      </c>
    </row>
    <row r="1162" spans="1:11">
      <c r="A1162">
        <v>2024</v>
      </c>
      <c r="B1162" t="s">
        <v>2202</v>
      </c>
      <c r="C1162" t="s">
        <v>2653</v>
      </c>
      <c r="D1162" t="s">
        <v>2653</v>
      </c>
      <c r="E1162" t="s">
        <v>2654</v>
      </c>
      <c r="F1162" t="s">
        <v>2653</v>
      </c>
      <c r="G1162" t="s">
        <v>2654</v>
      </c>
      <c r="H1162" t="s">
        <v>2654</v>
      </c>
      <c r="I1162" t="s">
        <v>2342</v>
      </c>
      <c r="K1162" t="str">
        <f t="shared" si="18"/>
        <v>IND_201302_P1T12024</v>
      </c>
    </row>
    <row r="1163" spans="1:11">
      <c r="A1163">
        <v>2025</v>
      </c>
      <c r="B1163" t="s">
        <v>2202</v>
      </c>
      <c r="C1163" t="s">
        <v>2653</v>
      </c>
      <c r="D1163" t="s">
        <v>2653</v>
      </c>
      <c r="E1163" t="s">
        <v>2654</v>
      </c>
      <c r="F1163" t="s">
        <v>2653</v>
      </c>
      <c r="G1163" t="s">
        <v>2654</v>
      </c>
      <c r="H1163" t="s">
        <v>2654</v>
      </c>
      <c r="I1163" t="s">
        <v>2342</v>
      </c>
      <c r="K1163" t="str">
        <f t="shared" si="18"/>
        <v>IND_201302_P1T12025</v>
      </c>
    </row>
    <row r="1164" spans="1:11">
      <c r="A1164">
        <v>2026</v>
      </c>
      <c r="B1164" t="s">
        <v>2202</v>
      </c>
      <c r="C1164" t="s">
        <v>2653</v>
      </c>
      <c r="D1164" t="s">
        <v>2653</v>
      </c>
      <c r="E1164" t="s">
        <v>2654</v>
      </c>
      <c r="F1164" t="s">
        <v>2653</v>
      </c>
      <c r="G1164" t="s">
        <v>2654</v>
      </c>
      <c r="H1164" t="s">
        <v>2654</v>
      </c>
      <c r="I1164" t="s">
        <v>2342</v>
      </c>
      <c r="K1164" t="str">
        <f t="shared" si="18"/>
        <v>IND_201302_P1T12026</v>
      </c>
    </row>
    <row r="1165" spans="1:11">
      <c r="A1165">
        <v>2027</v>
      </c>
      <c r="B1165" t="s">
        <v>2202</v>
      </c>
      <c r="C1165" t="s">
        <v>2653</v>
      </c>
      <c r="D1165" t="s">
        <v>2653</v>
      </c>
      <c r="E1165" t="s">
        <v>2654</v>
      </c>
      <c r="F1165" t="s">
        <v>2653</v>
      </c>
      <c r="G1165" t="s">
        <v>2654</v>
      </c>
      <c r="H1165" t="s">
        <v>2654</v>
      </c>
      <c r="I1165" t="s">
        <v>2342</v>
      </c>
      <c r="K1165" t="str">
        <f t="shared" si="18"/>
        <v>IND_201302_P1T12027</v>
      </c>
    </row>
    <row r="1166" spans="1:11">
      <c r="A1166">
        <v>2024</v>
      </c>
      <c r="B1166" t="s">
        <v>1647</v>
      </c>
      <c r="C1166" t="s">
        <v>2653</v>
      </c>
      <c r="D1166" t="s">
        <v>2653</v>
      </c>
      <c r="E1166" t="s">
        <v>2654</v>
      </c>
      <c r="F1166" t="s">
        <v>2653</v>
      </c>
      <c r="G1166" t="s">
        <v>2653</v>
      </c>
      <c r="H1166" t="s">
        <v>2654</v>
      </c>
      <c r="I1166" t="s">
        <v>1866</v>
      </c>
      <c r="K1166" t="str">
        <f t="shared" si="18"/>
        <v>RES_201403_P1T12024</v>
      </c>
    </row>
    <row r="1167" spans="1:11">
      <c r="A1167">
        <v>2025</v>
      </c>
      <c r="B1167" t="s">
        <v>1647</v>
      </c>
      <c r="C1167" t="s">
        <v>2653</v>
      </c>
      <c r="D1167" t="s">
        <v>2653</v>
      </c>
      <c r="E1167" t="s">
        <v>2654</v>
      </c>
      <c r="F1167" t="s">
        <v>2653</v>
      </c>
      <c r="G1167" t="s">
        <v>2653</v>
      </c>
      <c r="H1167" t="s">
        <v>2654</v>
      </c>
      <c r="I1167" t="s">
        <v>1866</v>
      </c>
      <c r="K1167" t="str">
        <f t="shared" si="18"/>
        <v>RES_201403_P1T12025</v>
      </c>
    </row>
    <row r="1168" spans="1:11">
      <c r="A1168">
        <v>2026</v>
      </c>
      <c r="B1168" t="s">
        <v>1647</v>
      </c>
      <c r="C1168" t="s">
        <v>2653</v>
      </c>
      <c r="D1168" t="s">
        <v>2653</v>
      </c>
      <c r="E1168" t="s">
        <v>2654</v>
      </c>
      <c r="F1168" t="s">
        <v>2653</v>
      </c>
      <c r="G1168" t="s">
        <v>2653</v>
      </c>
      <c r="H1168" t="s">
        <v>2654</v>
      </c>
      <c r="I1168" t="s">
        <v>1866</v>
      </c>
      <c r="K1168" t="str">
        <f t="shared" si="18"/>
        <v>RES_201403_P1T12026</v>
      </c>
    </row>
    <row r="1169" spans="1:11">
      <c r="A1169">
        <v>2027</v>
      </c>
      <c r="B1169" t="s">
        <v>1647</v>
      </c>
      <c r="C1169" t="s">
        <v>2653</v>
      </c>
      <c r="D1169" t="s">
        <v>2653</v>
      </c>
      <c r="E1169" t="s">
        <v>2654</v>
      </c>
      <c r="F1169" t="s">
        <v>2653</v>
      </c>
      <c r="G1169" t="s">
        <v>2653</v>
      </c>
      <c r="H1169" t="s">
        <v>2654</v>
      </c>
      <c r="I1169" t="s">
        <v>1866</v>
      </c>
      <c r="K1169" t="str">
        <f t="shared" si="18"/>
        <v>RES_201403_P1T12027</v>
      </c>
    </row>
    <row r="1170" spans="1:11">
      <c r="A1170">
        <v>2024</v>
      </c>
      <c r="B1170" t="s">
        <v>2167</v>
      </c>
      <c r="C1170" t="s">
        <v>2653</v>
      </c>
      <c r="D1170" t="s">
        <v>2653</v>
      </c>
      <c r="E1170" t="s">
        <v>2654</v>
      </c>
      <c r="F1170" t="s">
        <v>2653</v>
      </c>
      <c r="G1170" t="s">
        <v>2654</v>
      </c>
      <c r="H1170" t="s">
        <v>2654</v>
      </c>
      <c r="I1170" t="s">
        <v>2170</v>
      </c>
      <c r="K1170" t="str">
        <f t="shared" si="18"/>
        <v>COM_201404_P1T12024</v>
      </c>
    </row>
    <row r="1171" spans="1:11">
      <c r="A1171">
        <v>2025</v>
      </c>
      <c r="B1171" t="s">
        <v>2167</v>
      </c>
      <c r="C1171" t="s">
        <v>2653</v>
      </c>
      <c r="D1171" t="s">
        <v>2653</v>
      </c>
      <c r="E1171" t="s">
        <v>2654</v>
      </c>
      <c r="F1171" t="s">
        <v>2653</v>
      </c>
      <c r="G1171" t="s">
        <v>2654</v>
      </c>
      <c r="H1171" t="s">
        <v>2654</v>
      </c>
      <c r="I1171" t="s">
        <v>2170</v>
      </c>
      <c r="K1171" t="str">
        <f t="shared" si="18"/>
        <v>COM_201404_P1T12025</v>
      </c>
    </row>
    <row r="1172" spans="1:11">
      <c r="A1172">
        <v>2026</v>
      </c>
      <c r="B1172" t="s">
        <v>2167</v>
      </c>
      <c r="C1172" t="s">
        <v>2653</v>
      </c>
      <c r="D1172" t="s">
        <v>2653</v>
      </c>
      <c r="E1172" t="s">
        <v>2654</v>
      </c>
      <c r="F1172" t="s">
        <v>2653</v>
      </c>
      <c r="G1172" t="s">
        <v>2654</v>
      </c>
      <c r="H1172" t="s">
        <v>2654</v>
      </c>
      <c r="I1172" t="s">
        <v>2170</v>
      </c>
      <c r="K1172" t="str">
        <f t="shared" si="18"/>
        <v>COM_201404_P1T12026</v>
      </c>
    </row>
    <row r="1173" spans="1:11">
      <c r="A1173">
        <v>2027</v>
      </c>
      <c r="B1173" t="s">
        <v>2167</v>
      </c>
      <c r="C1173" t="s">
        <v>2653</v>
      </c>
      <c r="D1173" t="s">
        <v>2653</v>
      </c>
      <c r="E1173" t="s">
        <v>2654</v>
      </c>
      <c r="F1173" t="s">
        <v>2653</v>
      </c>
      <c r="G1173" t="s">
        <v>2654</v>
      </c>
      <c r="H1173" t="s">
        <v>2654</v>
      </c>
      <c r="I1173" t="s">
        <v>2170</v>
      </c>
      <c r="K1173" t="str">
        <f t="shared" si="18"/>
        <v>COM_201404_P1T12027</v>
      </c>
    </row>
    <row r="1174" spans="1:11">
      <c r="A1174">
        <v>2025</v>
      </c>
      <c r="B1174" t="s">
        <v>1584</v>
      </c>
      <c r="C1174" t="s">
        <v>2653</v>
      </c>
      <c r="D1174" t="s">
        <v>2654</v>
      </c>
      <c r="E1174" t="s">
        <v>2654</v>
      </c>
      <c r="F1174" t="s">
        <v>2654</v>
      </c>
      <c r="G1174" t="s">
        <v>2653</v>
      </c>
      <c r="H1174" t="s">
        <v>2653</v>
      </c>
      <c r="I1174" t="s">
        <v>1698</v>
      </c>
      <c r="K1174" t="str">
        <f t="shared" si="18"/>
        <v>COM_201304_P15T12025</v>
      </c>
    </row>
    <row r="1175" spans="1:11">
      <c r="A1175">
        <v>2026</v>
      </c>
      <c r="B1175" t="s">
        <v>1584</v>
      </c>
      <c r="C1175" t="s">
        <v>2653</v>
      </c>
      <c r="D1175" t="s">
        <v>2654</v>
      </c>
      <c r="E1175" t="s">
        <v>2654</v>
      </c>
      <c r="F1175" t="s">
        <v>2654</v>
      </c>
      <c r="G1175" t="s">
        <v>2653</v>
      </c>
      <c r="H1175" t="s">
        <v>2653</v>
      </c>
      <c r="I1175" t="s">
        <v>1698</v>
      </c>
      <c r="K1175" t="str">
        <f t="shared" si="18"/>
        <v>COM_201304_P15T12026</v>
      </c>
    </row>
    <row r="1176" spans="1:11">
      <c r="A1176">
        <v>2027</v>
      </c>
      <c r="B1176" t="s">
        <v>1584</v>
      </c>
      <c r="C1176" t="s">
        <v>2653</v>
      </c>
      <c r="D1176" t="s">
        <v>2654</v>
      </c>
      <c r="E1176" t="s">
        <v>2654</v>
      </c>
      <c r="F1176" t="s">
        <v>2654</v>
      </c>
      <c r="G1176" t="s">
        <v>2653</v>
      </c>
      <c r="H1176" t="s">
        <v>2653</v>
      </c>
      <c r="I1176" t="s">
        <v>1698</v>
      </c>
      <c r="K1176" t="str">
        <f t="shared" si="18"/>
        <v>COM_201304_P15T12027</v>
      </c>
    </row>
    <row r="1177" spans="1:11">
      <c r="A1177">
        <v>2025</v>
      </c>
      <c r="B1177" t="s">
        <v>1585</v>
      </c>
      <c r="C1177" t="s">
        <v>2653</v>
      </c>
      <c r="D1177" t="s">
        <v>2654</v>
      </c>
      <c r="E1177" t="s">
        <v>2654</v>
      </c>
      <c r="F1177" t="s">
        <v>2654</v>
      </c>
      <c r="G1177" t="s">
        <v>2653</v>
      </c>
      <c r="H1177" t="s">
        <v>2653</v>
      </c>
      <c r="I1177" t="s">
        <v>1699</v>
      </c>
      <c r="K1177" t="str">
        <f t="shared" si="18"/>
        <v>COM_201304_P15T22025</v>
      </c>
    </row>
    <row r="1178" spans="1:11">
      <c r="A1178">
        <v>2026</v>
      </c>
      <c r="B1178" t="s">
        <v>1585</v>
      </c>
      <c r="C1178" t="s">
        <v>2653</v>
      </c>
      <c r="D1178" t="s">
        <v>2654</v>
      </c>
      <c r="E1178" t="s">
        <v>2654</v>
      </c>
      <c r="F1178" t="s">
        <v>2654</v>
      </c>
      <c r="G1178" t="s">
        <v>2653</v>
      </c>
      <c r="H1178" t="s">
        <v>2653</v>
      </c>
      <c r="I1178" t="s">
        <v>1699</v>
      </c>
      <c r="K1178" t="str">
        <f t="shared" si="18"/>
        <v>COM_201304_P15T22026</v>
      </c>
    </row>
    <row r="1179" spans="1:11">
      <c r="A1179">
        <v>2027</v>
      </c>
      <c r="B1179" t="s">
        <v>1585</v>
      </c>
      <c r="C1179" t="s">
        <v>2653</v>
      </c>
      <c r="D1179" t="s">
        <v>2654</v>
      </c>
      <c r="E1179" t="s">
        <v>2654</v>
      </c>
      <c r="F1179" t="s">
        <v>2654</v>
      </c>
      <c r="G1179" t="s">
        <v>2653</v>
      </c>
      <c r="H1179" t="s">
        <v>2653</v>
      </c>
      <c r="I1179" t="s">
        <v>1699</v>
      </c>
      <c r="K1179" t="str">
        <f t="shared" si="18"/>
        <v>COM_201304_P15T22027</v>
      </c>
    </row>
    <row r="1180" spans="1:11">
      <c r="A1180">
        <v>2024</v>
      </c>
      <c r="B1180" t="s">
        <v>750</v>
      </c>
      <c r="C1180" t="s">
        <v>2653</v>
      </c>
      <c r="D1180" t="s">
        <v>2654</v>
      </c>
      <c r="E1180" t="s">
        <v>2654</v>
      </c>
      <c r="F1180" t="s">
        <v>2654</v>
      </c>
      <c r="G1180" t="s">
        <v>2653</v>
      </c>
      <c r="H1180" t="s">
        <v>2653</v>
      </c>
      <c r="I1180" t="s">
        <v>1134</v>
      </c>
      <c r="K1180" t="str">
        <f t="shared" si="18"/>
        <v>RES_201601_P1T12024</v>
      </c>
    </row>
    <row r="1181" spans="1:11">
      <c r="A1181">
        <v>2025</v>
      </c>
      <c r="B1181" t="s">
        <v>750</v>
      </c>
      <c r="C1181" t="s">
        <v>2653</v>
      </c>
      <c r="D1181" t="s">
        <v>2654</v>
      </c>
      <c r="E1181" t="s">
        <v>2654</v>
      </c>
      <c r="F1181" t="s">
        <v>2654</v>
      </c>
      <c r="G1181" t="s">
        <v>2653</v>
      </c>
      <c r="H1181" t="s">
        <v>2653</v>
      </c>
      <c r="I1181" t="s">
        <v>1134</v>
      </c>
      <c r="K1181" t="str">
        <f t="shared" si="18"/>
        <v>RES_201601_P1T12025</v>
      </c>
    </row>
    <row r="1182" spans="1:11">
      <c r="A1182">
        <v>2026</v>
      </c>
      <c r="B1182" t="s">
        <v>750</v>
      </c>
      <c r="C1182" t="s">
        <v>2653</v>
      </c>
      <c r="D1182" t="s">
        <v>2654</v>
      </c>
      <c r="E1182" t="s">
        <v>2654</v>
      </c>
      <c r="F1182" t="s">
        <v>2654</v>
      </c>
      <c r="G1182" t="s">
        <v>2653</v>
      </c>
      <c r="H1182" t="s">
        <v>2653</v>
      </c>
      <c r="I1182" t="s">
        <v>1134</v>
      </c>
      <c r="K1182" t="str">
        <f t="shared" si="18"/>
        <v>RES_201601_P1T12026</v>
      </c>
    </row>
    <row r="1183" spans="1:11">
      <c r="A1183">
        <v>2027</v>
      </c>
      <c r="B1183" t="s">
        <v>750</v>
      </c>
      <c r="C1183" t="s">
        <v>2653</v>
      </c>
      <c r="D1183" t="s">
        <v>2654</v>
      </c>
      <c r="E1183" t="s">
        <v>2654</v>
      </c>
      <c r="F1183" t="s">
        <v>2654</v>
      </c>
      <c r="G1183" t="s">
        <v>2653</v>
      </c>
      <c r="H1183" t="s">
        <v>2653</v>
      </c>
      <c r="I1183" t="s">
        <v>1134</v>
      </c>
      <c r="K1183" t="str">
        <f t="shared" si="18"/>
        <v>RES_201601_P1T12027</v>
      </c>
    </row>
    <row r="1184" spans="1:11">
      <c r="A1184">
        <v>2024</v>
      </c>
      <c r="B1184" t="s">
        <v>363</v>
      </c>
      <c r="C1184" t="s">
        <v>2653</v>
      </c>
      <c r="D1184" t="s">
        <v>2654</v>
      </c>
      <c r="E1184" t="s">
        <v>2654</v>
      </c>
      <c r="F1184" t="s">
        <v>2654</v>
      </c>
      <c r="G1184" t="s">
        <v>2653</v>
      </c>
      <c r="H1184" t="s">
        <v>2653</v>
      </c>
      <c r="I1184" t="s">
        <v>1716</v>
      </c>
      <c r="K1184" t="str">
        <f t="shared" si="18"/>
        <v>IND_200402_P3T12024</v>
      </c>
    </row>
    <row r="1185" spans="1:11">
      <c r="A1185">
        <v>2025</v>
      </c>
      <c r="B1185" t="s">
        <v>363</v>
      </c>
      <c r="C1185" t="s">
        <v>2653</v>
      </c>
      <c r="D1185" t="s">
        <v>2654</v>
      </c>
      <c r="E1185" t="s">
        <v>2654</v>
      </c>
      <c r="F1185" t="s">
        <v>2654</v>
      </c>
      <c r="G1185" t="s">
        <v>2653</v>
      </c>
      <c r="H1185" t="s">
        <v>2653</v>
      </c>
      <c r="I1185" t="s">
        <v>1716</v>
      </c>
      <c r="K1185" t="str">
        <f t="shared" si="18"/>
        <v>IND_200402_P3T12025</v>
      </c>
    </row>
    <row r="1186" spans="1:11">
      <c r="A1186">
        <v>2026</v>
      </c>
      <c r="B1186" t="s">
        <v>363</v>
      </c>
      <c r="C1186" t="s">
        <v>2653</v>
      </c>
      <c r="D1186" t="s">
        <v>2654</v>
      </c>
      <c r="E1186" t="s">
        <v>2654</v>
      </c>
      <c r="F1186" t="s">
        <v>2654</v>
      </c>
      <c r="G1186" t="s">
        <v>2653</v>
      </c>
      <c r="H1186" t="s">
        <v>2653</v>
      </c>
      <c r="I1186" t="s">
        <v>1716</v>
      </c>
      <c r="K1186" t="str">
        <f t="shared" si="18"/>
        <v>IND_200402_P3T12026</v>
      </c>
    </row>
    <row r="1187" spans="1:11">
      <c r="A1187">
        <v>2027</v>
      </c>
      <c r="B1187" t="s">
        <v>363</v>
      </c>
      <c r="C1187" t="s">
        <v>2653</v>
      </c>
      <c r="D1187" t="s">
        <v>2654</v>
      </c>
      <c r="E1187" t="s">
        <v>2654</v>
      </c>
      <c r="F1187" t="s">
        <v>2654</v>
      </c>
      <c r="G1187" t="s">
        <v>2653</v>
      </c>
      <c r="H1187" t="s">
        <v>2653</v>
      </c>
      <c r="I1187" t="s">
        <v>1716</v>
      </c>
      <c r="K1187" t="str">
        <f t="shared" si="18"/>
        <v>IND_200402_P3T12027</v>
      </c>
    </row>
    <row r="1188" spans="1:11">
      <c r="A1188">
        <v>2024</v>
      </c>
      <c r="B1188" t="s">
        <v>1587</v>
      </c>
      <c r="C1188" t="s">
        <v>2653</v>
      </c>
      <c r="D1188" t="s">
        <v>2654</v>
      </c>
      <c r="E1188" t="s">
        <v>2654</v>
      </c>
      <c r="F1188" t="s">
        <v>2654</v>
      </c>
      <c r="G1188" t="s">
        <v>2653</v>
      </c>
      <c r="H1188" t="s">
        <v>2653</v>
      </c>
      <c r="I1188" t="s">
        <v>1701</v>
      </c>
      <c r="K1188" t="str">
        <f t="shared" si="18"/>
        <v>COM_201304_P17T12024</v>
      </c>
    </row>
    <row r="1189" spans="1:11">
      <c r="A1189">
        <v>2025</v>
      </c>
      <c r="B1189" t="s">
        <v>1587</v>
      </c>
      <c r="C1189" t="s">
        <v>2653</v>
      </c>
      <c r="D1189" t="s">
        <v>2654</v>
      </c>
      <c r="E1189" t="s">
        <v>2654</v>
      </c>
      <c r="F1189" t="s">
        <v>2654</v>
      </c>
      <c r="G1189" t="s">
        <v>2653</v>
      </c>
      <c r="H1189" t="s">
        <v>2653</v>
      </c>
      <c r="I1189" t="s">
        <v>1701</v>
      </c>
      <c r="K1189" t="str">
        <f t="shared" si="18"/>
        <v>COM_201304_P17T12025</v>
      </c>
    </row>
    <row r="1190" spans="1:11">
      <c r="A1190">
        <v>2026</v>
      </c>
      <c r="B1190" t="s">
        <v>1587</v>
      </c>
      <c r="C1190" t="s">
        <v>2653</v>
      </c>
      <c r="D1190" t="s">
        <v>2654</v>
      </c>
      <c r="E1190" t="s">
        <v>2654</v>
      </c>
      <c r="F1190" t="s">
        <v>2654</v>
      </c>
      <c r="G1190" t="s">
        <v>2653</v>
      </c>
      <c r="H1190" t="s">
        <v>2653</v>
      </c>
      <c r="I1190" t="s">
        <v>1701</v>
      </c>
      <c r="K1190" t="str">
        <f t="shared" si="18"/>
        <v>COM_201304_P17T12026</v>
      </c>
    </row>
    <row r="1191" spans="1:11">
      <c r="A1191">
        <v>2027</v>
      </c>
      <c r="B1191" t="s">
        <v>1587</v>
      </c>
      <c r="C1191" t="s">
        <v>2653</v>
      </c>
      <c r="D1191" t="s">
        <v>2654</v>
      </c>
      <c r="E1191" t="s">
        <v>2654</v>
      </c>
      <c r="F1191" t="s">
        <v>2654</v>
      </c>
      <c r="G1191" t="s">
        <v>2653</v>
      </c>
      <c r="H1191" t="s">
        <v>2653</v>
      </c>
      <c r="I1191" t="s">
        <v>1701</v>
      </c>
      <c r="K1191" t="str">
        <f t="shared" si="18"/>
        <v>COM_201304_P17T12027</v>
      </c>
    </row>
    <row r="1192" spans="1:11">
      <c r="A1192">
        <v>2024</v>
      </c>
      <c r="B1192" t="s">
        <v>1625</v>
      </c>
      <c r="C1192" t="s">
        <v>2653</v>
      </c>
      <c r="D1192" t="s">
        <v>2654</v>
      </c>
      <c r="E1192" t="s">
        <v>2654</v>
      </c>
      <c r="F1192" t="s">
        <v>2654</v>
      </c>
      <c r="G1192" t="s">
        <v>2653</v>
      </c>
      <c r="H1192" t="s">
        <v>2653</v>
      </c>
      <c r="I1192" t="s">
        <v>1844</v>
      </c>
      <c r="K1192" t="str">
        <f t="shared" si="18"/>
        <v>RES_201402_P12T12024</v>
      </c>
    </row>
    <row r="1193" spans="1:11">
      <c r="A1193">
        <v>2025</v>
      </c>
      <c r="B1193" t="s">
        <v>1625</v>
      </c>
      <c r="C1193" t="s">
        <v>2653</v>
      </c>
      <c r="D1193" t="s">
        <v>2654</v>
      </c>
      <c r="E1193" t="s">
        <v>2654</v>
      </c>
      <c r="F1193" t="s">
        <v>2654</v>
      </c>
      <c r="G1193" t="s">
        <v>2653</v>
      </c>
      <c r="H1193" t="s">
        <v>2653</v>
      </c>
      <c r="I1193" t="s">
        <v>1844</v>
      </c>
      <c r="K1193" t="str">
        <f t="shared" si="18"/>
        <v>RES_201402_P12T12025</v>
      </c>
    </row>
    <row r="1194" spans="1:11">
      <c r="A1194">
        <v>2026</v>
      </c>
      <c r="B1194" t="s">
        <v>1625</v>
      </c>
      <c r="C1194" t="s">
        <v>2653</v>
      </c>
      <c r="D1194" t="s">
        <v>2654</v>
      </c>
      <c r="E1194" t="s">
        <v>2654</v>
      </c>
      <c r="F1194" t="s">
        <v>2654</v>
      </c>
      <c r="G1194" t="s">
        <v>2653</v>
      </c>
      <c r="H1194" t="s">
        <v>2653</v>
      </c>
      <c r="I1194" t="s">
        <v>1844</v>
      </c>
      <c r="K1194" t="str">
        <f t="shared" si="18"/>
        <v>RES_201402_P12T12026</v>
      </c>
    </row>
    <row r="1195" spans="1:11">
      <c r="A1195">
        <v>2027</v>
      </c>
      <c r="B1195" t="s">
        <v>1625</v>
      </c>
      <c r="C1195" t="s">
        <v>2653</v>
      </c>
      <c r="D1195" t="s">
        <v>2654</v>
      </c>
      <c r="E1195" t="s">
        <v>2654</v>
      </c>
      <c r="F1195" t="s">
        <v>2654</v>
      </c>
      <c r="G1195" t="s">
        <v>2653</v>
      </c>
      <c r="H1195" t="s">
        <v>2653</v>
      </c>
      <c r="I1195" t="s">
        <v>1844</v>
      </c>
      <c r="K1195" t="str">
        <f t="shared" si="18"/>
        <v>RES_201402_P12T12027</v>
      </c>
    </row>
    <row r="1196" spans="1:11">
      <c r="A1196">
        <v>2024</v>
      </c>
      <c r="B1196" t="s">
        <v>1626</v>
      </c>
      <c r="C1196" t="s">
        <v>2653</v>
      </c>
      <c r="D1196" t="s">
        <v>2654</v>
      </c>
      <c r="E1196" t="s">
        <v>2654</v>
      </c>
      <c r="F1196" t="s">
        <v>2654</v>
      </c>
      <c r="G1196" t="s">
        <v>2653</v>
      </c>
      <c r="H1196" t="s">
        <v>2653</v>
      </c>
      <c r="I1196" t="s">
        <v>1845</v>
      </c>
      <c r="K1196" t="str">
        <f t="shared" si="18"/>
        <v>RES_201402_P13T12024</v>
      </c>
    </row>
    <row r="1197" spans="1:11">
      <c r="A1197">
        <v>2025</v>
      </c>
      <c r="B1197" t="s">
        <v>1626</v>
      </c>
      <c r="C1197" t="s">
        <v>2653</v>
      </c>
      <c r="D1197" t="s">
        <v>2654</v>
      </c>
      <c r="E1197" t="s">
        <v>2654</v>
      </c>
      <c r="F1197" t="s">
        <v>2654</v>
      </c>
      <c r="G1197" t="s">
        <v>2653</v>
      </c>
      <c r="H1197" t="s">
        <v>2653</v>
      </c>
      <c r="I1197" t="s">
        <v>1845</v>
      </c>
      <c r="K1197" t="str">
        <f t="shared" si="18"/>
        <v>RES_201402_P13T12025</v>
      </c>
    </row>
    <row r="1198" spans="1:11">
      <c r="A1198">
        <v>2026</v>
      </c>
      <c r="B1198" t="s">
        <v>1626</v>
      </c>
      <c r="C1198" t="s">
        <v>2653</v>
      </c>
      <c r="D1198" t="s">
        <v>2654</v>
      </c>
      <c r="E1198" t="s">
        <v>2654</v>
      </c>
      <c r="F1198" t="s">
        <v>2654</v>
      </c>
      <c r="G1198" t="s">
        <v>2653</v>
      </c>
      <c r="H1198" t="s">
        <v>2653</v>
      </c>
      <c r="I1198" t="s">
        <v>1845</v>
      </c>
      <c r="K1198" t="str">
        <f t="shared" si="18"/>
        <v>RES_201402_P13T12026</v>
      </c>
    </row>
    <row r="1199" spans="1:11">
      <c r="A1199">
        <v>2027</v>
      </c>
      <c r="B1199" t="s">
        <v>1626</v>
      </c>
      <c r="C1199" t="s">
        <v>2653</v>
      </c>
      <c r="D1199" t="s">
        <v>2654</v>
      </c>
      <c r="E1199" t="s">
        <v>2654</v>
      </c>
      <c r="F1199" t="s">
        <v>2654</v>
      </c>
      <c r="G1199" t="s">
        <v>2653</v>
      </c>
      <c r="H1199" t="s">
        <v>2653</v>
      </c>
      <c r="I1199" t="s">
        <v>1845</v>
      </c>
      <c r="K1199" t="str">
        <f t="shared" si="18"/>
        <v>RES_201402_P13T12027</v>
      </c>
    </row>
    <row r="1200" spans="1:11">
      <c r="A1200">
        <v>2024</v>
      </c>
      <c r="B1200" t="s">
        <v>1588</v>
      </c>
      <c r="C1200" t="s">
        <v>2653</v>
      </c>
      <c r="D1200" t="s">
        <v>2654</v>
      </c>
      <c r="E1200" t="s">
        <v>2654</v>
      </c>
      <c r="F1200" t="s">
        <v>2654</v>
      </c>
      <c r="G1200" t="s">
        <v>2653</v>
      </c>
      <c r="H1200" t="s">
        <v>2653</v>
      </c>
      <c r="I1200" t="s">
        <v>1702</v>
      </c>
      <c r="K1200" t="str">
        <f t="shared" si="18"/>
        <v>COM_201304_P18T12024</v>
      </c>
    </row>
    <row r="1201" spans="1:11">
      <c r="A1201">
        <v>2025</v>
      </c>
      <c r="B1201" t="s">
        <v>1588</v>
      </c>
      <c r="C1201" t="s">
        <v>2653</v>
      </c>
      <c r="D1201" t="s">
        <v>2654</v>
      </c>
      <c r="E1201" t="s">
        <v>2654</v>
      </c>
      <c r="F1201" t="s">
        <v>2654</v>
      </c>
      <c r="G1201" t="s">
        <v>2653</v>
      </c>
      <c r="H1201" t="s">
        <v>2653</v>
      </c>
      <c r="I1201" t="s">
        <v>1702</v>
      </c>
      <c r="K1201" t="str">
        <f t="shared" si="18"/>
        <v>COM_201304_P18T12025</v>
      </c>
    </row>
    <row r="1202" spans="1:11">
      <c r="A1202">
        <v>2026</v>
      </c>
      <c r="B1202" t="s">
        <v>1588</v>
      </c>
      <c r="C1202" t="s">
        <v>2653</v>
      </c>
      <c r="D1202" t="s">
        <v>2654</v>
      </c>
      <c r="E1202" t="s">
        <v>2654</v>
      </c>
      <c r="F1202" t="s">
        <v>2654</v>
      </c>
      <c r="G1202" t="s">
        <v>2653</v>
      </c>
      <c r="H1202" t="s">
        <v>2653</v>
      </c>
      <c r="I1202" t="s">
        <v>1702</v>
      </c>
      <c r="K1202" t="str">
        <f t="shared" si="18"/>
        <v>COM_201304_P18T12026</v>
      </c>
    </row>
    <row r="1203" spans="1:11">
      <c r="A1203">
        <v>2027</v>
      </c>
      <c r="B1203" t="s">
        <v>1588</v>
      </c>
      <c r="C1203" t="s">
        <v>2653</v>
      </c>
      <c r="D1203" t="s">
        <v>2654</v>
      </c>
      <c r="E1203" t="s">
        <v>2654</v>
      </c>
      <c r="F1203" t="s">
        <v>2654</v>
      </c>
      <c r="G1203" t="s">
        <v>2653</v>
      </c>
      <c r="H1203" t="s">
        <v>2653</v>
      </c>
      <c r="I1203" t="s">
        <v>1702</v>
      </c>
      <c r="K1203" t="str">
        <f t="shared" si="18"/>
        <v>COM_201304_P18T12027</v>
      </c>
    </row>
    <row r="1204" spans="1:11">
      <c r="A1204">
        <v>2024</v>
      </c>
      <c r="B1204" t="s">
        <v>2103</v>
      </c>
      <c r="C1204" t="s">
        <v>2653</v>
      </c>
      <c r="D1204" t="s">
        <v>2654</v>
      </c>
      <c r="E1204" t="s">
        <v>2654</v>
      </c>
      <c r="F1204" t="s">
        <v>2654</v>
      </c>
      <c r="G1204" t="s">
        <v>2653</v>
      </c>
      <c r="H1204" t="s">
        <v>2653</v>
      </c>
      <c r="I1204" t="s">
        <v>2302</v>
      </c>
      <c r="K1204" t="str">
        <f t="shared" si="18"/>
        <v>COM_201304_P19T12024</v>
      </c>
    </row>
    <row r="1205" spans="1:11">
      <c r="A1205">
        <v>2025</v>
      </c>
      <c r="B1205" t="s">
        <v>2103</v>
      </c>
      <c r="C1205" t="s">
        <v>2653</v>
      </c>
      <c r="D1205" t="s">
        <v>2654</v>
      </c>
      <c r="E1205" t="s">
        <v>2654</v>
      </c>
      <c r="F1205" t="s">
        <v>2654</v>
      </c>
      <c r="G1205" t="s">
        <v>2653</v>
      </c>
      <c r="H1205" t="s">
        <v>2653</v>
      </c>
      <c r="I1205" t="s">
        <v>2302</v>
      </c>
      <c r="K1205" t="str">
        <f t="shared" si="18"/>
        <v>COM_201304_P19T12025</v>
      </c>
    </row>
    <row r="1206" spans="1:11">
      <c r="A1206">
        <v>2026</v>
      </c>
      <c r="B1206" t="s">
        <v>2103</v>
      </c>
      <c r="C1206" t="s">
        <v>2653</v>
      </c>
      <c r="D1206" t="s">
        <v>2654</v>
      </c>
      <c r="E1206" t="s">
        <v>2654</v>
      </c>
      <c r="F1206" t="s">
        <v>2654</v>
      </c>
      <c r="G1206" t="s">
        <v>2653</v>
      </c>
      <c r="H1206" t="s">
        <v>2653</v>
      </c>
      <c r="I1206" t="s">
        <v>2302</v>
      </c>
      <c r="K1206" t="str">
        <f t="shared" si="18"/>
        <v>COM_201304_P19T12026</v>
      </c>
    </row>
    <row r="1207" spans="1:11">
      <c r="A1207">
        <v>2027</v>
      </c>
      <c r="B1207" t="s">
        <v>2103</v>
      </c>
      <c r="C1207" t="s">
        <v>2653</v>
      </c>
      <c r="D1207" t="s">
        <v>2654</v>
      </c>
      <c r="E1207" t="s">
        <v>2654</v>
      </c>
      <c r="F1207" t="s">
        <v>2654</v>
      </c>
      <c r="G1207" t="s">
        <v>2653</v>
      </c>
      <c r="H1207" t="s">
        <v>2653</v>
      </c>
      <c r="I1207" t="s">
        <v>2302</v>
      </c>
      <c r="K1207" t="str">
        <f t="shared" si="18"/>
        <v>COM_201304_P19T12027</v>
      </c>
    </row>
    <row r="1208" spans="1:11">
      <c r="A1208">
        <v>2024</v>
      </c>
      <c r="B1208" t="s">
        <v>2106</v>
      </c>
      <c r="C1208" t="s">
        <v>2653</v>
      </c>
      <c r="D1208" t="s">
        <v>2654</v>
      </c>
      <c r="E1208" t="s">
        <v>2654</v>
      </c>
      <c r="F1208" t="s">
        <v>2654</v>
      </c>
      <c r="G1208" t="s">
        <v>2653</v>
      </c>
      <c r="H1208" t="s">
        <v>2653</v>
      </c>
      <c r="I1208" t="s">
        <v>2304</v>
      </c>
      <c r="K1208" t="str">
        <f t="shared" si="18"/>
        <v>COM_201304_P20T12024</v>
      </c>
    </row>
    <row r="1209" spans="1:11">
      <c r="A1209">
        <v>2025</v>
      </c>
      <c r="B1209" t="s">
        <v>2106</v>
      </c>
      <c r="C1209" t="s">
        <v>2653</v>
      </c>
      <c r="D1209" t="s">
        <v>2654</v>
      </c>
      <c r="E1209" t="s">
        <v>2654</v>
      </c>
      <c r="F1209" t="s">
        <v>2654</v>
      </c>
      <c r="G1209" t="s">
        <v>2653</v>
      </c>
      <c r="H1209" t="s">
        <v>2653</v>
      </c>
      <c r="I1209" t="s">
        <v>2304</v>
      </c>
      <c r="K1209" t="str">
        <f t="shared" si="18"/>
        <v>COM_201304_P20T12025</v>
      </c>
    </row>
    <row r="1210" spans="1:11">
      <c r="A1210">
        <v>2026</v>
      </c>
      <c r="B1210" t="s">
        <v>2106</v>
      </c>
      <c r="C1210" t="s">
        <v>2653</v>
      </c>
      <c r="D1210" t="s">
        <v>2654</v>
      </c>
      <c r="E1210" t="s">
        <v>2654</v>
      </c>
      <c r="F1210" t="s">
        <v>2654</v>
      </c>
      <c r="G1210" t="s">
        <v>2653</v>
      </c>
      <c r="H1210" t="s">
        <v>2653</v>
      </c>
      <c r="I1210" t="s">
        <v>2304</v>
      </c>
      <c r="K1210" t="str">
        <f t="shared" si="18"/>
        <v>COM_201304_P20T12026</v>
      </c>
    </row>
    <row r="1211" spans="1:11">
      <c r="A1211">
        <v>2027</v>
      </c>
      <c r="B1211" t="s">
        <v>2106</v>
      </c>
      <c r="C1211" t="s">
        <v>2653</v>
      </c>
      <c r="D1211" t="s">
        <v>2654</v>
      </c>
      <c r="E1211" t="s">
        <v>2654</v>
      </c>
      <c r="F1211" t="s">
        <v>2654</v>
      </c>
      <c r="G1211" t="s">
        <v>2653</v>
      </c>
      <c r="H1211" t="s">
        <v>2653</v>
      </c>
      <c r="I1211" t="s">
        <v>2304</v>
      </c>
      <c r="K1211" t="str">
        <f t="shared" si="18"/>
        <v>COM_201304_P20T12027</v>
      </c>
    </row>
    <row r="1212" spans="1:11">
      <c r="A1212">
        <v>2024</v>
      </c>
      <c r="B1212" t="s">
        <v>2108</v>
      </c>
      <c r="C1212" t="s">
        <v>2653</v>
      </c>
      <c r="D1212" t="s">
        <v>2654</v>
      </c>
      <c r="E1212" t="s">
        <v>2654</v>
      </c>
      <c r="F1212" t="s">
        <v>2654</v>
      </c>
      <c r="G1212" t="s">
        <v>2653</v>
      </c>
      <c r="H1212" t="s">
        <v>2653</v>
      </c>
      <c r="I1212" t="s">
        <v>2307</v>
      </c>
      <c r="K1212" t="str">
        <f t="shared" si="18"/>
        <v>COM_201304_P21T12024</v>
      </c>
    </row>
    <row r="1213" spans="1:11">
      <c r="A1213">
        <v>2025</v>
      </c>
      <c r="B1213" t="s">
        <v>2108</v>
      </c>
      <c r="C1213" t="s">
        <v>2653</v>
      </c>
      <c r="D1213" t="s">
        <v>2654</v>
      </c>
      <c r="E1213" t="s">
        <v>2654</v>
      </c>
      <c r="F1213" t="s">
        <v>2654</v>
      </c>
      <c r="G1213" t="s">
        <v>2653</v>
      </c>
      <c r="H1213" t="s">
        <v>2653</v>
      </c>
      <c r="I1213" t="s">
        <v>2307</v>
      </c>
      <c r="K1213" t="str">
        <f t="shared" si="18"/>
        <v>COM_201304_P21T12025</v>
      </c>
    </row>
    <row r="1214" spans="1:11">
      <c r="A1214">
        <v>2026</v>
      </c>
      <c r="B1214" t="s">
        <v>2108</v>
      </c>
      <c r="C1214" t="s">
        <v>2653</v>
      </c>
      <c r="D1214" t="s">
        <v>2654</v>
      </c>
      <c r="E1214" t="s">
        <v>2654</v>
      </c>
      <c r="F1214" t="s">
        <v>2654</v>
      </c>
      <c r="G1214" t="s">
        <v>2653</v>
      </c>
      <c r="H1214" t="s">
        <v>2653</v>
      </c>
      <c r="I1214" t="s">
        <v>2307</v>
      </c>
      <c r="K1214" t="str">
        <f t="shared" si="18"/>
        <v>COM_201304_P21T12026</v>
      </c>
    </row>
    <row r="1215" spans="1:11">
      <c r="A1215">
        <v>2027</v>
      </c>
      <c r="B1215" t="s">
        <v>2108</v>
      </c>
      <c r="C1215" t="s">
        <v>2653</v>
      </c>
      <c r="D1215" t="s">
        <v>2654</v>
      </c>
      <c r="E1215" t="s">
        <v>2654</v>
      </c>
      <c r="F1215" t="s">
        <v>2654</v>
      </c>
      <c r="G1215" t="s">
        <v>2653</v>
      </c>
      <c r="H1215" t="s">
        <v>2653</v>
      </c>
      <c r="I1215" t="s">
        <v>2307</v>
      </c>
      <c r="K1215" t="str">
        <f t="shared" si="18"/>
        <v>COM_201304_P21T12027</v>
      </c>
    </row>
    <row r="1216" spans="1:11">
      <c r="A1216">
        <v>2024</v>
      </c>
      <c r="B1216" t="s">
        <v>2110</v>
      </c>
      <c r="C1216" t="s">
        <v>2653</v>
      </c>
      <c r="D1216" t="s">
        <v>2654</v>
      </c>
      <c r="E1216" t="s">
        <v>2654</v>
      </c>
      <c r="F1216" t="s">
        <v>2654</v>
      </c>
      <c r="G1216" t="s">
        <v>2653</v>
      </c>
      <c r="H1216" t="s">
        <v>2653</v>
      </c>
      <c r="I1216" t="s">
        <v>2309</v>
      </c>
      <c r="K1216" t="str">
        <f t="shared" si="18"/>
        <v>COM_201304_P22T12024</v>
      </c>
    </row>
    <row r="1217" spans="1:11">
      <c r="A1217">
        <v>2025</v>
      </c>
      <c r="B1217" t="s">
        <v>2110</v>
      </c>
      <c r="C1217" t="s">
        <v>2653</v>
      </c>
      <c r="D1217" t="s">
        <v>2654</v>
      </c>
      <c r="E1217" t="s">
        <v>2654</v>
      </c>
      <c r="F1217" t="s">
        <v>2654</v>
      </c>
      <c r="G1217" t="s">
        <v>2653</v>
      </c>
      <c r="H1217" t="s">
        <v>2653</v>
      </c>
      <c r="I1217" t="s">
        <v>2309</v>
      </c>
      <c r="K1217" t="str">
        <f t="shared" si="18"/>
        <v>COM_201304_P22T12025</v>
      </c>
    </row>
    <row r="1218" spans="1:11">
      <c r="A1218">
        <v>2026</v>
      </c>
      <c r="B1218" t="s">
        <v>2110</v>
      </c>
      <c r="C1218" t="s">
        <v>2653</v>
      </c>
      <c r="D1218" t="s">
        <v>2654</v>
      </c>
      <c r="E1218" t="s">
        <v>2654</v>
      </c>
      <c r="F1218" t="s">
        <v>2654</v>
      </c>
      <c r="G1218" t="s">
        <v>2653</v>
      </c>
      <c r="H1218" t="s">
        <v>2653</v>
      </c>
      <c r="I1218" t="s">
        <v>2309</v>
      </c>
      <c r="K1218" t="str">
        <f t="shared" si="18"/>
        <v>COM_201304_P22T12026</v>
      </c>
    </row>
    <row r="1219" spans="1:11">
      <c r="A1219">
        <v>2027</v>
      </c>
      <c r="B1219" t="s">
        <v>2110</v>
      </c>
      <c r="C1219" t="s">
        <v>2653</v>
      </c>
      <c r="D1219" t="s">
        <v>2654</v>
      </c>
      <c r="E1219" t="s">
        <v>2654</v>
      </c>
      <c r="F1219" t="s">
        <v>2654</v>
      </c>
      <c r="G1219" t="s">
        <v>2653</v>
      </c>
      <c r="H1219" t="s">
        <v>2653</v>
      </c>
      <c r="I1219" t="s">
        <v>2309</v>
      </c>
      <c r="K1219" t="str">
        <f t="shared" ref="K1219:K1282" si="19">B1219&amp;A1219</f>
        <v>COM_201304_P22T12027</v>
      </c>
    </row>
    <row r="1220" spans="1:11">
      <c r="A1220">
        <v>2024</v>
      </c>
      <c r="B1220" t="s">
        <v>2311</v>
      </c>
      <c r="C1220" t="s">
        <v>2653</v>
      </c>
      <c r="D1220" t="s">
        <v>2654</v>
      </c>
      <c r="E1220" t="s">
        <v>2654</v>
      </c>
      <c r="F1220" t="s">
        <v>2654</v>
      </c>
      <c r="G1220" t="s">
        <v>2653</v>
      </c>
      <c r="H1220" t="s">
        <v>2653</v>
      </c>
      <c r="I1220" t="s">
        <v>2313</v>
      </c>
      <c r="K1220" t="str">
        <f t="shared" si="19"/>
        <v>COM_201304_P23T12024</v>
      </c>
    </row>
    <row r="1221" spans="1:11">
      <c r="A1221">
        <v>2025</v>
      </c>
      <c r="B1221" t="s">
        <v>2311</v>
      </c>
      <c r="C1221" t="s">
        <v>2653</v>
      </c>
      <c r="D1221" t="s">
        <v>2654</v>
      </c>
      <c r="E1221" t="s">
        <v>2654</v>
      </c>
      <c r="F1221" t="s">
        <v>2654</v>
      </c>
      <c r="G1221" t="s">
        <v>2653</v>
      </c>
      <c r="H1221" t="s">
        <v>2653</v>
      </c>
      <c r="I1221" t="s">
        <v>2313</v>
      </c>
      <c r="K1221" t="str">
        <f t="shared" si="19"/>
        <v>COM_201304_P23T12025</v>
      </c>
    </row>
    <row r="1222" spans="1:11">
      <c r="A1222">
        <v>2026</v>
      </c>
      <c r="B1222" t="s">
        <v>2311</v>
      </c>
      <c r="C1222" t="s">
        <v>2653</v>
      </c>
      <c r="D1222" t="s">
        <v>2654</v>
      </c>
      <c r="E1222" t="s">
        <v>2654</v>
      </c>
      <c r="F1222" t="s">
        <v>2654</v>
      </c>
      <c r="G1222" t="s">
        <v>2653</v>
      </c>
      <c r="H1222" t="s">
        <v>2653</v>
      </c>
      <c r="I1222" t="s">
        <v>2313</v>
      </c>
      <c r="K1222" t="str">
        <f t="shared" si="19"/>
        <v>COM_201304_P23T12026</v>
      </c>
    </row>
    <row r="1223" spans="1:11">
      <c r="A1223">
        <v>2027</v>
      </c>
      <c r="B1223" t="s">
        <v>2311</v>
      </c>
      <c r="C1223" t="s">
        <v>2653</v>
      </c>
      <c r="D1223" t="s">
        <v>2654</v>
      </c>
      <c r="E1223" t="s">
        <v>2654</v>
      </c>
      <c r="F1223" t="s">
        <v>2654</v>
      </c>
      <c r="G1223" t="s">
        <v>2653</v>
      </c>
      <c r="H1223" t="s">
        <v>2653</v>
      </c>
      <c r="I1223" t="s">
        <v>2313</v>
      </c>
      <c r="K1223" t="str">
        <f t="shared" si="19"/>
        <v>COM_201304_P23T12027</v>
      </c>
    </row>
    <row r="1224" spans="1:11">
      <c r="A1224">
        <v>2024</v>
      </c>
      <c r="B1224" t="s">
        <v>2315</v>
      </c>
      <c r="C1224" t="s">
        <v>2653</v>
      </c>
      <c r="D1224" t="s">
        <v>2654</v>
      </c>
      <c r="E1224" t="s">
        <v>2654</v>
      </c>
      <c r="F1224" t="s">
        <v>2654</v>
      </c>
      <c r="G1224" t="s">
        <v>2653</v>
      </c>
      <c r="H1224" t="s">
        <v>2653</v>
      </c>
      <c r="I1224" t="s">
        <v>2316</v>
      </c>
      <c r="K1224" t="str">
        <f t="shared" si="19"/>
        <v>COM_201304_P24T12024</v>
      </c>
    </row>
    <row r="1225" spans="1:11">
      <c r="A1225">
        <v>2025</v>
      </c>
      <c r="B1225" t="s">
        <v>2315</v>
      </c>
      <c r="C1225" t="s">
        <v>2653</v>
      </c>
      <c r="D1225" t="s">
        <v>2654</v>
      </c>
      <c r="E1225" t="s">
        <v>2654</v>
      </c>
      <c r="F1225" t="s">
        <v>2654</v>
      </c>
      <c r="G1225" t="s">
        <v>2653</v>
      </c>
      <c r="H1225" t="s">
        <v>2653</v>
      </c>
      <c r="I1225" t="s">
        <v>2316</v>
      </c>
      <c r="K1225" t="str">
        <f t="shared" si="19"/>
        <v>COM_201304_P24T12025</v>
      </c>
    </row>
    <row r="1226" spans="1:11">
      <c r="A1226">
        <v>2026</v>
      </c>
      <c r="B1226" t="s">
        <v>2315</v>
      </c>
      <c r="C1226" t="s">
        <v>2653</v>
      </c>
      <c r="D1226" t="s">
        <v>2654</v>
      </c>
      <c r="E1226" t="s">
        <v>2654</v>
      </c>
      <c r="F1226" t="s">
        <v>2654</v>
      </c>
      <c r="G1226" t="s">
        <v>2653</v>
      </c>
      <c r="H1226" t="s">
        <v>2653</v>
      </c>
      <c r="I1226" t="s">
        <v>2316</v>
      </c>
      <c r="K1226" t="str">
        <f t="shared" si="19"/>
        <v>COM_201304_P24T12026</v>
      </c>
    </row>
    <row r="1227" spans="1:11">
      <c r="A1227">
        <v>2027</v>
      </c>
      <c r="B1227" t="s">
        <v>2315</v>
      </c>
      <c r="C1227" t="s">
        <v>2653</v>
      </c>
      <c r="D1227" t="s">
        <v>2654</v>
      </c>
      <c r="E1227" t="s">
        <v>2654</v>
      </c>
      <c r="F1227" t="s">
        <v>2654</v>
      </c>
      <c r="G1227" t="s">
        <v>2653</v>
      </c>
      <c r="H1227" t="s">
        <v>2653</v>
      </c>
      <c r="I1227" t="s">
        <v>2316</v>
      </c>
      <c r="K1227" t="str">
        <f t="shared" si="19"/>
        <v>COM_201304_P24T12027</v>
      </c>
    </row>
    <row r="1228" spans="1:11">
      <c r="A1228">
        <v>2024</v>
      </c>
      <c r="B1228" t="s">
        <v>2318</v>
      </c>
      <c r="C1228" t="s">
        <v>2653</v>
      </c>
      <c r="D1228" t="s">
        <v>2654</v>
      </c>
      <c r="E1228" t="s">
        <v>2654</v>
      </c>
      <c r="F1228" t="s">
        <v>2654</v>
      </c>
      <c r="G1228" t="s">
        <v>2653</v>
      </c>
      <c r="H1228" t="s">
        <v>2653</v>
      </c>
      <c r="I1228" t="s">
        <v>2320</v>
      </c>
      <c r="K1228" t="str">
        <f t="shared" si="19"/>
        <v>COM_201304_P25T12024</v>
      </c>
    </row>
    <row r="1229" spans="1:11">
      <c r="A1229">
        <v>2025</v>
      </c>
      <c r="B1229" t="s">
        <v>2318</v>
      </c>
      <c r="C1229" t="s">
        <v>2653</v>
      </c>
      <c r="D1229" t="s">
        <v>2654</v>
      </c>
      <c r="E1229" t="s">
        <v>2654</v>
      </c>
      <c r="F1229" t="s">
        <v>2654</v>
      </c>
      <c r="G1229" t="s">
        <v>2653</v>
      </c>
      <c r="H1229" t="s">
        <v>2653</v>
      </c>
      <c r="I1229" t="s">
        <v>2320</v>
      </c>
      <c r="K1229" t="str">
        <f t="shared" si="19"/>
        <v>COM_201304_P25T12025</v>
      </c>
    </row>
    <row r="1230" spans="1:11">
      <c r="A1230">
        <v>2026</v>
      </c>
      <c r="B1230" t="s">
        <v>2318</v>
      </c>
      <c r="C1230" t="s">
        <v>2653</v>
      </c>
      <c r="D1230" t="s">
        <v>2654</v>
      </c>
      <c r="E1230" t="s">
        <v>2654</v>
      </c>
      <c r="F1230" t="s">
        <v>2654</v>
      </c>
      <c r="G1230" t="s">
        <v>2653</v>
      </c>
      <c r="H1230" t="s">
        <v>2653</v>
      </c>
      <c r="I1230" t="s">
        <v>2320</v>
      </c>
      <c r="K1230" t="str">
        <f t="shared" si="19"/>
        <v>COM_201304_P25T12026</v>
      </c>
    </row>
    <row r="1231" spans="1:11">
      <c r="A1231">
        <v>2027</v>
      </c>
      <c r="B1231" t="s">
        <v>2318</v>
      </c>
      <c r="C1231" t="s">
        <v>2653</v>
      </c>
      <c r="D1231" t="s">
        <v>2654</v>
      </c>
      <c r="E1231" t="s">
        <v>2654</v>
      </c>
      <c r="F1231" t="s">
        <v>2654</v>
      </c>
      <c r="G1231" t="s">
        <v>2653</v>
      </c>
      <c r="H1231" t="s">
        <v>2653</v>
      </c>
      <c r="I1231" t="s">
        <v>2320</v>
      </c>
      <c r="K1231" t="str">
        <f t="shared" si="19"/>
        <v>COM_201304_P25T12027</v>
      </c>
    </row>
    <row r="1232" spans="1:11">
      <c r="A1232">
        <v>2024</v>
      </c>
      <c r="B1232" t="s">
        <v>2322</v>
      </c>
      <c r="C1232" t="s">
        <v>2653</v>
      </c>
      <c r="D1232" t="s">
        <v>2654</v>
      </c>
      <c r="E1232" t="s">
        <v>2654</v>
      </c>
      <c r="F1232" t="s">
        <v>2654</v>
      </c>
      <c r="G1232" t="s">
        <v>2653</v>
      </c>
      <c r="H1232" t="s">
        <v>2653</v>
      </c>
      <c r="I1232" t="s">
        <v>2323</v>
      </c>
      <c r="K1232" t="str">
        <f t="shared" si="19"/>
        <v>COM_201304_P26T12024</v>
      </c>
    </row>
    <row r="1233" spans="1:11">
      <c r="A1233">
        <v>2025</v>
      </c>
      <c r="B1233" t="s">
        <v>2322</v>
      </c>
      <c r="C1233" t="s">
        <v>2653</v>
      </c>
      <c r="D1233" t="s">
        <v>2654</v>
      </c>
      <c r="E1233" t="s">
        <v>2654</v>
      </c>
      <c r="F1233" t="s">
        <v>2654</v>
      </c>
      <c r="G1233" t="s">
        <v>2653</v>
      </c>
      <c r="H1233" t="s">
        <v>2653</v>
      </c>
      <c r="I1233" t="s">
        <v>2323</v>
      </c>
      <c r="K1233" t="str">
        <f t="shared" si="19"/>
        <v>COM_201304_P26T12025</v>
      </c>
    </row>
    <row r="1234" spans="1:11">
      <c r="A1234">
        <v>2026</v>
      </c>
      <c r="B1234" t="s">
        <v>2322</v>
      </c>
      <c r="C1234" t="s">
        <v>2653</v>
      </c>
      <c r="D1234" t="s">
        <v>2654</v>
      </c>
      <c r="E1234" t="s">
        <v>2654</v>
      </c>
      <c r="F1234" t="s">
        <v>2654</v>
      </c>
      <c r="G1234" t="s">
        <v>2653</v>
      </c>
      <c r="H1234" t="s">
        <v>2653</v>
      </c>
      <c r="I1234" t="s">
        <v>2323</v>
      </c>
      <c r="K1234" t="str">
        <f t="shared" si="19"/>
        <v>COM_201304_P26T12026</v>
      </c>
    </row>
    <row r="1235" spans="1:11">
      <c r="A1235">
        <v>2027</v>
      </c>
      <c r="B1235" t="s">
        <v>2322</v>
      </c>
      <c r="C1235" t="s">
        <v>2653</v>
      </c>
      <c r="D1235" t="s">
        <v>2654</v>
      </c>
      <c r="E1235" t="s">
        <v>2654</v>
      </c>
      <c r="F1235" t="s">
        <v>2654</v>
      </c>
      <c r="G1235" t="s">
        <v>2653</v>
      </c>
      <c r="H1235" t="s">
        <v>2653</v>
      </c>
      <c r="I1235" t="s">
        <v>2323</v>
      </c>
      <c r="K1235" t="str">
        <f t="shared" si="19"/>
        <v>COM_201304_P26T12027</v>
      </c>
    </row>
    <row r="1236" spans="1:11">
      <c r="A1236">
        <v>2024</v>
      </c>
      <c r="B1236" t="s">
        <v>2325</v>
      </c>
      <c r="C1236" t="s">
        <v>2653</v>
      </c>
      <c r="D1236" t="s">
        <v>2654</v>
      </c>
      <c r="E1236" t="s">
        <v>2654</v>
      </c>
      <c r="F1236" t="s">
        <v>2654</v>
      </c>
      <c r="G1236" t="s">
        <v>2653</v>
      </c>
      <c r="H1236" t="s">
        <v>2653</v>
      </c>
      <c r="I1236" t="s">
        <v>2327</v>
      </c>
      <c r="K1236" t="str">
        <f t="shared" si="19"/>
        <v>COM_201304_P27T12024</v>
      </c>
    </row>
    <row r="1237" spans="1:11">
      <c r="A1237">
        <v>2025</v>
      </c>
      <c r="B1237" t="s">
        <v>2325</v>
      </c>
      <c r="C1237" t="s">
        <v>2653</v>
      </c>
      <c r="D1237" t="s">
        <v>2654</v>
      </c>
      <c r="E1237" t="s">
        <v>2654</v>
      </c>
      <c r="F1237" t="s">
        <v>2654</v>
      </c>
      <c r="G1237" t="s">
        <v>2653</v>
      </c>
      <c r="H1237" t="s">
        <v>2653</v>
      </c>
      <c r="I1237" t="s">
        <v>2327</v>
      </c>
      <c r="K1237" t="str">
        <f t="shared" si="19"/>
        <v>COM_201304_P27T12025</v>
      </c>
    </row>
    <row r="1238" spans="1:11">
      <c r="A1238">
        <v>2026</v>
      </c>
      <c r="B1238" t="s">
        <v>2325</v>
      </c>
      <c r="C1238" t="s">
        <v>2653</v>
      </c>
      <c r="D1238" t="s">
        <v>2654</v>
      </c>
      <c r="E1238" t="s">
        <v>2654</v>
      </c>
      <c r="F1238" t="s">
        <v>2654</v>
      </c>
      <c r="G1238" t="s">
        <v>2653</v>
      </c>
      <c r="H1238" t="s">
        <v>2653</v>
      </c>
      <c r="I1238" t="s">
        <v>2327</v>
      </c>
      <c r="K1238" t="str">
        <f t="shared" si="19"/>
        <v>COM_201304_P27T12026</v>
      </c>
    </row>
    <row r="1239" spans="1:11">
      <c r="A1239">
        <v>2027</v>
      </c>
      <c r="B1239" t="s">
        <v>2325</v>
      </c>
      <c r="C1239" t="s">
        <v>2653</v>
      </c>
      <c r="D1239" t="s">
        <v>2654</v>
      </c>
      <c r="E1239" t="s">
        <v>2654</v>
      </c>
      <c r="F1239" t="s">
        <v>2654</v>
      </c>
      <c r="G1239" t="s">
        <v>2653</v>
      </c>
      <c r="H1239" t="s">
        <v>2653</v>
      </c>
      <c r="I1239" t="s">
        <v>2327</v>
      </c>
      <c r="K1239" t="str">
        <f t="shared" si="19"/>
        <v>COM_201304_P27T12027</v>
      </c>
    </row>
    <row r="1240" spans="1:11">
      <c r="A1240">
        <v>2024</v>
      </c>
      <c r="B1240" t="s">
        <v>2329</v>
      </c>
      <c r="C1240" t="s">
        <v>2653</v>
      </c>
      <c r="D1240" t="s">
        <v>2654</v>
      </c>
      <c r="E1240" t="s">
        <v>2654</v>
      </c>
      <c r="F1240" t="s">
        <v>2654</v>
      </c>
      <c r="G1240" t="s">
        <v>2653</v>
      </c>
      <c r="H1240" t="s">
        <v>2653</v>
      </c>
      <c r="I1240" t="s">
        <v>2330</v>
      </c>
      <c r="K1240" t="str">
        <f t="shared" si="19"/>
        <v>COM_201304_P28T12024</v>
      </c>
    </row>
    <row r="1241" spans="1:11">
      <c r="A1241">
        <v>2025</v>
      </c>
      <c r="B1241" t="s">
        <v>2329</v>
      </c>
      <c r="C1241" t="s">
        <v>2653</v>
      </c>
      <c r="D1241" t="s">
        <v>2654</v>
      </c>
      <c r="E1241" t="s">
        <v>2654</v>
      </c>
      <c r="F1241" t="s">
        <v>2654</v>
      </c>
      <c r="G1241" t="s">
        <v>2653</v>
      </c>
      <c r="H1241" t="s">
        <v>2653</v>
      </c>
      <c r="I1241" t="s">
        <v>2330</v>
      </c>
      <c r="K1241" t="str">
        <f t="shared" si="19"/>
        <v>COM_201304_P28T12025</v>
      </c>
    </row>
    <row r="1242" spans="1:11">
      <c r="A1242">
        <v>2026</v>
      </c>
      <c r="B1242" t="s">
        <v>2329</v>
      </c>
      <c r="C1242" t="s">
        <v>2653</v>
      </c>
      <c r="D1242" t="s">
        <v>2654</v>
      </c>
      <c r="E1242" t="s">
        <v>2654</v>
      </c>
      <c r="F1242" t="s">
        <v>2654</v>
      </c>
      <c r="G1242" t="s">
        <v>2653</v>
      </c>
      <c r="H1242" t="s">
        <v>2653</v>
      </c>
      <c r="I1242" t="s">
        <v>2330</v>
      </c>
      <c r="K1242" t="str">
        <f t="shared" si="19"/>
        <v>COM_201304_P28T12026</v>
      </c>
    </row>
    <row r="1243" spans="1:11">
      <c r="A1243">
        <v>2027</v>
      </c>
      <c r="B1243" t="s">
        <v>2329</v>
      </c>
      <c r="C1243" t="s">
        <v>2653</v>
      </c>
      <c r="D1243" t="s">
        <v>2654</v>
      </c>
      <c r="E1243" t="s">
        <v>2654</v>
      </c>
      <c r="F1243" t="s">
        <v>2654</v>
      </c>
      <c r="G1243" t="s">
        <v>2653</v>
      </c>
      <c r="H1243" t="s">
        <v>2653</v>
      </c>
      <c r="I1243" t="s">
        <v>2330</v>
      </c>
      <c r="K1243" t="str">
        <f t="shared" si="19"/>
        <v>COM_201304_P28T12027</v>
      </c>
    </row>
    <row r="1244" spans="1:11">
      <c r="A1244">
        <v>2024</v>
      </c>
      <c r="B1244" t="s">
        <v>2332</v>
      </c>
      <c r="C1244" t="s">
        <v>2653</v>
      </c>
      <c r="D1244" t="s">
        <v>2654</v>
      </c>
      <c r="E1244" t="s">
        <v>2654</v>
      </c>
      <c r="F1244" t="s">
        <v>2654</v>
      </c>
      <c r="G1244" t="s">
        <v>2653</v>
      </c>
      <c r="H1244" t="s">
        <v>2653</v>
      </c>
      <c r="I1244" t="s">
        <v>2334</v>
      </c>
      <c r="K1244" t="str">
        <f t="shared" si="19"/>
        <v>COM_201304_P29T12024</v>
      </c>
    </row>
    <row r="1245" spans="1:11">
      <c r="A1245">
        <v>2025</v>
      </c>
      <c r="B1245" t="s">
        <v>2332</v>
      </c>
      <c r="C1245" t="s">
        <v>2653</v>
      </c>
      <c r="D1245" t="s">
        <v>2654</v>
      </c>
      <c r="E1245" t="s">
        <v>2654</v>
      </c>
      <c r="F1245" t="s">
        <v>2654</v>
      </c>
      <c r="G1245" t="s">
        <v>2653</v>
      </c>
      <c r="H1245" t="s">
        <v>2653</v>
      </c>
      <c r="I1245" t="s">
        <v>2334</v>
      </c>
      <c r="K1245" t="str">
        <f t="shared" si="19"/>
        <v>COM_201304_P29T12025</v>
      </c>
    </row>
    <row r="1246" spans="1:11">
      <c r="A1246">
        <v>2026</v>
      </c>
      <c r="B1246" t="s">
        <v>2332</v>
      </c>
      <c r="C1246" t="s">
        <v>2653</v>
      </c>
      <c r="D1246" t="s">
        <v>2654</v>
      </c>
      <c r="E1246" t="s">
        <v>2654</v>
      </c>
      <c r="F1246" t="s">
        <v>2654</v>
      </c>
      <c r="G1246" t="s">
        <v>2653</v>
      </c>
      <c r="H1246" t="s">
        <v>2653</v>
      </c>
      <c r="I1246" t="s">
        <v>2334</v>
      </c>
      <c r="K1246" t="str">
        <f t="shared" si="19"/>
        <v>COM_201304_P29T12026</v>
      </c>
    </row>
    <row r="1247" spans="1:11">
      <c r="A1247">
        <v>2027</v>
      </c>
      <c r="B1247" t="s">
        <v>2332</v>
      </c>
      <c r="C1247" t="s">
        <v>2653</v>
      </c>
      <c r="D1247" t="s">
        <v>2654</v>
      </c>
      <c r="E1247" t="s">
        <v>2654</v>
      </c>
      <c r="F1247" t="s">
        <v>2654</v>
      </c>
      <c r="G1247" t="s">
        <v>2653</v>
      </c>
      <c r="H1247" t="s">
        <v>2653</v>
      </c>
      <c r="I1247" t="s">
        <v>2334</v>
      </c>
      <c r="K1247" t="str">
        <f t="shared" si="19"/>
        <v>COM_201304_P29T12027</v>
      </c>
    </row>
    <row r="1248" spans="1:11">
      <c r="A1248">
        <v>2024</v>
      </c>
      <c r="B1248" t="s">
        <v>2336</v>
      </c>
      <c r="C1248" t="s">
        <v>2653</v>
      </c>
      <c r="D1248" t="s">
        <v>2654</v>
      </c>
      <c r="E1248" t="s">
        <v>2654</v>
      </c>
      <c r="F1248" t="s">
        <v>2654</v>
      </c>
      <c r="G1248" t="s">
        <v>2653</v>
      </c>
      <c r="H1248" t="s">
        <v>2653</v>
      </c>
      <c r="I1248" t="s">
        <v>2337</v>
      </c>
      <c r="K1248" t="str">
        <f t="shared" si="19"/>
        <v>COM_201304_P30T12024</v>
      </c>
    </row>
    <row r="1249" spans="1:11">
      <c r="A1249">
        <v>2025</v>
      </c>
      <c r="B1249" t="s">
        <v>2336</v>
      </c>
      <c r="C1249" t="s">
        <v>2653</v>
      </c>
      <c r="D1249" t="s">
        <v>2654</v>
      </c>
      <c r="E1249" t="s">
        <v>2654</v>
      </c>
      <c r="F1249" t="s">
        <v>2654</v>
      </c>
      <c r="G1249" t="s">
        <v>2653</v>
      </c>
      <c r="H1249" t="s">
        <v>2653</v>
      </c>
      <c r="I1249" t="s">
        <v>2337</v>
      </c>
      <c r="K1249" t="str">
        <f t="shared" si="19"/>
        <v>COM_201304_P30T12025</v>
      </c>
    </row>
    <row r="1250" spans="1:11">
      <c r="A1250">
        <v>2026</v>
      </c>
      <c r="B1250" t="s">
        <v>2336</v>
      </c>
      <c r="C1250" t="s">
        <v>2653</v>
      </c>
      <c r="D1250" t="s">
        <v>2654</v>
      </c>
      <c r="E1250" t="s">
        <v>2654</v>
      </c>
      <c r="F1250" t="s">
        <v>2654</v>
      </c>
      <c r="G1250" t="s">
        <v>2653</v>
      </c>
      <c r="H1250" t="s">
        <v>2653</v>
      </c>
      <c r="I1250" t="s">
        <v>2337</v>
      </c>
      <c r="K1250" t="str">
        <f t="shared" si="19"/>
        <v>COM_201304_P30T12026</v>
      </c>
    </row>
    <row r="1251" spans="1:11">
      <c r="A1251">
        <v>2027</v>
      </c>
      <c r="B1251" t="s">
        <v>2336</v>
      </c>
      <c r="C1251" t="s">
        <v>2653</v>
      </c>
      <c r="D1251" t="s">
        <v>2654</v>
      </c>
      <c r="E1251" t="s">
        <v>2654</v>
      </c>
      <c r="F1251" t="s">
        <v>2654</v>
      </c>
      <c r="G1251" t="s">
        <v>2653</v>
      </c>
      <c r="H1251" t="s">
        <v>2653</v>
      </c>
      <c r="I1251" t="s">
        <v>2337</v>
      </c>
      <c r="K1251" t="str">
        <f t="shared" si="19"/>
        <v>COM_201304_P30T12027</v>
      </c>
    </row>
    <row r="1252" spans="1:11">
      <c r="A1252">
        <v>2024</v>
      </c>
      <c r="B1252" t="s">
        <v>848</v>
      </c>
      <c r="C1252" t="s">
        <v>2653</v>
      </c>
      <c r="D1252" t="s">
        <v>2654</v>
      </c>
      <c r="E1252" t="s">
        <v>2654</v>
      </c>
      <c r="F1252" t="s">
        <v>2654</v>
      </c>
      <c r="G1252" t="s">
        <v>2654</v>
      </c>
      <c r="H1252" t="s">
        <v>2653</v>
      </c>
      <c r="I1252" t="s">
        <v>1190</v>
      </c>
      <c r="K1252" t="str">
        <f t="shared" si="19"/>
        <v>COM_201304_P9T32024</v>
      </c>
    </row>
    <row r="1253" spans="1:11">
      <c r="A1253">
        <v>2025</v>
      </c>
      <c r="B1253" t="s">
        <v>848</v>
      </c>
      <c r="C1253" t="s">
        <v>2653</v>
      </c>
      <c r="D1253" t="s">
        <v>2654</v>
      </c>
      <c r="E1253" t="s">
        <v>2654</v>
      </c>
      <c r="F1253" t="s">
        <v>2654</v>
      </c>
      <c r="G1253" t="s">
        <v>2654</v>
      </c>
      <c r="H1253" t="s">
        <v>2653</v>
      </c>
      <c r="I1253" t="s">
        <v>1190</v>
      </c>
      <c r="K1253" t="str">
        <f t="shared" si="19"/>
        <v>COM_201304_P9T32025</v>
      </c>
    </row>
    <row r="1254" spans="1:11">
      <c r="A1254">
        <v>2026</v>
      </c>
      <c r="B1254" t="s">
        <v>848</v>
      </c>
      <c r="C1254" t="s">
        <v>2653</v>
      </c>
      <c r="D1254" t="s">
        <v>2654</v>
      </c>
      <c r="E1254" t="s">
        <v>2654</v>
      </c>
      <c r="F1254" t="s">
        <v>2654</v>
      </c>
      <c r="G1254" t="s">
        <v>2654</v>
      </c>
      <c r="H1254" t="s">
        <v>2653</v>
      </c>
      <c r="I1254" t="s">
        <v>1190</v>
      </c>
      <c r="K1254" t="str">
        <f t="shared" si="19"/>
        <v>COM_201304_P9T32026</v>
      </c>
    </row>
    <row r="1255" spans="1:11">
      <c r="A1255">
        <v>2027</v>
      </c>
      <c r="B1255" t="s">
        <v>848</v>
      </c>
      <c r="C1255" t="s">
        <v>2653</v>
      </c>
      <c r="D1255" t="s">
        <v>2654</v>
      </c>
      <c r="E1255" t="s">
        <v>2654</v>
      </c>
      <c r="F1255" t="s">
        <v>2654</v>
      </c>
      <c r="G1255" t="s">
        <v>2654</v>
      </c>
      <c r="H1255" t="s">
        <v>2653</v>
      </c>
      <c r="I1255" t="s">
        <v>1190</v>
      </c>
      <c r="K1255" t="str">
        <f t="shared" si="19"/>
        <v>COM_201304_P9T32027</v>
      </c>
    </row>
    <row r="1256" spans="1:11">
      <c r="A1256">
        <v>2024</v>
      </c>
      <c r="B1256" t="s">
        <v>849</v>
      </c>
      <c r="C1256" t="s">
        <v>2653</v>
      </c>
      <c r="D1256" t="s">
        <v>2654</v>
      </c>
      <c r="E1256" t="s">
        <v>2654</v>
      </c>
      <c r="F1256" t="s">
        <v>2654</v>
      </c>
      <c r="G1256" t="s">
        <v>2654</v>
      </c>
      <c r="H1256" t="s">
        <v>2653</v>
      </c>
      <c r="I1256" t="s">
        <v>1188</v>
      </c>
      <c r="K1256" t="str">
        <f t="shared" si="19"/>
        <v>COM_201304_P9T12024</v>
      </c>
    </row>
    <row r="1257" spans="1:11">
      <c r="A1257">
        <v>2025</v>
      </c>
      <c r="B1257" t="s">
        <v>849</v>
      </c>
      <c r="C1257" t="s">
        <v>2653</v>
      </c>
      <c r="D1257" t="s">
        <v>2654</v>
      </c>
      <c r="E1257" t="s">
        <v>2654</v>
      </c>
      <c r="F1257" t="s">
        <v>2654</v>
      </c>
      <c r="G1257" t="s">
        <v>2654</v>
      </c>
      <c r="H1257" t="s">
        <v>2653</v>
      </c>
      <c r="I1257" t="s">
        <v>1188</v>
      </c>
      <c r="K1257" t="str">
        <f t="shared" si="19"/>
        <v>COM_201304_P9T12025</v>
      </c>
    </row>
    <row r="1258" spans="1:11">
      <c r="A1258">
        <v>2026</v>
      </c>
      <c r="B1258" t="s">
        <v>849</v>
      </c>
      <c r="C1258" t="s">
        <v>2653</v>
      </c>
      <c r="D1258" t="s">
        <v>2654</v>
      </c>
      <c r="E1258" t="s">
        <v>2654</v>
      </c>
      <c r="F1258" t="s">
        <v>2654</v>
      </c>
      <c r="G1258" t="s">
        <v>2654</v>
      </c>
      <c r="H1258" t="s">
        <v>2653</v>
      </c>
      <c r="I1258" t="s">
        <v>1188</v>
      </c>
      <c r="K1258" t="str">
        <f t="shared" si="19"/>
        <v>COM_201304_P9T12026</v>
      </c>
    </row>
    <row r="1259" spans="1:11">
      <c r="A1259">
        <v>2027</v>
      </c>
      <c r="B1259" t="s">
        <v>849</v>
      </c>
      <c r="C1259" t="s">
        <v>2653</v>
      </c>
      <c r="D1259" t="s">
        <v>2654</v>
      </c>
      <c r="E1259" t="s">
        <v>2654</v>
      </c>
      <c r="F1259" t="s">
        <v>2654</v>
      </c>
      <c r="G1259" t="s">
        <v>2654</v>
      </c>
      <c r="H1259" t="s">
        <v>2653</v>
      </c>
      <c r="I1259" t="s">
        <v>1188</v>
      </c>
      <c r="K1259" t="str">
        <f t="shared" si="19"/>
        <v>COM_201304_P9T12027</v>
      </c>
    </row>
    <row r="1260" spans="1:11">
      <c r="A1260">
        <v>2024</v>
      </c>
      <c r="B1260" t="s">
        <v>850</v>
      </c>
      <c r="C1260" t="s">
        <v>2653</v>
      </c>
      <c r="D1260" t="s">
        <v>2654</v>
      </c>
      <c r="E1260" t="s">
        <v>2654</v>
      </c>
      <c r="F1260" t="s">
        <v>2654</v>
      </c>
      <c r="G1260" t="s">
        <v>2654</v>
      </c>
      <c r="H1260" t="s">
        <v>2653</v>
      </c>
      <c r="I1260" t="s">
        <v>1189</v>
      </c>
      <c r="K1260" t="str">
        <f t="shared" si="19"/>
        <v>COM_201304_P9T22024</v>
      </c>
    </row>
    <row r="1261" spans="1:11">
      <c r="A1261">
        <v>2025</v>
      </c>
      <c r="B1261" t="s">
        <v>850</v>
      </c>
      <c r="C1261" t="s">
        <v>2653</v>
      </c>
      <c r="D1261" t="s">
        <v>2654</v>
      </c>
      <c r="E1261" t="s">
        <v>2654</v>
      </c>
      <c r="F1261" t="s">
        <v>2654</v>
      </c>
      <c r="G1261" t="s">
        <v>2654</v>
      </c>
      <c r="H1261" t="s">
        <v>2653</v>
      </c>
      <c r="I1261" t="s">
        <v>1189</v>
      </c>
      <c r="K1261" t="str">
        <f t="shared" si="19"/>
        <v>COM_201304_P9T22025</v>
      </c>
    </row>
    <row r="1262" spans="1:11">
      <c r="A1262">
        <v>2026</v>
      </c>
      <c r="B1262" t="s">
        <v>850</v>
      </c>
      <c r="C1262" t="s">
        <v>2653</v>
      </c>
      <c r="D1262" t="s">
        <v>2654</v>
      </c>
      <c r="E1262" t="s">
        <v>2654</v>
      </c>
      <c r="F1262" t="s">
        <v>2654</v>
      </c>
      <c r="G1262" t="s">
        <v>2654</v>
      </c>
      <c r="H1262" t="s">
        <v>2653</v>
      </c>
      <c r="I1262" t="s">
        <v>1189</v>
      </c>
      <c r="K1262" t="str">
        <f t="shared" si="19"/>
        <v>COM_201304_P9T22026</v>
      </c>
    </row>
    <row r="1263" spans="1:11">
      <c r="A1263">
        <v>2027</v>
      </c>
      <c r="B1263" t="s">
        <v>850</v>
      </c>
      <c r="C1263" t="s">
        <v>2653</v>
      </c>
      <c r="D1263" t="s">
        <v>2654</v>
      </c>
      <c r="E1263" t="s">
        <v>2654</v>
      </c>
      <c r="F1263" t="s">
        <v>2654</v>
      </c>
      <c r="G1263" t="s">
        <v>2654</v>
      </c>
      <c r="H1263" t="s">
        <v>2653</v>
      </c>
      <c r="I1263" t="s">
        <v>1189</v>
      </c>
      <c r="K1263" t="str">
        <f t="shared" si="19"/>
        <v>COM_201304_P9T22027</v>
      </c>
    </row>
    <row r="1264" spans="1:11">
      <c r="A1264">
        <v>2024</v>
      </c>
      <c r="B1264" t="s">
        <v>335</v>
      </c>
      <c r="C1264" t="s">
        <v>2653</v>
      </c>
      <c r="D1264" t="s">
        <v>2654</v>
      </c>
      <c r="E1264" t="s">
        <v>2654</v>
      </c>
      <c r="F1264" t="s">
        <v>2654</v>
      </c>
      <c r="G1264" t="s">
        <v>2654</v>
      </c>
      <c r="H1264" t="s">
        <v>2654</v>
      </c>
      <c r="I1264" t="s">
        <v>1847</v>
      </c>
      <c r="K1264" t="str">
        <f t="shared" si="19"/>
        <v>RES_201402_P3T12024</v>
      </c>
    </row>
    <row r="1265" spans="1:11">
      <c r="A1265">
        <v>2025</v>
      </c>
      <c r="B1265" t="s">
        <v>335</v>
      </c>
      <c r="C1265" t="s">
        <v>2653</v>
      </c>
      <c r="D1265" t="s">
        <v>2654</v>
      </c>
      <c r="E1265" t="s">
        <v>2654</v>
      </c>
      <c r="F1265" t="s">
        <v>2654</v>
      </c>
      <c r="G1265" t="s">
        <v>2654</v>
      </c>
      <c r="H1265" t="s">
        <v>2654</v>
      </c>
      <c r="I1265" t="s">
        <v>1847</v>
      </c>
      <c r="K1265" t="str">
        <f t="shared" si="19"/>
        <v>RES_201402_P3T12025</v>
      </c>
    </row>
    <row r="1266" spans="1:11">
      <c r="A1266">
        <v>2026</v>
      </c>
      <c r="B1266" t="s">
        <v>335</v>
      </c>
      <c r="C1266" t="s">
        <v>2653</v>
      </c>
      <c r="D1266" t="s">
        <v>2654</v>
      </c>
      <c r="E1266" t="s">
        <v>2654</v>
      </c>
      <c r="F1266" t="s">
        <v>2654</v>
      </c>
      <c r="G1266" t="s">
        <v>2654</v>
      </c>
      <c r="H1266" t="s">
        <v>2654</v>
      </c>
      <c r="I1266" t="s">
        <v>1847</v>
      </c>
      <c r="K1266" t="str">
        <f t="shared" si="19"/>
        <v>RES_201402_P3T12026</v>
      </c>
    </row>
    <row r="1267" spans="1:11">
      <c r="A1267">
        <v>2027</v>
      </c>
      <c r="B1267" t="s">
        <v>335</v>
      </c>
      <c r="C1267" t="s">
        <v>2653</v>
      </c>
      <c r="D1267" t="s">
        <v>2654</v>
      </c>
      <c r="E1267" t="s">
        <v>2654</v>
      </c>
      <c r="F1267" t="s">
        <v>2654</v>
      </c>
      <c r="G1267" t="s">
        <v>2654</v>
      </c>
      <c r="H1267" t="s">
        <v>2654</v>
      </c>
      <c r="I1267" t="s">
        <v>1847</v>
      </c>
      <c r="K1267" t="str">
        <f t="shared" si="19"/>
        <v>RES_201402_P3T12027</v>
      </c>
    </row>
    <row r="1268" spans="1:11">
      <c r="A1268">
        <v>2024</v>
      </c>
      <c r="B1268" t="s">
        <v>632</v>
      </c>
      <c r="C1268" t="s">
        <v>2653</v>
      </c>
      <c r="D1268" t="s">
        <v>2654</v>
      </c>
      <c r="E1268" t="s">
        <v>2654</v>
      </c>
      <c r="F1268" t="s">
        <v>2654</v>
      </c>
      <c r="G1268" t="s">
        <v>2654</v>
      </c>
      <c r="H1268" t="s">
        <v>2654</v>
      </c>
      <c r="I1268" t="s">
        <v>1186</v>
      </c>
      <c r="K1268" t="str">
        <f t="shared" si="19"/>
        <v>COM_201304_P3T12024</v>
      </c>
    </row>
    <row r="1269" spans="1:11">
      <c r="A1269">
        <v>2025</v>
      </c>
      <c r="B1269" t="s">
        <v>632</v>
      </c>
      <c r="C1269" t="s">
        <v>2653</v>
      </c>
      <c r="D1269" t="s">
        <v>2654</v>
      </c>
      <c r="E1269" t="s">
        <v>2654</v>
      </c>
      <c r="F1269" t="s">
        <v>2654</v>
      </c>
      <c r="G1269" t="s">
        <v>2654</v>
      </c>
      <c r="H1269" t="s">
        <v>2654</v>
      </c>
      <c r="I1269" t="s">
        <v>1186</v>
      </c>
      <c r="K1269" t="str">
        <f t="shared" si="19"/>
        <v>COM_201304_P3T12025</v>
      </c>
    </row>
    <row r="1270" spans="1:11">
      <c r="A1270">
        <v>2026</v>
      </c>
      <c r="B1270" t="s">
        <v>632</v>
      </c>
      <c r="C1270" t="s">
        <v>2653</v>
      </c>
      <c r="D1270" t="s">
        <v>2654</v>
      </c>
      <c r="E1270" t="s">
        <v>2654</v>
      </c>
      <c r="F1270" t="s">
        <v>2654</v>
      </c>
      <c r="G1270" t="s">
        <v>2654</v>
      </c>
      <c r="H1270" t="s">
        <v>2654</v>
      </c>
      <c r="I1270" t="s">
        <v>1186</v>
      </c>
      <c r="K1270" t="str">
        <f t="shared" si="19"/>
        <v>COM_201304_P3T12026</v>
      </c>
    </row>
    <row r="1271" spans="1:11">
      <c r="A1271">
        <v>2027</v>
      </c>
      <c r="B1271" t="s">
        <v>632</v>
      </c>
      <c r="C1271" t="s">
        <v>2653</v>
      </c>
      <c r="D1271" t="s">
        <v>2654</v>
      </c>
      <c r="E1271" t="s">
        <v>2654</v>
      </c>
      <c r="F1271" t="s">
        <v>2654</v>
      </c>
      <c r="G1271" t="s">
        <v>2654</v>
      </c>
      <c r="H1271" t="s">
        <v>2654</v>
      </c>
      <c r="I1271" t="s">
        <v>1186</v>
      </c>
      <c r="K1271" t="str">
        <f t="shared" si="19"/>
        <v>COM_201304_P3T12027</v>
      </c>
    </row>
    <row r="1272" spans="1:11">
      <c r="A1272">
        <v>2024</v>
      </c>
      <c r="B1272" t="s">
        <v>1583</v>
      </c>
      <c r="C1272" t="s">
        <v>2653</v>
      </c>
      <c r="D1272" t="s">
        <v>2654</v>
      </c>
      <c r="E1272" t="s">
        <v>2654</v>
      </c>
      <c r="F1272" t="s">
        <v>2654</v>
      </c>
      <c r="G1272" t="s">
        <v>2654</v>
      </c>
      <c r="H1272" t="s">
        <v>2654</v>
      </c>
      <c r="I1272" t="s">
        <v>1697</v>
      </c>
      <c r="K1272" t="str">
        <f t="shared" si="19"/>
        <v>COM_201304_P14T12024</v>
      </c>
    </row>
    <row r="1273" spans="1:11">
      <c r="A1273">
        <v>2025</v>
      </c>
      <c r="B1273" t="s">
        <v>1583</v>
      </c>
      <c r="C1273" t="s">
        <v>2653</v>
      </c>
      <c r="D1273" t="s">
        <v>2654</v>
      </c>
      <c r="E1273" t="s">
        <v>2654</v>
      </c>
      <c r="F1273" t="s">
        <v>2654</v>
      </c>
      <c r="G1273" t="s">
        <v>2654</v>
      </c>
      <c r="H1273" t="s">
        <v>2654</v>
      </c>
      <c r="I1273" t="s">
        <v>1697</v>
      </c>
      <c r="K1273" t="str">
        <f t="shared" si="19"/>
        <v>COM_201304_P14T12025</v>
      </c>
    </row>
    <row r="1274" spans="1:11">
      <c r="A1274">
        <v>2026</v>
      </c>
      <c r="B1274" t="s">
        <v>1583</v>
      </c>
      <c r="C1274" t="s">
        <v>2653</v>
      </c>
      <c r="D1274" t="s">
        <v>2654</v>
      </c>
      <c r="E1274" t="s">
        <v>2654</v>
      </c>
      <c r="F1274" t="s">
        <v>2654</v>
      </c>
      <c r="G1274" t="s">
        <v>2654</v>
      </c>
      <c r="H1274" t="s">
        <v>2654</v>
      </c>
      <c r="I1274" t="s">
        <v>1697</v>
      </c>
      <c r="K1274" t="str">
        <f t="shared" si="19"/>
        <v>COM_201304_P14T12026</v>
      </c>
    </row>
    <row r="1275" spans="1:11">
      <c r="A1275">
        <v>2027</v>
      </c>
      <c r="B1275" t="s">
        <v>1583</v>
      </c>
      <c r="C1275" t="s">
        <v>2653</v>
      </c>
      <c r="D1275" t="s">
        <v>2654</v>
      </c>
      <c r="E1275" t="s">
        <v>2654</v>
      </c>
      <c r="F1275" t="s">
        <v>2654</v>
      </c>
      <c r="G1275" t="s">
        <v>2654</v>
      </c>
      <c r="H1275" t="s">
        <v>2654</v>
      </c>
      <c r="I1275" t="s">
        <v>1697</v>
      </c>
      <c r="K1275" t="str">
        <f t="shared" si="19"/>
        <v>COM_201304_P14T12027</v>
      </c>
    </row>
    <row r="1276" spans="1:11">
      <c r="A1276">
        <v>2024</v>
      </c>
      <c r="B1276" t="s">
        <v>1623</v>
      </c>
      <c r="C1276" t="s">
        <v>2653</v>
      </c>
      <c r="D1276" t="s">
        <v>2654</v>
      </c>
      <c r="E1276" t="s">
        <v>2654</v>
      </c>
      <c r="F1276" t="s">
        <v>2654</v>
      </c>
      <c r="G1276" t="s">
        <v>2654</v>
      </c>
      <c r="H1276" t="s">
        <v>2654</v>
      </c>
      <c r="I1276" t="s">
        <v>1842</v>
      </c>
      <c r="K1276" t="str">
        <f t="shared" si="19"/>
        <v>RES_201402_P10T12024</v>
      </c>
    </row>
    <row r="1277" spans="1:11">
      <c r="A1277">
        <v>2025</v>
      </c>
      <c r="B1277" t="s">
        <v>1623</v>
      </c>
      <c r="C1277" t="s">
        <v>2653</v>
      </c>
      <c r="D1277" t="s">
        <v>2654</v>
      </c>
      <c r="E1277" t="s">
        <v>2654</v>
      </c>
      <c r="F1277" t="s">
        <v>2654</v>
      </c>
      <c r="G1277" t="s">
        <v>2654</v>
      </c>
      <c r="H1277" t="s">
        <v>2654</v>
      </c>
      <c r="I1277" t="s">
        <v>1842</v>
      </c>
      <c r="K1277" t="str">
        <f t="shared" si="19"/>
        <v>RES_201402_P10T12025</v>
      </c>
    </row>
    <row r="1278" spans="1:11">
      <c r="A1278">
        <v>2026</v>
      </c>
      <c r="B1278" t="s">
        <v>1623</v>
      </c>
      <c r="C1278" t="s">
        <v>2653</v>
      </c>
      <c r="D1278" t="s">
        <v>2654</v>
      </c>
      <c r="E1278" t="s">
        <v>2654</v>
      </c>
      <c r="F1278" t="s">
        <v>2654</v>
      </c>
      <c r="G1278" t="s">
        <v>2654</v>
      </c>
      <c r="H1278" t="s">
        <v>2654</v>
      </c>
      <c r="I1278" t="s">
        <v>1842</v>
      </c>
      <c r="K1278" t="str">
        <f t="shared" si="19"/>
        <v>RES_201402_P10T12026</v>
      </c>
    </row>
    <row r="1279" spans="1:11">
      <c r="A1279">
        <v>2027</v>
      </c>
      <c r="B1279" t="s">
        <v>1623</v>
      </c>
      <c r="C1279" t="s">
        <v>2653</v>
      </c>
      <c r="D1279" t="s">
        <v>2654</v>
      </c>
      <c r="E1279" t="s">
        <v>2654</v>
      </c>
      <c r="F1279" t="s">
        <v>2654</v>
      </c>
      <c r="G1279" t="s">
        <v>2654</v>
      </c>
      <c r="H1279" t="s">
        <v>2654</v>
      </c>
      <c r="I1279" t="s">
        <v>1842</v>
      </c>
      <c r="K1279" t="str">
        <f t="shared" si="19"/>
        <v>RES_201402_P10T12027</v>
      </c>
    </row>
    <row r="1280" spans="1:11">
      <c r="A1280">
        <v>2024</v>
      </c>
      <c r="B1280" t="s">
        <v>874</v>
      </c>
      <c r="C1280" t="s">
        <v>2653</v>
      </c>
      <c r="D1280" t="s">
        <v>2654</v>
      </c>
      <c r="E1280" t="s">
        <v>2654</v>
      </c>
      <c r="F1280" t="s">
        <v>2654</v>
      </c>
      <c r="G1280" t="s">
        <v>2654</v>
      </c>
      <c r="H1280" t="s">
        <v>2654</v>
      </c>
      <c r="I1280" t="s">
        <v>1696</v>
      </c>
      <c r="K1280" t="str">
        <f t="shared" si="19"/>
        <v>COM_201304_P13T12024</v>
      </c>
    </row>
    <row r="1281" spans="1:11">
      <c r="A1281">
        <v>2025</v>
      </c>
      <c r="B1281" t="s">
        <v>874</v>
      </c>
      <c r="C1281" t="s">
        <v>2653</v>
      </c>
      <c r="D1281" t="s">
        <v>2654</v>
      </c>
      <c r="E1281" t="s">
        <v>2654</v>
      </c>
      <c r="F1281" t="s">
        <v>2654</v>
      </c>
      <c r="G1281" t="s">
        <v>2654</v>
      </c>
      <c r="H1281" t="s">
        <v>2654</v>
      </c>
      <c r="I1281" t="s">
        <v>1696</v>
      </c>
      <c r="K1281" t="str">
        <f t="shared" si="19"/>
        <v>COM_201304_P13T12025</v>
      </c>
    </row>
    <row r="1282" spans="1:11">
      <c r="A1282">
        <v>2026</v>
      </c>
      <c r="B1282" t="s">
        <v>874</v>
      </c>
      <c r="C1282" t="s">
        <v>2653</v>
      </c>
      <c r="D1282" t="s">
        <v>2654</v>
      </c>
      <c r="E1282" t="s">
        <v>2654</v>
      </c>
      <c r="F1282" t="s">
        <v>2654</v>
      </c>
      <c r="G1282" t="s">
        <v>2654</v>
      </c>
      <c r="H1282" t="s">
        <v>2654</v>
      </c>
      <c r="I1282" t="s">
        <v>1696</v>
      </c>
      <c r="K1282" t="str">
        <f t="shared" si="19"/>
        <v>COM_201304_P13T12026</v>
      </c>
    </row>
    <row r="1283" spans="1:11">
      <c r="A1283">
        <v>2027</v>
      </c>
      <c r="B1283" t="s">
        <v>874</v>
      </c>
      <c r="C1283" t="s">
        <v>2653</v>
      </c>
      <c r="D1283" t="s">
        <v>2654</v>
      </c>
      <c r="E1283" t="s">
        <v>2654</v>
      </c>
      <c r="F1283" t="s">
        <v>2654</v>
      </c>
      <c r="G1283" t="s">
        <v>2654</v>
      </c>
      <c r="H1283" t="s">
        <v>2654</v>
      </c>
      <c r="I1283" t="s">
        <v>1696</v>
      </c>
      <c r="K1283" t="str">
        <f t="shared" ref="K1283:K1346" si="20">B1283&amp;A1283</f>
        <v>COM_201304_P13T12027</v>
      </c>
    </row>
    <row r="1284" spans="1:11">
      <c r="A1284">
        <v>2024</v>
      </c>
      <c r="B1284" t="s">
        <v>876</v>
      </c>
      <c r="C1284" t="s">
        <v>2653</v>
      </c>
      <c r="D1284" t="s">
        <v>2654</v>
      </c>
      <c r="E1284" t="s">
        <v>2654</v>
      </c>
      <c r="F1284" t="s">
        <v>2654</v>
      </c>
      <c r="G1284" t="s">
        <v>2654</v>
      </c>
      <c r="H1284" t="s">
        <v>2654</v>
      </c>
      <c r="I1284" t="s">
        <v>1192</v>
      </c>
      <c r="K1284" t="str">
        <f t="shared" si="20"/>
        <v>RES_201402_P9T12024</v>
      </c>
    </row>
    <row r="1285" spans="1:11">
      <c r="A1285">
        <v>2025</v>
      </c>
      <c r="B1285" t="s">
        <v>876</v>
      </c>
      <c r="C1285" t="s">
        <v>2653</v>
      </c>
      <c r="D1285" t="s">
        <v>2654</v>
      </c>
      <c r="E1285" t="s">
        <v>2654</v>
      </c>
      <c r="F1285" t="s">
        <v>2654</v>
      </c>
      <c r="G1285" t="s">
        <v>2654</v>
      </c>
      <c r="H1285" t="s">
        <v>2654</v>
      </c>
      <c r="I1285" t="s">
        <v>1192</v>
      </c>
      <c r="K1285" t="str">
        <f t="shared" si="20"/>
        <v>RES_201402_P9T12025</v>
      </c>
    </row>
    <row r="1286" spans="1:11">
      <c r="A1286">
        <v>2026</v>
      </c>
      <c r="B1286" t="s">
        <v>876</v>
      </c>
      <c r="C1286" t="s">
        <v>2653</v>
      </c>
      <c r="D1286" t="s">
        <v>2654</v>
      </c>
      <c r="E1286" t="s">
        <v>2654</v>
      </c>
      <c r="F1286" t="s">
        <v>2654</v>
      </c>
      <c r="G1286" t="s">
        <v>2654</v>
      </c>
      <c r="H1286" t="s">
        <v>2654</v>
      </c>
      <c r="I1286" t="s">
        <v>1192</v>
      </c>
      <c r="K1286" t="str">
        <f t="shared" si="20"/>
        <v>RES_201402_P9T12026</v>
      </c>
    </row>
    <row r="1287" spans="1:11">
      <c r="A1287">
        <v>2027</v>
      </c>
      <c r="B1287" t="s">
        <v>876</v>
      </c>
      <c r="C1287" t="s">
        <v>2653</v>
      </c>
      <c r="D1287" t="s">
        <v>2654</v>
      </c>
      <c r="E1287" t="s">
        <v>2654</v>
      </c>
      <c r="F1287" t="s">
        <v>2654</v>
      </c>
      <c r="G1287" t="s">
        <v>2654</v>
      </c>
      <c r="H1287" t="s">
        <v>2654</v>
      </c>
      <c r="I1287" t="s">
        <v>1192</v>
      </c>
      <c r="K1287" t="str">
        <f t="shared" si="20"/>
        <v>RES_201402_P9T12027</v>
      </c>
    </row>
    <row r="1288" spans="1:11">
      <c r="A1288">
        <v>2024</v>
      </c>
      <c r="B1288" t="s">
        <v>392</v>
      </c>
      <c r="C1288" t="s">
        <v>2653</v>
      </c>
      <c r="D1288" t="s">
        <v>2654</v>
      </c>
      <c r="E1288" t="s">
        <v>2654</v>
      </c>
      <c r="F1288" t="s">
        <v>2654</v>
      </c>
      <c r="G1288" t="s">
        <v>2654</v>
      </c>
      <c r="H1288" t="s">
        <v>2654</v>
      </c>
      <c r="I1288" t="s">
        <v>1846</v>
      </c>
      <c r="K1288" t="str">
        <f t="shared" si="20"/>
        <v>RES_201402_P2T12024</v>
      </c>
    </row>
    <row r="1289" spans="1:11">
      <c r="A1289">
        <v>2025</v>
      </c>
      <c r="B1289" t="s">
        <v>392</v>
      </c>
      <c r="C1289" t="s">
        <v>2653</v>
      </c>
      <c r="D1289" t="s">
        <v>2654</v>
      </c>
      <c r="E1289" t="s">
        <v>2654</v>
      </c>
      <c r="F1289" t="s">
        <v>2654</v>
      </c>
      <c r="G1289" t="s">
        <v>2654</v>
      </c>
      <c r="H1289" t="s">
        <v>2654</v>
      </c>
      <c r="I1289" t="s">
        <v>1846</v>
      </c>
      <c r="K1289" t="str">
        <f t="shared" si="20"/>
        <v>RES_201402_P2T12025</v>
      </c>
    </row>
    <row r="1290" spans="1:11">
      <c r="A1290">
        <v>2026</v>
      </c>
      <c r="B1290" t="s">
        <v>392</v>
      </c>
      <c r="C1290" t="s">
        <v>2653</v>
      </c>
      <c r="D1290" t="s">
        <v>2654</v>
      </c>
      <c r="E1290" t="s">
        <v>2654</v>
      </c>
      <c r="F1290" t="s">
        <v>2654</v>
      </c>
      <c r="G1290" t="s">
        <v>2654</v>
      </c>
      <c r="H1290" t="s">
        <v>2654</v>
      </c>
      <c r="I1290" t="s">
        <v>1846</v>
      </c>
      <c r="K1290" t="str">
        <f t="shared" si="20"/>
        <v>RES_201402_P2T12026</v>
      </c>
    </row>
    <row r="1291" spans="1:11">
      <c r="A1291">
        <v>2027</v>
      </c>
      <c r="B1291" t="s">
        <v>392</v>
      </c>
      <c r="C1291" t="s">
        <v>2653</v>
      </c>
      <c r="D1291" t="s">
        <v>2654</v>
      </c>
      <c r="E1291" t="s">
        <v>2654</v>
      </c>
      <c r="F1291" t="s">
        <v>2654</v>
      </c>
      <c r="G1291" t="s">
        <v>2654</v>
      </c>
      <c r="H1291" t="s">
        <v>2654</v>
      </c>
      <c r="I1291" t="s">
        <v>1846</v>
      </c>
      <c r="K1291" t="str">
        <f t="shared" si="20"/>
        <v>RES_201402_P2T12027</v>
      </c>
    </row>
    <row r="1292" spans="1:11">
      <c r="A1292">
        <v>2024</v>
      </c>
      <c r="B1292" t="s">
        <v>338</v>
      </c>
      <c r="C1292" t="s">
        <v>2653</v>
      </c>
      <c r="D1292" t="s">
        <v>2654</v>
      </c>
      <c r="E1292" t="s">
        <v>2654</v>
      </c>
      <c r="F1292" t="s">
        <v>2654</v>
      </c>
      <c r="G1292" t="s">
        <v>2654</v>
      </c>
      <c r="H1292" t="s">
        <v>2654</v>
      </c>
      <c r="I1292" t="s">
        <v>2208</v>
      </c>
      <c r="K1292" t="str">
        <f t="shared" si="20"/>
        <v>RES_199702_P1T12024</v>
      </c>
    </row>
    <row r="1293" spans="1:11">
      <c r="A1293">
        <v>2025</v>
      </c>
      <c r="B1293" t="s">
        <v>338</v>
      </c>
      <c r="C1293" t="s">
        <v>2653</v>
      </c>
      <c r="D1293" t="s">
        <v>2654</v>
      </c>
      <c r="E1293" t="s">
        <v>2654</v>
      </c>
      <c r="F1293" t="s">
        <v>2654</v>
      </c>
      <c r="G1293" t="s">
        <v>2654</v>
      </c>
      <c r="H1293" t="s">
        <v>2654</v>
      </c>
      <c r="I1293" t="s">
        <v>2208</v>
      </c>
      <c r="K1293" t="str">
        <f t="shared" si="20"/>
        <v>RES_199702_P1T12025</v>
      </c>
    </row>
    <row r="1294" spans="1:11">
      <c r="A1294">
        <v>2026</v>
      </c>
      <c r="B1294" t="s">
        <v>338</v>
      </c>
      <c r="C1294" t="s">
        <v>2653</v>
      </c>
      <c r="D1294" t="s">
        <v>2654</v>
      </c>
      <c r="E1294" t="s">
        <v>2654</v>
      </c>
      <c r="F1294" t="s">
        <v>2654</v>
      </c>
      <c r="G1294" t="s">
        <v>2654</v>
      </c>
      <c r="H1294" t="s">
        <v>2654</v>
      </c>
      <c r="I1294" t="s">
        <v>2208</v>
      </c>
      <c r="K1294" t="str">
        <f t="shared" si="20"/>
        <v>RES_199702_P1T12026</v>
      </c>
    </row>
    <row r="1295" spans="1:11">
      <c r="A1295">
        <v>2027</v>
      </c>
      <c r="B1295" t="s">
        <v>338</v>
      </c>
      <c r="C1295" t="s">
        <v>2653</v>
      </c>
      <c r="D1295" t="s">
        <v>2654</v>
      </c>
      <c r="E1295" t="s">
        <v>2654</v>
      </c>
      <c r="F1295" t="s">
        <v>2654</v>
      </c>
      <c r="G1295" t="s">
        <v>2654</v>
      </c>
      <c r="H1295" t="s">
        <v>2654</v>
      </c>
      <c r="I1295" t="s">
        <v>2208</v>
      </c>
      <c r="K1295" t="str">
        <f t="shared" si="20"/>
        <v>RES_199702_P1T12027</v>
      </c>
    </row>
    <row r="1296" spans="1:11">
      <c r="A1296">
        <v>2024</v>
      </c>
      <c r="B1296" t="s">
        <v>932</v>
      </c>
      <c r="C1296" t="s">
        <v>2653</v>
      </c>
      <c r="D1296" t="s">
        <v>2654</v>
      </c>
      <c r="E1296" t="s">
        <v>2654</v>
      </c>
      <c r="F1296" t="s">
        <v>2654</v>
      </c>
      <c r="G1296" t="s">
        <v>2654</v>
      </c>
      <c r="H1296" t="s">
        <v>2654</v>
      </c>
      <c r="I1296" t="s">
        <v>1705</v>
      </c>
      <c r="K1296" t="str">
        <f t="shared" si="20"/>
        <v>COM_201304_P5T12024</v>
      </c>
    </row>
    <row r="1297" spans="1:11">
      <c r="A1297">
        <v>2025</v>
      </c>
      <c r="B1297" t="s">
        <v>932</v>
      </c>
      <c r="C1297" t="s">
        <v>2653</v>
      </c>
      <c r="D1297" t="s">
        <v>2654</v>
      </c>
      <c r="E1297" t="s">
        <v>2654</v>
      </c>
      <c r="F1297" t="s">
        <v>2654</v>
      </c>
      <c r="G1297" t="s">
        <v>2654</v>
      </c>
      <c r="H1297" t="s">
        <v>2654</v>
      </c>
      <c r="I1297" t="s">
        <v>1705</v>
      </c>
      <c r="K1297" t="str">
        <f t="shared" si="20"/>
        <v>COM_201304_P5T12025</v>
      </c>
    </row>
    <row r="1298" spans="1:11">
      <c r="A1298">
        <v>2026</v>
      </c>
      <c r="B1298" t="s">
        <v>932</v>
      </c>
      <c r="C1298" t="s">
        <v>2653</v>
      </c>
      <c r="D1298" t="s">
        <v>2654</v>
      </c>
      <c r="E1298" t="s">
        <v>2654</v>
      </c>
      <c r="F1298" t="s">
        <v>2654</v>
      </c>
      <c r="G1298" t="s">
        <v>2654</v>
      </c>
      <c r="H1298" t="s">
        <v>2654</v>
      </c>
      <c r="I1298" t="s">
        <v>1705</v>
      </c>
      <c r="K1298" t="str">
        <f t="shared" si="20"/>
        <v>COM_201304_P5T12026</v>
      </c>
    </row>
    <row r="1299" spans="1:11">
      <c r="A1299">
        <v>2027</v>
      </c>
      <c r="B1299" t="s">
        <v>932</v>
      </c>
      <c r="C1299" t="s">
        <v>2653</v>
      </c>
      <c r="D1299" t="s">
        <v>2654</v>
      </c>
      <c r="E1299" t="s">
        <v>2654</v>
      </c>
      <c r="F1299" t="s">
        <v>2654</v>
      </c>
      <c r="G1299" t="s">
        <v>2654</v>
      </c>
      <c r="H1299" t="s">
        <v>2654</v>
      </c>
      <c r="I1299" t="s">
        <v>1705</v>
      </c>
      <c r="K1299" t="str">
        <f t="shared" si="20"/>
        <v>COM_201304_P5T12027</v>
      </c>
    </row>
    <row r="1300" spans="1:11">
      <c r="A1300">
        <v>2024</v>
      </c>
      <c r="B1300" t="s">
        <v>118</v>
      </c>
      <c r="C1300" t="s">
        <v>2653</v>
      </c>
      <c r="D1300" t="s">
        <v>2654</v>
      </c>
      <c r="E1300" t="s">
        <v>2654</v>
      </c>
      <c r="F1300" t="s">
        <v>2654</v>
      </c>
      <c r="G1300" t="s">
        <v>2654</v>
      </c>
      <c r="H1300" t="s">
        <v>2654</v>
      </c>
      <c r="I1300" t="s">
        <v>1185</v>
      </c>
      <c r="K1300" t="str">
        <f t="shared" si="20"/>
        <v>COM_201304_P7T12024</v>
      </c>
    </row>
    <row r="1301" spans="1:11">
      <c r="A1301">
        <v>2025</v>
      </c>
      <c r="B1301" t="s">
        <v>118</v>
      </c>
      <c r="C1301" t="s">
        <v>2653</v>
      </c>
      <c r="D1301" t="s">
        <v>2654</v>
      </c>
      <c r="E1301" t="s">
        <v>2654</v>
      </c>
      <c r="F1301" t="s">
        <v>2654</v>
      </c>
      <c r="G1301" t="s">
        <v>2654</v>
      </c>
      <c r="H1301" t="s">
        <v>2654</v>
      </c>
      <c r="I1301" t="s">
        <v>1185</v>
      </c>
      <c r="K1301" t="str">
        <f t="shared" si="20"/>
        <v>COM_201304_P7T12025</v>
      </c>
    </row>
    <row r="1302" spans="1:11">
      <c r="A1302">
        <v>2026</v>
      </c>
      <c r="B1302" t="s">
        <v>118</v>
      </c>
      <c r="C1302" t="s">
        <v>2653</v>
      </c>
      <c r="D1302" t="s">
        <v>2654</v>
      </c>
      <c r="E1302" t="s">
        <v>2654</v>
      </c>
      <c r="F1302" t="s">
        <v>2654</v>
      </c>
      <c r="G1302" t="s">
        <v>2654</v>
      </c>
      <c r="H1302" t="s">
        <v>2654</v>
      </c>
      <c r="I1302" t="s">
        <v>1185</v>
      </c>
      <c r="K1302" t="str">
        <f t="shared" si="20"/>
        <v>COM_201304_P7T12026</v>
      </c>
    </row>
    <row r="1303" spans="1:11">
      <c r="A1303">
        <v>2027</v>
      </c>
      <c r="B1303" t="s">
        <v>118</v>
      </c>
      <c r="C1303" t="s">
        <v>2653</v>
      </c>
      <c r="D1303" t="s">
        <v>2654</v>
      </c>
      <c r="E1303" t="s">
        <v>2654</v>
      </c>
      <c r="F1303" t="s">
        <v>2654</v>
      </c>
      <c r="G1303" t="s">
        <v>2654</v>
      </c>
      <c r="H1303" t="s">
        <v>2654</v>
      </c>
      <c r="I1303" t="s">
        <v>1185</v>
      </c>
      <c r="K1303" t="str">
        <f t="shared" si="20"/>
        <v>COM_201304_P7T12027</v>
      </c>
    </row>
    <row r="1304" spans="1:11">
      <c r="A1304">
        <v>2024</v>
      </c>
      <c r="B1304" t="s">
        <v>343</v>
      </c>
      <c r="C1304" t="s">
        <v>2653</v>
      </c>
      <c r="D1304" t="s">
        <v>2654</v>
      </c>
      <c r="E1304" t="s">
        <v>2654</v>
      </c>
      <c r="F1304" t="s">
        <v>2654</v>
      </c>
      <c r="G1304" t="s">
        <v>2654</v>
      </c>
      <c r="H1304" t="s">
        <v>2654</v>
      </c>
      <c r="I1304" t="s">
        <v>2243</v>
      </c>
      <c r="K1304" t="str">
        <f t="shared" si="20"/>
        <v>RES_200005_P1T12024</v>
      </c>
    </row>
    <row r="1305" spans="1:11">
      <c r="A1305">
        <v>2025</v>
      </c>
      <c r="B1305" t="s">
        <v>343</v>
      </c>
      <c r="C1305" t="s">
        <v>2653</v>
      </c>
      <c r="D1305" t="s">
        <v>2654</v>
      </c>
      <c r="E1305" t="s">
        <v>2654</v>
      </c>
      <c r="F1305" t="s">
        <v>2654</v>
      </c>
      <c r="G1305" t="s">
        <v>2654</v>
      </c>
      <c r="H1305" t="s">
        <v>2654</v>
      </c>
      <c r="I1305" t="s">
        <v>2243</v>
      </c>
      <c r="K1305" t="str">
        <f t="shared" si="20"/>
        <v>RES_200005_P1T12025</v>
      </c>
    </row>
    <row r="1306" spans="1:11">
      <c r="A1306">
        <v>2026</v>
      </c>
      <c r="B1306" t="s">
        <v>343</v>
      </c>
      <c r="C1306" t="s">
        <v>2653</v>
      </c>
      <c r="D1306" t="s">
        <v>2654</v>
      </c>
      <c r="E1306" t="s">
        <v>2654</v>
      </c>
      <c r="F1306" t="s">
        <v>2654</v>
      </c>
      <c r="G1306" t="s">
        <v>2654</v>
      </c>
      <c r="H1306" t="s">
        <v>2654</v>
      </c>
      <c r="I1306" t="s">
        <v>2243</v>
      </c>
      <c r="K1306" t="str">
        <f t="shared" si="20"/>
        <v>RES_200005_P1T12026</v>
      </c>
    </row>
    <row r="1307" spans="1:11">
      <c r="A1307">
        <v>2027</v>
      </c>
      <c r="B1307" t="s">
        <v>343</v>
      </c>
      <c r="C1307" t="s">
        <v>2653</v>
      </c>
      <c r="D1307" t="s">
        <v>2654</v>
      </c>
      <c r="E1307" t="s">
        <v>2654</v>
      </c>
      <c r="F1307" t="s">
        <v>2654</v>
      </c>
      <c r="G1307" t="s">
        <v>2654</v>
      </c>
      <c r="H1307" t="s">
        <v>2654</v>
      </c>
      <c r="I1307" t="s">
        <v>2243</v>
      </c>
      <c r="K1307" t="str">
        <f t="shared" si="20"/>
        <v>RES_200005_P1T12027</v>
      </c>
    </row>
    <row r="1308" spans="1:11">
      <c r="A1308">
        <v>2024</v>
      </c>
      <c r="B1308" t="s">
        <v>344</v>
      </c>
      <c r="C1308" t="s">
        <v>2653</v>
      </c>
      <c r="D1308" t="s">
        <v>2654</v>
      </c>
      <c r="E1308" t="s">
        <v>2654</v>
      </c>
      <c r="F1308" t="s">
        <v>2654</v>
      </c>
      <c r="G1308" t="s">
        <v>2654</v>
      </c>
      <c r="H1308" t="s">
        <v>2654</v>
      </c>
      <c r="I1308" t="s">
        <v>2246</v>
      </c>
      <c r="K1308" t="str">
        <f t="shared" si="20"/>
        <v>RES_200005_P1T22024</v>
      </c>
    </row>
    <row r="1309" spans="1:11">
      <c r="A1309">
        <v>2025</v>
      </c>
      <c r="B1309" t="s">
        <v>344</v>
      </c>
      <c r="C1309" t="s">
        <v>2653</v>
      </c>
      <c r="D1309" t="s">
        <v>2654</v>
      </c>
      <c r="E1309" t="s">
        <v>2654</v>
      </c>
      <c r="F1309" t="s">
        <v>2654</v>
      </c>
      <c r="G1309" t="s">
        <v>2654</v>
      </c>
      <c r="H1309" t="s">
        <v>2654</v>
      </c>
      <c r="I1309" t="s">
        <v>2246</v>
      </c>
      <c r="K1309" t="str">
        <f t="shared" si="20"/>
        <v>RES_200005_P1T22025</v>
      </c>
    </row>
    <row r="1310" spans="1:11">
      <c r="A1310">
        <v>2026</v>
      </c>
      <c r="B1310" t="s">
        <v>344</v>
      </c>
      <c r="C1310" t="s">
        <v>2653</v>
      </c>
      <c r="D1310" t="s">
        <v>2654</v>
      </c>
      <c r="E1310" t="s">
        <v>2654</v>
      </c>
      <c r="F1310" t="s">
        <v>2654</v>
      </c>
      <c r="G1310" t="s">
        <v>2654</v>
      </c>
      <c r="H1310" t="s">
        <v>2654</v>
      </c>
      <c r="I1310" t="s">
        <v>2246</v>
      </c>
      <c r="K1310" t="str">
        <f t="shared" si="20"/>
        <v>RES_200005_P1T22026</v>
      </c>
    </row>
    <row r="1311" spans="1:11">
      <c r="A1311">
        <v>2027</v>
      </c>
      <c r="B1311" t="s">
        <v>344</v>
      </c>
      <c r="C1311" t="s">
        <v>2653</v>
      </c>
      <c r="D1311" t="s">
        <v>2654</v>
      </c>
      <c r="E1311" t="s">
        <v>2654</v>
      </c>
      <c r="F1311" t="s">
        <v>2654</v>
      </c>
      <c r="G1311" t="s">
        <v>2654</v>
      </c>
      <c r="H1311" t="s">
        <v>2654</v>
      </c>
      <c r="I1311" t="s">
        <v>2246</v>
      </c>
      <c r="K1311" t="str">
        <f t="shared" si="20"/>
        <v>RES_200005_P1T22027</v>
      </c>
    </row>
    <row r="1312" spans="1:11">
      <c r="A1312">
        <v>2024</v>
      </c>
      <c r="B1312" t="s">
        <v>345</v>
      </c>
      <c r="C1312" t="s">
        <v>2653</v>
      </c>
      <c r="D1312" t="s">
        <v>2654</v>
      </c>
      <c r="E1312" t="s">
        <v>2654</v>
      </c>
      <c r="F1312" t="s">
        <v>2654</v>
      </c>
      <c r="G1312" t="s">
        <v>2654</v>
      </c>
      <c r="H1312" t="s">
        <v>2654</v>
      </c>
      <c r="I1312" t="s">
        <v>2248</v>
      </c>
      <c r="K1312" t="str">
        <f t="shared" si="20"/>
        <v>RES_200005_P1T32024</v>
      </c>
    </row>
    <row r="1313" spans="1:11">
      <c r="A1313">
        <v>2025</v>
      </c>
      <c r="B1313" t="s">
        <v>345</v>
      </c>
      <c r="C1313" t="s">
        <v>2653</v>
      </c>
      <c r="D1313" t="s">
        <v>2654</v>
      </c>
      <c r="E1313" t="s">
        <v>2654</v>
      </c>
      <c r="F1313" t="s">
        <v>2654</v>
      </c>
      <c r="G1313" t="s">
        <v>2654</v>
      </c>
      <c r="H1313" t="s">
        <v>2654</v>
      </c>
      <c r="I1313" t="s">
        <v>2248</v>
      </c>
      <c r="K1313" t="str">
        <f t="shared" si="20"/>
        <v>RES_200005_P1T32025</v>
      </c>
    </row>
    <row r="1314" spans="1:11">
      <c r="A1314">
        <v>2026</v>
      </c>
      <c r="B1314" t="s">
        <v>345</v>
      </c>
      <c r="C1314" t="s">
        <v>2653</v>
      </c>
      <c r="D1314" t="s">
        <v>2654</v>
      </c>
      <c r="E1314" t="s">
        <v>2654</v>
      </c>
      <c r="F1314" t="s">
        <v>2654</v>
      </c>
      <c r="G1314" t="s">
        <v>2654</v>
      </c>
      <c r="H1314" t="s">
        <v>2654</v>
      </c>
      <c r="I1314" t="s">
        <v>2248</v>
      </c>
      <c r="K1314" t="str">
        <f t="shared" si="20"/>
        <v>RES_200005_P1T32026</v>
      </c>
    </row>
    <row r="1315" spans="1:11">
      <c r="A1315">
        <v>2027</v>
      </c>
      <c r="B1315" t="s">
        <v>345</v>
      </c>
      <c r="C1315" t="s">
        <v>2653</v>
      </c>
      <c r="D1315" t="s">
        <v>2654</v>
      </c>
      <c r="E1315" t="s">
        <v>2654</v>
      </c>
      <c r="F1315" t="s">
        <v>2654</v>
      </c>
      <c r="G1315" t="s">
        <v>2654</v>
      </c>
      <c r="H1315" t="s">
        <v>2654</v>
      </c>
      <c r="I1315" t="s">
        <v>2248</v>
      </c>
      <c r="K1315" t="str">
        <f t="shared" si="20"/>
        <v>RES_200005_P1T32027</v>
      </c>
    </row>
    <row r="1316" spans="1:11">
      <c r="A1316">
        <v>2024</v>
      </c>
      <c r="B1316" t="s">
        <v>346</v>
      </c>
      <c r="C1316" t="s">
        <v>2653</v>
      </c>
      <c r="D1316" t="s">
        <v>2654</v>
      </c>
      <c r="E1316" t="s">
        <v>2654</v>
      </c>
      <c r="F1316" t="s">
        <v>2654</v>
      </c>
      <c r="G1316" t="s">
        <v>2654</v>
      </c>
      <c r="H1316" t="s">
        <v>2654</v>
      </c>
      <c r="I1316" t="s">
        <v>2250</v>
      </c>
      <c r="K1316" t="str">
        <f t="shared" si="20"/>
        <v>RES_200005_P1T42024</v>
      </c>
    </row>
    <row r="1317" spans="1:11">
      <c r="A1317">
        <v>2025</v>
      </c>
      <c r="B1317" t="s">
        <v>346</v>
      </c>
      <c r="C1317" t="s">
        <v>2653</v>
      </c>
      <c r="D1317" t="s">
        <v>2654</v>
      </c>
      <c r="E1317" t="s">
        <v>2654</v>
      </c>
      <c r="F1317" t="s">
        <v>2654</v>
      </c>
      <c r="G1317" t="s">
        <v>2654</v>
      </c>
      <c r="H1317" t="s">
        <v>2654</v>
      </c>
      <c r="I1317" t="s">
        <v>2250</v>
      </c>
      <c r="K1317" t="str">
        <f t="shared" si="20"/>
        <v>RES_200005_P1T42025</v>
      </c>
    </row>
    <row r="1318" spans="1:11">
      <c r="A1318">
        <v>2026</v>
      </c>
      <c r="B1318" t="s">
        <v>346</v>
      </c>
      <c r="C1318" t="s">
        <v>2653</v>
      </c>
      <c r="D1318" t="s">
        <v>2654</v>
      </c>
      <c r="E1318" t="s">
        <v>2654</v>
      </c>
      <c r="F1318" t="s">
        <v>2654</v>
      </c>
      <c r="G1318" t="s">
        <v>2654</v>
      </c>
      <c r="H1318" t="s">
        <v>2654</v>
      </c>
      <c r="I1318" t="s">
        <v>2250</v>
      </c>
      <c r="K1318" t="str">
        <f t="shared" si="20"/>
        <v>RES_200005_P1T42026</v>
      </c>
    </row>
    <row r="1319" spans="1:11">
      <c r="A1319">
        <v>2027</v>
      </c>
      <c r="B1319" t="s">
        <v>346</v>
      </c>
      <c r="C1319" t="s">
        <v>2653</v>
      </c>
      <c r="D1319" t="s">
        <v>2654</v>
      </c>
      <c r="E1319" t="s">
        <v>2654</v>
      </c>
      <c r="F1319" t="s">
        <v>2654</v>
      </c>
      <c r="G1319" t="s">
        <v>2654</v>
      </c>
      <c r="H1319" t="s">
        <v>2654</v>
      </c>
      <c r="I1319" t="s">
        <v>2250</v>
      </c>
      <c r="K1319" t="str">
        <f t="shared" si="20"/>
        <v>RES_200005_P1T42027</v>
      </c>
    </row>
    <row r="1320" spans="1:11">
      <c r="A1320">
        <v>2027</v>
      </c>
      <c r="B1320" t="s">
        <v>337</v>
      </c>
      <c r="C1320" t="s">
        <v>2653</v>
      </c>
      <c r="D1320" t="s">
        <v>2654</v>
      </c>
      <c r="E1320" t="s">
        <v>2654</v>
      </c>
      <c r="F1320" t="s">
        <v>2654</v>
      </c>
      <c r="G1320" t="s">
        <v>2654</v>
      </c>
      <c r="H1320" t="s">
        <v>2654</v>
      </c>
      <c r="I1320" t="s">
        <v>1850</v>
      </c>
      <c r="K1320" t="str">
        <f t="shared" si="20"/>
        <v>RES_201402_P6T12027</v>
      </c>
    </row>
    <row r="1321" spans="1:11">
      <c r="A1321">
        <v>2024</v>
      </c>
      <c r="B1321" t="s">
        <v>337</v>
      </c>
      <c r="C1321" t="s">
        <v>2653</v>
      </c>
      <c r="D1321" t="s">
        <v>2654</v>
      </c>
      <c r="E1321" t="s">
        <v>2654</v>
      </c>
      <c r="F1321" t="s">
        <v>2654</v>
      </c>
      <c r="G1321" t="s">
        <v>2654</v>
      </c>
      <c r="H1321" t="s">
        <v>2654</v>
      </c>
      <c r="I1321" t="s">
        <v>1850</v>
      </c>
      <c r="K1321" t="str">
        <f t="shared" si="20"/>
        <v>RES_201402_P6T12024</v>
      </c>
    </row>
    <row r="1322" spans="1:11">
      <c r="A1322">
        <v>2025</v>
      </c>
      <c r="B1322" t="s">
        <v>337</v>
      </c>
      <c r="C1322" t="s">
        <v>2653</v>
      </c>
      <c r="D1322" t="s">
        <v>2654</v>
      </c>
      <c r="E1322" t="s">
        <v>2654</v>
      </c>
      <c r="F1322" t="s">
        <v>2654</v>
      </c>
      <c r="G1322" t="s">
        <v>2654</v>
      </c>
      <c r="H1322" t="s">
        <v>2654</v>
      </c>
      <c r="I1322" t="s">
        <v>1850</v>
      </c>
      <c r="K1322" t="str">
        <f t="shared" si="20"/>
        <v>RES_201402_P6T12025</v>
      </c>
    </row>
    <row r="1323" spans="1:11">
      <c r="A1323">
        <v>2026</v>
      </c>
      <c r="B1323" t="s">
        <v>337</v>
      </c>
      <c r="C1323" t="s">
        <v>2653</v>
      </c>
      <c r="D1323" t="s">
        <v>2654</v>
      </c>
      <c r="E1323" t="s">
        <v>2654</v>
      </c>
      <c r="F1323" t="s">
        <v>2654</v>
      </c>
      <c r="G1323" t="s">
        <v>2654</v>
      </c>
      <c r="H1323" t="s">
        <v>2654</v>
      </c>
      <c r="I1323" t="s">
        <v>1850</v>
      </c>
      <c r="K1323" t="str">
        <f t="shared" si="20"/>
        <v>RES_201402_P6T12026</v>
      </c>
    </row>
    <row r="1324" spans="1:11">
      <c r="A1324">
        <v>2024</v>
      </c>
      <c r="B1324" t="s">
        <v>937</v>
      </c>
      <c r="C1324" t="s">
        <v>2653</v>
      </c>
      <c r="D1324" t="s">
        <v>2654</v>
      </c>
      <c r="E1324" t="s">
        <v>2654</v>
      </c>
      <c r="F1324" t="s">
        <v>2654</v>
      </c>
      <c r="G1324" t="s">
        <v>2654</v>
      </c>
      <c r="H1324" t="s">
        <v>2654</v>
      </c>
      <c r="I1324" t="s">
        <v>1707</v>
      </c>
      <c r="K1324" t="str">
        <f t="shared" si="20"/>
        <v>COM_201304_P8T12024</v>
      </c>
    </row>
    <row r="1325" spans="1:11">
      <c r="A1325">
        <v>2025</v>
      </c>
      <c r="B1325" t="s">
        <v>937</v>
      </c>
      <c r="C1325" t="s">
        <v>2653</v>
      </c>
      <c r="D1325" t="s">
        <v>2654</v>
      </c>
      <c r="E1325" t="s">
        <v>2654</v>
      </c>
      <c r="F1325" t="s">
        <v>2654</v>
      </c>
      <c r="G1325" t="s">
        <v>2654</v>
      </c>
      <c r="H1325" t="s">
        <v>2654</v>
      </c>
      <c r="I1325" t="s">
        <v>1707</v>
      </c>
      <c r="K1325" t="str">
        <f t="shared" si="20"/>
        <v>COM_201304_P8T12025</v>
      </c>
    </row>
    <row r="1326" spans="1:11">
      <c r="A1326">
        <v>2026</v>
      </c>
      <c r="B1326" t="s">
        <v>937</v>
      </c>
      <c r="C1326" t="s">
        <v>2653</v>
      </c>
      <c r="D1326" t="s">
        <v>2654</v>
      </c>
      <c r="E1326" t="s">
        <v>2654</v>
      </c>
      <c r="F1326" t="s">
        <v>2654</v>
      </c>
      <c r="G1326" t="s">
        <v>2654</v>
      </c>
      <c r="H1326" t="s">
        <v>2654</v>
      </c>
      <c r="I1326" t="s">
        <v>1707</v>
      </c>
      <c r="K1326" t="str">
        <f t="shared" si="20"/>
        <v>COM_201304_P8T12026</v>
      </c>
    </row>
    <row r="1327" spans="1:11">
      <c r="A1327">
        <v>2027</v>
      </c>
      <c r="B1327" t="s">
        <v>937</v>
      </c>
      <c r="C1327" t="s">
        <v>2653</v>
      </c>
      <c r="D1327" t="s">
        <v>2654</v>
      </c>
      <c r="E1327" t="s">
        <v>2654</v>
      </c>
      <c r="F1327" t="s">
        <v>2654</v>
      </c>
      <c r="G1327" t="s">
        <v>2654</v>
      </c>
      <c r="H1327" t="s">
        <v>2654</v>
      </c>
      <c r="I1327" t="s">
        <v>1707</v>
      </c>
      <c r="K1327" t="str">
        <f t="shared" si="20"/>
        <v>COM_201304_P8T12027</v>
      </c>
    </row>
    <row r="1328" spans="1:11">
      <c r="A1328">
        <v>2024</v>
      </c>
      <c r="B1328" t="s">
        <v>347</v>
      </c>
      <c r="C1328" t="s">
        <v>2653</v>
      </c>
      <c r="D1328" t="s">
        <v>2654</v>
      </c>
      <c r="E1328" t="s">
        <v>2654</v>
      </c>
      <c r="F1328" t="s">
        <v>2654</v>
      </c>
      <c r="G1328" t="s">
        <v>2654</v>
      </c>
      <c r="H1328" t="s">
        <v>2654</v>
      </c>
      <c r="I1328" t="s">
        <v>1851</v>
      </c>
      <c r="K1328" t="str">
        <f t="shared" si="20"/>
        <v>RES_201402_P7T12024</v>
      </c>
    </row>
    <row r="1329" spans="1:11">
      <c r="A1329">
        <v>2025</v>
      </c>
      <c r="B1329" t="s">
        <v>347</v>
      </c>
      <c r="C1329" t="s">
        <v>2653</v>
      </c>
      <c r="D1329" t="s">
        <v>2654</v>
      </c>
      <c r="E1329" t="s">
        <v>2654</v>
      </c>
      <c r="F1329" t="s">
        <v>2654</v>
      </c>
      <c r="G1329" t="s">
        <v>2654</v>
      </c>
      <c r="H1329" t="s">
        <v>2654</v>
      </c>
      <c r="I1329" t="s">
        <v>1851</v>
      </c>
      <c r="K1329" t="str">
        <f t="shared" si="20"/>
        <v>RES_201402_P7T12025</v>
      </c>
    </row>
    <row r="1330" spans="1:11">
      <c r="A1330">
        <v>2026</v>
      </c>
      <c r="B1330" t="s">
        <v>347</v>
      </c>
      <c r="C1330" t="s">
        <v>2653</v>
      </c>
      <c r="D1330" t="s">
        <v>2654</v>
      </c>
      <c r="E1330" t="s">
        <v>2654</v>
      </c>
      <c r="F1330" t="s">
        <v>2654</v>
      </c>
      <c r="G1330" t="s">
        <v>2654</v>
      </c>
      <c r="H1330" t="s">
        <v>2654</v>
      </c>
      <c r="I1330" t="s">
        <v>1851</v>
      </c>
      <c r="K1330" t="str">
        <f t="shared" si="20"/>
        <v>RES_201402_P7T12026</v>
      </c>
    </row>
    <row r="1331" spans="1:11">
      <c r="A1331">
        <v>2027</v>
      </c>
      <c r="B1331" t="s">
        <v>347</v>
      </c>
      <c r="C1331" t="s">
        <v>2653</v>
      </c>
      <c r="D1331" t="s">
        <v>2654</v>
      </c>
      <c r="E1331" t="s">
        <v>2654</v>
      </c>
      <c r="F1331" t="s">
        <v>2654</v>
      </c>
      <c r="G1331" t="s">
        <v>2654</v>
      </c>
      <c r="H1331" t="s">
        <v>2654</v>
      </c>
      <c r="I1331" t="s">
        <v>1851</v>
      </c>
      <c r="K1331" t="str">
        <f t="shared" si="20"/>
        <v>RES_201402_P7T12027</v>
      </c>
    </row>
    <row r="1332" spans="1:11">
      <c r="A1332">
        <v>2024</v>
      </c>
      <c r="B1332" t="s">
        <v>349</v>
      </c>
      <c r="C1332" t="s">
        <v>2653</v>
      </c>
      <c r="D1332" t="s">
        <v>2654</v>
      </c>
      <c r="E1332" t="s">
        <v>2654</v>
      </c>
      <c r="F1332" t="s">
        <v>2654</v>
      </c>
      <c r="G1332" t="s">
        <v>2654</v>
      </c>
      <c r="H1332" t="s">
        <v>2654</v>
      </c>
      <c r="I1332" t="s">
        <v>1852</v>
      </c>
      <c r="K1332" t="str">
        <f t="shared" si="20"/>
        <v>RES_201402_P8T12024</v>
      </c>
    </row>
    <row r="1333" spans="1:11">
      <c r="A1333">
        <v>2025</v>
      </c>
      <c r="B1333" t="s">
        <v>349</v>
      </c>
      <c r="C1333" t="s">
        <v>2653</v>
      </c>
      <c r="D1333" t="s">
        <v>2654</v>
      </c>
      <c r="E1333" t="s">
        <v>2654</v>
      </c>
      <c r="F1333" t="s">
        <v>2654</v>
      </c>
      <c r="G1333" t="s">
        <v>2654</v>
      </c>
      <c r="H1333" t="s">
        <v>2654</v>
      </c>
      <c r="I1333" t="s">
        <v>1852</v>
      </c>
      <c r="K1333" t="str">
        <f t="shared" si="20"/>
        <v>RES_201402_P8T12025</v>
      </c>
    </row>
    <row r="1334" spans="1:11">
      <c r="A1334">
        <v>2026</v>
      </c>
      <c r="B1334" t="s">
        <v>349</v>
      </c>
      <c r="C1334" t="s">
        <v>2653</v>
      </c>
      <c r="D1334" t="s">
        <v>2654</v>
      </c>
      <c r="E1334" t="s">
        <v>2654</v>
      </c>
      <c r="F1334" t="s">
        <v>2654</v>
      </c>
      <c r="G1334" t="s">
        <v>2654</v>
      </c>
      <c r="H1334" t="s">
        <v>2654</v>
      </c>
      <c r="I1334" t="s">
        <v>1852</v>
      </c>
      <c r="K1334" t="str">
        <f t="shared" si="20"/>
        <v>RES_201402_P8T12026</v>
      </c>
    </row>
    <row r="1335" spans="1:11">
      <c r="A1335">
        <v>2027</v>
      </c>
      <c r="B1335" t="s">
        <v>349</v>
      </c>
      <c r="C1335" t="s">
        <v>2653</v>
      </c>
      <c r="D1335" t="s">
        <v>2654</v>
      </c>
      <c r="E1335" t="s">
        <v>2654</v>
      </c>
      <c r="F1335" t="s">
        <v>2654</v>
      </c>
      <c r="G1335" t="s">
        <v>2654</v>
      </c>
      <c r="H1335" t="s">
        <v>2654</v>
      </c>
      <c r="I1335" t="s">
        <v>1852</v>
      </c>
      <c r="K1335" t="str">
        <f t="shared" si="20"/>
        <v>RES_201402_P8T12027</v>
      </c>
    </row>
    <row r="1336" spans="1:11">
      <c r="A1336">
        <v>2024</v>
      </c>
      <c r="B1336" t="s">
        <v>348</v>
      </c>
      <c r="C1336" t="s">
        <v>2653</v>
      </c>
      <c r="D1336" t="s">
        <v>2654</v>
      </c>
      <c r="E1336" t="s">
        <v>2654</v>
      </c>
      <c r="F1336" t="s">
        <v>2654</v>
      </c>
      <c r="G1336" t="s">
        <v>2654</v>
      </c>
      <c r="H1336" t="s">
        <v>2654</v>
      </c>
      <c r="I1336" t="s">
        <v>1703</v>
      </c>
      <c r="K1336" t="str">
        <f t="shared" si="20"/>
        <v>COM_201304_P2T12024</v>
      </c>
    </row>
    <row r="1337" spans="1:11">
      <c r="A1337">
        <v>2025</v>
      </c>
      <c r="B1337" t="s">
        <v>348</v>
      </c>
      <c r="C1337" t="s">
        <v>2653</v>
      </c>
      <c r="D1337" t="s">
        <v>2654</v>
      </c>
      <c r="E1337" t="s">
        <v>2654</v>
      </c>
      <c r="F1337" t="s">
        <v>2654</v>
      </c>
      <c r="G1337" t="s">
        <v>2654</v>
      </c>
      <c r="H1337" t="s">
        <v>2654</v>
      </c>
      <c r="I1337" t="s">
        <v>1703</v>
      </c>
      <c r="K1337" t="str">
        <f t="shared" si="20"/>
        <v>COM_201304_P2T12025</v>
      </c>
    </row>
    <row r="1338" spans="1:11">
      <c r="A1338">
        <v>2026</v>
      </c>
      <c r="B1338" t="s">
        <v>348</v>
      </c>
      <c r="C1338" t="s">
        <v>2653</v>
      </c>
      <c r="D1338" t="s">
        <v>2654</v>
      </c>
      <c r="E1338" t="s">
        <v>2654</v>
      </c>
      <c r="F1338" t="s">
        <v>2654</v>
      </c>
      <c r="G1338" t="s">
        <v>2654</v>
      </c>
      <c r="H1338" t="s">
        <v>2654</v>
      </c>
      <c r="I1338" t="s">
        <v>1703</v>
      </c>
      <c r="K1338" t="str">
        <f t="shared" si="20"/>
        <v>COM_201304_P2T12026</v>
      </c>
    </row>
    <row r="1339" spans="1:11">
      <c r="A1339">
        <v>2027</v>
      </c>
      <c r="B1339" t="s">
        <v>348</v>
      </c>
      <c r="C1339" t="s">
        <v>2653</v>
      </c>
      <c r="D1339" t="s">
        <v>2654</v>
      </c>
      <c r="E1339" t="s">
        <v>2654</v>
      </c>
      <c r="F1339" t="s">
        <v>2654</v>
      </c>
      <c r="G1339" t="s">
        <v>2654</v>
      </c>
      <c r="H1339" t="s">
        <v>2654</v>
      </c>
      <c r="I1339" t="s">
        <v>1703</v>
      </c>
      <c r="K1339" t="str">
        <f t="shared" si="20"/>
        <v>COM_201304_P2T12027</v>
      </c>
    </row>
    <row r="1340" spans="1:11">
      <c r="A1340">
        <v>2024</v>
      </c>
      <c r="B1340" t="s">
        <v>408</v>
      </c>
      <c r="C1340" t="s">
        <v>2653</v>
      </c>
      <c r="D1340" t="s">
        <v>2654</v>
      </c>
      <c r="E1340" t="s">
        <v>2654</v>
      </c>
      <c r="F1340" t="s">
        <v>2654</v>
      </c>
      <c r="G1340" t="s">
        <v>2654</v>
      </c>
      <c r="H1340" t="s">
        <v>2654</v>
      </c>
      <c r="I1340" t="s">
        <v>1849</v>
      </c>
      <c r="K1340" t="str">
        <f t="shared" si="20"/>
        <v>RES_201402_P5T12024</v>
      </c>
    </row>
    <row r="1341" spans="1:11">
      <c r="A1341">
        <v>2025</v>
      </c>
      <c r="B1341" t="s">
        <v>408</v>
      </c>
      <c r="C1341" t="s">
        <v>2653</v>
      </c>
      <c r="D1341" t="s">
        <v>2654</v>
      </c>
      <c r="E1341" t="s">
        <v>2654</v>
      </c>
      <c r="F1341" t="s">
        <v>2654</v>
      </c>
      <c r="G1341" t="s">
        <v>2654</v>
      </c>
      <c r="H1341" t="s">
        <v>2654</v>
      </c>
      <c r="I1341" t="s">
        <v>1849</v>
      </c>
      <c r="K1341" t="str">
        <f t="shared" si="20"/>
        <v>RES_201402_P5T12025</v>
      </c>
    </row>
    <row r="1342" spans="1:11">
      <c r="A1342">
        <v>2026</v>
      </c>
      <c r="B1342" t="s">
        <v>408</v>
      </c>
      <c r="C1342" t="s">
        <v>2653</v>
      </c>
      <c r="D1342" t="s">
        <v>2654</v>
      </c>
      <c r="E1342" t="s">
        <v>2654</v>
      </c>
      <c r="F1342" t="s">
        <v>2654</v>
      </c>
      <c r="G1342" t="s">
        <v>2654</v>
      </c>
      <c r="H1342" t="s">
        <v>2654</v>
      </c>
      <c r="I1342" t="s">
        <v>1849</v>
      </c>
      <c r="K1342" t="str">
        <f t="shared" si="20"/>
        <v>RES_201402_P5T12026</v>
      </c>
    </row>
    <row r="1343" spans="1:11">
      <c r="A1343">
        <v>2027</v>
      </c>
      <c r="B1343" t="s">
        <v>408</v>
      </c>
      <c r="C1343" t="s">
        <v>2653</v>
      </c>
      <c r="D1343" t="s">
        <v>2654</v>
      </c>
      <c r="E1343" t="s">
        <v>2654</v>
      </c>
      <c r="F1343" t="s">
        <v>2654</v>
      </c>
      <c r="G1343" t="s">
        <v>2654</v>
      </c>
      <c r="H1343" t="s">
        <v>2654</v>
      </c>
      <c r="I1343" t="s">
        <v>1849</v>
      </c>
      <c r="K1343" t="str">
        <f t="shared" si="20"/>
        <v>RES_201402_P5T12027</v>
      </c>
    </row>
    <row r="1344" spans="1:11">
      <c r="A1344">
        <v>2024</v>
      </c>
      <c r="B1344" t="s">
        <v>393</v>
      </c>
      <c r="C1344" t="s">
        <v>2653</v>
      </c>
      <c r="D1344" t="s">
        <v>2654</v>
      </c>
      <c r="E1344" t="s">
        <v>2654</v>
      </c>
      <c r="F1344" t="s">
        <v>2654</v>
      </c>
      <c r="G1344" t="s">
        <v>2654</v>
      </c>
      <c r="H1344" t="s">
        <v>2654</v>
      </c>
      <c r="I1344" t="s">
        <v>1848</v>
      </c>
      <c r="K1344" t="str">
        <f t="shared" si="20"/>
        <v>RES_201402_P4T12024</v>
      </c>
    </row>
    <row r="1345" spans="1:11">
      <c r="A1345">
        <v>2025</v>
      </c>
      <c r="B1345" t="s">
        <v>393</v>
      </c>
      <c r="C1345" t="s">
        <v>2653</v>
      </c>
      <c r="D1345" t="s">
        <v>2654</v>
      </c>
      <c r="E1345" t="s">
        <v>2654</v>
      </c>
      <c r="F1345" t="s">
        <v>2654</v>
      </c>
      <c r="G1345" t="s">
        <v>2654</v>
      </c>
      <c r="H1345" t="s">
        <v>2654</v>
      </c>
      <c r="I1345" t="s">
        <v>1848</v>
      </c>
      <c r="K1345" t="str">
        <f t="shared" si="20"/>
        <v>RES_201402_P4T12025</v>
      </c>
    </row>
    <row r="1346" spans="1:11">
      <c r="A1346">
        <v>2026</v>
      </c>
      <c r="B1346" t="s">
        <v>393</v>
      </c>
      <c r="C1346" t="s">
        <v>2653</v>
      </c>
      <c r="D1346" t="s">
        <v>2654</v>
      </c>
      <c r="E1346" t="s">
        <v>2654</v>
      </c>
      <c r="F1346" t="s">
        <v>2654</v>
      </c>
      <c r="G1346" t="s">
        <v>2654</v>
      </c>
      <c r="H1346" t="s">
        <v>2654</v>
      </c>
      <c r="I1346" t="s">
        <v>1848</v>
      </c>
      <c r="K1346" t="str">
        <f t="shared" si="20"/>
        <v>RES_201402_P4T12026</v>
      </c>
    </row>
    <row r="1347" spans="1:11">
      <c r="A1347">
        <v>2027</v>
      </c>
      <c r="B1347" t="s">
        <v>393</v>
      </c>
      <c r="C1347" t="s">
        <v>2653</v>
      </c>
      <c r="D1347" t="s">
        <v>2654</v>
      </c>
      <c r="E1347" t="s">
        <v>2654</v>
      </c>
      <c r="F1347" t="s">
        <v>2654</v>
      </c>
      <c r="G1347" t="s">
        <v>2654</v>
      </c>
      <c r="H1347" t="s">
        <v>2654</v>
      </c>
      <c r="I1347" t="s">
        <v>1848</v>
      </c>
      <c r="K1347" t="str">
        <f t="shared" ref="K1347:K1410" si="21">B1347&amp;A1347</f>
        <v>RES_201402_P4T12027</v>
      </c>
    </row>
    <row r="1348" spans="1:11">
      <c r="A1348">
        <v>2024</v>
      </c>
      <c r="B1348" t="s">
        <v>706</v>
      </c>
      <c r="C1348" t="s">
        <v>2653</v>
      </c>
      <c r="D1348" t="s">
        <v>2654</v>
      </c>
      <c r="E1348" t="s">
        <v>2654</v>
      </c>
      <c r="F1348" t="s">
        <v>2654</v>
      </c>
      <c r="G1348" t="s">
        <v>2654</v>
      </c>
      <c r="H1348" t="s">
        <v>2654</v>
      </c>
      <c r="I1348" t="s">
        <v>1191</v>
      </c>
      <c r="K1348" t="str">
        <f t="shared" si="21"/>
        <v>COM_201304_P12T12024</v>
      </c>
    </row>
    <row r="1349" spans="1:11">
      <c r="A1349">
        <v>2025</v>
      </c>
      <c r="B1349" t="s">
        <v>706</v>
      </c>
      <c r="C1349" t="s">
        <v>2653</v>
      </c>
      <c r="D1349" t="s">
        <v>2654</v>
      </c>
      <c r="E1349" t="s">
        <v>2654</v>
      </c>
      <c r="F1349" t="s">
        <v>2654</v>
      </c>
      <c r="G1349" t="s">
        <v>2654</v>
      </c>
      <c r="H1349" t="s">
        <v>2654</v>
      </c>
      <c r="I1349" t="s">
        <v>1191</v>
      </c>
      <c r="K1349" t="str">
        <f t="shared" si="21"/>
        <v>COM_201304_P12T12025</v>
      </c>
    </row>
    <row r="1350" spans="1:11">
      <c r="A1350">
        <v>2026</v>
      </c>
      <c r="B1350" t="s">
        <v>706</v>
      </c>
      <c r="C1350" t="s">
        <v>2653</v>
      </c>
      <c r="D1350" t="s">
        <v>2654</v>
      </c>
      <c r="E1350" t="s">
        <v>2654</v>
      </c>
      <c r="F1350" t="s">
        <v>2654</v>
      </c>
      <c r="G1350" t="s">
        <v>2654</v>
      </c>
      <c r="H1350" t="s">
        <v>2654</v>
      </c>
      <c r="I1350" t="s">
        <v>1191</v>
      </c>
      <c r="K1350" t="str">
        <f t="shared" si="21"/>
        <v>COM_201304_P12T12026</v>
      </c>
    </row>
    <row r="1351" spans="1:11">
      <c r="A1351">
        <v>2027</v>
      </c>
      <c r="B1351" t="s">
        <v>706</v>
      </c>
      <c r="C1351" t="s">
        <v>2653</v>
      </c>
      <c r="D1351" t="s">
        <v>2654</v>
      </c>
      <c r="E1351" t="s">
        <v>2654</v>
      </c>
      <c r="F1351" t="s">
        <v>2654</v>
      </c>
      <c r="G1351" t="s">
        <v>2654</v>
      </c>
      <c r="H1351" t="s">
        <v>2654</v>
      </c>
      <c r="I1351" t="s">
        <v>1191</v>
      </c>
      <c r="K1351" t="str">
        <f t="shared" si="21"/>
        <v>COM_201304_P12T12027</v>
      </c>
    </row>
    <row r="1352" spans="1:11">
      <c r="A1352">
        <v>2024</v>
      </c>
      <c r="B1352" t="s">
        <v>387</v>
      </c>
      <c r="C1352" t="s">
        <v>2653</v>
      </c>
      <c r="D1352" t="s">
        <v>2654</v>
      </c>
      <c r="E1352" t="s">
        <v>2654</v>
      </c>
      <c r="F1352" t="s">
        <v>2654</v>
      </c>
      <c r="G1352" t="s">
        <v>2654</v>
      </c>
      <c r="H1352" t="s">
        <v>2654</v>
      </c>
      <c r="I1352" t="s">
        <v>2258</v>
      </c>
      <c r="K1352" t="str">
        <f t="shared" si="21"/>
        <v>RES_200006_P1T22024</v>
      </c>
    </row>
    <row r="1353" spans="1:11">
      <c r="A1353">
        <v>2025</v>
      </c>
      <c r="B1353" t="s">
        <v>387</v>
      </c>
      <c r="C1353" t="s">
        <v>2653</v>
      </c>
      <c r="D1353" t="s">
        <v>2654</v>
      </c>
      <c r="E1353" t="s">
        <v>2654</v>
      </c>
      <c r="F1353" t="s">
        <v>2654</v>
      </c>
      <c r="G1353" t="s">
        <v>2654</v>
      </c>
      <c r="H1353" t="s">
        <v>2654</v>
      </c>
      <c r="I1353" t="s">
        <v>2258</v>
      </c>
      <c r="K1353" t="str">
        <f t="shared" si="21"/>
        <v>RES_200006_P1T22025</v>
      </c>
    </row>
    <row r="1354" spans="1:11">
      <c r="A1354">
        <v>2026</v>
      </c>
      <c r="B1354" t="s">
        <v>387</v>
      </c>
      <c r="C1354" t="s">
        <v>2653</v>
      </c>
      <c r="D1354" t="s">
        <v>2654</v>
      </c>
      <c r="E1354" t="s">
        <v>2654</v>
      </c>
      <c r="F1354" t="s">
        <v>2654</v>
      </c>
      <c r="G1354" t="s">
        <v>2654</v>
      </c>
      <c r="H1354" t="s">
        <v>2654</v>
      </c>
      <c r="I1354" t="s">
        <v>2258</v>
      </c>
      <c r="K1354" t="str">
        <f t="shared" si="21"/>
        <v>RES_200006_P1T22026</v>
      </c>
    </row>
    <row r="1355" spans="1:11">
      <c r="A1355">
        <v>2027</v>
      </c>
      <c r="B1355" t="s">
        <v>387</v>
      </c>
      <c r="C1355" t="s">
        <v>2653</v>
      </c>
      <c r="D1355" t="s">
        <v>2654</v>
      </c>
      <c r="E1355" t="s">
        <v>2654</v>
      </c>
      <c r="F1355" t="s">
        <v>2654</v>
      </c>
      <c r="G1355" t="s">
        <v>2654</v>
      </c>
      <c r="H1355" t="s">
        <v>2654</v>
      </c>
      <c r="I1355" t="s">
        <v>2258</v>
      </c>
      <c r="K1355" t="str">
        <f t="shared" si="21"/>
        <v>RES_200006_P1T22027</v>
      </c>
    </row>
    <row r="1356" spans="1:11">
      <c r="A1356">
        <v>2024</v>
      </c>
      <c r="B1356" t="s">
        <v>386</v>
      </c>
      <c r="C1356" t="s">
        <v>2653</v>
      </c>
      <c r="D1356" t="s">
        <v>2654</v>
      </c>
      <c r="E1356" t="s">
        <v>2654</v>
      </c>
      <c r="F1356" t="s">
        <v>2654</v>
      </c>
      <c r="G1356" t="s">
        <v>2654</v>
      </c>
      <c r="H1356" t="s">
        <v>2654</v>
      </c>
      <c r="I1356" t="s">
        <v>2256</v>
      </c>
      <c r="K1356" t="str">
        <f t="shared" si="21"/>
        <v>RES_200006_P1T12024</v>
      </c>
    </row>
    <row r="1357" spans="1:11">
      <c r="A1357">
        <v>2025</v>
      </c>
      <c r="B1357" t="s">
        <v>386</v>
      </c>
      <c r="C1357" t="s">
        <v>2653</v>
      </c>
      <c r="D1357" t="s">
        <v>2654</v>
      </c>
      <c r="E1357" t="s">
        <v>2654</v>
      </c>
      <c r="F1357" t="s">
        <v>2654</v>
      </c>
      <c r="G1357" t="s">
        <v>2654</v>
      </c>
      <c r="H1357" t="s">
        <v>2654</v>
      </c>
      <c r="I1357" t="s">
        <v>2256</v>
      </c>
      <c r="K1357" t="str">
        <f t="shared" si="21"/>
        <v>RES_200006_P1T12025</v>
      </c>
    </row>
    <row r="1358" spans="1:11">
      <c r="A1358">
        <v>2026</v>
      </c>
      <c r="B1358" t="s">
        <v>386</v>
      </c>
      <c r="C1358" t="s">
        <v>2653</v>
      </c>
      <c r="D1358" t="s">
        <v>2654</v>
      </c>
      <c r="E1358" t="s">
        <v>2654</v>
      </c>
      <c r="F1358" t="s">
        <v>2654</v>
      </c>
      <c r="G1358" t="s">
        <v>2654</v>
      </c>
      <c r="H1358" t="s">
        <v>2654</v>
      </c>
      <c r="I1358" t="s">
        <v>2256</v>
      </c>
      <c r="K1358" t="str">
        <f t="shared" si="21"/>
        <v>RES_200006_P1T12026</v>
      </c>
    </row>
    <row r="1359" spans="1:11">
      <c r="A1359">
        <v>2027</v>
      </c>
      <c r="B1359" t="s">
        <v>386</v>
      </c>
      <c r="C1359" t="s">
        <v>2653</v>
      </c>
      <c r="D1359" t="s">
        <v>2654</v>
      </c>
      <c r="E1359" t="s">
        <v>2654</v>
      </c>
      <c r="F1359" t="s">
        <v>2654</v>
      </c>
      <c r="G1359" t="s">
        <v>2654</v>
      </c>
      <c r="H1359" t="s">
        <v>2654</v>
      </c>
      <c r="I1359" t="s">
        <v>2256</v>
      </c>
      <c r="K1359" t="str">
        <f t="shared" si="21"/>
        <v>RES_200006_P1T12027</v>
      </c>
    </row>
    <row r="1360" spans="1:11">
      <c r="A1360">
        <v>2024</v>
      </c>
      <c r="B1360" t="s">
        <v>339</v>
      </c>
      <c r="C1360" t="s">
        <v>2653</v>
      </c>
      <c r="D1360" t="s">
        <v>2654</v>
      </c>
      <c r="E1360" t="s">
        <v>2654</v>
      </c>
      <c r="F1360" t="s">
        <v>2654</v>
      </c>
      <c r="G1360" t="s">
        <v>2654</v>
      </c>
      <c r="H1360" t="s">
        <v>2654</v>
      </c>
      <c r="I1360" t="s">
        <v>2214</v>
      </c>
      <c r="K1360" t="str">
        <f t="shared" si="21"/>
        <v>RES_199702_P1T22024</v>
      </c>
    </row>
    <row r="1361" spans="1:11">
      <c r="A1361">
        <v>2025</v>
      </c>
      <c r="B1361" t="s">
        <v>339</v>
      </c>
      <c r="C1361" t="s">
        <v>2653</v>
      </c>
      <c r="D1361" t="s">
        <v>2654</v>
      </c>
      <c r="E1361" t="s">
        <v>2654</v>
      </c>
      <c r="F1361" t="s">
        <v>2654</v>
      </c>
      <c r="G1361" t="s">
        <v>2654</v>
      </c>
      <c r="H1361" t="s">
        <v>2654</v>
      </c>
      <c r="I1361" t="s">
        <v>2214</v>
      </c>
      <c r="K1361" t="str">
        <f t="shared" si="21"/>
        <v>RES_199702_P1T22025</v>
      </c>
    </row>
    <row r="1362" spans="1:11">
      <c r="A1362">
        <v>2026</v>
      </c>
      <c r="B1362" t="s">
        <v>339</v>
      </c>
      <c r="C1362" t="s">
        <v>2653</v>
      </c>
      <c r="D1362" t="s">
        <v>2654</v>
      </c>
      <c r="E1362" t="s">
        <v>2654</v>
      </c>
      <c r="F1362" t="s">
        <v>2654</v>
      </c>
      <c r="G1362" t="s">
        <v>2654</v>
      </c>
      <c r="H1362" t="s">
        <v>2654</v>
      </c>
      <c r="I1362" t="s">
        <v>2214</v>
      </c>
      <c r="K1362" t="str">
        <f t="shared" si="21"/>
        <v>RES_199702_P1T22026</v>
      </c>
    </row>
    <row r="1363" spans="1:11">
      <c r="A1363">
        <v>2027</v>
      </c>
      <c r="B1363" t="s">
        <v>339</v>
      </c>
      <c r="C1363" t="s">
        <v>2653</v>
      </c>
      <c r="D1363" t="s">
        <v>2654</v>
      </c>
      <c r="E1363" t="s">
        <v>2654</v>
      </c>
      <c r="F1363" t="s">
        <v>2654</v>
      </c>
      <c r="G1363" t="s">
        <v>2654</v>
      </c>
      <c r="H1363" t="s">
        <v>2654</v>
      </c>
      <c r="I1363" t="s">
        <v>2214</v>
      </c>
      <c r="K1363" t="str">
        <f t="shared" si="21"/>
        <v>RES_199702_P1T22027</v>
      </c>
    </row>
    <row r="1364" spans="1:11">
      <c r="A1364">
        <v>2024</v>
      </c>
      <c r="B1364" t="s">
        <v>340</v>
      </c>
      <c r="C1364" t="s">
        <v>2653</v>
      </c>
      <c r="D1364" t="s">
        <v>2654</v>
      </c>
      <c r="E1364" t="s">
        <v>2654</v>
      </c>
      <c r="F1364" t="s">
        <v>2654</v>
      </c>
      <c r="G1364" t="s">
        <v>2654</v>
      </c>
      <c r="H1364" t="s">
        <v>2654</v>
      </c>
      <c r="I1364" t="s">
        <v>2216</v>
      </c>
      <c r="K1364" t="str">
        <f t="shared" si="21"/>
        <v>RES_199702_P1T32024</v>
      </c>
    </row>
    <row r="1365" spans="1:11">
      <c r="A1365">
        <v>2025</v>
      </c>
      <c r="B1365" t="s">
        <v>340</v>
      </c>
      <c r="C1365" t="s">
        <v>2653</v>
      </c>
      <c r="D1365" t="s">
        <v>2654</v>
      </c>
      <c r="E1365" t="s">
        <v>2654</v>
      </c>
      <c r="F1365" t="s">
        <v>2654</v>
      </c>
      <c r="G1365" t="s">
        <v>2654</v>
      </c>
      <c r="H1365" t="s">
        <v>2654</v>
      </c>
      <c r="I1365" t="s">
        <v>2216</v>
      </c>
      <c r="K1365" t="str">
        <f t="shared" si="21"/>
        <v>RES_199702_P1T32025</v>
      </c>
    </row>
    <row r="1366" spans="1:11">
      <c r="A1366">
        <v>2026</v>
      </c>
      <c r="B1366" t="s">
        <v>340</v>
      </c>
      <c r="C1366" t="s">
        <v>2653</v>
      </c>
      <c r="D1366" t="s">
        <v>2654</v>
      </c>
      <c r="E1366" t="s">
        <v>2654</v>
      </c>
      <c r="F1366" t="s">
        <v>2654</v>
      </c>
      <c r="G1366" t="s">
        <v>2654</v>
      </c>
      <c r="H1366" t="s">
        <v>2654</v>
      </c>
      <c r="I1366" t="s">
        <v>2216</v>
      </c>
      <c r="K1366" t="str">
        <f t="shared" si="21"/>
        <v>RES_199702_P1T32026</v>
      </c>
    </row>
    <row r="1367" spans="1:11">
      <c r="A1367">
        <v>2027</v>
      </c>
      <c r="B1367" t="s">
        <v>340</v>
      </c>
      <c r="C1367" t="s">
        <v>2653</v>
      </c>
      <c r="D1367" t="s">
        <v>2654</v>
      </c>
      <c r="E1367" t="s">
        <v>2654</v>
      </c>
      <c r="F1367" t="s">
        <v>2654</v>
      </c>
      <c r="G1367" t="s">
        <v>2654</v>
      </c>
      <c r="H1367" t="s">
        <v>2654</v>
      </c>
      <c r="I1367" t="s">
        <v>2216</v>
      </c>
      <c r="K1367" t="str">
        <f t="shared" si="21"/>
        <v>RES_199702_P1T32027</v>
      </c>
    </row>
    <row r="1368" spans="1:11">
      <c r="A1368">
        <v>2024</v>
      </c>
      <c r="B1368" t="s">
        <v>36</v>
      </c>
      <c r="C1368" t="s">
        <v>2653</v>
      </c>
      <c r="D1368" t="s">
        <v>2654</v>
      </c>
      <c r="E1368" t="s">
        <v>2654</v>
      </c>
      <c r="F1368" t="s">
        <v>2654</v>
      </c>
      <c r="G1368" t="s">
        <v>2654</v>
      </c>
      <c r="H1368" t="s">
        <v>2654</v>
      </c>
      <c r="I1368" t="s">
        <v>2218</v>
      </c>
      <c r="K1368" t="str">
        <f t="shared" si="21"/>
        <v>RES_199702_P1T42024</v>
      </c>
    </row>
    <row r="1369" spans="1:11">
      <c r="A1369">
        <v>2025</v>
      </c>
      <c r="B1369" t="s">
        <v>36</v>
      </c>
      <c r="C1369" t="s">
        <v>2653</v>
      </c>
      <c r="D1369" t="s">
        <v>2654</v>
      </c>
      <c r="E1369" t="s">
        <v>2654</v>
      </c>
      <c r="F1369" t="s">
        <v>2654</v>
      </c>
      <c r="G1369" t="s">
        <v>2654</v>
      </c>
      <c r="H1369" t="s">
        <v>2654</v>
      </c>
      <c r="I1369" t="s">
        <v>2218</v>
      </c>
      <c r="K1369" t="str">
        <f t="shared" si="21"/>
        <v>RES_199702_P1T42025</v>
      </c>
    </row>
    <row r="1370" spans="1:11">
      <c r="A1370">
        <v>2026</v>
      </c>
      <c r="B1370" t="s">
        <v>36</v>
      </c>
      <c r="C1370" t="s">
        <v>2653</v>
      </c>
      <c r="D1370" t="s">
        <v>2654</v>
      </c>
      <c r="E1370" t="s">
        <v>2654</v>
      </c>
      <c r="F1370" t="s">
        <v>2654</v>
      </c>
      <c r="G1370" t="s">
        <v>2654</v>
      </c>
      <c r="H1370" t="s">
        <v>2654</v>
      </c>
      <c r="I1370" t="s">
        <v>2218</v>
      </c>
      <c r="K1370" t="str">
        <f t="shared" si="21"/>
        <v>RES_199702_P1T42026</v>
      </c>
    </row>
    <row r="1371" spans="1:11">
      <c r="A1371">
        <v>2027</v>
      </c>
      <c r="B1371" t="s">
        <v>36</v>
      </c>
      <c r="C1371" t="s">
        <v>2653</v>
      </c>
      <c r="D1371" t="s">
        <v>2654</v>
      </c>
      <c r="E1371" t="s">
        <v>2654</v>
      </c>
      <c r="F1371" t="s">
        <v>2654</v>
      </c>
      <c r="G1371" t="s">
        <v>2654</v>
      </c>
      <c r="H1371" t="s">
        <v>2654</v>
      </c>
      <c r="I1371" t="s">
        <v>2218</v>
      </c>
      <c r="K1371" t="str">
        <f t="shared" si="21"/>
        <v>RES_199702_P1T42027</v>
      </c>
    </row>
    <row r="1372" spans="1:11">
      <c r="A1372">
        <v>2024</v>
      </c>
      <c r="B1372" t="s">
        <v>37</v>
      </c>
      <c r="C1372" t="s">
        <v>2653</v>
      </c>
      <c r="D1372" t="s">
        <v>2654</v>
      </c>
      <c r="E1372" t="s">
        <v>2654</v>
      </c>
      <c r="F1372" t="s">
        <v>2654</v>
      </c>
      <c r="G1372" t="s">
        <v>2654</v>
      </c>
      <c r="H1372" t="s">
        <v>2654</v>
      </c>
      <c r="I1372" t="s">
        <v>2220</v>
      </c>
      <c r="K1372" t="str">
        <f t="shared" si="21"/>
        <v>RES_199702_P1T52024</v>
      </c>
    </row>
    <row r="1373" spans="1:11">
      <c r="A1373">
        <v>2025</v>
      </c>
      <c r="B1373" t="s">
        <v>37</v>
      </c>
      <c r="C1373" t="s">
        <v>2653</v>
      </c>
      <c r="D1373" t="s">
        <v>2654</v>
      </c>
      <c r="E1373" t="s">
        <v>2654</v>
      </c>
      <c r="F1373" t="s">
        <v>2654</v>
      </c>
      <c r="G1373" t="s">
        <v>2654</v>
      </c>
      <c r="H1373" t="s">
        <v>2654</v>
      </c>
      <c r="I1373" t="s">
        <v>2220</v>
      </c>
      <c r="K1373" t="str">
        <f t="shared" si="21"/>
        <v>RES_199702_P1T52025</v>
      </c>
    </row>
    <row r="1374" spans="1:11">
      <c r="A1374">
        <v>2026</v>
      </c>
      <c r="B1374" t="s">
        <v>37</v>
      </c>
      <c r="C1374" t="s">
        <v>2653</v>
      </c>
      <c r="D1374" t="s">
        <v>2654</v>
      </c>
      <c r="E1374" t="s">
        <v>2654</v>
      </c>
      <c r="F1374" t="s">
        <v>2654</v>
      </c>
      <c r="G1374" t="s">
        <v>2654</v>
      </c>
      <c r="H1374" t="s">
        <v>2654</v>
      </c>
      <c r="I1374" t="s">
        <v>2220</v>
      </c>
      <c r="K1374" t="str">
        <f t="shared" si="21"/>
        <v>RES_199702_P1T52026</v>
      </c>
    </row>
    <row r="1375" spans="1:11">
      <c r="A1375">
        <v>2027</v>
      </c>
      <c r="B1375" t="s">
        <v>37</v>
      </c>
      <c r="C1375" t="s">
        <v>2653</v>
      </c>
      <c r="D1375" t="s">
        <v>2654</v>
      </c>
      <c r="E1375" t="s">
        <v>2654</v>
      </c>
      <c r="F1375" t="s">
        <v>2654</v>
      </c>
      <c r="G1375" t="s">
        <v>2654</v>
      </c>
      <c r="H1375" t="s">
        <v>2654</v>
      </c>
      <c r="I1375" t="s">
        <v>2220</v>
      </c>
      <c r="K1375" t="str">
        <f t="shared" si="21"/>
        <v>RES_199702_P1T52027</v>
      </c>
    </row>
    <row r="1376" spans="1:11">
      <c r="A1376">
        <v>2024</v>
      </c>
      <c r="B1376" t="s">
        <v>38</v>
      </c>
      <c r="C1376" t="s">
        <v>2653</v>
      </c>
      <c r="D1376" t="s">
        <v>2654</v>
      </c>
      <c r="E1376" t="s">
        <v>2654</v>
      </c>
      <c r="F1376" t="s">
        <v>2654</v>
      </c>
      <c r="G1376" t="s">
        <v>2654</v>
      </c>
      <c r="H1376" t="s">
        <v>2654</v>
      </c>
      <c r="I1376" t="s">
        <v>2222</v>
      </c>
      <c r="K1376" t="str">
        <f t="shared" si="21"/>
        <v>RES_199702_P1T62024</v>
      </c>
    </row>
    <row r="1377" spans="1:11">
      <c r="A1377">
        <v>2025</v>
      </c>
      <c r="B1377" t="s">
        <v>38</v>
      </c>
      <c r="C1377" t="s">
        <v>2653</v>
      </c>
      <c r="D1377" t="s">
        <v>2654</v>
      </c>
      <c r="E1377" t="s">
        <v>2654</v>
      </c>
      <c r="F1377" t="s">
        <v>2654</v>
      </c>
      <c r="G1377" t="s">
        <v>2654</v>
      </c>
      <c r="H1377" t="s">
        <v>2654</v>
      </c>
      <c r="I1377" t="s">
        <v>2222</v>
      </c>
      <c r="K1377" t="str">
        <f t="shared" si="21"/>
        <v>RES_199702_P1T62025</v>
      </c>
    </row>
    <row r="1378" spans="1:11">
      <c r="A1378">
        <v>2026</v>
      </c>
      <c r="B1378" t="s">
        <v>38</v>
      </c>
      <c r="C1378" t="s">
        <v>2653</v>
      </c>
      <c r="D1378" t="s">
        <v>2654</v>
      </c>
      <c r="E1378" t="s">
        <v>2654</v>
      </c>
      <c r="F1378" t="s">
        <v>2654</v>
      </c>
      <c r="G1378" t="s">
        <v>2654</v>
      </c>
      <c r="H1378" t="s">
        <v>2654</v>
      </c>
      <c r="I1378" t="s">
        <v>2222</v>
      </c>
      <c r="K1378" t="str">
        <f t="shared" si="21"/>
        <v>RES_199702_P1T62026</v>
      </c>
    </row>
    <row r="1379" spans="1:11">
      <c r="A1379">
        <v>2027</v>
      </c>
      <c r="B1379" t="s">
        <v>38</v>
      </c>
      <c r="C1379" t="s">
        <v>2653</v>
      </c>
      <c r="D1379" t="s">
        <v>2654</v>
      </c>
      <c r="E1379" t="s">
        <v>2654</v>
      </c>
      <c r="F1379" t="s">
        <v>2654</v>
      </c>
      <c r="G1379" t="s">
        <v>2654</v>
      </c>
      <c r="H1379" t="s">
        <v>2654</v>
      </c>
      <c r="I1379" t="s">
        <v>2222</v>
      </c>
      <c r="K1379" t="str">
        <f t="shared" si="21"/>
        <v>RES_199702_P1T62027</v>
      </c>
    </row>
    <row r="1380" spans="1:11">
      <c r="A1380">
        <v>2024</v>
      </c>
      <c r="B1380" t="s">
        <v>39</v>
      </c>
      <c r="C1380" t="s">
        <v>2653</v>
      </c>
      <c r="D1380" t="s">
        <v>2654</v>
      </c>
      <c r="E1380" t="s">
        <v>2654</v>
      </c>
      <c r="F1380" t="s">
        <v>2654</v>
      </c>
      <c r="G1380" t="s">
        <v>2654</v>
      </c>
      <c r="H1380" t="s">
        <v>2654</v>
      </c>
      <c r="I1380" t="s">
        <v>2224</v>
      </c>
      <c r="K1380" t="str">
        <f t="shared" si="21"/>
        <v>RES_199702_P1T72024</v>
      </c>
    </row>
    <row r="1381" spans="1:11">
      <c r="A1381">
        <v>2025</v>
      </c>
      <c r="B1381" t="s">
        <v>39</v>
      </c>
      <c r="C1381" t="s">
        <v>2653</v>
      </c>
      <c r="D1381" t="s">
        <v>2654</v>
      </c>
      <c r="E1381" t="s">
        <v>2654</v>
      </c>
      <c r="F1381" t="s">
        <v>2654</v>
      </c>
      <c r="G1381" t="s">
        <v>2654</v>
      </c>
      <c r="H1381" t="s">
        <v>2654</v>
      </c>
      <c r="I1381" t="s">
        <v>2224</v>
      </c>
      <c r="K1381" t="str">
        <f t="shared" si="21"/>
        <v>RES_199702_P1T72025</v>
      </c>
    </row>
    <row r="1382" spans="1:11">
      <c r="A1382">
        <v>2026</v>
      </c>
      <c r="B1382" t="s">
        <v>39</v>
      </c>
      <c r="C1382" t="s">
        <v>2653</v>
      </c>
      <c r="D1382" t="s">
        <v>2654</v>
      </c>
      <c r="E1382" t="s">
        <v>2654</v>
      </c>
      <c r="F1382" t="s">
        <v>2654</v>
      </c>
      <c r="G1382" t="s">
        <v>2654</v>
      </c>
      <c r="H1382" t="s">
        <v>2654</v>
      </c>
      <c r="I1382" t="s">
        <v>2224</v>
      </c>
      <c r="K1382" t="str">
        <f t="shared" si="21"/>
        <v>RES_199702_P1T72026</v>
      </c>
    </row>
    <row r="1383" spans="1:11">
      <c r="A1383">
        <v>2027</v>
      </c>
      <c r="B1383" t="s">
        <v>39</v>
      </c>
      <c r="C1383" t="s">
        <v>2653</v>
      </c>
      <c r="D1383" t="s">
        <v>2654</v>
      </c>
      <c r="E1383" t="s">
        <v>2654</v>
      </c>
      <c r="F1383" t="s">
        <v>2654</v>
      </c>
      <c r="G1383" t="s">
        <v>2654</v>
      </c>
      <c r="H1383" t="s">
        <v>2654</v>
      </c>
      <c r="I1383" t="s">
        <v>2224</v>
      </c>
      <c r="K1383" t="str">
        <f t="shared" si="21"/>
        <v>RES_199702_P1T72027</v>
      </c>
    </row>
    <row r="1384" spans="1:11">
      <c r="A1384">
        <v>2024</v>
      </c>
      <c r="B1384" t="s">
        <v>40</v>
      </c>
      <c r="C1384" t="s">
        <v>2653</v>
      </c>
      <c r="D1384" t="s">
        <v>2654</v>
      </c>
      <c r="E1384" t="s">
        <v>2654</v>
      </c>
      <c r="F1384" t="s">
        <v>2654</v>
      </c>
      <c r="G1384" t="s">
        <v>2654</v>
      </c>
      <c r="H1384" t="s">
        <v>2654</v>
      </c>
      <c r="I1384" t="s">
        <v>2226</v>
      </c>
      <c r="K1384" t="str">
        <f t="shared" si="21"/>
        <v>RES_199702_P1T82024</v>
      </c>
    </row>
    <row r="1385" spans="1:11">
      <c r="A1385">
        <v>2025</v>
      </c>
      <c r="B1385" t="s">
        <v>40</v>
      </c>
      <c r="C1385" t="s">
        <v>2653</v>
      </c>
      <c r="D1385" t="s">
        <v>2654</v>
      </c>
      <c r="E1385" t="s">
        <v>2654</v>
      </c>
      <c r="F1385" t="s">
        <v>2654</v>
      </c>
      <c r="G1385" t="s">
        <v>2654</v>
      </c>
      <c r="H1385" t="s">
        <v>2654</v>
      </c>
      <c r="I1385" t="s">
        <v>2226</v>
      </c>
      <c r="K1385" t="str">
        <f t="shared" si="21"/>
        <v>RES_199702_P1T82025</v>
      </c>
    </row>
    <row r="1386" spans="1:11">
      <c r="A1386">
        <v>2026</v>
      </c>
      <c r="B1386" t="s">
        <v>40</v>
      </c>
      <c r="C1386" t="s">
        <v>2653</v>
      </c>
      <c r="D1386" t="s">
        <v>2654</v>
      </c>
      <c r="E1386" t="s">
        <v>2654</v>
      </c>
      <c r="F1386" t="s">
        <v>2654</v>
      </c>
      <c r="G1386" t="s">
        <v>2654</v>
      </c>
      <c r="H1386" t="s">
        <v>2654</v>
      </c>
      <c r="I1386" t="s">
        <v>2226</v>
      </c>
      <c r="K1386" t="str">
        <f t="shared" si="21"/>
        <v>RES_199702_P1T82026</v>
      </c>
    </row>
    <row r="1387" spans="1:11">
      <c r="A1387">
        <v>2027</v>
      </c>
      <c r="B1387" t="s">
        <v>40</v>
      </c>
      <c r="C1387" t="s">
        <v>2653</v>
      </c>
      <c r="D1387" t="s">
        <v>2654</v>
      </c>
      <c r="E1387" t="s">
        <v>2654</v>
      </c>
      <c r="F1387" t="s">
        <v>2654</v>
      </c>
      <c r="G1387" t="s">
        <v>2654</v>
      </c>
      <c r="H1387" t="s">
        <v>2654</v>
      </c>
      <c r="I1387" t="s">
        <v>2226</v>
      </c>
      <c r="K1387" t="str">
        <f t="shared" si="21"/>
        <v>RES_199702_P1T82027</v>
      </c>
    </row>
    <row r="1388" spans="1:11">
      <c r="A1388">
        <v>2024</v>
      </c>
      <c r="B1388" t="s">
        <v>394</v>
      </c>
      <c r="C1388" t="s">
        <v>2653</v>
      </c>
      <c r="D1388" t="s">
        <v>2654</v>
      </c>
      <c r="E1388" t="s">
        <v>2654</v>
      </c>
      <c r="F1388" t="s">
        <v>2654</v>
      </c>
      <c r="G1388" t="s">
        <v>2654</v>
      </c>
      <c r="H1388" t="s">
        <v>2654</v>
      </c>
      <c r="I1388" t="s">
        <v>1704</v>
      </c>
      <c r="K1388" t="str">
        <f t="shared" si="21"/>
        <v>COM_201304_P4T12024</v>
      </c>
    </row>
    <row r="1389" spans="1:11">
      <c r="A1389">
        <v>2025</v>
      </c>
      <c r="B1389" t="s">
        <v>394</v>
      </c>
      <c r="C1389" t="s">
        <v>2653</v>
      </c>
      <c r="D1389" t="s">
        <v>2654</v>
      </c>
      <c r="E1389" t="s">
        <v>2654</v>
      </c>
      <c r="F1389" t="s">
        <v>2654</v>
      </c>
      <c r="G1389" t="s">
        <v>2654</v>
      </c>
      <c r="H1389" t="s">
        <v>2654</v>
      </c>
      <c r="I1389" t="s">
        <v>1704</v>
      </c>
      <c r="K1389" t="str">
        <f t="shared" si="21"/>
        <v>COM_201304_P4T12025</v>
      </c>
    </row>
    <row r="1390" spans="1:11">
      <c r="A1390">
        <v>2026</v>
      </c>
      <c r="B1390" t="s">
        <v>394</v>
      </c>
      <c r="C1390" t="s">
        <v>2653</v>
      </c>
      <c r="D1390" t="s">
        <v>2654</v>
      </c>
      <c r="E1390" t="s">
        <v>2654</v>
      </c>
      <c r="F1390" t="s">
        <v>2654</v>
      </c>
      <c r="G1390" t="s">
        <v>2654</v>
      </c>
      <c r="H1390" t="s">
        <v>2654</v>
      </c>
      <c r="I1390" t="s">
        <v>1704</v>
      </c>
      <c r="K1390" t="str">
        <f t="shared" si="21"/>
        <v>COM_201304_P4T12026</v>
      </c>
    </row>
    <row r="1391" spans="1:11">
      <c r="A1391">
        <v>2027</v>
      </c>
      <c r="B1391" t="s">
        <v>394</v>
      </c>
      <c r="C1391" t="s">
        <v>2653</v>
      </c>
      <c r="D1391" t="s">
        <v>2654</v>
      </c>
      <c r="E1391" t="s">
        <v>2654</v>
      </c>
      <c r="F1391" t="s">
        <v>2654</v>
      </c>
      <c r="G1391" t="s">
        <v>2654</v>
      </c>
      <c r="H1391" t="s">
        <v>2654</v>
      </c>
      <c r="I1391" t="s">
        <v>1704</v>
      </c>
      <c r="K1391" t="str">
        <f t="shared" si="21"/>
        <v>COM_201304_P4T12027</v>
      </c>
    </row>
    <row r="1392" spans="1:11">
      <c r="A1392">
        <v>2024</v>
      </c>
      <c r="B1392" t="s">
        <v>1627</v>
      </c>
      <c r="C1392" t="s">
        <v>2653</v>
      </c>
      <c r="D1392" t="s">
        <v>2654</v>
      </c>
      <c r="E1392" t="s">
        <v>2654</v>
      </c>
      <c r="F1392" t="s">
        <v>2654</v>
      </c>
      <c r="G1392" t="s">
        <v>2654</v>
      </c>
      <c r="H1392" t="s">
        <v>2654</v>
      </c>
      <c r="I1392" t="s">
        <v>2345</v>
      </c>
      <c r="K1392" t="str">
        <f t="shared" si="21"/>
        <v>RES_201402_P1T12024</v>
      </c>
    </row>
    <row r="1393" spans="1:11">
      <c r="A1393">
        <v>2025</v>
      </c>
      <c r="B1393" t="s">
        <v>1627</v>
      </c>
      <c r="C1393" t="s">
        <v>2653</v>
      </c>
      <c r="D1393" t="s">
        <v>2654</v>
      </c>
      <c r="E1393" t="s">
        <v>2654</v>
      </c>
      <c r="F1393" t="s">
        <v>2654</v>
      </c>
      <c r="G1393" t="s">
        <v>2654</v>
      </c>
      <c r="H1393" t="s">
        <v>2654</v>
      </c>
      <c r="I1393" t="s">
        <v>2345</v>
      </c>
      <c r="K1393" t="str">
        <f t="shared" si="21"/>
        <v>RES_201402_P1T12025</v>
      </c>
    </row>
    <row r="1394" spans="1:11">
      <c r="A1394">
        <v>2026</v>
      </c>
      <c r="B1394" t="s">
        <v>1627</v>
      </c>
      <c r="C1394" t="s">
        <v>2653</v>
      </c>
      <c r="D1394" t="s">
        <v>2654</v>
      </c>
      <c r="E1394" t="s">
        <v>2654</v>
      </c>
      <c r="F1394" t="s">
        <v>2654</v>
      </c>
      <c r="G1394" t="s">
        <v>2654</v>
      </c>
      <c r="H1394" t="s">
        <v>2654</v>
      </c>
      <c r="I1394" t="s">
        <v>2345</v>
      </c>
      <c r="K1394" t="str">
        <f t="shared" si="21"/>
        <v>RES_201402_P1T12026</v>
      </c>
    </row>
    <row r="1395" spans="1:11">
      <c r="A1395">
        <v>2027</v>
      </c>
      <c r="B1395" t="s">
        <v>1627</v>
      </c>
      <c r="C1395" t="s">
        <v>2653</v>
      </c>
      <c r="D1395" t="s">
        <v>2654</v>
      </c>
      <c r="E1395" t="s">
        <v>2654</v>
      </c>
      <c r="F1395" t="s">
        <v>2654</v>
      </c>
      <c r="G1395" t="s">
        <v>2654</v>
      </c>
      <c r="H1395" t="s">
        <v>2654</v>
      </c>
      <c r="I1395" t="s">
        <v>2345</v>
      </c>
      <c r="K1395" t="str">
        <f t="shared" si="21"/>
        <v>RES_201402_P1T12027</v>
      </c>
    </row>
    <row r="1396" spans="1:11">
      <c r="A1396">
        <v>2024</v>
      </c>
      <c r="B1396" t="s">
        <v>934</v>
      </c>
      <c r="C1396" t="s">
        <v>2653</v>
      </c>
      <c r="D1396" t="s">
        <v>2654</v>
      </c>
      <c r="E1396" t="s">
        <v>2654</v>
      </c>
      <c r="F1396" t="s">
        <v>2654</v>
      </c>
      <c r="G1396" t="s">
        <v>2654</v>
      </c>
      <c r="H1396" t="s">
        <v>2654</v>
      </c>
      <c r="I1396" t="s">
        <v>1706</v>
      </c>
      <c r="K1396" t="str">
        <f t="shared" si="21"/>
        <v>COM_201304_P6T12024</v>
      </c>
    </row>
    <row r="1397" spans="1:11">
      <c r="A1397">
        <v>2025</v>
      </c>
      <c r="B1397" t="s">
        <v>934</v>
      </c>
      <c r="C1397" t="s">
        <v>2653</v>
      </c>
      <c r="D1397" t="s">
        <v>2654</v>
      </c>
      <c r="E1397" t="s">
        <v>2654</v>
      </c>
      <c r="F1397" t="s">
        <v>2654</v>
      </c>
      <c r="G1397" t="s">
        <v>2654</v>
      </c>
      <c r="H1397" t="s">
        <v>2654</v>
      </c>
      <c r="I1397" t="s">
        <v>1706</v>
      </c>
      <c r="K1397" t="str">
        <f t="shared" si="21"/>
        <v>COM_201304_P6T12025</v>
      </c>
    </row>
    <row r="1398" spans="1:11">
      <c r="A1398">
        <v>2026</v>
      </c>
      <c r="B1398" t="s">
        <v>934</v>
      </c>
      <c r="C1398" t="s">
        <v>2653</v>
      </c>
      <c r="D1398" t="s">
        <v>2654</v>
      </c>
      <c r="E1398" t="s">
        <v>2654</v>
      </c>
      <c r="F1398" t="s">
        <v>2654</v>
      </c>
      <c r="G1398" t="s">
        <v>2654</v>
      </c>
      <c r="H1398" t="s">
        <v>2654</v>
      </c>
      <c r="I1398" t="s">
        <v>1706</v>
      </c>
      <c r="K1398" t="str">
        <f t="shared" si="21"/>
        <v>COM_201304_P6T12026</v>
      </c>
    </row>
    <row r="1399" spans="1:11">
      <c r="A1399">
        <v>2027</v>
      </c>
      <c r="B1399" t="s">
        <v>934</v>
      </c>
      <c r="C1399" t="s">
        <v>2653</v>
      </c>
      <c r="D1399" t="s">
        <v>2654</v>
      </c>
      <c r="E1399" t="s">
        <v>2654</v>
      </c>
      <c r="F1399" t="s">
        <v>2654</v>
      </c>
      <c r="G1399" t="s">
        <v>2654</v>
      </c>
      <c r="H1399" t="s">
        <v>2654</v>
      </c>
      <c r="I1399" t="s">
        <v>1706</v>
      </c>
      <c r="K1399" t="str">
        <f t="shared" si="21"/>
        <v>COM_201304_P6T12027</v>
      </c>
    </row>
    <row r="1400" spans="1:11">
      <c r="A1400">
        <v>2024</v>
      </c>
      <c r="B1400" t="s">
        <v>851</v>
      </c>
      <c r="C1400" t="s">
        <v>2653</v>
      </c>
      <c r="D1400" t="s">
        <v>2654</v>
      </c>
      <c r="E1400" t="s">
        <v>2654</v>
      </c>
      <c r="F1400" t="s">
        <v>2654</v>
      </c>
      <c r="G1400" t="s">
        <v>2654</v>
      </c>
      <c r="H1400" t="s">
        <v>2654</v>
      </c>
      <c r="I1400" t="s">
        <v>1187</v>
      </c>
      <c r="K1400" t="str">
        <f t="shared" si="21"/>
        <v>COM_201304_P6T22024</v>
      </c>
    </row>
    <row r="1401" spans="1:11">
      <c r="A1401">
        <v>2025</v>
      </c>
      <c r="B1401" t="s">
        <v>851</v>
      </c>
      <c r="C1401" t="s">
        <v>2653</v>
      </c>
      <c r="D1401" t="s">
        <v>2654</v>
      </c>
      <c r="E1401" t="s">
        <v>2654</v>
      </c>
      <c r="F1401" t="s">
        <v>2654</v>
      </c>
      <c r="G1401" t="s">
        <v>2654</v>
      </c>
      <c r="H1401" t="s">
        <v>2654</v>
      </c>
      <c r="I1401" t="s">
        <v>1187</v>
      </c>
      <c r="K1401" t="str">
        <f t="shared" si="21"/>
        <v>COM_201304_P6T22025</v>
      </c>
    </row>
    <row r="1402" spans="1:11">
      <c r="A1402">
        <v>2026</v>
      </c>
      <c r="B1402" t="s">
        <v>851</v>
      </c>
      <c r="C1402" t="s">
        <v>2653</v>
      </c>
      <c r="D1402" t="s">
        <v>2654</v>
      </c>
      <c r="E1402" t="s">
        <v>2654</v>
      </c>
      <c r="F1402" t="s">
        <v>2654</v>
      </c>
      <c r="G1402" t="s">
        <v>2654</v>
      </c>
      <c r="H1402" t="s">
        <v>2654</v>
      </c>
      <c r="I1402" t="s">
        <v>1187</v>
      </c>
      <c r="K1402" t="str">
        <f t="shared" si="21"/>
        <v>COM_201304_P6T22026</v>
      </c>
    </row>
    <row r="1403" spans="1:11">
      <c r="A1403">
        <v>2027</v>
      </c>
      <c r="B1403" t="s">
        <v>851</v>
      </c>
      <c r="C1403" t="s">
        <v>2653</v>
      </c>
      <c r="D1403" t="s">
        <v>2654</v>
      </c>
      <c r="E1403" t="s">
        <v>2654</v>
      </c>
      <c r="F1403" t="s">
        <v>2654</v>
      </c>
      <c r="G1403" t="s">
        <v>2654</v>
      </c>
      <c r="H1403" t="s">
        <v>2654</v>
      </c>
      <c r="I1403" t="s">
        <v>1187</v>
      </c>
      <c r="K1403" t="str">
        <f t="shared" si="21"/>
        <v>COM_201304_P6T22027</v>
      </c>
    </row>
    <row r="1404" spans="1:11">
      <c r="A1404">
        <v>2024</v>
      </c>
      <c r="B1404" t="s">
        <v>53</v>
      </c>
      <c r="C1404" t="s">
        <v>2653</v>
      </c>
      <c r="D1404" t="s">
        <v>2654</v>
      </c>
      <c r="E1404" t="s">
        <v>2654</v>
      </c>
      <c r="F1404" t="s">
        <v>2653</v>
      </c>
      <c r="G1404" t="s">
        <v>2653</v>
      </c>
      <c r="H1404" t="s">
        <v>2654</v>
      </c>
      <c r="I1404" t="s">
        <v>1779</v>
      </c>
      <c r="K1404" t="str">
        <f t="shared" si="21"/>
        <v>RES_201202_P2T12024</v>
      </c>
    </row>
    <row r="1405" spans="1:11">
      <c r="A1405">
        <v>2025</v>
      </c>
      <c r="B1405" t="s">
        <v>53</v>
      </c>
      <c r="C1405" t="s">
        <v>2653</v>
      </c>
      <c r="D1405" t="s">
        <v>2654</v>
      </c>
      <c r="E1405" t="s">
        <v>2654</v>
      </c>
      <c r="F1405" t="s">
        <v>2653</v>
      </c>
      <c r="G1405" t="s">
        <v>2654</v>
      </c>
      <c r="H1405" t="s">
        <v>2654</v>
      </c>
      <c r="I1405" t="s">
        <v>1779</v>
      </c>
      <c r="K1405" t="str">
        <f t="shared" si="21"/>
        <v>RES_201202_P2T12025</v>
      </c>
    </row>
    <row r="1406" spans="1:11">
      <c r="A1406">
        <v>2026</v>
      </c>
      <c r="B1406" t="s">
        <v>53</v>
      </c>
      <c r="C1406" t="s">
        <v>2653</v>
      </c>
      <c r="D1406" t="s">
        <v>2654</v>
      </c>
      <c r="E1406" t="s">
        <v>2654</v>
      </c>
      <c r="F1406" t="s">
        <v>2653</v>
      </c>
      <c r="G1406" t="s">
        <v>2654</v>
      </c>
      <c r="H1406" t="s">
        <v>2654</v>
      </c>
      <c r="I1406" t="s">
        <v>1779</v>
      </c>
      <c r="K1406" t="str">
        <f t="shared" si="21"/>
        <v>RES_201202_P2T12026</v>
      </c>
    </row>
    <row r="1407" spans="1:11">
      <c r="A1407">
        <v>2027</v>
      </c>
      <c r="B1407" t="s">
        <v>53</v>
      </c>
      <c r="C1407" t="s">
        <v>2653</v>
      </c>
      <c r="D1407" t="s">
        <v>2654</v>
      </c>
      <c r="E1407" t="s">
        <v>2654</v>
      </c>
      <c r="F1407" t="s">
        <v>2653</v>
      </c>
      <c r="G1407" t="s">
        <v>2654</v>
      </c>
      <c r="H1407" t="s">
        <v>2654</v>
      </c>
      <c r="I1407" t="s">
        <v>1779</v>
      </c>
      <c r="K1407" t="str">
        <f t="shared" si="21"/>
        <v>RES_201202_P2T12027</v>
      </c>
    </row>
    <row r="1408" spans="1:11">
      <c r="A1408">
        <v>2024</v>
      </c>
      <c r="B1408" t="s">
        <v>626</v>
      </c>
      <c r="C1408" t="s">
        <v>2653</v>
      </c>
      <c r="D1408" t="s">
        <v>2654</v>
      </c>
      <c r="E1408" t="s">
        <v>2654</v>
      </c>
      <c r="F1408" t="s">
        <v>2653</v>
      </c>
      <c r="G1408" t="s">
        <v>2653</v>
      </c>
      <c r="H1408" t="s">
        <v>2653</v>
      </c>
      <c r="I1408" t="s">
        <v>1789</v>
      </c>
      <c r="K1408" t="str">
        <f t="shared" si="21"/>
        <v>RES_201202_P4T12024</v>
      </c>
    </row>
    <row r="1409" spans="1:11">
      <c r="A1409">
        <v>2025</v>
      </c>
      <c r="B1409" t="s">
        <v>626</v>
      </c>
      <c r="C1409" t="s">
        <v>2653</v>
      </c>
      <c r="D1409" t="s">
        <v>2654</v>
      </c>
      <c r="E1409" t="s">
        <v>2654</v>
      </c>
      <c r="F1409" t="s">
        <v>2653</v>
      </c>
      <c r="G1409" t="s">
        <v>2654</v>
      </c>
      <c r="H1409" t="s">
        <v>2654</v>
      </c>
      <c r="I1409" t="s">
        <v>1789</v>
      </c>
      <c r="K1409" t="str">
        <f t="shared" si="21"/>
        <v>RES_201202_P4T12025</v>
      </c>
    </row>
    <row r="1410" spans="1:11">
      <c r="A1410">
        <v>2026</v>
      </c>
      <c r="B1410" t="s">
        <v>626</v>
      </c>
      <c r="C1410" t="s">
        <v>2653</v>
      </c>
      <c r="D1410" t="s">
        <v>2654</v>
      </c>
      <c r="E1410" t="s">
        <v>2654</v>
      </c>
      <c r="F1410" t="s">
        <v>2653</v>
      </c>
      <c r="G1410" t="s">
        <v>2654</v>
      </c>
      <c r="H1410" t="s">
        <v>2654</v>
      </c>
      <c r="I1410" t="s">
        <v>1789</v>
      </c>
      <c r="K1410" t="str">
        <f t="shared" si="21"/>
        <v>RES_201202_P4T12026</v>
      </c>
    </row>
    <row r="1411" spans="1:11">
      <c r="A1411">
        <v>2027</v>
      </c>
      <c r="B1411" t="s">
        <v>626</v>
      </c>
      <c r="C1411" t="s">
        <v>2653</v>
      </c>
      <c r="D1411" t="s">
        <v>2654</v>
      </c>
      <c r="E1411" t="s">
        <v>2654</v>
      </c>
      <c r="F1411" t="s">
        <v>2653</v>
      </c>
      <c r="G1411" t="s">
        <v>2654</v>
      </c>
      <c r="H1411" t="s">
        <v>2654</v>
      </c>
      <c r="I1411" t="s">
        <v>1789</v>
      </c>
      <c r="K1411" t="str">
        <f t="shared" ref="K1411:K1474" si="22">B1411&amp;A1411</f>
        <v>RES_201202_P4T12027</v>
      </c>
    </row>
    <row r="1412" spans="1:11">
      <c r="A1412">
        <v>2024</v>
      </c>
      <c r="B1412" t="s">
        <v>1581</v>
      </c>
      <c r="C1412" t="s">
        <v>2653</v>
      </c>
      <c r="D1412" t="s">
        <v>2654</v>
      </c>
      <c r="E1412" t="s">
        <v>2654</v>
      </c>
      <c r="F1412" t="s">
        <v>2653</v>
      </c>
      <c r="G1412" t="s">
        <v>2653</v>
      </c>
      <c r="H1412" t="s">
        <v>2653</v>
      </c>
      <c r="I1412" t="s">
        <v>1695</v>
      </c>
      <c r="K1412" t="str">
        <f t="shared" si="22"/>
        <v>COM_201304_P10T12024</v>
      </c>
    </row>
    <row r="1413" spans="1:11">
      <c r="A1413">
        <v>2025</v>
      </c>
      <c r="B1413" t="s">
        <v>1581</v>
      </c>
      <c r="C1413" t="s">
        <v>2653</v>
      </c>
      <c r="D1413" t="s">
        <v>2654</v>
      </c>
      <c r="E1413" t="s">
        <v>2654</v>
      </c>
      <c r="F1413" t="s">
        <v>2653</v>
      </c>
      <c r="G1413" t="s">
        <v>2653</v>
      </c>
      <c r="H1413" t="s">
        <v>2653</v>
      </c>
      <c r="I1413" t="s">
        <v>1695</v>
      </c>
      <c r="K1413" t="str">
        <f t="shared" si="22"/>
        <v>COM_201304_P10T12025</v>
      </c>
    </row>
    <row r="1414" spans="1:11">
      <c r="A1414">
        <v>2026</v>
      </c>
      <c r="B1414" t="s">
        <v>1581</v>
      </c>
      <c r="C1414" t="s">
        <v>2653</v>
      </c>
      <c r="D1414" t="s">
        <v>2654</v>
      </c>
      <c r="E1414" t="s">
        <v>2654</v>
      </c>
      <c r="F1414" t="s">
        <v>2653</v>
      </c>
      <c r="G1414" t="s">
        <v>2653</v>
      </c>
      <c r="H1414" t="s">
        <v>2653</v>
      </c>
      <c r="I1414" t="s">
        <v>1695</v>
      </c>
      <c r="K1414" t="str">
        <f t="shared" si="22"/>
        <v>COM_201304_P10T12026</v>
      </c>
    </row>
    <row r="1415" spans="1:11">
      <c r="A1415">
        <v>2027</v>
      </c>
      <c r="B1415" t="s">
        <v>1581</v>
      </c>
      <c r="C1415" t="s">
        <v>2653</v>
      </c>
      <c r="D1415" t="s">
        <v>2654</v>
      </c>
      <c r="E1415" t="s">
        <v>2654</v>
      </c>
      <c r="F1415" t="s">
        <v>2653</v>
      </c>
      <c r="G1415" t="s">
        <v>2653</v>
      </c>
      <c r="H1415" t="s">
        <v>2653</v>
      </c>
      <c r="I1415" t="s">
        <v>1695</v>
      </c>
      <c r="K1415" t="str">
        <f t="shared" si="22"/>
        <v>COM_201304_P10T12027</v>
      </c>
    </row>
    <row r="1416" spans="1:11">
      <c r="A1416">
        <v>2025</v>
      </c>
      <c r="B1416" t="s">
        <v>1586</v>
      </c>
      <c r="C1416" t="s">
        <v>2653</v>
      </c>
      <c r="D1416" t="s">
        <v>2654</v>
      </c>
      <c r="E1416" t="s">
        <v>2654</v>
      </c>
      <c r="F1416" t="s">
        <v>2653</v>
      </c>
      <c r="G1416" t="s">
        <v>2653</v>
      </c>
      <c r="H1416" t="s">
        <v>2653</v>
      </c>
      <c r="I1416" t="s">
        <v>1700</v>
      </c>
      <c r="K1416" t="str">
        <f t="shared" si="22"/>
        <v>COM_201304_P16T12025</v>
      </c>
    </row>
    <row r="1417" spans="1:11">
      <c r="A1417">
        <v>2026</v>
      </c>
      <c r="B1417" t="s">
        <v>1586</v>
      </c>
      <c r="C1417" t="s">
        <v>2653</v>
      </c>
      <c r="D1417" t="s">
        <v>2654</v>
      </c>
      <c r="E1417" t="s">
        <v>2654</v>
      </c>
      <c r="F1417" t="s">
        <v>2653</v>
      </c>
      <c r="G1417" t="s">
        <v>2653</v>
      </c>
      <c r="H1417" t="s">
        <v>2653</v>
      </c>
      <c r="I1417" t="s">
        <v>1700</v>
      </c>
      <c r="K1417" t="str">
        <f t="shared" si="22"/>
        <v>COM_201304_P16T12026</v>
      </c>
    </row>
    <row r="1418" spans="1:11">
      <c r="A1418">
        <v>2027</v>
      </c>
      <c r="B1418" t="s">
        <v>1586</v>
      </c>
      <c r="C1418" t="s">
        <v>2653</v>
      </c>
      <c r="D1418" t="s">
        <v>2654</v>
      </c>
      <c r="E1418" t="s">
        <v>2654</v>
      </c>
      <c r="F1418" t="s">
        <v>2653</v>
      </c>
      <c r="G1418" t="s">
        <v>2653</v>
      </c>
      <c r="H1418" t="s">
        <v>2653</v>
      </c>
      <c r="I1418" t="s">
        <v>1700</v>
      </c>
      <c r="K1418" t="str">
        <f t="shared" si="22"/>
        <v>COM_201304_P16T12027</v>
      </c>
    </row>
    <row r="1419" spans="1:11">
      <c r="A1419">
        <v>2025</v>
      </c>
      <c r="B1419" t="s">
        <v>1624</v>
      </c>
      <c r="C1419" t="s">
        <v>2653</v>
      </c>
      <c r="D1419" t="s">
        <v>2654</v>
      </c>
      <c r="E1419" t="s">
        <v>2654</v>
      </c>
      <c r="F1419" t="s">
        <v>2653</v>
      </c>
      <c r="G1419" t="s">
        <v>2653</v>
      </c>
      <c r="H1419" t="s">
        <v>2653</v>
      </c>
      <c r="I1419" t="s">
        <v>1843</v>
      </c>
      <c r="K1419" t="str">
        <f t="shared" si="22"/>
        <v>RES_201402_P11T12025</v>
      </c>
    </row>
    <row r="1420" spans="1:11">
      <c r="A1420">
        <v>2026</v>
      </c>
      <c r="B1420" t="s">
        <v>1624</v>
      </c>
      <c r="C1420" t="s">
        <v>2653</v>
      </c>
      <c r="D1420" t="s">
        <v>2654</v>
      </c>
      <c r="E1420" t="s">
        <v>2654</v>
      </c>
      <c r="F1420" t="s">
        <v>2653</v>
      </c>
      <c r="G1420" t="s">
        <v>2653</v>
      </c>
      <c r="H1420" t="s">
        <v>2653</v>
      </c>
      <c r="I1420" t="s">
        <v>1843</v>
      </c>
      <c r="K1420" t="str">
        <f t="shared" si="22"/>
        <v>RES_201402_P11T12026</v>
      </c>
    </row>
    <row r="1421" spans="1:11">
      <c r="A1421">
        <v>2027</v>
      </c>
      <c r="B1421" t="s">
        <v>1624</v>
      </c>
      <c r="C1421" t="s">
        <v>2653</v>
      </c>
      <c r="D1421" t="s">
        <v>2654</v>
      </c>
      <c r="E1421" t="s">
        <v>2654</v>
      </c>
      <c r="F1421" t="s">
        <v>2653</v>
      </c>
      <c r="G1421" t="s">
        <v>2653</v>
      </c>
      <c r="H1421" t="s">
        <v>2653</v>
      </c>
      <c r="I1421" t="s">
        <v>1843</v>
      </c>
      <c r="K1421" t="str">
        <f t="shared" si="22"/>
        <v>RES_201402_P11T12027</v>
      </c>
    </row>
    <row r="1422" spans="1:11">
      <c r="A1422">
        <v>2024</v>
      </c>
      <c r="B1422" t="s">
        <v>1584</v>
      </c>
      <c r="C1422" t="s">
        <v>2653</v>
      </c>
      <c r="D1422" t="s">
        <v>2654</v>
      </c>
      <c r="E1422" t="s">
        <v>2653</v>
      </c>
      <c r="F1422" t="s">
        <v>2654</v>
      </c>
      <c r="G1422" t="s">
        <v>2653</v>
      </c>
      <c r="H1422" t="s">
        <v>2653</v>
      </c>
      <c r="I1422" t="s">
        <v>1698</v>
      </c>
      <c r="K1422" t="str">
        <f t="shared" si="22"/>
        <v>COM_201304_P15T12024</v>
      </c>
    </row>
    <row r="1423" spans="1:11">
      <c r="A1423">
        <v>2024</v>
      </c>
      <c r="B1423" t="s">
        <v>963</v>
      </c>
      <c r="C1423" t="s">
        <v>2653</v>
      </c>
      <c r="D1423" t="s">
        <v>2653</v>
      </c>
      <c r="E1423" t="s">
        <v>2653</v>
      </c>
      <c r="F1423" t="s">
        <v>2654</v>
      </c>
      <c r="G1423" t="s">
        <v>2653</v>
      </c>
      <c r="H1423" t="s">
        <v>2653</v>
      </c>
      <c r="I1423" t="s">
        <v>1694</v>
      </c>
      <c r="K1423" t="str">
        <f t="shared" si="22"/>
        <v>COM_200701_P1T52024</v>
      </c>
    </row>
    <row r="1424" spans="1:11">
      <c r="A1424">
        <v>2025</v>
      </c>
      <c r="B1424" t="s">
        <v>963</v>
      </c>
      <c r="C1424" t="s">
        <v>2653</v>
      </c>
      <c r="D1424" t="s">
        <v>2653</v>
      </c>
      <c r="E1424" t="s">
        <v>2653</v>
      </c>
      <c r="F1424" t="s">
        <v>2654</v>
      </c>
      <c r="G1424" t="s">
        <v>2653</v>
      </c>
      <c r="H1424" t="s">
        <v>2653</v>
      </c>
      <c r="I1424" t="s">
        <v>1694</v>
      </c>
      <c r="K1424" t="str">
        <f t="shared" si="22"/>
        <v>COM_200701_P1T52025</v>
      </c>
    </row>
    <row r="1425" spans="1:11">
      <c r="A1425">
        <v>2026</v>
      </c>
      <c r="B1425" t="s">
        <v>963</v>
      </c>
      <c r="C1425" t="s">
        <v>2653</v>
      </c>
      <c r="D1425" t="s">
        <v>2653</v>
      </c>
      <c r="E1425" t="s">
        <v>2653</v>
      </c>
      <c r="F1425" t="s">
        <v>2654</v>
      </c>
      <c r="G1425" t="s">
        <v>2653</v>
      </c>
      <c r="H1425" t="s">
        <v>2653</v>
      </c>
      <c r="I1425" t="s">
        <v>1694</v>
      </c>
      <c r="K1425" t="str">
        <f t="shared" si="22"/>
        <v>COM_200701_P1T52026</v>
      </c>
    </row>
    <row r="1426" spans="1:11">
      <c r="A1426">
        <v>2027</v>
      </c>
      <c r="B1426" t="s">
        <v>963</v>
      </c>
      <c r="C1426" t="s">
        <v>2653</v>
      </c>
      <c r="D1426" t="s">
        <v>2653</v>
      </c>
      <c r="E1426" t="s">
        <v>2653</v>
      </c>
      <c r="F1426" t="s">
        <v>2654</v>
      </c>
      <c r="G1426" t="s">
        <v>2653</v>
      </c>
      <c r="H1426" t="s">
        <v>2653</v>
      </c>
      <c r="I1426" t="s">
        <v>1694</v>
      </c>
      <c r="K1426" t="str">
        <f t="shared" si="22"/>
        <v>COM_200701_P1T52027</v>
      </c>
    </row>
    <row r="1427" spans="1:11">
      <c r="A1427">
        <v>2024</v>
      </c>
      <c r="B1427" t="s">
        <v>384</v>
      </c>
      <c r="C1427" t="s">
        <v>2653</v>
      </c>
      <c r="D1427" t="s">
        <v>2653</v>
      </c>
      <c r="E1427" t="s">
        <v>2653</v>
      </c>
      <c r="F1427" t="s">
        <v>2653</v>
      </c>
      <c r="G1427" t="s">
        <v>2653</v>
      </c>
      <c r="H1427" t="s">
        <v>2653</v>
      </c>
      <c r="I1427" t="s">
        <v>2262</v>
      </c>
      <c r="K1427" t="str">
        <f t="shared" si="22"/>
        <v>RES_200006_P1T42024</v>
      </c>
    </row>
    <row r="1428" spans="1:11">
      <c r="A1428">
        <v>2025</v>
      </c>
      <c r="B1428" t="s">
        <v>384</v>
      </c>
      <c r="C1428" t="s">
        <v>2653</v>
      </c>
      <c r="D1428" t="s">
        <v>2653</v>
      </c>
      <c r="E1428" t="s">
        <v>2653</v>
      </c>
      <c r="F1428" t="s">
        <v>2653</v>
      </c>
      <c r="G1428" t="s">
        <v>2653</v>
      </c>
      <c r="H1428" t="s">
        <v>2653</v>
      </c>
      <c r="I1428" t="s">
        <v>2262</v>
      </c>
      <c r="K1428" t="str">
        <f t="shared" si="22"/>
        <v>RES_200006_P1T42025</v>
      </c>
    </row>
    <row r="1429" spans="1:11">
      <c r="A1429">
        <v>2026</v>
      </c>
      <c r="B1429" t="s">
        <v>384</v>
      </c>
      <c r="C1429" t="s">
        <v>2653</v>
      </c>
      <c r="D1429" t="s">
        <v>2653</v>
      </c>
      <c r="E1429" t="s">
        <v>2653</v>
      </c>
      <c r="F1429" t="s">
        <v>2653</v>
      </c>
      <c r="G1429" t="s">
        <v>2653</v>
      </c>
      <c r="H1429" t="s">
        <v>2653</v>
      </c>
      <c r="I1429" t="s">
        <v>2262</v>
      </c>
      <c r="K1429" t="str">
        <f t="shared" si="22"/>
        <v>RES_200006_P1T42026</v>
      </c>
    </row>
    <row r="1430" spans="1:11">
      <c r="A1430">
        <v>2027</v>
      </c>
      <c r="B1430" t="s">
        <v>384</v>
      </c>
      <c r="C1430" t="s">
        <v>2653</v>
      </c>
      <c r="D1430" t="s">
        <v>2653</v>
      </c>
      <c r="E1430" t="s">
        <v>2653</v>
      </c>
      <c r="F1430" t="s">
        <v>2653</v>
      </c>
      <c r="G1430" t="s">
        <v>2653</v>
      </c>
      <c r="H1430" t="s">
        <v>2653</v>
      </c>
      <c r="I1430" t="s">
        <v>2262</v>
      </c>
      <c r="K1430" t="str">
        <f t="shared" si="22"/>
        <v>RES_200006_P1T42027</v>
      </c>
    </row>
    <row r="1431" spans="1:11">
      <c r="A1431">
        <v>2024</v>
      </c>
      <c r="B1431" t="s">
        <v>385</v>
      </c>
      <c r="C1431" t="s">
        <v>2653</v>
      </c>
      <c r="D1431" t="s">
        <v>2653</v>
      </c>
      <c r="E1431" t="s">
        <v>2653</v>
      </c>
      <c r="F1431" t="s">
        <v>2653</v>
      </c>
      <c r="G1431" t="s">
        <v>2653</v>
      </c>
      <c r="H1431" t="s">
        <v>2653</v>
      </c>
      <c r="I1431" t="s">
        <v>2264</v>
      </c>
      <c r="K1431" t="str">
        <f t="shared" si="22"/>
        <v>RES_200006_P1T52024</v>
      </c>
    </row>
    <row r="1432" spans="1:11">
      <c r="A1432">
        <v>2025</v>
      </c>
      <c r="B1432" t="s">
        <v>385</v>
      </c>
      <c r="C1432" t="s">
        <v>2653</v>
      </c>
      <c r="D1432" t="s">
        <v>2653</v>
      </c>
      <c r="E1432" t="s">
        <v>2653</v>
      </c>
      <c r="F1432" t="s">
        <v>2653</v>
      </c>
      <c r="G1432" t="s">
        <v>2653</v>
      </c>
      <c r="H1432" t="s">
        <v>2653</v>
      </c>
      <c r="I1432" t="s">
        <v>2264</v>
      </c>
      <c r="K1432" t="str">
        <f t="shared" si="22"/>
        <v>RES_200006_P1T52025</v>
      </c>
    </row>
    <row r="1433" spans="1:11">
      <c r="A1433">
        <v>2026</v>
      </c>
      <c r="B1433" t="s">
        <v>385</v>
      </c>
      <c r="C1433" t="s">
        <v>2653</v>
      </c>
      <c r="D1433" t="s">
        <v>2653</v>
      </c>
      <c r="E1433" t="s">
        <v>2653</v>
      </c>
      <c r="F1433" t="s">
        <v>2653</v>
      </c>
      <c r="G1433" t="s">
        <v>2653</v>
      </c>
      <c r="H1433" t="s">
        <v>2653</v>
      </c>
      <c r="I1433" t="s">
        <v>2264</v>
      </c>
      <c r="K1433" t="str">
        <f t="shared" si="22"/>
        <v>RES_200006_P1T52026</v>
      </c>
    </row>
    <row r="1434" spans="1:11">
      <c r="A1434">
        <v>2027</v>
      </c>
      <c r="B1434" t="s">
        <v>385</v>
      </c>
      <c r="C1434" t="s">
        <v>2653</v>
      </c>
      <c r="D1434" t="s">
        <v>2653</v>
      </c>
      <c r="E1434" t="s">
        <v>2653</v>
      </c>
      <c r="F1434" t="s">
        <v>2653</v>
      </c>
      <c r="G1434" t="s">
        <v>2653</v>
      </c>
      <c r="H1434" t="s">
        <v>2653</v>
      </c>
      <c r="I1434" t="s">
        <v>2264</v>
      </c>
      <c r="K1434" t="str">
        <f t="shared" si="22"/>
        <v>RES_200006_P1T52027</v>
      </c>
    </row>
    <row r="1435" spans="1:11">
      <c r="A1435">
        <v>2024</v>
      </c>
      <c r="B1435" t="s">
        <v>383</v>
      </c>
      <c r="C1435" t="s">
        <v>2653</v>
      </c>
      <c r="D1435" t="s">
        <v>2653</v>
      </c>
      <c r="E1435" t="s">
        <v>2653</v>
      </c>
      <c r="F1435" t="s">
        <v>2653</v>
      </c>
      <c r="G1435" t="s">
        <v>2653</v>
      </c>
      <c r="H1435" t="s">
        <v>2653</v>
      </c>
      <c r="I1435" t="s">
        <v>2260</v>
      </c>
      <c r="K1435" t="str">
        <f t="shared" si="22"/>
        <v>RES_200006_P1T32024</v>
      </c>
    </row>
    <row r="1436" spans="1:11">
      <c r="A1436">
        <v>2025</v>
      </c>
      <c r="B1436" t="s">
        <v>383</v>
      </c>
      <c r="C1436" t="s">
        <v>2653</v>
      </c>
      <c r="D1436" t="s">
        <v>2653</v>
      </c>
      <c r="E1436" t="s">
        <v>2653</v>
      </c>
      <c r="F1436" t="s">
        <v>2653</v>
      </c>
      <c r="G1436" t="s">
        <v>2653</v>
      </c>
      <c r="H1436" t="s">
        <v>2653</v>
      </c>
      <c r="I1436" t="s">
        <v>2260</v>
      </c>
      <c r="K1436" t="str">
        <f t="shared" si="22"/>
        <v>RES_200006_P1T32025</v>
      </c>
    </row>
    <row r="1437" spans="1:11">
      <c r="A1437">
        <v>2026</v>
      </c>
      <c r="B1437" t="s">
        <v>383</v>
      </c>
      <c r="C1437" t="s">
        <v>2653</v>
      </c>
      <c r="D1437" t="s">
        <v>2653</v>
      </c>
      <c r="E1437" t="s">
        <v>2653</v>
      </c>
      <c r="F1437" t="s">
        <v>2653</v>
      </c>
      <c r="G1437" t="s">
        <v>2653</v>
      </c>
      <c r="H1437" t="s">
        <v>2653</v>
      </c>
      <c r="I1437" t="s">
        <v>2260</v>
      </c>
      <c r="K1437" t="str">
        <f t="shared" si="22"/>
        <v>RES_200006_P1T32026</v>
      </c>
    </row>
    <row r="1438" spans="1:11">
      <c r="A1438">
        <v>2027</v>
      </c>
      <c r="B1438" t="s">
        <v>383</v>
      </c>
      <c r="C1438" t="s">
        <v>2653</v>
      </c>
      <c r="D1438" t="s">
        <v>2653</v>
      </c>
      <c r="E1438" t="s">
        <v>2653</v>
      </c>
      <c r="F1438" t="s">
        <v>2653</v>
      </c>
      <c r="G1438" t="s">
        <v>2653</v>
      </c>
      <c r="H1438" t="s">
        <v>2653</v>
      </c>
      <c r="I1438" t="s">
        <v>2260</v>
      </c>
      <c r="K1438" t="str">
        <f t="shared" si="22"/>
        <v>RES_200006_P1T32027</v>
      </c>
    </row>
    <row r="1439" spans="1:11">
      <c r="A1439">
        <v>2024</v>
      </c>
      <c r="B1439" t="s">
        <v>1585</v>
      </c>
      <c r="C1439" t="s">
        <v>2653</v>
      </c>
      <c r="D1439" t="s">
        <v>2654</v>
      </c>
      <c r="E1439" t="s">
        <v>2653</v>
      </c>
      <c r="F1439" t="s">
        <v>2654</v>
      </c>
      <c r="G1439" t="s">
        <v>2653</v>
      </c>
      <c r="H1439" t="s">
        <v>2653</v>
      </c>
      <c r="I1439" t="s">
        <v>1699</v>
      </c>
      <c r="K1439" t="str">
        <f t="shared" si="22"/>
        <v>COM_201304_P15T22024</v>
      </c>
    </row>
    <row r="1440" spans="1:11">
      <c r="A1440">
        <v>2024</v>
      </c>
      <c r="B1440" t="s">
        <v>928</v>
      </c>
      <c r="C1440" t="s">
        <v>2653</v>
      </c>
      <c r="D1440" t="s">
        <v>2653</v>
      </c>
      <c r="E1440" t="s">
        <v>2653</v>
      </c>
      <c r="F1440" t="s">
        <v>2653</v>
      </c>
      <c r="G1440" t="s">
        <v>2653</v>
      </c>
      <c r="H1440" t="s">
        <v>2653</v>
      </c>
      <c r="I1440" t="s">
        <v>1691</v>
      </c>
      <c r="K1440" t="str">
        <f t="shared" si="22"/>
        <v>COM_200701_P1T02024</v>
      </c>
    </row>
    <row r="1441" spans="1:11">
      <c r="A1441">
        <v>2024</v>
      </c>
      <c r="B1441" t="s">
        <v>781</v>
      </c>
      <c r="C1441" t="s">
        <v>2653</v>
      </c>
      <c r="D1441" t="s">
        <v>2653</v>
      </c>
      <c r="E1441" t="s">
        <v>2653</v>
      </c>
      <c r="F1441" t="s">
        <v>2653</v>
      </c>
      <c r="G1441" t="s">
        <v>2653</v>
      </c>
      <c r="H1441" t="s">
        <v>2653</v>
      </c>
      <c r="I1441" t="s">
        <v>1718</v>
      </c>
      <c r="K1441" t="str">
        <f t="shared" si="22"/>
        <v>OTH_201601_P2T02024</v>
      </c>
    </row>
    <row r="1442" spans="1:11">
      <c r="A1442">
        <v>2025</v>
      </c>
      <c r="B1442" t="s">
        <v>781</v>
      </c>
      <c r="C1442" t="s">
        <v>2653</v>
      </c>
      <c r="D1442" t="s">
        <v>2653</v>
      </c>
      <c r="E1442" t="s">
        <v>2653</v>
      </c>
      <c r="F1442" t="s">
        <v>2653</v>
      </c>
      <c r="G1442" t="s">
        <v>2653</v>
      </c>
      <c r="H1442" t="s">
        <v>2653</v>
      </c>
      <c r="I1442" t="s">
        <v>1718</v>
      </c>
      <c r="K1442" t="str">
        <f t="shared" si="22"/>
        <v>OTH_201601_P2T02025</v>
      </c>
    </row>
    <row r="1443" spans="1:11">
      <c r="A1443">
        <v>2026</v>
      </c>
      <c r="B1443" t="s">
        <v>781</v>
      </c>
      <c r="C1443" t="s">
        <v>2653</v>
      </c>
      <c r="D1443" t="s">
        <v>2653</v>
      </c>
      <c r="E1443" t="s">
        <v>2653</v>
      </c>
      <c r="F1443" t="s">
        <v>2653</v>
      </c>
      <c r="G1443" t="s">
        <v>2653</v>
      </c>
      <c r="H1443" t="s">
        <v>2653</v>
      </c>
      <c r="I1443" t="s">
        <v>1718</v>
      </c>
      <c r="K1443" t="str">
        <f t="shared" si="22"/>
        <v>OTH_201601_P2T02026</v>
      </c>
    </row>
    <row r="1444" spans="1:11">
      <c r="A1444">
        <v>2027</v>
      </c>
      <c r="B1444" t="s">
        <v>781</v>
      </c>
      <c r="C1444" t="s">
        <v>2653</v>
      </c>
      <c r="D1444" t="s">
        <v>2653</v>
      </c>
      <c r="E1444" t="s">
        <v>2653</v>
      </c>
      <c r="F1444" t="s">
        <v>2653</v>
      </c>
      <c r="G1444" t="s">
        <v>2653</v>
      </c>
      <c r="H1444" t="s">
        <v>2653</v>
      </c>
      <c r="I1444" t="s">
        <v>1718</v>
      </c>
      <c r="K1444" t="str">
        <f t="shared" si="22"/>
        <v>OTH_201601_P2T02027</v>
      </c>
    </row>
    <row r="1445" spans="1:11">
      <c r="A1445">
        <v>2024</v>
      </c>
      <c r="B1445" t="s">
        <v>779</v>
      </c>
      <c r="C1445" t="s">
        <v>2653</v>
      </c>
      <c r="D1445" t="s">
        <v>2653</v>
      </c>
      <c r="E1445" t="s">
        <v>2653</v>
      </c>
      <c r="F1445" t="s">
        <v>2653</v>
      </c>
      <c r="G1445" t="s">
        <v>2653</v>
      </c>
      <c r="H1445" t="s">
        <v>2653</v>
      </c>
      <c r="I1445" t="s">
        <v>1717</v>
      </c>
      <c r="K1445" t="str">
        <f t="shared" si="22"/>
        <v>OTH_201601_P1T02024</v>
      </c>
    </row>
    <row r="1446" spans="1:11">
      <c r="A1446">
        <v>2025</v>
      </c>
      <c r="B1446" t="s">
        <v>779</v>
      </c>
      <c r="C1446" t="s">
        <v>2653</v>
      </c>
      <c r="D1446" t="s">
        <v>2653</v>
      </c>
      <c r="E1446" t="s">
        <v>2653</v>
      </c>
      <c r="F1446" t="s">
        <v>2653</v>
      </c>
      <c r="G1446" t="s">
        <v>2653</v>
      </c>
      <c r="H1446" t="s">
        <v>2653</v>
      </c>
      <c r="I1446" t="s">
        <v>1717</v>
      </c>
      <c r="K1446" t="str">
        <f t="shared" si="22"/>
        <v>OTH_201601_P1T02025</v>
      </c>
    </row>
    <row r="1447" spans="1:11">
      <c r="A1447">
        <v>2026</v>
      </c>
      <c r="B1447" t="s">
        <v>779</v>
      </c>
      <c r="C1447" t="s">
        <v>2653</v>
      </c>
      <c r="D1447" t="s">
        <v>2653</v>
      </c>
      <c r="E1447" t="s">
        <v>2653</v>
      </c>
      <c r="F1447" t="s">
        <v>2653</v>
      </c>
      <c r="G1447" t="s">
        <v>2653</v>
      </c>
      <c r="H1447" t="s">
        <v>2653</v>
      </c>
      <c r="I1447" t="s">
        <v>1717</v>
      </c>
      <c r="K1447" t="str">
        <f t="shared" si="22"/>
        <v>OTH_201601_P1T02026</v>
      </c>
    </row>
    <row r="1448" spans="1:11">
      <c r="A1448">
        <v>2027</v>
      </c>
      <c r="B1448" t="s">
        <v>779</v>
      </c>
      <c r="C1448" t="s">
        <v>2653</v>
      </c>
      <c r="D1448" t="s">
        <v>2653</v>
      </c>
      <c r="E1448" t="s">
        <v>2653</v>
      </c>
      <c r="F1448" t="s">
        <v>2653</v>
      </c>
      <c r="G1448" t="s">
        <v>2653</v>
      </c>
      <c r="H1448" t="s">
        <v>2653</v>
      </c>
      <c r="I1448" t="s">
        <v>1717</v>
      </c>
      <c r="K1448" t="str">
        <f t="shared" si="22"/>
        <v>OTH_201601_P1T02027</v>
      </c>
    </row>
    <row r="1449" spans="1:11">
      <c r="A1449">
        <v>2024</v>
      </c>
      <c r="B1449" t="s">
        <v>782</v>
      </c>
      <c r="C1449" t="s">
        <v>2653</v>
      </c>
      <c r="D1449" t="s">
        <v>2653</v>
      </c>
      <c r="E1449" t="s">
        <v>2653</v>
      </c>
      <c r="F1449" t="s">
        <v>2653</v>
      </c>
      <c r="G1449" t="s">
        <v>2653</v>
      </c>
      <c r="H1449" t="s">
        <v>2653</v>
      </c>
      <c r="I1449" t="s">
        <v>1719</v>
      </c>
      <c r="K1449" t="str">
        <f t="shared" si="22"/>
        <v>OTH_201601_P3T02024</v>
      </c>
    </row>
    <row r="1450" spans="1:11">
      <c r="A1450">
        <v>2025</v>
      </c>
      <c r="B1450" t="s">
        <v>782</v>
      </c>
      <c r="C1450" t="s">
        <v>2653</v>
      </c>
      <c r="D1450" t="s">
        <v>2653</v>
      </c>
      <c r="E1450" t="s">
        <v>2653</v>
      </c>
      <c r="F1450" t="s">
        <v>2653</v>
      </c>
      <c r="G1450" t="s">
        <v>2653</v>
      </c>
      <c r="H1450" t="s">
        <v>2653</v>
      </c>
      <c r="I1450" t="s">
        <v>1719</v>
      </c>
      <c r="K1450" t="str">
        <f t="shared" si="22"/>
        <v>OTH_201601_P3T02025</v>
      </c>
    </row>
    <row r="1451" spans="1:11">
      <c r="A1451">
        <v>2026</v>
      </c>
      <c r="B1451" t="s">
        <v>782</v>
      </c>
      <c r="C1451" t="s">
        <v>2653</v>
      </c>
      <c r="D1451" t="s">
        <v>2653</v>
      </c>
      <c r="E1451" t="s">
        <v>2653</v>
      </c>
      <c r="F1451" t="s">
        <v>2653</v>
      </c>
      <c r="G1451" t="s">
        <v>2653</v>
      </c>
      <c r="H1451" t="s">
        <v>2653</v>
      </c>
      <c r="I1451" t="s">
        <v>1719</v>
      </c>
      <c r="K1451" t="str">
        <f t="shared" si="22"/>
        <v>OTH_201601_P3T02026</v>
      </c>
    </row>
    <row r="1452" spans="1:11">
      <c r="A1452">
        <v>2027</v>
      </c>
      <c r="B1452" t="s">
        <v>782</v>
      </c>
      <c r="C1452" t="s">
        <v>2653</v>
      </c>
      <c r="D1452" t="s">
        <v>2653</v>
      </c>
      <c r="E1452" t="s">
        <v>2653</v>
      </c>
      <c r="F1452" t="s">
        <v>2653</v>
      </c>
      <c r="G1452" t="s">
        <v>2653</v>
      </c>
      <c r="H1452" t="s">
        <v>2653</v>
      </c>
      <c r="I1452" t="s">
        <v>1719</v>
      </c>
      <c r="K1452" t="str">
        <f t="shared" si="22"/>
        <v>OTH_201601_P3T02027</v>
      </c>
    </row>
    <row r="1453" spans="1:11">
      <c r="A1453">
        <v>2024</v>
      </c>
      <c r="B1453" t="s">
        <v>1582</v>
      </c>
      <c r="C1453" t="s">
        <v>2653</v>
      </c>
      <c r="D1453" t="s">
        <v>2654</v>
      </c>
      <c r="E1453" t="s">
        <v>2653</v>
      </c>
      <c r="F1453" t="s">
        <v>2654</v>
      </c>
      <c r="G1453" t="s">
        <v>2654</v>
      </c>
      <c r="H1453" t="s">
        <v>2654</v>
      </c>
      <c r="I1453" t="s">
        <v>2300</v>
      </c>
      <c r="K1453" t="str">
        <f t="shared" si="22"/>
        <v>COM_201304_P11T12024</v>
      </c>
    </row>
    <row r="1454" spans="1:11">
      <c r="A1454">
        <v>2025</v>
      </c>
      <c r="B1454" t="s">
        <v>1582</v>
      </c>
      <c r="C1454" t="s">
        <v>2653</v>
      </c>
      <c r="D1454" t="s">
        <v>2654</v>
      </c>
      <c r="E1454" t="s">
        <v>2653</v>
      </c>
      <c r="F1454" t="s">
        <v>2654</v>
      </c>
      <c r="G1454" t="s">
        <v>2654</v>
      </c>
      <c r="H1454" t="s">
        <v>2654</v>
      </c>
      <c r="I1454" t="s">
        <v>2300</v>
      </c>
      <c r="K1454" t="str">
        <f t="shared" si="22"/>
        <v>COM_201304_P11T12025</v>
      </c>
    </row>
    <row r="1455" spans="1:11">
      <c r="A1455">
        <v>2026</v>
      </c>
      <c r="B1455" t="s">
        <v>1582</v>
      </c>
      <c r="C1455" t="s">
        <v>2653</v>
      </c>
      <c r="D1455" t="s">
        <v>2654</v>
      </c>
      <c r="E1455" t="s">
        <v>2653</v>
      </c>
      <c r="F1455" t="s">
        <v>2654</v>
      </c>
      <c r="G1455" t="s">
        <v>2654</v>
      </c>
      <c r="H1455" t="s">
        <v>2654</v>
      </c>
      <c r="I1455" t="s">
        <v>2300</v>
      </c>
      <c r="K1455" t="str">
        <f t="shared" si="22"/>
        <v>COM_201304_P11T12026</v>
      </c>
    </row>
    <row r="1456" spans="1:11">
      <c r="A1456">
        <v>2027</v>
      </c>
      <c r="B1456" t="s">
        <v>1582</v>
      </c>
      <c r="C1456" t="s">
        <v>2653</v>
      </c>
      <c r="D1456" t="s">
        <v>2654</v>
      </c>
      <c r="E1456" t="s">
        <v>2653</v>
      </c>
      <c r="F1456" t="s">
        <v>2654</v>
      </c>
      <c r="G1456" t="s">
        <v>2654</v>
      </c>
      <c r="H1456" t="s">
        <v>2654</v>
      </c>
      <c r="I1456" t="s">
        <v>2300</v>
      </c>
      <c r="K1456" t="str">
        <f t="shared" si="22"/>
        <v>COM_201304_P11T12027</v>
      </c>
    </row>
    <row r="1457" spans="1:11">
      <c r="A1457">
        <v>2024</v>
      </c>
      <c r="B1457" t="s">
        <v>96</v>
      </c>
      <c r="C1457" t="s">
        <v>2653</v>
      </c>
      <c r="D1457" t="s">
        <v>2653</v>
      </c>
      <c r="E1457" t="s">
        <v>2653</v>
      </c>
      <c r="F1457" t="s">
        <v>2653</v>
      </c>
      <c r="G1457" t="s">
        <v>2654</v>
      </c>
      <c r="H1457" t="s">
        <v>2654</v>
      </c>
      <c r="I1457" t="s">
        <v>2354</v>
      </c>
      <c r="K1457" t="str">
        <f t="shared" si="22"/>
        <v>RES_199702_P1T02024</v>
      </c>
    </row>
    <row r="1458" spans="1:11">
      <c r="A1458">
        <v>2025</v>
      </c>
      <c r="B1458" t="s">
        <v>96</v>
      </c>
      <c r="C1458" t="s">
        <v>2653</v>
      </c>
      <c r="D1458" t="s">
        <v>2653</v>
      </c>
      <c r="E1458" t="s">
        <v>2653</v>
      </c>
      <c r="F1458" t="s">
        <v>2653</v>
      </c>
      <c r="G1458" t="s">
        <v>2654</v>
      </c>
      <c r="H1458" t="s">
        <v>2654</v>
      </c>
      <c r="I1458" t="s">
        <v>2354</v>
      </c>
      <c r="K1458" t="str">
        <f t="shared" si="22"/>
        <v>RES_199702_P1T02025</v>
      </c>
    </row>
    <row r="1459" spans="1:11">
      <c r="A1459">
        <v>2026</v>
      </c>
      <c r="B1459" t="s">
        <v>96</v>
      </c>
      <c r="C1459" t="s">
        <v>2653</v>
      </c>
      <c r="D1459" t="s">
        <v>2653</v>
      </c>
      <c r="E1459" t="s">
        <v>2653</v>
      </c>
      <c r="F1459" t="s">
        <v>2653</v>
      </c>
      <c r="G1459" t="s">
        <v>2654</v>
      </c>
      <c r="H1459" t="s">
        <v>2654</v>
      </c>
      <c r="I1459" t="s">
        <v>2354</v>
      </c>
      <c r="K1459" t="str">
        <f t="shared" si="22"/>
        <v>RES_199702_P1T02026</v>
      </c>
    </row>
    <row r="1460" spans="1:11">
      <c r="A1460">
        <v>2027</v>
      </c>
      <c r="B1460" t="s">
        <v>96</v>
      </c>
      <c r="C1460" t="s">
        <v>2653</v>
      </c>
      <c r="D1460" t="s">
        <v>2653</v>
      </c>
      <c r="E1460" t="s">
        <v>2653</v>
      </c>
      <c r="F1460" t="s">
        <v>2653</v>
      </c>
      <c r="G1460" t="s">
        <v>2654</v>
      </c>
      <c r="H1460" t="s">
        <v>2654</v>
      </c>
      <c r="I1460" t="s">
        <v>2354</v>
      </c>
      <c r="K1460" t="str">
        <f t="shared" si="22"/>
        <v>RES_199702_P1T02027</v>
      </c>
    </row>
    <row r="1461" spans="1:11">
      <c r="A1461">
        <v>2024</v>
      </c>
      <c r="B1461" t="s">
        <v>97</v>
      </c>
      <c r="C1461" t="s">
        <v>2653</v>
      </c>
      <c r="D1461" t="s">
        <v>2653</v>
      </c>
      <c r="E1461" t="s">
        <v>2653</v>
      </c>
      <c r="F1461" t="s">
        <v>2654</v>
      </c>
      <c r="G1461" t="s">
        <v>2654</v>
      </c>
      <c r="H1461" t="s">
        <v>2654</v>
      </c>
      <c r="I1461" t="s">
        <v>2356</v>
      </c>
      <c r="K1461" t="str">
        <f t="shared" si="22"/>
        <v>RES_199702_P1T92024</v>
      </c>
    </row>
    <row r="1462" spans="1:11">
      <c r="A1462">
        <v>2025</v>
      </c>
      <c r="B1462" t="s">
        <v>97</v>
      </c>
      <c r="C1462" t="s">
        <v>2653</v>
      </c>
      <c r="D1462" t="s">
        <v>2653</v>
      </c>
      <c r="E1462" t="s">
        <v>2653</v>
      </c>
      <c r="F1462" t="s">
        <v>2654</v>
      </c>
      <c r="G1462" t="s">
        <v>2654</v>
      </c>
      <c r="H1462" t="s">
        <v>2654</v>
      </c>
      <c r="I1462" t="s">
        <v>2356</v>
      </c>
      <c r="K1462" t="str">
        <f t="shared" si="22"/>
        <v>RES_199702_P1T92025</v>
      </c>
    </row>
    <row r="1463" spans="1:11">
      <c r="A1463">
        <v>2026</v>
      </c>
      <c r="B1463" t="s">
        <v>97</v>
      </c>
      <c r="C1463" t="s">
        <v>2653</v>
      </c>
      <c r="D1463" t="s">
        <v>2653</v>
      </c>
      <c r="E1463" t="s">
        <v>2653</v>
      </c>
      <c r="F1463" t="s">
        <v>2654</v>
      </c>
      <c r="G1463" t="s">
        <v>2654</v>
      </c>
      <c r="H1463" t="s">
        <v>2654</v>
      </c>
      <c r="I1463" t="s">
        <v>2356</v>
      </c>
      <c r="K1463" t="str">
        <f t="shared" si="22"/>
        <v>RES_199702_P1T92026</v>
      </c>
    </row>
    <row r="1464" spans="1:11">
      <c r="A1464">
        <v>2027</v>
      </c>
      <c r="B1464" t="s">
        <v>97</v>
      </c>
      <c r="C1464" t="s">
        <v>2653</v>
      </c>
      <c r="D1464" t="s">
        <v>2653</v>
      </c>
      <c r="E1464" t="s">
        <v>2653</v>
      </c>
      <c r="F1464" t="s">
        <v>2654</v>
      </c>
      <c r="G1464" t="s">
        <v>2654</v>
      </c>
      <c r="H1464" t="s">
        <v>2654</v>
      </c>
      <c r="I1464" t="s">
        <v>2356</v>
      </c>
      <c r="K1464" t="str">
        <f t="shared" si="22"/>
        <v>RES_199702_P1T92027</v>
      </c>
    </row>
    <row r="1465" spans="1:11">
      <c r="A1465">
        <v>2024</v>
      </c>
      <c r="B1465" t="s">
        <v>98</v>
      </c>
      <c r="C1465" t="s">
        <v>2653</v>
      </c>
      <c r="D1465" t="s">
        <v>2653</v>
      </c>
      <c r="E1465" t="s">
        <v>2653</v>
      </c>
      <c r="F1465" t="s">
        <v>2653</v>
      </c>
      <c r="G1465" t="s">
        <v>2653</v>
      </c>
      <c r="H1465" t="s">
        <v>2653</v>
      </c>
      <c r="I1465" t="s">
        <v>1205</v>
      </c>
      <c r="K1465" t="str">
        <f t="shared" si="22"/>
        <v>RES_199703_P3T12024</v>
      </c>
    </row>
    <row r="1466" spans="1:11">
      <c r="A1466">
        <v>2025</v>
      </c>
      <c r="B1466" t="s">
        <v>98</v>
      </c>
      <c r="C1466" t="s">
        <v>2653</v>
      </c>
      <c r="D1466" t="s">
        <v>2653</v>
      </c>
      <c r="E1466" t="s">
        <v>2653</v>
      </c>
      <c r="F1466" t="s">
        <v>2653</v>
      </c>
      <c r="G1466" t="s">
        <v>2653</v>
      </c>
      <c r="H1466" t="s">
        <v>2653</v>
      </c>
      <c r="I1466" t="s">
        <v>1205</v>
      </c>
      <c r="K1466" t="str">
        <f t="shared" si="22"/>
        <v>RES_199703_P3T12025</v>
      </c>
    </row>
    <row r="1467" spans="1:11">
      <c r="A1467">
        <v>2026</v>
      </c>
      <c r="B1467" t="s">
        <v>98</v>
      </c>
      <c r="C1467" t="s">
        <v>2653</v>
      </c>
      <c r="D1467" t="s">
        <v>2653</v>
      </c>
      <c r="E1467" t="s">
        <v>2653</v>
      </c>
      <c r="F1467" t="s">
        <v>2653</v>
      </c>
      <c r="G1467" t="s">
        <v>2653</v>
      </c>
      <c r="H1467" t="s">
        <v>2653</v>
      </c>
      <c r="I1467" t="s">
        <v>1205</v>
      </c>
      <c r="K1467" t="str">
        <f t="shared" si="22"/>
        <v>RES_199703_P3T12026</v>
      </c>
    </row>
    <row r="1468" spans="1:11">
      <c r="A1468">
        <v>2027</v>
      </c>
      <c r="B1468" t="s">
        <v>98</v>
      </c>
      <c r="C1468" t="s">
        <v>2653</v>
      </c>
      <c r="D1468" t="s">
        <v>2653</v>
      </c>
      <c r="E1468" t="s">
        <v>2653</v>
      </c>
      <c r="F1468" t="s">
        <v>2653</v>
      </c>
      <c r="G1468" t="s">
        <v>2653</v>
      </c>
      <c r="H1468" t="s">
        <v>2653</v>
      </c>
      <c r="I1468" t="s">
        <v>1205</v>
      </c>
      <c r="K1468" t="str">
        <f t="shared" si="22"/>
        <v>RES_199703_P3T12027</v>
      </c>
    </row>
    <row r="1469" spans="1:11">
      <c r="A1469">
        <v>2024</v>
      </c>
      <c r="B1469" t="s">
        <v>99</v>
      </c>
      <c r="C1469" t="s">
        <v>2653</v>
      </c>
      <c r="D1469" t="s">
        <v>2653</v>
      </c>
      <c r="E1469" t="s">
        <v>2653</v>
      </c>
      <c r="F1469" t="s">
        <v>2653</v>
      </c>
      <c r="G1469" t="s">
        <v>2653</v>
      </c>
      <c r="H1469" t="s">
        <v>2653</v>
      </c>
      <c r="I1469" t="s">
        <v>1207</v>
      </c>
      <c r="K1469" t="str">
        <f t="shared" si="22"/>
        <v>RES_199703_P4T12024</v>
      </c>
    </row>
    <row r="1470" spans="1:11">
      <c r="A1470">
        <v>2025</v>
      </c>
      <c r="B1470" t="s">
        <v>99</v>
      </c>
      <c r="C1470" t="s">
        <v>2653</v>
      </c>
      <c r="D1470" t="s">
        <v>2653</v>
      </c>
      <c r="E1470" t="s">
        <v>2653</v>
      </c>
      <c r="F1470" t="s">
        <v>2653</v>
      </c>
      <c r="G1470" t="s">
        <v>2653</v>
      </c>
      <c r="H1470" t="s">
        <v>2653</v>
      </c>
      <c r="I1470" t="s">
        <v>1207</v>
      </c>
      <c r="K1470" t="str">
        <f t="shared" si="22"/>
        <v>RES_199703_P4T12025</v>
      </c>
    </row>
    <row r="1471" spans="1:11">
      <c r="A1471">
        <v>2026</v>
      </c>
      <c r="B1471" t="s">
        <v>99</v>
      </c>
      <c r="C1471" t="s">
        <v>2653</v>
      </c>
      <c r="D1471" t="s">
        <v>2653</v>
      </c>
      <c r="E1471" t="s">
        <v>2653</v>
      </c>
      <c r="F1471" t="s">
        <v>2653</v>
      </c>
      <c r="G1471" t="s">
        <v>2653</v>
      </c>
      <c r="H1471" t="s">
        <v>2653</v>
      </c>
      <c r="I1471" t="s">
        <v>1207</v>
      </c>
      <c r="K1471" t="str">
        <f t="shared" si="22"/>
        <v>RES_199703_P4T12026</v>
      </c>
    </row>
    <row r="1472" spans="1:11">
      <c r="A1472">
        <v>2027</v>
      </c>
      <c r="B1472" t="s">
        <v>99</v>
      </c>
      <c r="C1472" t="s">
        <v>2653</v>
      </c>
      <c r="D1472" t="s">
        <v>2653</v>
      </c>
      <c r="E1472" t="s">
        <v>2653</v>
      </c>
      <c r="F1472" t="s">
        <v>2653</v>
      </c>
      <c r="G1472" t="s">
        <v>2653</v>
      </c>
      <c r="H1472" t="s">
        <v>2653</v>
      </c>
      <c r="I1472" t="s">
        <v>1207</v>
      </c>
      <c r="K1472" t="str">
        <f t="shared" si="22"/>
        <v>RES_199703_P4T12027</v>
      </c>
    </row>
    <row r="1473" spans="1:11">
      <c r="A1473">
        <v>2024</v>
      </c>
      <c r="B1473" t="s">
        <v>714</v>
      </c>
      <c r="C1473" t="s">
        <v>2653</v>
      </c>
      <c r="D1473" t="s">
        <v>2654</v>
      </c>
      <c r="E1473" t="s">
        <v>2653</v>
      </c>
      <c r="F1473" t="s">
        <v>2653</v>
      </c>
      <c r="G1473" t="s">
        <v>2653</v>
      </c>
      <c r="H1473" t="s">
        <v>2653</v>
      </c>
      <c r="I1473" t="s">
        <v>1720</v>
      </c>
      <c r="K1473" t="str">
        <f t="shared" si="22"/>
        <v>RES_199703_P5T12024</v>
      </c>
    </row>
    <row r="1474" spans="1:11">
      <c r="A1474">
        <v>2025</v>
      </c>
      <c r="B1474" t="s">
        <v>714</v>
      </c>
      <c r="C1474" t="s">
        <v>2653</v>
      </c>
      <c r="D1474" t="s">
        <v>2654</v>
      </c>
      <c r="E1474" t="s">
        <v>2653</v>
      </c>
      <c r="F1474" t="s">
        <v>2653</v>
      </c>
      <c r="G1474" t="s">
        <v>2653</v>
      </c>
      <c r="H1474" t="s">
        <v>2653</v>
      </c>
      <c r="I1474" t="s">
        <v>1720</v>
      </c>
      <c r="K1474" t="str">
        <f t="shared" si="22"/>
        <v>RES_199703_P5T12025</v>
      </c>
    </row>
    <row r="1475" spans="1:11">
      <c r="A1475">
        <v>2026</v>
      </c>
      <c r="B1475" t="s">
        <v>714</v>
      </c>
      <c r="C1475" t="s">
        <v>2653</v>
      </c>
      <c r="D1475" t="s">
        <v>2654</v>
      </c>
      <c r="E1475" t="s">
        <v>2653</v>
      </c>
      <c r="F1475" t="s">
        <v>2653</v>
      </c>
      <c r="G1475" t="s">
        <v>2653</v>
      </c>
      <c r="H1475" t="s">
        <v>2653</v>
      </c>
      <c r="I1475" t="s">
        <v>1720</v>
      </c>
      <c r="K1475" t="str">
        <f t="shared" ref="K1475:K1482" si="23">B1475&amp;A1475</f>
        <v>RES_199703_P5T12026</v>
      </c>
    </row>
    <row r="1476" spans="1:11">
      <c r="A1476">
        <v>2027</v>
      </c>
      <c r="B1476" t="s">
        <v>714</v>
      </c>
      <c r="C1476" t="s">
        <v>2653</v>
      </c>
      <c r="D1476" t="s">
        <v>2654</v>
      </c>
      <c r="E1476" t="s">
        <v>2653</v>
      </c>
      <c r="F1476" t="s">
        <v>2653</v>
      </c>
      <c r="G1476" t="s">
        <v>2653</v>
      </c>
      <c r="H1476" t="s">
        <v>2653</v>
      </c>
      <c r="I1476" t="s">
        <v>1720</v>
      </c>
      <c r="K1476" t="str">
        <f t="shared" si="23"/>
        <v>RES_199703_P5T12027</v>
      </c>
    </row>
    <row r="1477" spans="1:11">
      <c r="A1477">
        <v>2024</v>
      </c>
      <c r="B1477" t="s">
        <v>715</v>
      </c>
      <c r="C1477" t="s">
        <v>2653</v>
      </c>
      <c r="D1477" t="s">
        <v>2653</v>
      </c>
      <c r="E1477" t="s">
        <v>2653</v>
      </c>
      <c r="F1477" t="s">
        <v>2653</v>
      </c>
      <c r="G1477" t="s">
        <v>2653</v>
      </c>
      <c r="H1477" t="s">
        <v>2653</v>
      </c>
      <c r="I1477" t="s">
        <v>1721</v>
      </c>
      <c r="K1477" t="str">
        <f t="shared" si="23"/>
        <v>RES_199703_P6T12024</v>
      </c>
    </row>
    <row r="1478" spans="1:11">
      <c r="A1478">
        <v>2025</v>
      </c>
      <c r="B1478" t="s">
        <v>715</v>
      </c>
      <c r="C1478" t="s">
        <v>2653</v>
      </c>
      <c r="D1478" t="s">
        <v>2653</v>
      </c>
      <c r="E1478" t="s">
        <v>2653</v>
      </c>
      <c r="F1478" t="s">
        <v>2653</v>
      </c>
      <c r="G1478" t="s">
        <v>2653</v>
      </c>
      <c r="H1478" t="s">
        <v>2653</v>
      </c>
      <c r="I1478" t="s">
        <v>1721</v>
      </c>
      <c r="K1478" t="str">
        <f t="shared" si="23"/>
        <v>RES_199703_P6T12025</v>
      </c>
    </row>
    <row r="1479" spans="1:11">
      <c r="A1479">
        <v>2026</v>
      </c>
      <c r="B1479" t="s">
        <v>715</v>
      </c>
      <c r="C1479" t="s">
        <v>2653</v>
      </c>
      <c r="D1479" t="s">
        <v>2653</v>
      </c>
      <c r="E1479" t="s">
        <v>2653</v>
      </c>
      <c r="F1479" t="s">
        <v>2653</v>
      </c>
      <c r="G1479" t="s">
        <v>2653</v>
      </c>
      <c r="H1479" t="s">
        <v>2653</v>
      </c>
      <c r="I1479" t="s">
        <v>1721</v>
      </c>
      <c r="K1479" t="str">
        <f t="shared" si="23"/>
        <v>RES_199703_P6T12026</v>
      </c>
    </row>
    <row r="1480" spans="1:11">
      <c r="A1480">
        <v>2027</v>
      </c>
      <c r="B1480" t="s">
        <v>715</v>
      </c>
      <c r="C1480" t="s">
        <v>2653</v>
      </c>
      <c r="D1480" t="s">
        <v>2653</v>
      </c>
      <c r="E1480" t="s">
        <v>2653</v>
      </c>
      <c r="F1480" t="s">
        <v>2653</v>
      </c>
      <c r="G1480" t="s">
        <v>2653</v>
      </c>
      <c r="H1480" t="s">
        <v>2653</v>
      </c>
      <c r="I1480" t="s">
        <v>1721</v>
      </c>
      <c r="K1480" t="str">
        <f t="shared" si="23"/>
        <v>RES_199703_P6T12027</v>
      </c>
    </row>
    <row r="1481" spans="1:11">
      <c r="A1481">
        <v>2024</v>
      </c>
      <c r="B1481" t="s">
        <v>1586</v>
      </c>
      <c r="C1481" t="s">
        <v>2653</v>
      </c>
      <c r="D1481" t="s">
        <v>2654</v>
      </c>
      <c r="E1481" t="s">
        <v>2653</v>
      </c>
      <c r="F1481" t="s">
        <v>2653</v>
      </c>
      <c r="G1481" t="s">
        <v>2653</v>
      </c>
      <c r="H1481" t="s">
        <v>2653</v>
      </c>
      <c r="I1481" t="s">
        <v>1700</v>
      </c>
      <c r="K1481" t="str">
        <f t="shared" si="23"/>
        <v>COM_201304_P16T12024</v>
      </c>
    </row>
    <row r="1482" spans="1:11">
      <c r="A1482">
        <v>2024</v>
      </c>
      <c r="B1482" t="s">
        <v>1624</v>
      </c>
      <c r="C1482" t="s">
        <v>2653</v>
      </c>
      <c r="D1482" t="s">
        <v>2654</v>
      </c>
      <c r="E1482" t="s">
        <v>2653</v>
      </c>
      <c r="F1482" t="s">
        <v>2653</v>
      </c>
      <c r="G1482" t="s">
        <v>2653</v>
      </c>
      <c r="H1482" t="s">
        <v>2653</v>
      </c>
      <c r="I1482" t="s">
        <v>1843</v>
      </c>
      <c r="K1482" t="str">
        <f t="shared" si="23"/>
        <v>RES_201402_P11T12024</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0083CA"/>
    <pageSetUpPr fitToPage="1"/>
  </sheetPr>
  <dimension ref="A1:AB43"/>
  <sheetViews>
    <sheetView showGridLines="0" topLeftCell="F1" zoomScale="90" zoomScaleNormal="90" workbookViewId="0">
      <selection activeCell="F2" sqref="F2"/>
    </sheetView>
  </sheetViews>
  <sheetFormatPr defaultColWidth="18.5703125" defaultRowHeight="12.75" customHeight="1" outlineLevelRow="1" outlineLevelCol="1"/>
  <cols>
    <col min="1" max="1" width="19.5703125" style="49" hidden="1" customWidth="1" outlineLevel="1"/>
    <col min="2" max="2" width="12.5703125" style="49" hidden="1" customWidth="1" outlineLevel="1"/>
    <col min="3" max="3" width="13.42578125" style="49" hidden="1" customWidth="1" outlineLevel="1"/>
    <col min="4" max="4" width="6.42578125" style="49" hidden="1" customWidth="1" outlineLevel="1"/>
    <col min="5" max="5" width="13.5703125" style="49" hidden="1" customWidth="1" outlineLevel="1"/>
    <col min="6" max="6" width="17.42578125" style="50" customWidth="1" collapsed="1"/>
    <col min="7" max="7" width="23.5703125" style="50" customWidth="1"/>
    <col min="8" max="8" width="30" style="50" customWidth="1"/>
    <col min="9" max="9" width="45.5703125" style="50" customWidth="1"/>
    <col min="10" max="10" width="11.5703125" style="50" customWidth="1"/>
    <col min="11" max="11" width="10.42578125" style="50" customWidth="1"/>
    <col min="12" max="12" width="14.5703125" style="51" customWidth="1"/>
    <col min="13" max="13" width="14.42578125" style="51" customWidth="1"/>
    <col min="14" max="14" width="31.42578125" style="51" customWidth="1"/>
    <col min="15" max="15" width="17.5703125" style="50" customWidth="1"/>
    <col min="16" max="16" width="11.5703125" style="50" customWidth="1"/>
    <col min="17" max="17" width="41.5703125" style="50" customWidth="1"/>
    <col min="18" max="18" width="9" style="50" customWidth="1"/>
    <col min="19" max="19" width="10.42578125" style="50" customWidth="1"/>
    <col min="20" max="20" width="12.5703125" style="52" customWidth="1"/>
    <col min="21" max="21" width="19.5703125" style="50" customWidth="1"/>
    <col min="22" max="16384" width="18.5703125" style="50"/>
  </cols>
  <sheetData>
    <row r="1" spans="1:28" ht="12.75" customHeight="1">
      <c r="F1" s="26" t="s">
        <v>557</v>
      </c>
    </row>
    <row r="2" spans="1:28" ht="108.75" customHeight="1">
      <c r="F2" s="966" t="s">
        <v>1075</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AB2" s="50" t="s">
        <v>232</v>
      </c>
    </row>
    <row r="3" spans="1:28" customFormat="1" ht="15"/>
    <row r="4" spans="1:28" customFormat="1" ht="15" hidden="1" outlineLevel="1"/>
    <row r="5" spans="1:28" customFormat="1" ht="15" hidden="1" outlineLevel="1">
      <c r="A5" s="9" t="s">
        <v>2652</v>
      </c>
    </row>
    <row r="6" spans="1:28" customFormat="1" ht="15" hidden="1" outlineLevel="1">
      <c r="A6" s="667">
        <f>(B6/(SUM(B6:C6)))*D6+ (C6/SUM(B6:C6))*E6</f>
        <v>15.199999999999996</v>
      </c>
      <c r="B6" s="668">
        <f>SUMIFS($T$12:$T$31,$K$12:$K$31, 2024)</f>
        <v>0.20773298918435329</v>
      </c>
      <c r="C6" s="668">
        <f>SUMIFS($T$12:$T$31,$K$12:$K$31, 2025)</f>
        <v>0.23607628091291399</v>
      </c>
      <c r="D6" s="667" cm="1">
        <f t="array" ref="D6">SUMPRODUCT($J$12:$J$31,$T$12:$T$31,--($K$12:$K$31=2024))/SUMIFS($T$12:$T$31,$K$12:$K$31, 2024)</f>
        <v>15.199999999999998</v>
      </c>
      <c r="E6" s="667" cm="1">
        <f t="array" ref="E6">SUMPRODUCT($J$12:$J$31,$T$12:$T$31,--($K$12:$K$31=2025))/SUMIFS($T$12:$T$31,$K$12:$K$31, 2025)</f>
        <v>15.199999999999998</v>
      </c>
    </row>
    <row r="7" spans="1:28" customFormat="1" ht="15" hidden="1" outlineLevel="1">
      <c r="A7" s="667">
        <f>(B7/(SUM(B7:C7)))*D7+ (C7/SUM(B7:C7))*E7</f>
        <v>15.2</v>
      </c>
      <c r="B7" s="668">
        <f>SUMIFS($T$12:$T$31,$K$12:$K$31, 2026)</f>
        <v>0.27746069227475267</v>
      </c>
      <c r="C7" s="668">
        <f>SUMIFS($T$12:$T$31,$K$12:$K$31, 2027)</f>
        <v>0.33033883832445177</v>
      </c>
      <c r="D7" s="667" cm="1">
        <f t="array" ref="D7">SUMPRODUCT($J$12:$J$31,$T$12:$T$31,--($K$12:$K$31=2026))/SUMIFS($T$12:$T$31,$K$12:$K$31, 2026)</f>
        <v>15.199999999999998</v>
      </c>
      <c r="E7" s="667" cm="1">
        <f t="array" ref="E7">SUMPRODUCT($J$12:$J$31,$T$12:$T$31,--($K$12:$K$31=2027))/SUMIFS($T$12:$T$31,$K$12:$K$31, 2027)</f>
        <v>15.200000000000001</v>
      </c>
    </row>
    <row r="8" spans="1:28" customFormat="1" ht="15" hidden="1" outlineLevel="1"/>
    <row r="9" spans="1:28" customFormat="1" ht="15" hidden="1" outlineLevel="1">
      <c r="F9" s="1833"/>
      <c r="G9" s="1833"/>
      <c r="H9" s="1833"/>
    </row>
    <row r="10" spans="1:28" s="47" customFormat="1" ht="15.75" customHeight="1" collapsed="1">
      <c r="A10" s="1701" t="s">
        <v>125</v>
      </c>
      <c r="B10" s="1702"/>
      <c r="C10" s="1702"/>
      <c r="D10" s="1702"/>
      <c r="E10" s="1702"/>
      <c r="F10" s="1747" t="s">
        <v>7</v>
      </c>
      <c r="G10" s="1721"/>
      <c r="H10" s="1721"/>
      <c r="I10" s="1721"/>
      <c r="J10" s="1721"/>
      <c r="K10" s="1722"/>
      <c r="L10" s="1717" t="s">
        <v>122</v>
      </c>
      <c r="M10" s="1718"/>
      <c r="N10" s="1718"/>
      <c r="O10" s="1719"/>
      <c r="P10" s="1703" t="s">
        <v>123</v>
      </c>
      <c r="Q10" s="1704"/>
      <c r="R10" s="1712" t="s">
        <v>124</v>
      </c>
      <c r="S10" s="1713"/>
      <c r="T10" s="1714"/>
    </row>
    <row r="11" spans="1:28" customFormat="1" ht="38.25" customHeight="1" thickBot="1">
      <c r="A11" s="123" t="s">
        <v>0</v>
      </c>
      <c r="B11" s="124" t="s">
        <v>10</v>
      </c>
      <c r="C11" s="124" t="s">
        <v>1</v>
      </c>
      <c r="D11" s="124" t="s">
        <v>2</v>
      </c>
      <c r="E11" s="124" t="s">
        <v>187</v>
      </c>
      <c r="F11" s="880" t="s">
        <v>3</v>
      </c>
      <c r="G11" s="881" t="s">
        <v>4</v>
      </c>
      <c r="H11" s="881" t="s">
        <v>5</v>
      </c>
      <c r="I11" s="882" t="s">
        <v>2411</v>
      </c>
      <c r="J11" s="883" t="s">
        <v>834</v>
      </c>
      <c r="K11" s="881" t="s">
        <v>8</v>
      </c>
      <c r="L11" s="884" t="s">
        <v>11</v>
      </c>
      <c r="M11" s="881" t="s">
        <v>12</v>
      </c>
      <c r="N11" s="881" t="s">
        <v>120</v>
      </c>
      <c r="O11" s="885" t="str">
        <f>"Funder Share: "&amp;Selection!A2&amp;" "&amp;Selection!A3</f>
        <v>Funder Share: Puget Sound Energy Washington</v>
      </c>
      <c r="P11" s="886" t="s">
        <v>451</v>
      </c>
      <c r="Q11" s="887" t="s">
        <v>121</v>
      </c>
      <c r="R11" s="715" t="s">
        <v>2683</v>
      </c>
      <c r="S11" s="714" t="s">
        <v>2675</v>
      </c>
      <c r="T11" s="716" t="s">
        <v>2283</v>
      </c>
    </row>
    <row r="12" spans="1:28" ht="26.25" thickTop="1">
      <c r="A12" s="102" t="s">
        <v>91</v>
      </c>
      <c r="B12" s="82" t="str">
        <f t="shared" ref="B12:B21" si="0">LEFT(A12,10)</f>
        <v>RES_201403</v>
      </c>
      <c r="C12" s="670" t="str">
        <f>INDEX('AMMO vwFlags'!$C:$C,MATCH($A12&amp;K12,'AMMO vwFlags'!$K:$K,0))</f>
        <v>0</v>
      </c>
      <c r="D12" s="670" t="str">
        <f>INDEX('AMMO vwFlags'!$D:$D,MATCH($A12&amp;$K12,'AMMO vwFlags'!$K:$K,0))</f>
        <v>0</v>
      </c>
      <c r="E12" s="82">
        <f t="shared" ref="E12:E31" si="1">COUNTIFS($A:$A,$A12,$K:$K,$K12)</f>
        <v>1</v>
      </c>
      <c r="F12" s="865" t="str">
        <f t="shared" ref="F12:F31" si="2">IF(LEFT(A12,3)="Res","Residential",IF(LEFT(A12,3)="Ind","industrial",IF(LEFT(A12,3)="Com","Commercial",IF(LEFT(A12,3)="AGR","Agriculture",""))))</f>
        <v>Residential</v>
      </c>
      <c r="G12" s="675" t="str">
        <f>INDEX('AMMO Measures'!B:B,MATCH($A12,'AMMO Measures'!A:A,0))</f>
        <v>Retail Product Portfolio</v>
      </c>
      <c r="H12" s="675" t="str">
        <f>INDEX('AMMO Measures'!C:C,MATCH($A12,'AMMO Measures'!$A:$A,0))</f>
        <v>Refrigerators- Other</v>
      </c>
      <c r="I12" s="675" t="str">
        <f>INDEX('AMMO Measures'!D:D,MATCH($A12,'AMMO Measures'!$A:$A,0))</f>
        <v>ENERGY STAR v5/ENERGY STAR Most Efficient</v>
      </c>
      <c r="J12" s="866">
        <f>VALUE(INDEX('AMMO Measures'!H:H,MATCH($A12,'AMMO Measures'!A:A,0)))</f>
        <v>15.2</v>
      </c>
      <c r="K12" s="677">
        <v>2024</v>
      </c>
      <c r="L12" s="893">
        <f>SUMIFS('AMMO Units'!F:F,'AMMO Units'!$A:$A,$K12,'AMMO Units'!$E:$E,$A12)</f>
        <v>136631.59596531</v>
      </c>
      <c r="M12" s="867">
        <f>SUMIFS('AMMO Units'!G:G,'AMMO Units'!$A:$A,$K12,'AMMO Units'!$E:$E,$A12)</f>
        <v>0</v>
      </c>
      <c r="N12" s="1571" t="s">
        <v>2575</v>
      </c>
      <c r="O12" s="3">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868">
        <f>SUMIFS('AMMO Savings Rates'!F:F,'AMMO Savings Rates'!$E:$E,$K12,'AMMO Savings Rates'!$D:$D,$A12)</f>
        <v>7.9217568399999996</v>
      </c>
      <c r="Q12" s="1830" t="s">
        <v>2676</v>
      </c>
      <c r="R12" s="679">
        <f>(L12)*O12*P12/8760000</f>
        <v>1.7280235047655041E-2</v>
      </c>
      <c r="S12" s="869">
        <f>IFERROR((M12)*O12*P12/8760/1000,0)</f>
        <v>0</v>
      </c>
      <c r="T12" s="787">
        <f t="shared" ref="T12:T16" si="3">R12-S12</f>
        <v>1.7280235047655041E-2</v>
      </c>
    </row>
    <row r="13" spans="1:28" ht="25.5">
      <c r="A13" s="102" t="s">
        <v>92</v>
      </c>
      <c r="B13" s="82" t="str">
        <f t="shared" si="0"/>
        <v>RES_201403</v>
      </c>
      <c r="C13" s="670" t="str">
        <f>INDEX('AMMO vwFlags'!$C:$C,MATCH($A13&amp;K13,'AMMO vwFlags'!$K:$K,0))</f>
        <v>0</v>
      </c>
      <c r="D13" s="670" t="str">
        <f>INDEX('AMMO vwFlags'!$D:$D,MATCH($A13&amp;$K13,'AMMO vwFlags'!$K:$K,0))</f>
        <v>0</v>
      </c>
      <c r="E13" s="82">
        <f t="shared" si="1"/>
        <v>1</v>
      </c>
      <c r="F13" s="870" t="str">
        <f t="shared" si="2"/>
        <v>Residential</v>
      </c>
      <c r="G13" s="681" t="str">
        <f>INDEX('AMMO Measures'!B:B,MATCH($A13,'AMMO Measures'!A:A,0))</f>
        <v>Retail Product Portfolio</v>
      </c>
      <c r="H13" s="681" t="str">
        <f>INDEX('AMMO Measures'!C:C,MATCH($A13,'AMMO Measures'!$A:$A,0))</f>
        <v>Refrigerators- Other</v>
      </c>
      <c r="I13" s="681" t="str">
        <f>INDEX('AMMO Measures'!D:D,MATCH($A13,'AMMO Measures'!$A:$A,0))</f>
        <v>TBD</v>
      </c>
      <c r="J13" s="871">
        <f>VALUE(INDEX('AMMO Measures'!H:H,MATCH($A13,'AMMO Measures'!A:A,0)))</f>
        <v>15.2</v>
      </c>
      <c r="K13" s="683">
        <v>2024</v>
      </c>
      <c r="L13" s="894">
        <f>SUMIFS('AMMO Units'!F:F,'AMMO Units'!$A:$A,$K13,'AMMO Units'!$E:$E,$A13)</f>
        <v>0</v>
      </c>
      <c r="M13" s="872">
        <f>SUMIFS('AMMO Units'!G:G,'AMMO Units'!$A:$A,$K13,'AMMO Units'!$E:$E,$A13)</f>
        <v>0</v>
      </c>
      <c r="N13" s="1572" t="s">
        <v>2575</v>
      </c>
      <c r="O13" s="773">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v>
      </c>
      <c r="P13" s="873">
        <f>SUMIFS('AMMO Savings Rates'!F:F,'AMMO Savings Rates'!$E:$E,$K13,'AMMO Savings Rates'!$D:$D,$A13)</f>
        <v>0</v>
      </c>
      <c r="Q13" s="1831"/>
      <c r="R13" s="684">
        <f t="shared" ref="R13:R20" si="4">(L13)*O13*P13/8760000</f>
        <v>0</v>
      </c>
      <c r="S13" s="874">
        <f t="shared" ref="S13:S21" si="5">IFERROR(M13*O13*P13/8760/1000,0)</f>
        <v>0</v>
      </c>
      <c r="T13" s="793">
        <f t="shared" si="3"/>
        <v>0</v>
      </c>
    </row>
    <row r="14" spans="1:28" ht="25.5">
      <c r="A14" s="102" t="s">
        <v>390</v>
      </c>
      <c r="B14" s="82" t="str">
        <f t="shared" si="0"/>
        <v>RES_201403</v>
      </c>
      <c r="C14" s="670" t="str">
        <f>INDEX('AMMO vwFlags'!$C:$C,MATCH($A14&amp;K14,'AMMO vwFlags'!$K:$K,0))</f>
        <v>0</v>
      </c>
      <c r="D14" s="670" t="str">
        <f>INDEX('AMMO vwFlags'!$D:$D,MATCH($A14&amp;$K14,'AMMO vwFlags'!$K:$K,0))</f>
        <v>0</v>
      </c>
      <c r="E14" s="82">
        <f t="shared" si="1"/>
        <v>1</v>
      </c>
      <c r="F14" s="870" t="str">
        <f t="shared" si="2"/>
        <v>Residential</v>
      </c>
      <c r="G14" s="681" t="str">
        <f>INDEX('AMMO Measures'!B:B,MATCH($A14,'AMMO Measures'!A:A,0))</f>
        <v>Retail Product Portfolio</v>
      </c>
      <c r="H14" s="681" t="str">
        <f>INDEX('AMMO Measures'!C:C,MATCH($A14,'AMMO Measures'!$A:$A,0))</f>
        <v>Refrigerators- Side Freezers</v>
      </c>
      <c r="I14" s="681" t="str">
        <f>INDEX('AMMO Measures'!D:D,MATCH($A14,'AMMO Measures'!$A:$A,0))</f>
        <v>ENERGY STAR v5</v>
      </c>
      <c r="J14" s="871">
        <f>VALUE(INDEX('AMMO Measures'!H:H,MATCH($A14,'AMMO Measures'!A:A,0)))</f>
        <v>15.2</v>
      </c>
      <c r="K14" s="683">
        <v>2024</v>
      </c>
      <c r="L14" s="894">
        <f>SUMIFS('AMMO Units'!F:F,'AMMO Units'!$A:$A,$K14,'AMMO Units'!$E:$E,$A14)</f>
        <v>7809.1567753400004</v>
      </c>
      <c r="M14" s="872">
        <f>SUMIFS('AMMO Units'!G:G,'AMMO Units'!$A:$A,$K14,'AMMO Units'!$E:$E,$A14)</f>
        <v>0</v>
      </c>
      <c r="N14" s="1572" t="s">
        <v>2575</v>
      </c>
      <c r="O14" s="773">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873">
        <f>SUMIFS('AMMO Savings Rates'!F:F,'AMMO Savings Rates'!$E:$E,$K14,'AMMO Savings Rates'!$D:$D,$A14)</f>
        <v>38.618393009999998</v>
      </c>
      <c r="Q14" s="1831"/>
      <c r="R14" s="684">
        <f t="shared" si="4"/>
        <v>4.8147676780192191E-3</v>
      </c>
      <c r="S14" s="874">
        <f t="shared" si="5"/>
        <v>0</v>
      </c>
      <c r="T14" s="793">
        <f t="shared" si="3"/>
        <v>4.8147676780192191E-3</v>
      </c>
    </row>
    <row r="15" spans="1:28" ht="25.5">
      <c r="A15" s="102" t="s">
        <v>391</v>
      </c>
      <c r="B15" s="82" t="str">
        <f t="shared" si="0"/>
        <v>RES_201403</v>
      </c>
      <c r="C15" s="670" t="str">
        <f>INDEX('AMMO vwFlags'!$C:$C,MATCH($A15&amp;K15,'AMMO vwFlags'!$K:$K,0))</f>
        <v>0</v>
      </c>
      <c r="D15" s="670" t="str">
        <f>INDEX('AMMO vwFlags'!$D:$D,MATCH($A15&amp;$K15,'AMMO vwFlags'!$K:$K,0))</f>
        <v>0</v>
      </c>
      <c r="E15" s="82">
        <f t="shared" si="1"/>
        <v>1</v>
      </c>
      <c r="F15" s="870" t="str">
        <f t="shared" si="2"/>
        <v>Residential</v>
      </c>
      <c r="G15" s="681" t="str">
        <f>INDEX('AMMO Measures'!B:B,MATCH($A15,'AMMO Measures'!A:A,0))</f>
        <v>Retail Product Portfolio</v>
      </c>
      <c r="H15" s="681" t="str">
        <f>INDEX('AMMO Measures'!C:C,MATCH($A15,'AMMO Measures'!$A:$A,0))</f>
        <v>Refrigerators- Side Freezers</v>
      </c>
      <c r="I15" s="681" t="str">
        <f>INDEX('AMMO Measures'!D:D,MATCH($A15,'AMMO Measures'!$A:$A,0))</f>
        <v>ENERGY STAR Most Efficient</v>
      </c>
      <c r="J15" s="871">
        <f>VALUE(INDEX('AMMO Measures'!H:H,MATCH($A15,'AMMO Measures'!A:A,0)))</f>
        <v>15.2</v>
      </c>
      <c r="K15" s="683">
        <v>2024</v>
      </c>
      <c r="L15" s="894">
        <f>SUMIFS('AMMO Units'!F:F,'AMMO Units'!$A:$A,$K15,'AMMO Units'!$E:$E,$A15)</f>
        <v>12937.999583160001</v>
      </c>
      <c r="M15" s="872">
        <f>SUMIFS('AMMO Units'!G:G,'AMMO Units'!$A:$A,$K15,'AMMO Units'!$E:$E,$A15)</f>
        <v>0</v>
      </c>
      <c r="N15" s="1572" t="s">
        <v>2575</v>
      </c>
      <c r="O15" s="773">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873">
        <f>SUMIFS('AMMO Savings Rates'!F:F,'AMMO Savings Rates'!$E:$E,$K15,'AMMO Savings Rates'!$D:$D,$A15)</f>
        <v>215.36866434999999</v>
      </c>
      <c r="Q15" s="1831"/>
      <c r="R15" s="684">
        <f t="shared" si="4"/>
        <v>4.4486336669719545E-2</v>
      </c>
      <c r="S15" s="874">
        <f t="shared" si="5"/>
        <v>0</v>
      </c>
      <c r="T15" s="793">
        <f t="shared" si="3"/>
        <v>4.4486336669719545E-2</v>
      </c>
    </row>
    <row r="16" spans="1:28" ht="25.5">
      <c r="A16" s="102" t="s">
        <v>389</v>
      </c>
      <c r="B16" s="82" t="str">
        <f t="shared" si="0"/>
        <v>RES_201403</v>
      </c>
      <c r="C16" s="670" t="str">
        <f>INDEX('AMMO vwFlags'!$C:$C,MATCH($A16&amp;K16,'AMMO vwFlags'!$K:$K,0))</f>
        <v>0</v>
      </c>
      <c r="D16" s="670" t="str">
        <f>INDEX('AMMO vwFlags'!$D:$D,MATCH($A16&amp;$K16,'AMMO vwFlags'!$K:$K,0))</f>
        <v>0</v>
      </c>
      <c r="E16" s="82">
        <f t="shared" si="1"/>
        <v>1</v>
      </c>
      <c r="F16" s="870" t="str">
        <f t="shared" si="2"/>
        <v>Residential</v>
      </c>
      <c r="G16" s="681" t="str">
        <f>INDEX('AMMO Measures'!B:B,MATCH($A16,'AMMO Measures'!A:A,0))</f>
        <v>Retail Product Portfolio</v>
      </c>
      <c r="H16" s="681" t="str">
        <f>INDEX('AMMO Measures'!C:C,MATCH($A16,'AMMO Measures'!$A:$A,0))</f>
        <v>Refrigerators- Bottom Freezers</v>
      </c>
      <c r="I16" s="681" t="str">
        <f>INDEX('AMMO Measures'!D:D,MATCH($A16,'AMMO Measures'!$A:$A,0))</f>
        <v>ENERGY STAR Most Efficient</v>
      </c>
      <c r="J16" s="871">
        <f>VALUE(INDEX('AMMO Measures'!H:H,MATCH($A16,'AMMO Measures'!A:A,0)))</f>
        <v>15.2</v>
      </c>
      <c r="K16" s="683">
        <v>2024</v>
      </c>
      <c r="L16" s="894">
        <f>SUMIFS('AMMO Units'!F:F,'AMMO Units'!$A:$A,$K16,'AMMO Units'!$E:$E,$A16)</f>
        <v>106838.08546219001</v>
      </c>
      <c r="M16" s="872">
        <f>SUMIFS('AMMO Units'!G:G,'AMMO Units'!$A:$A,$K16,'AMMO Units'!$E:$E,$A16)</f>
        <v>0</v>
      </c>
      <c r="N16" s="1572" t="s">
        <v>2575</v>
      </c>
      <c r="O16" s="773">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873">
        <f>SUMIFS('AMMO Savings Rates'!F:F,'AMMO Savings Rates'!$E:$E,$K16,'AMMO Savings Rates'!$D:$D,$A16)</f>
        <v>82.752831939999993</v>
      </c>
      <c r="Q16" s="1831"/>
      <c r="R16" s="684">
        <f>(L16)*O16*P16/8760000</f>
        <v>0.14115164978895947</v>
      </c>
      <c r="S16" s="874">
        <f t="shared" si="5"/>
        <v>0</v>
      </c>
      <c r="T16" s="793">
        <f t="shared" si="3"/>
        <v>0.14115164978895947</v>
      </c>
    </row>
    <row r="17" spans="1:21" ht="25.5">
      <c r="A17" s="102" t="s">
        <v>91</v>
      </c>
      <c r="B17" s="82" t="str">
        <f t="shared" si="0"/>
        <v>RES_201403</v>
      </c>
      <c r="C17" s="670" t="str">
        <f>INDEX('AMMO vwFlags'!$C:$C,MATCH($A17&amp;K17,'AMMO vwFlags'!$K:$K,0))</f>
        <v>0</v>
      </c>
      <c r="D17" s="670" t="str">
        <f>INDEX('AMMO vwFlags'!$D:$D,MATCH($A17&amp;$K17,'AMMO vwFlags'!$K:$K,0))</f>
        <v>0</v>
      </c>
      <c r="E17" s="82">
        <f t="shared" si="1"/>
        <v>1</v>
      </c>
      <c r="F17" s="870" t="str">
        <f t="shared" si="2"/>
        <v>Residential</v>
      </c>
      <c r="G17" s="681" t="str">
        <f>INDEX('AMMO Measures'!B:B,MATCH($A17,'AMMO Measures'!A:A,0))</f>
        <v>Retail Product Portfolio</v>
      </c>
      <c r="H17" s="681" t="str">
        <f>INDEX('AMMO Measures'!C:C,MATCH($A17,'AMMO Measures'!$A:$A,0))</f>
        <v>Refrigerators- Other</v>
      </c>
      <c r="I17" s="681" t="str">
        <f>INDEX('AMMO Measures'!D:D,MATCH($A17,'AMMO Measures'!$A:$A,0))</f>
        <v>ENERGY STAR v5/ENERGY STAR Most Efficient</v>
      </c>
      <c r="J17" s="871">
        <f>VALUE(INDEX('AMMO Measures'!H:H,MATCH($A17,'AMMO Measures'!A:A,0)))</f>
        <v>15.2</v>
      </c>
      <c r="K17" s="683">
        <v>2025</v>
      </c>
      <c r="L17" s="894">
        <f>SUMIFS('AMMO Units'!F:F,'AMMO Units'!$A:$A,$K17,'AMMO Units'!$E:$E,$A17)</f>
        <v>146584.15342299</v>
      </c>
      <c r="M17" s="872">
        <f>SUMIFS('AMMO Units'!G:G,'AMMO Units'!$A:$A,$K17,'AMMO Units'!$E:$E,$A17)</f>
        <v>0</v>
      </c>
      <c r="N17" s="1572" t="s">
        <v>2575</v>
      </c>
      <c r="O17" s="773">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P17" s="873">
        <f>SUMIFS('AMMO Savings Rates'!F:F,'AMMO Savings Rates'!$E:$E,$K17,'AMMO Savings Rates'!$D:$D,$A17)</f>
        <v>7.9217568399999996</v>
      </c>
      <c r="Q17" s="1831"/>
      <c r="R17" s="684">
        <f t="shared" si="4"/>
        <v>1.8538966829121369E-2</v>
      </c>
      <c r="S17" s="874">
        <f t="shared" si="5"/>
        <v>0</v>
      </c>
      <c r="T17" s="793">
        <f t="shared" ref="T17:T20" si="6">R17-S17</f>
        <v>1.8538966829121369E-2</v>
      </c>
      <c r="U17" s="208"/>
    </row>
    <row r="18" spans="1:21" ht="25.5">
      <c r="A18" s="102" t="s">
        <v>92</v>
      </c>
      <c r="B18" s="82" t="str">
        <f t="shared" si="0"/>
        <v>RES_201403</v>
      </c>
      <c r="C18" s="670" t="str">
        <f>INDEX('AMMO vwFlags'!$C:$C,MATCH($A18&amp;K18,'AMMO vwFlags'!$K:$K,0))</f>
        <v>0</v>
      </c>
      <c r="D18" s="670" t="str">
        <f>INDEX('AMMO vwFlags'!$D:$D,MATCH($A18&amp;$K18,'AMMO vwFlags'!$K:$K,0))</f>
        <v>0</v>
      </c>
      <c r="E18" s="82">
        <f t="shared" si="1"/>
        <v>1</v>
      </c>
      <c r="F18" s="870" t="str">
        <f t="shared" si="2"/>
        <v>Residential</v>
      </c>
      <c r="G18" s="681" t="str">
        <f>INDEX('AMMO Measures'!B:B,MATCH($A18,'AMMO Measures'!A:A,0))</f>
        <v>Retail Product Portfolio</v>
      </c>
      <c r="H18" s="681" t="str">
        <f>INDEX('AMMO Measures'!C:C,MATCH($A18,'AMMO Measures'!$A:$A,0))</f>
        <v>Refrigerators- Other</v>
      </c>
      <c r="I18" s="681" t="str">
        <f>INDEX('AMMO Measures'!D:D,MATCH($A18,'AMMO Measures'!$A:$A,0))</f>
        <v>TBD</v>
      </c>
      <c r="J18" s="871">
        <f>VALUE(INDEX('AMMO Measures'!H:H,MATCH($A18,'AMMO Measures'!A:A,0)))</f>
        <v>15.2</v>
      </c>
      <c r="K18" s="683">
        <v>2025</v>
      </c>
      <c r="L18" s="894">
        <f>SUMIFS('AMMO Units'!F:F,'AMMO Units'!$A:$A,$K18,'AMMO Units'!$E:$E,$A18)</f>
        <v>0</v>
      </c>
      <c r="M18" s="872">
        <f>SUMIFS('AMMO Units'!G:G,'AMMO Units'!$A:$A,$K18,'AMMO Units'!$E:$E,$A18)</f>
        <v>0</v>
      </c>
      <c r="N18" s="1572" t="s">
        <v>2575</v>
      </c>
      <c r="O18" s="773">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v>
      </c>
      <c r="P18" s="873">
        <f>SUMIFS('AMMO Savings Rates'!F:F,'AMMO Savings Rates'!$E:$E,$K18,'AMMO Savings Rates'!$D:$D,$A18)</f>
        <v>0</v>
      </c>
      <c r="Q18" s="1831"/>
      <c r="R18" s="684">
        <f t="shared" si="4"/>
        <v>0</v>
      </c>
      <c r="S18" s="874">
        <f t="shared" si="5"/>
        <v>0</v>
      </c>
      <c r="T18" s="793">
        <f t="shared" si="6"/>
        <v>0</v>
      </c>
      <c r="U18" s="208"/>
    </row>
    <row r="19" spans="1:21" ht="25.5">
      <c r="A19" s="102" t="s">
        <v>390</v>
      </c>
      <c r="B19" s="82" t="str">
        <f t="shared" si="0"/>
        <v>RES_201403</v>
      </c>
      <c r="C19" s="670" t="str">
        <f>INDEX('AMMO vwFlags'!$C:$C,MATCH($A19&amp;K19,'AMMO vwFlags'!$K:$K,0))</f>
        <v>0</v>
      </c>
      <c r="D19" s="670" t="str">
        <f>INDEX('AMMO vwFlags'!$D:$D,MATCH($A19&amp;$K19,'AMMO vwFlags'!$K:$K,0))</f>
        <v>0</v>
      </c>
      <c r="E19" s="82">
        <f t="shared" si="1"/>
        <v>1</v>
      </c>
      <c r="F19" s="870" t="str">
        <f t="shared" si="2"/>
        <v>Residential</v>
      </c>
      <c r="G19" s="681" t="str">
        <f>INDEX('AMMO Measures'!B:B,MATCH($A19,'AMMO Measures'!A:A,0))</f>
        <v>Retail Product Portfolio</v>
      </c>
      <c r="H19" s="681" t="str">
        <f>INDEX('AMMO Measures'!C:C,MATCH($A19,'AMMO Measures'!$A:$A,0))</f>
        <v>Refrigerators- Side Freezers</v>
      </c>
      <c r="I19" s="681" t="str">
        <f>INDEX('AMMO Measures'!D:D,MATCH($A19,'AMMO Measures'!$A:$A,0))</f>
        <v>ENERGY STAR v5</v>
      </c>
      <c r="J19" s="871">
        <f>VALUE(INDEX('AMMO Measures'!H:H,MATCH($A19,'AMMO Measures'!A:A,0)))</f>
        <v>15.2</v>
      </c>
      <c r="K19" s="683">
        <v>2025</v>
      </c>
      <c r="L19" s="894">
        <f>SUMIFS('AMMO Units'!F:F,'AMMO Units'!$A:$A,$K19,'AMMO Units'!$E:$E,$A19)</f>
        <v>10832.25600827</v>
      </c>
      <c r="M19" s="872">
        <f>SUMIFS('AMMO Units'!G:G,'AMMO Units'!$A:$A,$K19,'AMMO Units'!$E:$E,$A19)</f>
        <v>0</v>
      </c>
      <c r="N19" s="1572" t="s">
        <v>2575</v>
      </c>
      <c r="O19" s="773">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P19" s="873">
        <f>SUMIFS('AMMO Savings Rates'!F:F,'AMMO Savings Rates'!$E:$E,$K19,'AMMO Savings Rates'!$D:$D,$A19)</f>
        <v>38.618393009999998</v>
      </c>
      <c r="Q19" s="1831"/>
      <c r="R19" s="684">
        <f t="shared" si="4"/>
        <v>6.6786719243931598E-3</v>
      </c>
      <c r="S19" s="874">
        <f t="shared" si="5"/>
        <v>0</v>
      </c>
      <c r="T19" s="793">
        <f t="shared" si="6"/>
        <v>6.6786719243931598E-3</v>
      </c>
      <c r="U19" s="208"/>
    </row>
    <row r="20" spans="1:21" ht="25.5">
      <c r="A20" s="102" t="s">
        <v>391</v>
      </c>
      <c r="B20" s="82" t="str">
        <f t="shared" si="0"/>
        <v>RES_201403</v>
      </c>
      <c r="C20" s="670" t="str">
        <f>INDEX('AMMO vwFlags'!$C:$C,MATCH($A20&amp;K20,'AMMO vwFlags'!$K:$K,0))</f>
        <v>0</v>
      </c>
      <c r="D20" s="670" t="str">
        <f>INDEX('AMMO vwFlags'!$D:$D,MATCH($A20&amp;$K20,'AMMO vwFlags'!$K:$K,0))</f>
        <v>0</v>
      </c>
      <c r="E20" s="82">
        <f t="shared" si="1"/>
        <v>1</v>
      </c>
      <c r="F20" s="870" t="str">
        <f t="shared" si="2"/>
        <v>Residential</v>
      </c>
      <c r="G20" s="681" t="str">
        <f>INDEX('AMMO Measures'!B:B,MATCH($A20,'AMMO Measures'!A:A,0))</f>
        <v>Retail Product Portfolio</v>
      </c>
      <c r="H20" s="681" t="str">
        <f>INDEX('AMMO Measures'!C:C,MATCH($A20,'AMMO Measures'!$A:$A,0))</f>
        <v>Refrigerators- Side Freezers</v>
      </c>
      <c r="I20" s="681" t="str">
        <f>INDEX('AMMO Measures'!D:D,MATCH($A20,'AMMO Measures'!$A:$A,0))</f>
        <v>ENERGY STAR Most Efficient</v>
      </c>
      <c r="J20" s="871">
        <f>VALUE(INDEX('AMMO Measures'!H:H,MATCH($A20,'AMMO Measures'!A:A,0)))</f>
        <v>15.2</v>
      </c>
      <c r="K20" s="683">
        <v>2025</v>
      </c>
      <c r="L20" s="894">
        <f>SUMIFS('AMMO Units'!F:F,'AMMO Units'!$A:$A,$K20,'AMMO Units'!$E:$E,$A20)</f>
        <v>14338.45725569</v>
      </c>
      <c r="M20" s="872">
        <f>SUMIFS('AMMO Units'!G:G,'AMMO Units'!$A:$A,$K20,'AMMO Units'!$E:$E,$A20)</f>
        <v>0</v>
      </c>
      <c r="N20" s="1572" t="s">
        <v>2575</v>
      </c>
      <c r="O20" s="773">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P20" s="873">
        <f>SUMIFS('AMMO Savings Rates'!F:F,'AMMO Savings Rates'!$E:$E,$K20,'AMMO Savings Rates'!$D:$D,$A20)</f>
        <v>215.36866434999999</v>
      </c>
      <c r="Q20" s="1831"/>
      <c r="R20" s="684">
        <f t="shared" si="4"/>
        <v>4.9301704850203361E-2</v>
      </c>
      <c r="S20" s="874">
        <f t="shared" si="5"/>
        <v>0</v>
      </c>
      <c r="T20" s="793">
        <f t="shared" si="6"/>
        <v>4.9301704850203361E-2</v>
      </c>
      <c r="U20" s="208"/>
    </row>
    <row r="21" spans="1:21" ht="25.5">
      <c r="A21" s="102" t="s">
        <v>389</v>
      </c>
      <c r="B21" s="82" t="str">
        <f t="shared" si="0"/>
        <v>RES_201403</v>
      </c>
      <c r="C21" s="670" t="str">
        <f>INDEX('AMMO vwFlags'!$C:$C,MATCH($A21&amp;K21,'AMMO vwFlags'!$K:$K,0))</f>
        <v>0</v>
      </c>
      <c r="D21" s="670" t="str">
        <f>INDEX('AMMO vwFlags'!$D:$D,MATCH($A21&amp;$K21,'AMMO vwFlags'!$K:$K,0))</f>
        <v>0</v>
      </c>
      <c r="E21" s="82">
        <f t="shared" si="1"/>
        <v>1</v>
      </c>
      <c r="F21" s="875" t="str">
        <f t="shared" si="2"/>
        <v>Residential</v>
      </c>
      <c r="G21" s="687" t="str">
        <f>INDEX('AMMO Measures'!B:B,MATCH($A21,'AMMO Measures'!A:A,0))</f>
        <v>Retail Product Portfolio</v>
      </c>
      <c r="H21" s="687" t="str">
        <f>INDEX('AMMO Measures'!C:C,MATCH($A21,'AMMO Measures'!$A:$A,0))</f>
        <v>Refrigerators- Bottom Freezers</v>
      </c>
      <c r="I21" s="687" t="str">
        <f>INDEX('AMMO Measures'!D:D,MATCH($A21,'AMMO Measures'!$A:$A,0))</f>
        <v>ENERGY STAR Most Efficient</v>
      </c>
      <c r="J21" s="876">
        <f>VALUE(INDEX('AMMO Measures'!H:H,MATCH($A21,'AMMO Measures'!A:A,0)))</f>
        <v>15.2</v>
      </c>
      <c r="K21" s="694">
        <v>2025</v>
      </c>
      <c r="L21" s="895">
        <f>SUMIFS('AMMO Units'!F:F,'AMMO Units'!$A:$A,$K21,'AMMO Units'!$E:$E,$A21)</f>
        <v>122282.90566249999</v>
      </c>
      <c r="M21" s="877">
        <f>SUMIFS('AMMO Units'!G:G,'AMMO Units'!$A:$A,$K21,'AMMO Units'!$E:$E,$A21)</f>
        <v>0</v>
      </c>
      <c r="N21" s="1573" t="s">
        <v>2575</v>
      </c>
      <c r="O21" s="864">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P21" s="873">
        <f>SUMIFS('AMMO Savings Rates'!F:F,'AMMO Savings Rates'!$E:$E,$K21,'AMMO Savings Rates'!$D:$D,$A21)</f>
        <v>82.752831939999993</v>
      </c>
      <c r="Q21" s="1831"/>
      <c r="R21" s="688">
        <f t="shared" ref="R21:R25" si="7">(L21)*O21*P21/8760000</f>
        <v>0.1615569373091961</v>
      </c>
      <c r="S21" s="879">
        <f t="shared" si="5"/>
        <v>0</v>
      </c>
      <c r="T21" s="799">
        <f t="shared" ref="T21:T25" si="8">R21-S21</f>
        <v>0.1615569373091961</v>
      </c>
      <c r="U21" s="208"/>
    </row>
    <row r="22" spans="1:21" ht="12.75" customHeight="1">
      <c r="A22" s="102" t="s">
        <v>91</v>
      </c>
      <c r="B22" s="82" t="str">
        <f t="shared" ref="B22:B26" si="9">LEFT(A22,10)</f>
        <v>RES_201403</v>
      </c>
      <c r="C22" s="670" t="str">
        <f>INDEX('AMMO vwFlags'!$C:$C,MATCH($A22&amp;K22,'AMMO vwFlags'!$K:$K,0))</f>
        <v>0</v>
      </c>
      <c r="D22" s="670" t="str">
        <f>INDEX('AMMO vwFlags'!$D:$D,MATCH($A22&amp;$K22,'AMMO vwFlags'!$K:$K,0))</f>
        <v>0</v>
      </c>
      <c r="E22" s="82">
        <f t="shared" si="1"/>
        <v>1</v>
      </c>
      <c r="F22" s="888" t="str">
        <f t="shared" si="2"/>
        <v>Residential</v>
      </c>
      <c r="G22" s="710" t="str">
        <f>INDEX('AMMO Measures'!B:B,MATCH($A22,'AMMO Measures'!A:A,0))</f>
        <v>Retail Product Portfolio</v>
      </c>
      <c r="H22" s="710" t="str">
        <f>INDEX('AMMO Measures'!C:C,MATCH($A22,'AMMO Measures'!$A:$A,0))</f>
        <v>Refrigerators- Other</v>
      </c>
      <c r="I22" s="710" t="str">
        <f>INDEX('AMMO Measures'!D:D,MATCH($A22,'AMMO Measures'!$A:$A,0))</f>
        <v>ENERGY STAR v5/ENERGY STAR Most Efficient</v>
      </c>
      <c r="J22" s="889">
        <f>VALUE(INDEX('AMMO Measures'!H:H,MATCH($A22,'AMMO Measures'!A:A,0)))</f>
        <v>15.2</v>
      </c>
      <c r="K22" s="751">
        <v>2026</v>
      </c>
      <c r="L22" s="896">
        <f>SUMIFS('AMMO Units'!F:F,'AMMO Units'!$A:$A,$K22,'AMMO Units'!$E:$E,$A22)</f>
        <v>154128.59844463001</v>
      </c>
      <c r="M22" s="890">
        <f>SUMIFS('AMMO Units'!G:G,'AMMO Units'!$A:$A,$K22,'AMMO Units'!$E:$E,$A22)</f>
        <v>0</v>
      </c>
      <c r="N22" s="1572" t="s">
        <v>2575</v>
      </c>
      <c r="O22" s="773">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P22" s="873">
        <f>SUMIFS('AMMO Savings Rates'!F:F,'AMMO Savings Rates'!$E:$E,$K22,'AMMO Savings Rates'!$D:$D,$A22)</f>
        <v>7.9217568399999996</v>
      </c>
      <c r="Q22" s="1831"/>
      <c r="R22" s="713">
        <f t="shared" si="7"/>
        <v>1.9493136926872046E-2</v>
      </c>
      <c r="S22" s="891">
        <f t="shared" ref="S22:S26" si="10">IFERROR(M22*O22*P22/8760/1000,0)</f>
        <v>0</v>
      </c>
      <c r="T22" s="892">
        <f t="shared" si="8"/>
        <v>1.9493136926872046E-2</v>
      </c>
      <c r="U22" s="208"/>
    </row>
    <row r="23" spans="1:21" ht="25.5">
      <c r="A23" s="102" t="s">
        <v>92</v>
      </c>
      <c r="B23" s="82" t="str">
        <f t="shared" si="9"/>
        <v>RES_201403</v>
      </c>
      <c r="C23" s="670" t="str">
        <f>INDEX('AMMO vwFlags'!$C:$C,MATCH($A23&amp;K23,'AMMO vwFlags'!$K:$K,0))</f>
        <v>0</v>
      </c>
      <c r="D23" s="670" t="str">
        <f>INDEX('AMMO vwFlags'!$D:$D,MATCH($A23&amp;$K23,'AMMO vwFlags'!$K:$K,0))</f>
        <v>0</v>
      </c>
      <c r="E23" s="82">
        <f t="shared" si="1"/>
        <v>1</v>
      </c>
      <c r="F23" s="870" t="str">
        <f t="shared" si="2"/>
        <v>Residential</v>
      </c>
      <c r="G23" s="681" t="str">
        <f>INDEX('AMMO Measures'!B:B,MATCH($A23,'AMMO Measures'!A:A,0))</f>
        <v>Retail Product Portfolio</v>
      </c>
      <c r="H23" s="681" t="str">
        <f>INDEX('AMMO Measures'!C:C,MATCH($A23,'AMMO Measures'!$A:$A,0))</f>
        <v>Refrigerators- Other</v>
      </c>
      <c r="I23" s="681" t="str">
        <f>INDEX('AMMO Measures'!D:D,MATCH($A23,'AMMO Measures'!$A:$A,0))</f>
        <v>TBD</v>
      </c>
      <c r="J23" s="871">
        <f>VALUE(INDEX('AMMO Measures'!H:H,MATCH($A23,'AMMO Measures'!A:A,0)))</f>
        <v>15.2</v>
      </c>
      <c r="K23" s="683">
        <v>2026</v>
      </c>
      <c r="L23" s="894">
        <f>SUMIFS('AMMO Units'!F:F,'AMMO Units'!$A:$A,$K23,'AMMO Units'!$E:$E,$A23)</f>
        <v>0</v>
      </c>
      <c r="M23" s="872">
        <f>SUMIFS('AMMO Units'!G:G,'AMMO Units'!$A:$A,$K23,'AMMO Units'!$E:$E,$A23)</f>
        <v>0</v>
      </c>
      <c r="N23" s="1572" t="s">
        <v>2575</v>
      </c>
      <c r="O23" s="773">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v>
      </c>
      <c r="P23" s="873">
        <f>SUMIFS('AMMO Savings Rates'!F:F,'AMMO Savings Rates'!$E:$E,$K23,'AMMO Savings Rates'!$D:$D,$A23)</f>
        <v>0</v>
      </c>
      <c r="Q23" s="1831"/>
      <c r="R23" s="684">
        <f t="shared" si="7"/>
        <v>0</v>
      </c>
      <c r="S23" s="874">
        <f t="shared" si="10"/>
        <v>0</v>
      </c>
      <c r="T23" s="793">
        <f t="shared" si="8"/>
        <v>0</v>
      </c>
      <c r="U23" s="208"/>
    </row>
    <row r="24" spans="1:21" ht="25.5">
      <c r="A24" s="102" t="s">
        <v>390</v>
      </c>
      <c r="B24" s="82" t="str">
        <f t="shared" si="9"/>
        <v>RES_201403</v>
      </c>
      <c r="C24" s="670" t="str">
        <f>INDEX('AMMO vwFlags'!$C:$C,MATCH($A24&amp;K24,'AMMO vwFlags'!$K:$K,0))</f>
        <v>0</v>
      </c>
      <c r="D24" s="670" t="str">
        <f>INDEX('AMMO vwFlags'!$D:$D,MATCH($A24&amp;$K24,'AMMO vwFlags'!$K:$K,0))</f>
        <v>0</v>
      </c>
      <c r="E24" s="82">
        <f t="shared" si="1"/>
        <v>1</v>
      </c>
      <c r="F24" s="870" t="str">
        <f t="shared" si="2"/>
        <v>Residential</v>
      </c>
      <c r="G24" s="681" t="str">
        <f>INDEX('AMMO Measures'!B:B,MATCH($A24,'AMMO Measures'!A:A,0))</f>
        <v>Retail Product Portfolio</v>
      </c>
      <c r="H24" s="681" t="str">
        <f>INDEX('AMMO Measures'!C:C,MATCH($A24,'AMMO Measures'!$A:$A,0))</f>
        <v>Refrigerators- Side Freezers</v>
      </c>
      <c r="I24" s="681" t="str">
        <f>INDEX('AMMO Measures'!D:D,MATCH($A24,'AMMO Measures'!$A:$A,0))</f>
        <v>ENERGY STAR v5</v>
      </c>
      <c r="J24" s="871">
        <f>VALUE(INDEX('AMMO Measures'!H:H,MATCH($A24,'AMMO Measures'!A:A,0)))</f>
        <v>15.2</v>
      </c>
      <c r="K24" s="683">
        <v>2026</v>
      </c>
      <c r="L24" s="894">
        <f>SUMIFS('AMMO Units'!F:F,'AMMO Units'!$A:$A,$K24,'AMMO Units'!$E:$E,$A24)</f>
        <v>15047.603213840001</v>
      </c>
      <c r="M24" s="872">
        <f>SUMIFS('AMMO Units'!G:G,'AMMO Units'!$A:$A,$K24,'AMMO Units'!$E:$E,$A24)</f>
        <v>0</v>
      </c>
      <c r="N24" s="1572" t="s">
        <v>2575</v>
      </c>
      <c r="O24" s="773">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P24" s="873">
        <f>SUMIFS('AMMO Savings Rates'!F:F,'AMMO Savings Rates'!$E:$E,$K24,'AMMO Savings Rates'!$D:$D,$A24)</f>
        <v>38.618393009999998</v>
      </c>
      <c r="Q24" s="1831"/>
      <c r="R24" s="684">
        <f t="shared" si="7"/>
        <v>9.2776615542464313E-3</v>
      </c>
      <c r="S24" s="874">
        <f t="shared" si="10"/>
        <v>0</v>
      </c>
      <c r="T24" s="793">
        <f t="shared" si="8"/>
        <v>9.2776615542464313E-3</v>
      </c>
      <c r="U24" s="208"/>
    </row>
    <row r="25" spans="1:21" ht="25.5">
      <c r="A25" s="102" t="s">
        <v>391</v>
      </c>
      <c r="B25" s="82" t="str">
        <f t="shared" si="9"/>
        <v>RES_201403</v>
      </c>
      <c r="C25" s="670" t="str">
        <f>INDEX('AMMO vwFlags'!$C:$C,MATCH($A25&amp;K25,'AMMO vwFlags'!$K:$K,0))</f>
        <v>0</v>
      </c>
      <c r="D25" s="670" t="str">
        <f>INDEX('AMMO vwFlags'!$D:$D,MATCH($A25&amp;$K25,'AMMO vwFlags'!$K:$K,0))</f>
        <v>0</v>
      </c>
      <c r="E25" s="82">
        <f t="shared" si="1"/>
        <v>1</v>
      </c>
      <c r="F25" s="870" t="str">
        <f t="shared" si="2"/>
        <v>Residential</v>
      </c>
      <c r="G25" s="681" t="str">
        <f>INDEX('AMMO Measures'!B:B,MATCH($A25,'AMMO Measures'!A:A,0))</f>
        <v>Retail Product Portfolio</v>
      </c>
      <c r="H25" s="681" t="str">
        <f>INDEX('AMMO Measures'!C:C,MATCH($A25,'AMMO Measures'!$A:$A,0))</f>
        <v>Refrigerators- Side Freezers</v>
      </c>
      <c r="I25" s="681" t="str">
        <f>INDEX('AMMO Measures'!D:D,MATCH($A25,'AMMO Measures'!$A:$A,0))</f>
        <v>ENERGY STAR Most Efficient</v>
      </c>
      <c r="J25" s="871">
        <f>VALUE(INDEX('AMMO Measures'!H:H,MATCH($A25,'AMMO Measures'!A:A,0)))</f>
        <v>15.2</v>
      </c>
      <c r="K25" s="683">
        <v>2026</v>
      </c>
      <c r="L25" s="894">
        <f>SUMIFS('AMMO Units'!F:F,'AMMO Units'!$A:$A,$K25,'AMMO Units'!$E:$E,$A25)</f>
        <v>17027.546652789999</v>
      </c>
      <c r="M25" s="872">
        <f>SUMIFS('AMMO Units'!G:G,'AMMO Units'!$A:$A,$K25,'AMMO Units'!$E:$E,$A25)</f>
        <v>0</v>
      </c>
      <c r="N25" s="1572" t="s">
        <v>2575</v>
      </c>
      <c r="O25" s="773">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P25" s="873">
        <f>SUMIFS('AMMO Savings Rates'!F:F,'AMMO Savings Rates'!$E:$E,$K25,'AMMO Savings Rates'!$D:$D,$A25)</f>
        <v>215.36866434999999</v>
      </c>
      <c r="Q25" s="1831"/>
      <c r="R25" s="684">
        <f t="shared" si="7"/>
        <v>5.8547936115357378E-2</v>
      </c>
      <c r="S25" s="874">
        <f t="shared" si="10"/>
        <v>0</v>
      </c>
      <c r="T25" s="793">
        <f t="shared" si="8"/>
        <v>5.8547936115357378E-2</v>
      </c>
      <c r="U25" s="208"/>
    </row>
    <row r="26" spans="1:21" ht="25.5">
      <c r="A26" s="102" t="s">
        <v>389</v>
      </c>
      <c r="B26" s="82" t="str">
        <f t="shared" si="9"/>
        <v>RES_201403</v>
      </c>
      <c r="C26" s="670" t="str">
        <f>INDEX('AMMO vwFlags'!$C:$C,MATCH($A26&amp;K26,'AMMO vwFlags'!$K:$K,0))</f>
        <v>0</v>
      </c>
      <c r="D26" s="670" t="str">
        <f>INDEX('AMMO vwFlags'!$D:$D,MATCH($A26&amp;$K26,'AMMO vwFlags'!$K:$K,0))</f>
        <v>0</v>
      </c>
      <c r="E26" s="82">
        <f t="shared" si="1"/>
        <v>1</v>
      </c>
      <c r="F26" s="870" t="str">
        <f t="shared" si="2"/>
        <v>Residential</v>
      </c>
      <c r="G26" s="681" t="str">
        <f>INDEX('AMMO Measures'!B:B,MATCH($A26,'AMMO Measures'!A:A,0))</f>
        <v>Retail Product Portfolio</v>
      </c>
      <c r="H26" s="681" t="str">
        <f>INDEX('AMMO Measures'!C:C,MATCH($A26,'AMMO Measures'!$A:$A,0))</f>
        <v>Refrigerators- Bottom Freezers</v>
      </c>
      <c r="I26" s="681" t="str">
        <f>INDEX('AMMO Measures'!D:D,MATCH($A26,'AMMO Measures'!$A:$A,0))</f>
        <v>ENERGY STAR Most Efficient</v>
      </c>
      <c r="J26" s="871">
        <f>VALUE(INDEX('AMMO Measures'!H:H,MATCH($A26,'AMMO Measures'!A:A,0)))</f>
        <v>15.2</v>
      </c>
      <c r="K26" s="683">
        <v>2026</v>
      </c>
      <c r="L26" s="894">
        <f>SUMIFS('AMMO Units'!F:F,'AMMO Units'!$A:$A,$K26,'AMMO Units'!$E:$E,$A26)</f>
        <v>143918.98893674</v>
      </c>
      <c r="M26" s="872">
        <f>SUMIFS('AMMO Units'!G:G,'AMMO Units'!$A:$A,$K26,'AMMO Units'!$E:$E,$A26)</f>
        <v>0</v>
      </c>
      <c r="N26" s="1572" t="s">
        <v>2575</v>
      </c>
      <c r="O26" s="773">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0.13985600000000001</v>
      </c>
      <c r="P26" s="873">
        <f>SUMIFS('AMMO Savings Rates'!F:F,'AMMO Savings Rates'!$E:$E,$K26,'AMMO Savings Rates'!$D:$D,$A26)</f>
        <v>82.752831939999993</v>
      </c>
      <c r="Q26" s="1831"/>
      <c r="R26" s="684">
        <f t="shared" ref="R26:R30" si="11">(L26)*O26*P26/8760000</f>
        <v>0.19014195767827682</v>
      </c>
      <c r="S26" s="874">
        <f t="shared" si="10"/>
        <v>0</v>
      </c>
      <c r="T26" s="793">
        <f t="shared" ref="T26:T30" si="12">R26-S26</f>
        <v>0.19014195767827682</v>
      </c>
      <c r="U26" s="208"/>
    </row>
    <row r="27" spans="1:21" ht="25.5">
      <c r="A27" s="102" t="s">
        <v>91</v>
      </c>
      <c r="B27" s="82" t="str">
        <f t="shared" ref="B27:B31" si="13">LEFT(A27,10)</f>
        <v>RES_201403</v>
      </c>
      <c r="C27" s="670" t="str">
        <f>INDEX('AMMO vwFlags'!$C:$C,MATCH($A27&amp;K27,'AMMO vwFlags'!$K:$K,0))</f>
        <v>0</v>
      </c>
      <c r="D27" s="670" t="str">
        <f>INDEX('AMMO vwFlags'!$D:$D,MATCH($A27&amp;$K27,'AMMO vwFlags'!$K:$K,0))</f>
        <v>0</v>
      </c>
      <c r="E27" s="82">
        <f t="shared" si="1"/>
        <v>1</v>
      </c>
      <c r="F27" s="870" t="str">
        <f t="shared" si="2"/>
        <v>Residential</v>
      </c>
      <c r="G27" s="681" t="str">
        <f>INDEX('AMMO Measures'!B:B,MATCH($A27,'AMMO Measures'!A:A,0))</f>
        <v>Retail Product Portfolio</v>
      </c>
      <c r="H27" s="681" t="str">
        <f>INDEX('AMMO Measures'!C:C,MATCH($A27,'AMMO Measures'!$A:$A,0))</f>
        <v>Refrigerators- Other</v>
      </c>
      <c r="I27" s="681" t="str">
        <f>INDEX('AMMO Measures'!D:D,MATCH($A27,'AMMO Measures'!$A:$A,0))</f>
        <v>ENERGY STAR v5/ENERGY STAR Most Efficient</v>
      </c>
      <c r="J27" s="871">
        <f>VALUE(INDEX('AMMO Measures'!H:H,MATCH($A27,'AMMO Measures'!A:A,0)))</f>
        <v>15.2</v>
      </c>
      <c r="K27" s="683">
        <v>2027</v>
      </c>
      <c r="L27" s="894">
        <f>SUMIFS('AMMO Units'!F:F,'AMMO Units'!$A:$A,$K27,'AMMO Units'!$E:$E,$A27)</f>
        <v>157695.51094134999</v>
      </c>
      <c r="M27" s="872">
        <f>SUMIFS('AMMO Units'!G:G,'AMMO Units'!$A:$A,$K27,'AMMO Units'!$E:$E,$A27)</f>
        <v>0</v>
      </c>
      <c r="N27" s="1572" t="s">
        <v>2575</v>
      </c>
      <c r="O27" s="773">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P27" s="873">
        <f>SUMIFS('AMMO Savings Rates'!F:F,'AMMO Savings Rates'!$E:$E,$K27,'AMMO Savings Rates'!$D:$D,$A27)</f>
        <v>7.9217568399999996</v>
      </c>
      <c r="Q27" s="1831"/>
      <c r="R27" s="684">
        <f t="shared" si="11"/>
        <v>1.9944255761445189E-2</v>
      </c>
      <c r="S27" s="874">
        <f t="shared" ref="S27:S31" si="14">IFERROR(M27*O27*P27/8760/1000,0)</f>
        <v>0</v>
      </c>
      <c r="T27" s="793">
        <f t="shared" si="12"/>
        <v>1.9944255761445189E-2</v>
      </c>
      <c r="U27" s="208"/>
    </row>
    <row r="28" spans="1:21" ht="25.5">
      <c r="A28" s="102" t="s">
        <v>92</v>
      </c>
      <c r="B28" s="82" t="str">
        <f t="shared" si="13"/>
        <v>RES_201403</v>
      </c>
      <c r="C28" s="670" t="str">
        <f>INDEX('AMMO vwFlags'!$C:$C,MATCH($A28&amp;K28,'AMMO vwFlags'!$K:$K,0))</f>
        <v>0</v>
      </c>
      <c r="D28" s="670" t="str">
        <f>INDEX('AMMO vwFlags'!$D:$D,MATCH($A28&amp;$K28,'AMMO vwFlags'!$K:$K,0))</f>
        <v>0</v>
      </c>
      <c r="E28" s="82">
        <f t="shared" si="1"/>
        <v>1</v>
      </c>
      <c r="F28" s="870" t="str">
        <f t="shared" si="2"/>
        <v>Residential</v>
      </c>
      <c r="G28" s="681" t="str">
        <f>INDEX('AMMO Measures'!B:B,MATCH($A28,'AMMO Measures'!A:A,0))</f>
        <v>Retail Product Portfolio</v>
      </c>
      <c r="H28" s="681" t="str">
        <f>INDEX('AMMO Measures'!C:C,MATCH($A28,'AMMO Measures'!$A:$A,0))</f>
        <v>Refrigerators- Other</v>
      </c>
      <c r="I28" s="681" t="str">
        <f>INDEX('AMMO Measures'!D:D,MATCH($A28,'AMMO Measures'!$A:$A,0))</f>
        <v>TBD</v>
      </c>
      <c r="J28" s="871">
        <f>VALUE(INDEX('AMMO Measures'!H:H,MATCH($A28,'AMMO Measures'!A:A,0)))</f>
        <v>15.2</v>
      </c>
      <c r="K28" s="683">
        <v>2027</v>
      </c>
      <c r="L28" s="894">
        <f>SUMIFS('AMMO Units'!F:F,'AMMO Units'!$A:$A,$K28,'AMMO Units'!$E:$E,$A28)</f>
        <v>0</v>
      </c>
      <c r="M28" s="872">
        <f>SUMIFS('AMMO Units'!G:G,'AMMO Units'!$A:$A,$K28,'AMMO Units'!$E:$E,$A28)</f>
        <v>0</v>
      </c>
      <c r="N28" s="1572" t="s">
        <v>2575</v>
      </c>
      <c r="O28" s="773">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v>
      </c>
      <c r="P28" s="873">
        <f>SUMIFS('AMMO Savings Rates'!F:F,'AMMO Savings Rates'!$E:$E,$K28,'AMMO Savings Rates'!$D:$D,$A28)</f>
        <v>0</v>
      </c>
      <c r="Q28" s="1831"/>
      <c r="R28" s="684">
        <f t="shared" si="11"/>
        <v>0</v>
      </c>
      <c r="S28" s="874">
        <f t="shared" si="14"/>
        <v>0</v>
      </c>
      <c r="T28" s="793">
        <f t="shared" si="12"/>
        <v>0</v>
      </c>
      <c r="U28" s="208"/>
    </row>
    <row r="29" spans="1:21" ht="25.5">
      <c r="A29" s="102" t="s">
        <v>390</v>
      </c>
      <c r="B29" s="82" t="str">
        <f t="shared" si="13"/>
        <v>RES_201403</v>
      </c>
      <c r="C29" s="670" t="str">
        <f>INDEX('AMMO vwFlags'!$C:$C,MATCH($A29&amp;K29,'AMMO vwFlags'!$K:$K,0))</f>
        <v>0</v>
      </c>
      <c r="D29" s="670" t="str">
        <f>INDEX('AMMO vwFlags'!$D:$D,MATCH($A29&amp;$K29,'AMMO vwFlags'!$K:$K,0))</f>
        <v>0</v>
      </c>
      <c r="E29" s="82">
        <f t="shared" si="1"/>
        <v>1</v>
      </c>
      <c r="F29" s="870" t="str">
        <f t="shared" si="2"/>
        <v>Residential</v>
      </c>
      <c r="G29" s="681" t="str">
        <f>INDEX('AMMO Measures'!B:B,MATCH($A29,'AMMO Measures'!A:A,0))</f>
        <v>Retail Product Portfolio</v>
      </c>
      <c r="H29" s="681" t="str">
        <f>INDEX('AMMO Measures'!C:C,MATCH($A29,'AMMO Measures'!$A:$A,0))</f>
        <v>Refrigerators- Side Freezers</v>
      </c>
      <c r="I29" s="681" t="str">
        <f>INDEX('AMMO Measures'!D:D,MATCH($A29,'AMMO Measures'!$A:$A,0))</f>
        <v>ENERGY STAR v5</v>
      </c>
      <c r="J29" s="871">
        <f>VALUE(INDEX('AMMO Measures'!H:H,MATCH($A29,'AMMO Measures'!A:A,0)))</f>
        <v>15.2</v>
      </c>
      <c r="K29" s="683">
        <v>2027</v>
      </c>
      <c r="L29" s="894">
        <f>SUMIFS('AMMO Units'!F:F,'AMMO Units'!$A:$A,$K29,'AMMO Units'!$E:$E,$A29)</f>
        <v>19102.016572910001</v>
      </c>
      <c r="M29" s="872">
        <f>SUMIFS('AMMO Units'!G:G,'AMMO Units'!$A:$A,$K29,'AMMO Units'!$E:$E,$A29)</f>
        <v>0</v>
      </c>
      <c r="N29" s="1572" t="s">
        <v>2575</v>
      </c>
      <c r="O29" s="773">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P29" s="873">
        <f>SUMIFS('AMMO Savings Rates'!F:F,'AMMO Savings Rates'!$E:$E,$K29,'AMMO Savings Rates'!$D:$D,$A29)</f>
        <v>38.618393009999998</v>
      </c>
      <c r="Q29" s="1831"/>
      <c r="R29" s="684">
        <f t="shared" si="11"/>
        <v>1.177742676016774E-2</v>
      </c>
      <c r="S29" s="874">
        <f t="shared" si="14"/>
        <v>0</v>
      </c>
      <c r="T29" s="793">
        <f t="shared" si="12"/>
        <v>1.177742676016774E-2</v>
      </c>
      <c r="U29" s="208"/>
    </row>
    <row r="30" spans="1:21" ht="25.5">
      <c r="A30" s="102" t="s">
        <v>391</v>
      </c>
      <c r="B30" s="82" t="str">
        <f t="shared" si="13"/>
        <v>RES_201403</v>
      </c>
      <c r="C30" s="670" t="str">
        <f>INDEX('AMMO vwFlags'!$C:$C,MATCH($A30&amp;K30,'AMMO vwFlags'!$K:$K,0))</f>
        <v>0</v>
      </c>
      <c r="D30" s="670" t="str">
        <f>INDEX('AMMO vwFlags'!$D:$D,MATCH($A30&amp;$K30,'AMMO vwFlags'!$K:$K,0))</f>
        <v>0</v>
      </c>
      <c r="E30" s="82">
        <f t="shared" si="1"/>
        <v>1</v>
      </c>
      <c r="F30" s="870" t="str">
        <f t="shared" si="2"/>
        <v>Residential</v>
      </c>
      <c r="G30" s="681" t="str">
        <f>INDEX('AMMO Measures'!B:B,MATCH($A30,'AMMO Measures'!A:A,0))</f>
        <v>Retail Product Portfolio</v>
      </c>
      <c r="H30" s="681" t="str">
        <f>INDEX('AMMO Measures'!C:C,MATCH($A30,'AMMO Measures'!$A:$A,0))</f>
        <v>Refrigerators- Side Freezers</v>
      </c>
      <c r="I30" s="681" t="str">
        <f>INDEX('AMMO Measures'!D:D,MATCH($A30,'AMMO Measures'!$A:$A,0))</f>
        <v>ENERGY STAR Most Efficient</v>
      </c>
      <c r="J30" s="871">
        <f>VALUE(INDEX('AMMO Measures'!H:H,MATCH($A30,'AMMO Measures'!A:A,0)))</f>
        <v>15.2</v>
      </c>
      <c r="K30" s="683">
        <v>2027</v>
      </c>
      <c r="L30" s="894">
        <f>SUMIFS('AMMO Units'!F:F,'AMMO Units'!$A:$A,$K30,'AMMO Units'!$E:$E,$A30)</f>
        <v>21813.69018985</v>
      </c>
      <c r="M30" s="872">
        <f>SUMIFS('AMMO Units'!G:G,'AMMO Units'!$A:$A,$K30,'AMMO Units'!$E:$E,$A30)</f>
        <v>0</v>
      </c>
      <c r="N30" s="1572" t="s">
        <v>2575</v>
      </c>
      <c r="O30" s="773">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P30" s="873">
        <f>SUMIFS('AMMO Savings Rates'!F:F,'AMMO Savings Rates'!$E:$E,$K30,'AMMO Savings Rates'!$D:$D,$A30)</f>
        <v>215.36866434999999</v>
      </c>
      <c r="Q30" s="1831"/>
      <c r="R30" s="684">
        <f t="shared" si="11"/>
        <v>7.5004730024702218E-2</v>
      </c>
      <c r="S30" s="874">
        <f t="shared" si="14"/>
        <v>0</v>
      </c>
      <c r="T30" s="793">
        <f t="shared" si="12"/>
        <v>7.5004730024702218E-2</v>
      </c>
      <c r="U30" s="208"/>
    </row>
    <row r="31" spans="1:21" ht="25.5">
      <c r="A31" s="102" t="s">
        <v>389</v>
      </c>
      <c r="B31" s="82" t="str">
        <f t="shared" si="13"/>
        <v>RES_201403</v>
      </c>
      <c r="C31" s="670" t="str">
        <f>INDEX('AMMO vwFlags'!$C:$C,MATCH($A31&amp;K31,'AMMO vwFlags'!$K:$K,0))</f>
        <v>0</v>
      </c>
      <c r="D31" s="670" t="str">
        <f>INDEX('AMMO vwFlags'!$D:$D,MATCH($A31&amp;$K31,'AMMO vwFlags'!$K:$K,0))</f>
        <v>0</v>
      </c>
      <c r="E31" s="82">
        <f t="shared" si="1"/>
        <v>1</v>
      </c>
      <c r="F31" s="875" t="str">
        <f t="shared" si="2"/>
        <v>Residential</v>
      </c>
      <c r="G31" s="687" t="str">
        <f>INDEX('AMMO Measures'!B:B,MATCH($A31,'AMMO Measures'!A:A,0))</f>
        <v>Retail Product Portfolio</v>
      </c>
      <c r="H31" s="687" t="str">
        <f>INDEX('AMMO Measures'!C:C,MATCH($A31,'AMMO Measures'!$A:$A,0))</f>
        <v>Refrigerators- Bottom Freezers</v>
      </c>
      <c r="I31" s="687" t="str">
        <f>INDEX('AMMO Measures'!D:D,MATCH($A31,'AMMO Measures'!$A:$A,0))</f>
        <v>ENERGY STAR Most Efficient</v>
      </c>
      <c r="J31" s="876">
        <f>VALUE(INDEX('AMMO Measures'!H:H,MATCH($A31,'AMMO Measures'!A:A,0)))</f>
        <v>15.2</v>
      </c>
      <c r="K31" s="694">
        <v>2027</v>
      </c>
      <c r="L31" s="895">
        <f>SUMIFS('AMMO Units'!F:F,'AMMO Units'!$A:$A,$K31,'AMMO Units'!$E:$E,$A31)</f>
        <v>169252.88150305999</v>
      </c>
      <c r="M31" s="877">
        <f>SUMIFS('AMMO Units'!G:G,'AMMO Units'!$A:$A,$K31,'AMMO Units'!$E:$E,$A31)</f>
        <v>0</v>
      </c>
      <c r="N31" s="1573" t="s">
        <v>2575</v>
      </c>
      <c r="O31" s="864">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P31" s="878">
        <f>SUMIFS('AMMO Savings Rates'!F:F,'AMMO Savings Rates'!$E:$E,$K31,'AMMO Savings Rates'!$D:$D,$A31)</f>
        <v>82.752831939999993</v>
      </c>
      <c r="Q31" s="1832"/>
      <c r="R31" s="688">
        <f t="shared" ref="R31" si="15">(L31)*O31*P31/8760000</f>
        <v>0.22361242577813664</v>
      </c>
      <c r="S31" s="879">
        <f t="shared" si="14"/>
        <v>0</v>
      </c>
      <c r="T31" s="799">
        <f t="shared" ref="T31" si="16">R31-S31</f>
        <v>0.22361242577813664</v>
      </c>
      <c r="U31" s="208"/>
    </row>
    <row r="32" spans="1:21" ht="12.75" customHeight="1">
      <c r="E32" s="82"/>
      <c r="F32" s="132" t="s">
        <v>2412</v>
      </c>
      <c r="G32" s="125"/>
      <c r="H32" s="125"/>
      <c r="I32" s="125"/>
      <c r="J32" s="125"/>
      <c r="K32" s="15"/>
    </row>
    <row r="33" spans="6:11" ht="20.25" customHeight="1">
      <c r="F33" s="127" t="s">
        <v>670</v>
      </c>
      <c r="G33" s="125"/>
      <c r="H33" s="125"/>
      <c r="I33" s="125"/>
      <c r="J33" s="125"/>
      <c r="K33" s="15"/>
    </row>
    <row r="34" spans="6:11" ht="76.5" customHeight="1">
      <c r="F34" s="1827" t="s">
        <v>2551</v>
      </c>
      <c r="G34" s="1828"/>
      <c r="H34" s="1828"/>
      <c r="I34" s="1828"/>
      <c r="J34" s="1796"/>
      <c r="K34" s="1829"/>
    </row>
    <row r="35" spans="6:11" ht="29.25" customHeight="1">
      <c r="F35" s="127" t="s">
        <v>672</v>
      </c>
      <c r="G35" s="125"/>
      <c r="H35" s="125"/>
      <c r="I35" s="125"/>
      <c r="J35" s="125"/>
      <c r="K35" s="15"/>
    </row>
    <row r="36" spans="6:11" ht="122.25" customHeight="1">
      <c r="F36" s="1827" t="s">
        <v>2550</v>
      </c>
      <c r="G36" s="1828"/>
      <c r="H36" s="1828"/>
      <c r="I36" s="1828"/>
      <c r="J36" s="1796"/>
      <c r="K36" s="1829"/>
    </row>
    <row r="37" spans="6:11" ht="23.85" customHeight="1"/>
    <row r="38" spans="6:11">
      <c r="F38" s="119" t="s">
        <v>186</v>
      </c>
    </row>
    <row r="39" spans="6:11" ht="12.75" customHeight="1">
      <c r="F39" s="1818" t="s">
        <v>2716</v>
      </c>
      <c r="G39" s="1819"/>
      <c r="H39" s="1819"/>
      <c r="I39" s="1819"/>
      <c r="J39" s="1819"/>
      <c r="K39" s="1820"/>
    </row>
    <row r="40" spans="6:11" ht="12.75" customHeight="1">
      <c r="F40" s="1821"/>
      <c r="G40" s="1822"/>
      <c r="H40" s="1822"/>
      <c r="I40" s="1822"/>
      <c r="J40" s="1822"/>
      <c r="K40" s="1823"/>
    </row>
    <row r="41" spans="6:11" ht="12.75" customHeight="1">
      <c r="F41" s="1821"/>
      <c r="G41" s="1822"/>
      <c r="H41" s="1822"/>
      <c r="I41" s="1822"/>
      <c r="J41" s="1822"/>
      <c r="K41" s="1823"/>
    </row>
    <row r="42" spans="6:11" ht="12.75" customHeight="1">
      <c r="F42" s="1821"/>
      <c r="G42" s="1822"/>
      <c r="H42" s="1822"/>
      <c r="I42" s="1822"/>
      <c r="J42" s="1822"/>
      <c r="K42" s="1823"/>
    </row>
    <row r="43" spans="6:11" ht="12.75" customHeight="1">
      <c r="F43" s="1824"/>
      <c r="G43" s="1825"/>
      <c r="H43" s="1825"/>
      <c r="I43" s="1825"/>
      <c r="J43" s="1825"/>
      <c r="K43" s="1826"/>
    </row>
  </sheetData>
  <autoFilter ref="F11:T36" xr:uid="{00000000-0009-0000-0000-00001B000000}"/>
  <dataConsolidate/>
  <mergeCells count="11">
    <mergeCell ref="A10:E10"/>
    <mergeCell ref="F10:K10"/>
    <mergeCell ref="L10:O10"/>
    <mergeCell ref="P10:Q10"/>
    <mergeCell ref="F9:H9"/>
    <mergeCell ref="G2:T2"/>
    <mergeCell ref="F39:K43"/>
    <mergeCell ref="R10:T10"/>
    <mergeCell ref="F34:K34"/>
    <mergeCell ref="F36:K36"/>
    <mergeCell ref="Q12:Q31"/>
  </mergeCells>
  <hyperlinks>
    <hyperlink ref="F1" location="'2024-2025 Summary'!C1" display="Summary Page" xr:uid="{8D1BBD17-A068-49F3-9287-B46150E82B39}"/>
  </hyperlinks>
  <pageMargins left="0.7" right="0.7" top="0.75" bottom="0.75" header="0.3" footer="0.3"/>
  <pageSetup scale="21"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rgb="FF0083CA"/>
    <pageSetUpPr fitToPage="1"/>
  </sheetPr>
  <dimension ref="A1:AA37"/>
  <sheetViews>
    <sheetView showGridLines="0" topLeftCell="F1" zoomScale="90" zoomScaleNormal="90" workbookViewId="0">
      <selection activeCell="F2" sqref="F2"/>
    </sheetView>
  </sheetViews>
  <sheetFormatPr defaultColWidth="26.5703125" defaultRowHeight="12.75" customHeight="1" outlineLevelRow="1" outlineLevelCol="1"/>
  <cols>
    <col min="1" max="2" width="26.5703125" style="49" hidden="1" customWidth="1" outlineLevel="1"/>
    <col min="3" max="3" width="10.42578125" style="49" hidden="1" customWidth="1" outlineLevel="1"/>
    <col min="4" max="4" width="11.42578125" style="49" hidden="1" customWidth="1" outlineLevel="1"/>
    <col min="5" max="5" width="19.5703125" style="49" hidden="1" customWidth="1" outlineLevel="1"/>
    <col min="6" max="6" width="15.5703125" style="50" customWidth="1" collapsed="1"/>
    <col min="7" max="7" width="26.5703125" style="50"/>
    <col min="8" max="8" width="34" style="50" customWidth="1"/>
    <col min="9" max="9" width="43" style="50" customWidth="1"/>
    <col min="10" max="10" width="12.5703125" style="50" customWidth="1"/>
    <col min="11" max="11" width="14.42578125" style="51" customWidth="1"/>
    <col min="12" max="12" width="13.5703125" style="51" customWidth="1"/>
    <col min="13" max="13" width="16.85546875" style="51" customWidth="1"/>
    <col min="14" max="14" width="13.42578125" style="50" customWidth="1"/>
    <col min="15" max="15" width="13.5703125" style="50" customWidth="1"/>
    <col min="16" max="16" width="14.5703125" style="50" customWidth="1"/>
    <col min="17" max="17" width="12.42578125" style="50" customWidth="1"/>
    <col min="18" max="18" width="10.42578125" style="50" customWidth="1"/>
    <col min="19" max="19" width="10.5703125" style="52" customWidth="1"/>
    <col min="20" max="16384" width="26.5703125" style="50"/>
  </cols>
  <sheetData>
    <row r="1" spans="1:27" ht="12.75" customHeight="1">
      <c r="F1" s="26" t="s">
        <v>557</v>
      </c>
    </row>
    <row r="2" spans="1:27" ht="81" customHeight="1">
      <c r="A2" s="924"/>
      <c r="B2" s="925"/>
      <c r="C2" s="925"/>
      <c r="D2" s="925"/>
      <c r="E2" s="925"/>
      <c r="F2" s="926" t="str">
        <f>G12&amp;":"</f>
        <v>Retail Product Portfolio:</v>
      </c>
      <c r="G2" s="1834"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35"/>
      <c r="I2" s="1835"/>
      <c r="J2" s="1835"/>
      <c r="K2" s="1835"/>
      <c r="L2" s="1835"/>
      <c r="M2" s="1835"/>
      <c r="N2" s="1835"/>
      <c r="O2" s="1835"/>
      <c r="P2" s="1835"/>
      <c r="Q2" s="1835"/>
      <c r="R2" s="1835"/>
      <c r="S2" s="1835"/>
      <c r="T2" s="1836"/>
      <c r="X2" s="50" t="s">
        <v>9</v>
      </c>
      <c r="Y2" s="225" t="s">
        <v>232</v>
      </c>
      <c r="AA2" s="50" t="s">
        <v>232</v>
      </c>
    </row>
    <row r="3" spans="1:27" ht="10.5" customHeight="1">
      <c r="F3" s="122"/>
      <c r="K3" s="206"/>
      <c r="O3" s="204"/>
      <c r="AA3" s="50" t="s">
        <v>233</v>
      </c>
    </row>
    <row r="4" spans="1:27" ht="10.5" hidden="1" customHeight="1" outlineLevel="1">
      <c r="F4"/>
      <c r="G4"/>
      <c r="H4"/>
      <c r="I4"/>
      <c r="J4"/>
      <c r="K4" s="206"/>
      <c r="O4" s="204"/>
    </row>
    <row r="5" spans="1:27" ht="10.5" hidden="1" customHeight="1" outlineLevel="1">
      <c r="A5" s="9" t="s">
        <v>2652</v>
      </c>
      <c r="F5"/>
      <c r="G5"/>
      <c r="H5"/>
      <c r="I5"/>
      <c r="J5"/>
      <c r="K5" s="206"/>
      <c r="O5" s="204"/>
    </row>
    <row r="6" spans="1:27" ht="10.5" hidden="1" customHeight="1" outlineLevel="1">
      <c r="A6" s="667">
        <f>(B6/(SUM(B6:C6)))*D6+ (C6/SUM(B6:C6))*E6</f>
        <v>13.999999999999996</v>
      </c>
      <c r="B6" s="668">
        <f>SUMIFS($T$12:$T$23,$K$12:$K$23, 2024)</f>
        <v>0.32179807065699662</v>
      </c>
      <c r="C6" s="668">
        <f>SUMIFS($T$12:$T$23,$K$12:$K$23, 2025)</f>
        <v>0.32840240463522169</v>
      </c>
      <c r="D6" s="667" cm="1">
        <f t="array" ref="D6">SUMPRODUCT($J$12:$J$23,$T$12:$T$23,--($K$12:$K$23=2024))/SUMIFS($T$12:$T$23,$K$12:$K$23, 2024)</f>
        <v>13.999999999999998</v>
      </c>
      <c r="E6" s="667" cm="1">
        <f t="array" ref="E6">SUMPRODUCT($J$12:$J$23,$T$12:$T$23,--($K$12:$K$23=2025))/SUMIFS($T$12:$T$23,$K$12:$K$23, 2025)</f>
        <v>13.999999999999998</v>
      </c>
      <c r="F6"/>
      <c r="G6"/>
      <c r="H6"/>
      <c r="I6"/>
      <c r="J6"/>
      <c r="K6" s="206"/>
      <c r="O6" s="204"/>
    </row>
    <row r="7" spans="1:27" ht="30.6" hidden="1" customHeight="1" outlineLevel="1">
      <c r="A7" s="667">
        <f>(B7/(SUM(B7:C7)))*D7+ (C7/SUM(B7:C7))*E7</f>
        <v>13.999999999999998</v>
      </c>
      <c r="B7" s="668">
        <f>SUMIFS($T$12:$T$23,$K$12:$K$23, 2026)</f>
        <v>0.33548822588065846</v>
      </c>
      <c r="C7" s="668">
        <f>SUMIFS($T$12:$T$23,$K$12:$K$23, 2027)</f>
        <v>0.3423759625071493</v>
      </c>
      <c r="D7" s="667" cm="1">
        <f t="array" ref="D7">SUMPRODUCT($J$12:$J$23,$T$12:$T$23,--($K$12:$K$23=2026))/SUMIFS($T$12:$T$23,$K$12:$K$23, 2026)</f>
        <v>13.999999999999998</v>
      </c>
      <c r="E7" s="667" cm="1">
        <f t="array" ref="E7">SUMPRODUCT($J$12:$J$23,$T$12:$T$23,--($K$12:$K$23=2027))/SUMIFS($T$12:$T$23,$K$12:$K$23, 2027)</f>
        <v>13.999999999999998</v>
      </c>
      <c r="F7"/>
      <c r="G7"/>
      <c r="H7"/>
      <c r="I7"/>
      <c r="J7"/>
      <c r="K7" s="206"/>
      <c r="O7" s="204"/>
    </row>
    <row r="8" spans="1:27" ht="10.5" hidden="1" customHeight="1" outlineLevel="1">
      <c r="F8"/>
      <c r="G8"/>
      <c r="H8"/>
      <c r="I8"/>
      <c r="J8"/>
      <c r="K8" s="206"/>
      <c r="O8" s="204"/>
    </row>
    <row r="9" spans="1:27" ht="10.5" customHeight="1" collapsed="1">
      <c r="F9" s="122"/>
      <c r="K9" s="206"/>
      <c r="O9" s="204"/>
    </row>
    <row r="10" spans="1:27" s="47" customFormat="1" ht="15.75" customHeight="1">
      <c r="A10" s="1701" t="s">
        <v>125</v>
      </c>
      <c r="B10" s="1702"/>
      <c r="C10" s="1702"/>
      <c r="D10" s="1702"/>
      <c r="E10" s="1702"/>
      <c r="F10" s="1720" t="s">
        <v>7</v>
      </c>
      <c r="G10" s="1722"/>
      <c r="H10" s="1722"/>
      <c r="I10" s="1722"/>
      <c r="J10" s="1722"/>
      <c r="K10" s="1816"/>
      <c r="L10" s="1717" t="s">
        <v>122</v>
      </c>
      <c r="M10" s="1718"/>
      <c r="N10" s="1718"/>
      <c r="O10" s="1719"/>
      <c r="P10" s="1802" t="s">
        <v>123</v>
      </c>
      <c r="Q10" s="1803"/>
      <c r="R10" s="1804" t="s">
        <v>124</v>
      </c>
      <c r="S10" s="1805"/>
      <c r="T10" s="1805"/>
    </row>
    <row r="11" spans="1:27" s="125" customFormat="1" ht="57.6" customHeight="1" thickBot="1">
      <c r="A11" s="700" t="s">
        <v>0</v>
      </c>
      <c r="B11" s="701" t="s">
        <v>10</v>
      </c>
      <c r="C11" s="701" t="s">
        <v>1</v>
      </c>
      <c r="D11" s="701" t="s">
        <v>2</v>
      </c>
      <c r="E11" s="701" t="s">
        <v>187</v>
      </c>
      <c r="F11" s="990" t="s">
        <v>3</v>
      </c>
      <c r="G11" s="991" t="s">
        <v>4</v>
      </c>
      <c r="H11" s="991" t="s">
        <v>5</v>
      </c>
      <c r="I11" s="991" t="s">
        <v>6</v>
      </c>
      <c r="J11" s="991" t="s">
        <v>834</v>
      </c>
      <c r="K11" s="991" t="s">
        <v>8</v>
      </c>
      <c r="L11" s="913" t="s">
        <v>11</v>
      </c>
      <c r="M11" s="770" t="s">
        <v>12</v>
      </c>
      <c r="N11" s="770" t="s">
        <v>120</v>
      </c>
      <c r="O11" s="720" t="str">
        <f>"Funder Share: "&amp;Selection!A2&amp;" "&amp;Selection!A3</f>
        <v>Funder Share: Puget Sound Energy Washington</v>
      </c>
      <c r="P11" s="838" t="s">
        <v>451</v>
      </c>
      <c r="Q11" s="914" t="s">
        <v>121</v>
      </c>
      <c r="R11" s="715" t="s">
        <v>2683</v>
      </c>
      <c r="S11" s="714" t="s">
        <v>2675</v>
      </c>
      <c r="T11" s="716" t="s">
        <v>2283</v>
      </c>
    </row>
    <row r="12" spans="1:27" ht="12.75" customHeight="1" thickTop="1">
      <c r="A12" s="915" t="s">
        <v>93</v>
      </c>
      <c r="B12" s="916" t="str">
        <f t="shared" ref="B12:B17" si="0">LEFT(A12,10)</f>
        <v>RES_201403</v>
      </c>
      <c r="C12" s="917" t="str">
        <f>INDEX('AMMO vwFlags'!$C:$C,MATCH($A12&amp;K12,'AMMO vwFlags'!$K:$K,0))</f>
        <v>0</v>
      </c>
      <c r="D12" s="917" t="str">
        <f>INDEX('AMMO vwFlags'!$D:$D,MATCH($A12&amp;$K12,'AMMO vwFlags'!$K:$K,0))</f>
        <v>0</v>
      </c>
      <c r="E12" s="916">
        <f t="shared" ref="E12:E23" si="1">COUNTIFS($A:$A,$A12,$K:$K,$K12)</f>
        <v>1</v>
      </c>
      <c r="F12" s="897" t="str">
        <f t="shared" ref="F12:F23" si="2">IF(LEFT(A12,3)="Res","Residential",IF(LEFT(A12,3)="Ind","industrial",IF(LEFT(A12,3)="Com","Commercial",IF(LEFT(A12,3)="AGR","Agriculture",""))))</f>
        <v>Residential</v>
      </c>
      <c r="G12" s="897" t="str">
        <f>INDEX('AMMO Measures'!B:B,MATCH($A12,'AMMO Measures'!$A:$A,0))</f>
        <v>Retail Product Portfolio</v>
      </c>
      <c r="H12" s="897" t="str">
        <f>INDEX('AMMO Measures'!C:C,MATCH($A12,'AMMO Measures'!$A:$A,0))</f>
        <v>Clothes Washers Front Loading</v>
      </c>
      <c r="I12" s="897" t="str">
        <f>INDEX('AMMO Measures'!D:D,MATCH($A12,'AMMO Measures'!$A:$A,0))</f>
        <v>ENERGY STAR Most Efficient 2017</v>
      </c>
      <c r="J12" s="898">
        <f>VALUE(INDEX('AMMO Measures'!H:H,MATCH($A12,'AMMO Measures'!A:A,0)))</f>
        <v>14</v>
      </c>
      <c r="K12" s="899">
        <v>2024</v>
      </c>
      <c r="L12" s="900">
        <f>SUMIFS('AMMO Units'!F:F,'AMMO Units'!$A:$A,$K12,'AMMO Units'!$E:$E,$A12)</f>
        <v>2200.6042773999998</v>
      </c>
      <c r="M12" s="872">
        <f>SUMIFS('AMMO Units'!G:G,'AMMO Units'!$A:$A,$K12,'AMMO Units'!$E:$E,$A12)</f>
        <v>0</v>
      </c>
      <c r="N12" s="1846" t="s">
        <v>2712</v>
      </c>
      <c r="O12" s="3">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901">
        <f>$H$36</f>
        <v>119.99</v>
      </c>
      <c r="Q12" s="1849" t="s">
        <v>2713</v>
      </c>
      <c r="R12" s="901">
        <f>(L12)*O12*P12/8760000</f>
        <v>4.2156447193251517E-3</v>
      </c>
      <c r="S12" s="902">
        <f>IFERROR((M12/L12*M12)*O12*P12/8760/1000,0)</f>
        <v>0</v>
      </c>
      <c r="T12" s="903">
        <f t="shared" ref="T12:T17" si="3">R12-S12</f>
        <v>4.2156447193251517E-3</v>
      </c>
    </row>
    <row r="13" spans="1:27" ht="12.75" customHeight="1">
      <c r="A13" s="915" t="s">
        <v>94</v>
      </c>
      <c r="B13" s="916" t="str">
        <f t="shared" si="0"/>
        <v>RES_201403</v>
      </c>
      <c r="C13" s="917" t="str">
        <f>INDEX('AMMO vwFlags'!$C:$C,MATCH($A13&amp;K13,'AMMO vwFlags'!$K:$K,0))</f>
        <v>0</v>
      </c>
      <c r="D13" s="917" t="str">
        <f>INDEX('AMMO vwFlags'!$D:$D,MATCH($A13&amp;$K13,'AMMO vwFlags'!$K:$K,0))</f>
        <v>0</v>
      </c>
      <c r="E13" s="916">
        <f t="shared" si="1"/>
        <v>1</v>
      </c>
      <c r="F13" s="904" t="str">
        <f t="shared" si="2"/>
        <v>Residential</v>
      </c>
      <c r="G13" s="904" t="str">
        <f>INDEX('AMMO Measures'!B:B,MATCH($A13,'AMMO Measures'!$A:$A,0))</f>
        <v>Retail Product Portfolio</v>
      </c>
      <c r="H13" s="904" t="str">
        <f>INDEX('AMMO Measures'!C:C,MATCH($A13,'AMMO Measures'!$A:$A,0))</f>
        <v>Clothes Washers Front Loading</v>
      </c>
      <c r="I13" s="904" t="str">
        <f>INDEX('AMMO Measures'!D:D,MATCH($A13,'AMMO Measures'!$A:$A,0))</f>
        <v>ENERGY STAR Most Efficient 2018 through 2020</v>
      </c>
      <c r="J13" s="905">
        <f>VALUE(INDEX('AMMO Measures'!H:H,MATCH($A13,'AMMO Measures'!A:A,0)))</f>
        <v>14</v>
      </c>
      <c r="K13" s="906">
        <v>2024</v>
      </c>
      <c r="L13" s="900">
        <f>SUMIFS('AMMO Units'!F:F,'AMMO Units'!$A:$A,$K13,'AMMO Units'!$E:$E,$A13)</f>
        <v>165780.86899538001</v>
      </c>
      <c r="M13" s="872">
        <f>SUMIFS('AMMO Units'!G:G,'AMMO Units'!$A:$A,$K13,'AMMO Units'!$E:$E,$A13)</f>
        <v>0</v>
      </c>
      <c r="N13" s="1847"/>
      <c r="O13" s="773">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901">
        <f>$H$36</f>
        <v>119.99</v>
      </c>
      <c r="Q13" s="1850"/>
      <c r="R13" s="901">
        <f>(L13)*O13*P13/8760000</f>
        <v>0.31758242593767144</v>
      </c>
      <c r="S13" s="902">
        <f>IFERROR((M13/L13*M13)*O13*P13/8760/1000,0)</f>
        <v>0</v>
      </c>
      <c r="T13" s="907">
        <f t="shared" si="3"/>
        <v>0.31758242593767144</v>
      </c>
    </row>
    <row r="14" spans="1:27" ht="20.45" customHeight="1">
      <c r="A14" s="918" t="s">
        <v>95</v>
      </c>
      <c r="B14" s="916" t="str">
        <f t="shared" si="0"/>
        <v>RES_201403</v>
      </c>
      <c r="C14" s="917" t="str">
        <f>INDEX('AMMO vwFlags'!$C:$C,MATCH($A14&amp;K14,'AMMO vwFlags'!$K:$K,0))</f>
        <v>0</v>
      </c>
      <c r="D14" s="917" t="str">
        <f>INDEX('AMMO vwFlags'!$D:$D,MATCH($A14&amp;$K14,'AMMO vwFlags'!$K:$K,0))</f>
        <v>0</v>
      </c>
      <c r="E14" s="916">
        <f t="shared" si="1"/>
        <v>1</v>
      </c>
      <c r="F14" s="904" t="str">
        <f t="shared" si="2"/>
        <v>Residential</v>
      </c>
      <c r="G14" s="904" t="str">
        <f>INDEX('AMMO Measures'!B:B,MATCH($A14,'AMMO Measures'!$A:$A,0))</f>
        <v>Retail Product Portfolio</v>
      </c>
      <c r="H14" s="904" t="str">
        <f>INDEX('AMMO Measures'!C:C,MATCH($A14,'AMMO Measures'!$A:$A,0))</f>
        <v>Clothes Washers Front Loading</v>
      </c>
      <c r="I14" s="904" t="str">
        <f>INDEX('AMMO Measures'!D:D,MATCH($A14,'AMMO Measures'!$A:$A,0))</f>
        <v>ENERGY STAR Most Efficient TBD</v>
      </c>
      <c r="J14" s="905">
        <f>VALUE(INDEX('AMMO Measures'!H:H,MATCH($A14,'AMMO Measures'!A:A,0)))</f>
        <v>14</v>
      </c>
      <c r="K14" s="906">
        <v>2024</v>
      </c>
      <c r="L14" s="900">
        <f>SUMIFS('AMMO Units'!F:F,'AMMO Units'!$A:$A,$K14,'AMMO Units'!$E:$E,$A14)</f>
        <v>0</v>
      </c>
      <c r="M14" s="872">
        <f>SUMIFS('AMMO Units'!G:G,'AMMO Units'!$A:$A,$K14,'AMMO Units'!$E:$E,$A14)</f>
        <v>0</v>
      </c>
      <c r="N14" s="1847"/>
      <c r="O14" s="773">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v>
      </c>
      <c r="P14" s="901">
        <f t="shared" ref="P14:P23" si="4">$H$36</f>
        <v>119.99</v>
      </c>
      <c r="Q14" s="1850"/>
      <c r="R14" s="901">
        <f t="shared" ref="R14:R17" si="5">(L14)*O14*P14/8760000</f>
        <v>0</v>
      </c>
      <c r="S14" s="902">
        <f>IFERROR((M14/L14*M14)*O14*P14/8760/1000,0)</f>
        <v>0</v>
      </c>
      <c r="T14" s="907">
        <f t="shared" si="3"/>
        <v>0</v>
      </c>
    </row>
    <row r="15" spans="1:27" ht="12.75" customHeight="1">
      <c r="A15" s="919" t="s">
        <v>93</v>
      </c>
      <c r="B15" s="916" t="str">
        <f t="shared" si="0"/>
        <v>RES_201403</v>
      </c>
      <c r="C15" s="917" t="str">
        <f>INDEX('AMMO vwFlags'!$C:$C,MATCH($A15&amp;K15,'AMMO vwFlags'!$K:$K,0))</f>
        <v>0</v>
      </c>
      <c r="D15" s="917" t="str">
        <f>INDEX('AMMO vwFlags'!$D:$D,MATCH($A15&amp;$K15,'AMMO vwFlags'!$K:$K,0))</f>
        <v>0</v>
      </c>
      <c r="E15" s="916">
        <f t="shared" si="1"/>
        <v>1</v>
      </c>
      <c r="F15" s="904" t="str">
        <f t="shared" si="2"/>
        <v>Residential</v>
      </c>
      <c r="G15" s="904" t="str">
        <f>INDEX('AMMO Measures'!B:B,MATCH($A15,'AMMO Measures'!$A:$A,0))</f>
        <v>Retail Product Portfolio</v>
      </c>
      <c r="H15" s="904" t="str">
        <f>INDEX('AMMO Measures'!C:C,MATCH($A15,'AMMO Measures'!$A:$A,0))</f>
        <v>Clothes Washers Front Loading</v>
      </c>
      <c r="I15" s="904" t="str">
        <f>INDEX('AMMO Measures'!D:D,MATCH($A15,'AMMO Measures'!$A:$A,0))</f>
        <v>ENERGY STAR Most Efficient 2017</v>
      </c>
      <c r="J15" s="905">
        <f>VALUE(INDEX('AMMO Measures'!H:H,MATCH($A15,'AMMO Measures'!A:A,0)))</f>
        <v>14</v>
      </c>
      <c r="K15" s="683">
        <v>2025</v>
      </c>
      <c r="L15" s="900">
        <f>SUMIFS('AMMO Units'!F:F,'AMMO Units'!$A:$A,$K15,'AMMO Units'!$E:$E,$A15)</f>
        <v>533.63802644999998</v>
      </c>
      <c r="M15" s="872">
        <f>SUMIFS('AMMO Units'!G:G,'AMMO Units'!$A:$A,$K15,'AMMO Units'!$E:$E,$A15)</f>
        <v>0</v>
      </c>
      <c r="N15" s="1847"/>
      <c r="O15" s="773">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684">
        <f t="shared" si="4"/>
        <v>119.99</v>
      </c>
      <c r="Q15" s="1850"/>
      <c r="R15" s="901">
        <f t="shared" si="5"/>
        <v>1.0222775404640037E-3</v>
      </c>
      <c r="S15" s="902">
        <f t="shared" ref="S15:S16" si="6">IFERROR((M15/L15*M15)*O15*P15/8760/1000,0)</f>
        <v>0</v>
      </c>
      <c r="T15" s="793">
        <f t="shared" si="3"/>
        <v>1.0222775404640037E-3</v>
      </c>
    </row>
    <row r="16" spans="1:27" ht="18" customHeight="1">
      <c r="A16" s="919" t="s">
        <v>94</v>
      </c>
      <c r="B16" s="916" t="str">
        <f t="shared" si="0"/>
        <v>RES_201403</v>
      </c>
      <c r="C16" s="917" t="str">
        <f>INDEX('AMMO vwFlags'!$C:$C,MATCH($A16&amp;K16,'AMMO vwFlags'!$K:$K,0))</f>
        <v>0</v>
      </c>
      <c r="D16" s="917" t="str">
        <f>INDEX('AMMO vwFlags'!$D:$D,MATCH($A16&amp;$K16,'AMMO vwFlags'!$K:$K,0))</f>
        <v>0</v>
      </c>
      <c r="E16" s="916">
        <f t="shared" si="1"/>
        <v>1</v>
      </c>
      <c r="F16" s="904" t="str">
        <f t="shared" si="2"/>
        <v>Residential</v>
      </c>
      <c r="G16" s="904" t="str">
        <f>INDEX('AMMO Measures'!B:B,MATCH($A16,'AMMO Measures'!$A:$A,0))</f>
        <v>Retail Product Portfolio</v>
      </c>
      <c r="H16" s="904" t="str">
        <f>INDEX('AMMO Measures'!C:C,MATCH($A16,'AMMO Measures'!$A:$A,0))</f>
        <v>Clothes Washers Front Loading</v>
      </c>
      <c r="I16" s="904" t="str">
        <f>INDEX('AMMO Measures'!D:D,MATCH($A16,'AMMO Measures'!$A:$A,0))</f>
        <v>ENERGY STAR Most Efficient 2018 through 2020</v>
      </c>
      <c r="J16" s="905">
        <f>VALUE(INDEX('AMMO Measures'!H:H,MATCH($A16,'AMMO Measures'!A:A,0)))</f>
        <v>14</v>
      </c>
      <c r="K16" s="683">
        <v>2025</v>
      </c>
      <c r="L16" s="900">
        <f>SUMIFS('AMMO Units'!F:F,'AMMO Units'!$A:$A,$K16,'AMMO Units'!$E:$E,$A16)</f>
        <v>170895.35669784999</v>
      </c>
      <c r="M16" s="872">
        <f>SUMIFS('AMMO Units'!G:G,'AMMO Units'!$A:$A,$K16,'AMMO Units'!$E:$E,$A16)</f>
        <v>0</v>
      </c>
      <c r="N16" s="1847"/>
      <c r="O16" s="773">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684">
        <f t="shared" si="4"/>
        <v>119.99</v>
      </c>
      <c r="Q16" s="1850"/>
      <c r="R16" s="901">
        <f t="shared" si="5"/>
        <v>0.32738012709475767</v>
      </c>
      <c r="S16" s="902">
        <f t="shared" si="6"/>
        <v>0</v>
      </c>
      <c r="T16" s="793">
        <f t="shared" si="3"/>
        <v>0.32738012709475767</v>
      </c>
      <c r="U16" s="279"/>
    </row>
    <row r="17" spans="1:21" ht="18" customHeight="1">
      <c r="A17" s="919" t="s">
        <v>95</v>
      </c>
      <c r="B17" s="916" t="str">
        <f t="shared" si="0"/>
        <v>RES_201403</v>
      </c>
      <c r="C17" s="917" t="str">
        <f>INDEX('AMMO vwFlags'!$C:$C,MATCH($A17&amp;K17,'AMMO vwFlags'!$K:$K,0))</f>
        <v>0</v>
      </c>
      <c r="D17" s="917" t="str">
        <f>INDEX('AMMO vwFlags'!$D:$D,MATCH($A17&amp;$K17,'AMMO vwFlags'!$K:$K,0))</f>
        <v>0</v>
      </c>
      <c r="E17" s="916">
        <f t="shared" si="1"/>
        <v>1</v>
      </c>
      <c r="F17" s="1163" t="str">
        <f t="shared" si="2"/>
        <v>Residential</v>
      </c>
      <c r="G17" s="1163" t="str">
        <f>INDEX('AMMO Measures'!B:B,MATCH($A17,'AMMO Measures'!$A:$A,0))</f>
        <v>Retail Product Portfolio</v>
      </c>
      <c r="H17" s="1163" t="str">
        <f>INDEX('AMMO Measures'!C:C,MATCH($A17,'AMMO Measures'!$A:$A,0))</f>
        <v>Clothes Washers Front Loading</v>
      </c>
      <c r="I17" s="1163" t="str">
        <f>INDEX('AMMO Measures'!D:D,MATCH($A17,'AMMO Measures'!$A:$A,0))</f>
        <v>ENERGY STAR Most Efficient TBD</v>
      </c>
      <c r="J17" s="1164">
        <f>VALUE(INDEX('AMMO Measures'!H:H,MATCH($A17,'AMMO Measures'!A:A,0)))</f>
        <v>14</v>
      </c>
      <c r="K17" s="697">
        <v>2025</v>
      </c>
      <c r="L17" s="1165">
        <f>SUMIFS('AMMO Units'!F:F,'AMMO Units'!$A:$A,$K17,'AMMO Units'!$E:$E,$A17)</f>
        <v>0</v>
      </c>
      <c r="M17" s="1166">
        <f>SUMIFS('AMMO Units'!G:G,'AMMO Units'!$A:$A,$K17,'AMMO Units'!$E:$E,$A17)</f>
        <v>0</v>
      </c>
      <c r="N17" s="1847"/>
      <c r="O17" s="1167">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v>
      </c>
      <c r="P17" s="699">
        <f t="shared" si="4"/>
        <v>119.99</v>
      </c>
      <c r="Q17" s="1850"/>
      <c r="R17" s="1168">
        <f t="shared" si="5"/>
        <v>0</v>
      </c>
      <c r="S17" s="938">
        <f>IFERROR((M17/L17*M17)*O17*P17/8760/1000,0)</f>
        <v>0</v>
      </c>
      <c r="T17" s="939">
        <f t="shared" si="3"/>
        <v>0</v>
      </c>
      <c r="U17" s="279"/>
    </row>
    <row r="18" spans="1:21" ht="12.75" customHeight="1">
      <c r="A18" s="919" t="s">
        <v>93</v>
      </c>
      <c r="B18" s="916" t="str">
        <f t="shared" ref="B18:B23" si="7">LEFT(A18,10)</f>
        <v>RES_201403</v>
      </c>
      <c r="C18" s="917" t="str">
        <f>INDEX('AMMO vwFlags'!$C:$C,MATCH($A18&amp;K18,'AMMO vwFlags'!$K:$K,0))</f>
        <v>0</v>
      </c>
      <c r="D18" s="917" t="str">
        <f>INDEX('AMMO vwFlags'!$D:$D,MATCH($A18&amp;$K18,'AMMO vwFlags'!$K:$K,0))</f>
        <v>0</v>
      </c>
      <c r="E18" s="916">
        <f t="shared" si="1"/>
        <v>1</v>
      </c>
      <c r="F18" s="1169" t="str">
        <f t="shared" si="2"/>
        <v>Residential</v>
      </c>
      <c r="G18" s="1169" t="str">
        <f>INDEX('AMMO Measures'!B:B,MATCH($A18,'AMMO Measures'!$A:$A,0))</f>
        <v>Retail Product Portfolio</v>
      </c>
      <c r="H18" s="1169" t="str">
        <f>INDEX('AMMO Measures'!C:C,MATCH($A18,'AMMO Measures'!$A:$A,0))</f>
        <v>Clothes Washers Front Loading</v>
      </c>
      <c r="I18" s="1169" t="str">
        <f>INDEX('AMMO Measures'!D:D,MATCH($A18,'AMMO Measures'!$A:$A,0))</f>
        <v>ENERGY STAR Most Efficient 2017</v>
      </c>
      <c r="J18" s="1170">
        <f>VALUE(INDEX('AMMO Measures'!H:H,MATCH($A18,'AMMO Measures'!A:A,0)))</f>
        <v>14</v>
      </c>
      <c r="K18" s="692">
        <v>2026</v>
      </c>
      <c r="L18" s="1171">
        <f>SUMIFS('AMMO Units'!F:F,'AMMO Units'!$A:$A,$K18,'AMMO Units'!$E:$E,$A18)</f>
        <v>182.92411694</v>
      </c>
      <c r="M18" s="1172">
        <f>SUMIFS('AMMO Units'!G:G,'AMMO Units'!$A:$A,$K18,'AMMO Units'!$E:$E,$A18)</f>
        <v>0</v>
      </c>
      <c r="N18" s="1847"/>
      <c r="O18" s="775">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P18" s="693">
        <f t="shared" si="4"/>
        <v>119.99</v>
      </c>
      <c r="Q18" s="1850"/>
      <c r="R18" s="1173">
        <f t="shared" ref="R18:R23" si="8">(L18)*O18*P18/8760000</f>
        <v>3.5042333396099193E-4</v>
      </c>
      <c r="S18" s="1174">
        <f t="shared" ref="S18:S19" si="9">IFERROR((M18/L18*M18)*O18*P18/8760/1000,0)</f>
        <v>0</v>
      </c>
      <c r="T18" s="945">
        <f t="shared" ref="T18:T23" si="10">R18-S18</f>
        <v>3.5042333396099193E-4</v>
      </c>
    </row>
    <row r="19" spans="1:21" ht="18" customHeight="1">
      <c r="A19" s="919" t="s">
        <v>94</v>
      </c>
      <c r="B19" s="916" t="str">
        <f t="shared" si="7"/>
        <v>RES_201403</v>
      </c>
      <c r="C19" s="917" t="str">
        <f>INDEX('AMMO vwFlags'!$C:$C,MATCH($A19&amp;K19,'AMMO vwFlags'!$K:$K,0))</f>
        <v>0</v>
      </c>
      <c r="D19" s="917" t="str">
        <f>INDEX('AMMO vwFlags'!$D:$D,MATCH($A19&amp;$K19,'AMMO vwFlags'!$K:$K,0))</f>
        <v>0</v>
      </c>
      <c r="E19" s="916">
        <f t="shared" si="1"/>
        <v>1</v>
      </c>
      <c r="F19" s="904" t="str">
        <f t="shared" si="2"/>
        <v>Residential</v>
      </c>
      <c r="G19" s="904" t="str">
        <f>INDEX('AMMO Measures'!B:B,MATCH($A19,'AMMO Measures'!$A:$A,0))</f>
        <v>Retail Product Portfolio</v>
      </c>
      <c r="H19" s="904" t="str">
        <f>INDEX('AMMO Measures'!C:C,MATCH($A19,'AMMO Measures'!$A:$A,0))</f>
        <v>Clothes Washers Front Loading</v>
      </c>
      <c r="I19" s="904" t="str">
        <f>INDEX('AMMO Measures'!D:D,MATCH($A19,'AMMO Measures'!$A:$A,0))</f>
        <v>ENERGY STAR Most Efficient 2018 through 2020</v>
      </c>
      <c r="J19" s="905">
        <f>VALUE(INDEX('AMMO Measures'!H:H,MATCH($A19,'AMMO Measures'!A:A,0)))</f>
        <v>14</v>
      </c>
      <c r="K19" s="683">
        <v>2026</v>
      </c>
      <c r="L19" s="900">
        <f>SUMIFS('AMMO Units'!F:F,'AMMO Units'!$A:$A,$K19,'AMMO Units'!$E:$E,$A19)</f>
        <v>174944.93272211999</v>
      </c>
      <c r="M19" s="872">
        <f>SUMIFS('AMMO Units'!G:G,'AMMO Units'!$A:$A,$K19,'AMMO Units'!$E:$E,$A19)</f>
        <v>0</v>
      </c>
      <c r="N19" s="1847"/>
      <c r="O19" s="773">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P19" s="684">
        <f t="shared" si="4"/>
        <v>119.99</v>
      </c>
      <c r="Q19" s="1850"/>
      <c r="R19" s="901">
        <f t="shared" si="8"/>
        <v>0.33513780254669745</v>
      </c>
      <c r="S19" s="902">
        <f t="shared" si="9"/>
        <v>0</v>
      </c>
      <c r="T19" s="793">
        <f t="shared" si="10"/>
        <v>0.33513780254669745</v>
      </c>
      <c r="U19" s="279"/>
    </row>
    <row r="20" spans="1:21" ht="18" customHeight="1">
      <c r="A20" s="919" t="s">
        <v>95</v>
      </c>
      <c r="B20" s="916" t="str">
        <f t="shared" si="7"/>
        <v>RES_201403</v>
      </c>
      <c r="C20" s="917" t="str">
        <f>INDEX('AMMO vwFlags'!$C:$C,MATCH($A20&amp;K20,'AMMO vwFlags'!$K:$K,0))</f>
        <v>0</v>
      </c>
      <c r="D20" s="917" t="str">
        <f>INDEX('AMMO vwFlags'!$D:$D,MATCH($A20&amp;$K20,'AMMO vwFlags'!$K:$K,0))</f>
        <v>0</v>
      </c>
      <c r="E20" s="916">
        <f t="shared" si="1"/>
        <v>1</v>
      </c>
      <c r="F20" s="904" t="str">
        <f t="shared" si="2"/>
        <v>Residential</v>
      </c>
      <c r="G20" s="904" t="str">
        <f>INDEX('AMMO Measures'!B:B,MATCH($A20,'AMMO Measures'!$A:$A,0))</f>
        <v>Retail Product Portfolio</v>
      </c>
      <c r="H20" s="904" t="str">
        <f>INDEX('AMMO Measures'!C:C,MATCH($A20,'AMMO Measures'!$A:$A,0))</f>
        <v>Clothes Washers Front Loading</v>
      </c>
      <c r="I20" s="904" t="str">
        <f>INDEX('AMMO Measures'!D:D,MATCH($A20,'AMMO Measures'!$A:$A,0))</f>
        <v>ENERGY STAR Most Efficient TBD</v>
      </c>
      <c r="J20" s="905">
        <f>VALUE(INDEX('AMMO Measures'!H:H,MATCH($A20,'AMMO Measures'!A:A,0)))</f>
        <v>14</v>
      </c>
      <c r="K20" s="683">
        <v>2026</v>
      </c>
      <c r="L20" s="900">
        <f>SUMIFS('AMMO Units'!F:F,'AMMO Units'!$A:$A,$K20,'AMMO Units'!$E:$E,$A20)</f>
        <v>0</v>
      </c>
      <c r="M20" s="872">
        <f>SUMIFS('AMMO Units'!G:G,'AMMO Units'!$A:$A,$K20,'AMMO Units'!$E:$E,$A20)</f>
        <v>0</v>
      </c>
      <c r="N20" s="1847"/>
      <c r="O20" s="773">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v>
      </c>
      <c r="P20" s="684">
        <f t="shared" si="4"/>
        <v>119.99</v>
      </c>
      <c r="Q20" s="1850"/>
      <c r="R20" s="901">
        <f t="shared" si="8"/>
        <v>0</v>
      </c>
      <c r="S20" s="874">
        <f>IFERROR((M20/L20*M20)*O20*P20/8760/1000,0)</f>
        <v>0</v>
      </c>
      <c r="T20" s="793">
        <f t="shared" si="10"/>
        <v>0</v>
      </c>
      <c r="U20" s="279"/>
    </row>
    <row r="21" spans="1:21" ht="12.75" customHeight="1">
      <c r="A21" s="919" t="s">
        <v>93</v>
      </c>
      <c r="B21" s="916" t="str">
        <f t="shared" si="7"/>
        <v>RES_201403</v>
      </c>
      <c r="C21" s="917" t="str">
        <f>INDEX('AMMO vwFlags'!$C:$C,MATCH($A21&amp;K21,'AMMO vwFlags'!$K:$K,0))</f>
        <v>0</v>
      </c>
      <c r="D21" s="917" t="str">
        <f>INDEX('AMMO vwFlags'!$D:$D,MATCH($A21&amp;$K21,'AMMO vwFlags'!$K:$K,0))</f>
        <v>0</v>
      </c>
      <c r="E21" s="916">
        <f t="shared" si="1"/>
        <v>1</v>
      </c>
      <c r="F21" s="904" t="str">
        <f t="shared" si="2"/>
        <v>Residential</v>
      </c>
      <c r="G21" s="904" t="str">
        <f>INDEX('AMMO Measures'!B:B,MATCH($A21,'AMMO Measures'!$A:$A,0))</f>
        <v>Retail Product Portfolio</v>
      </c>
      <c r="H21" s="904" t="str">
        <f>INDEX('AMMO Measures'!C:C,MATCH($A21,'AMMO Measures'!$A:$A,0))</f>
        <v>Clothes Washers Front Loading</v>
      </c>
      <c r="I21" s="904" t="str">
        <f>INDEX('AMMO Measures'!D:D,MATCH($A21,'AMMO Measures'!$A:$A,0))</f>
        <v>ENERGY STAR Most Efficient 2017</v>
      </c>
      <c r="J21" s="905">
        <f>VALUE(INDEX('AMMO Measures'!H:H,MATCH($A21,'AMMO Measures'!A:A,0)))</f>
        <v>14</v>
      </c>
      <c r="K21" s="683">
        <v>2027</v>
      </c>
      <c r="L21" s="900">
        <f>SUMIFS('AMMO Units'!F:F,'AMMO Units'!$A:$A,$K21,'AMMO Units'!$E:$E,$A21)</f>
        <v>62.364594830000001</v>
      </c>
      <c r="M21" s="872">
        <f>SUMIFS('AMMO Units'!G:G,'AMMO Units'!$A:$A,$K21,'AMMO Units'!$E:$E,$A21)</f>
        <v>0</v>
      </c>
      <c r="N21" s="1847"/>
      <c r="O21" s="773">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P21" s="684">
        <f t="shared" si="4"/>
        <v>119.99</v>
      </c>
      <c r="Q21" s="1850"/>
      <c r="R21" s="901">
        <f t="shared" si="8"/>
        <v>1.1947035528739637E-4</v>
      </c>
      <c r="S21" s="902">
        <f t="shared" ref="S21:S22" si="11">IFERROR((M21/L21*M21)*O21*P21/8760/1000,0)</f>
        <v>0</v>
      </c>
      <c r="T21" s="793">
        <f t="shared" si="10"/>
        <v>1.1947035528739637E-4</v>
      </c>
    </row>
    <row r="22" spans="1:21" ht="18" customHeight="1">
      <c r="A22" s="919" t="s">
        <v>94</v>
      </c>
      <c r="B22" s="916" t="str">
        <f t="shared" si="7"/>
        <v>RES_201403</v>
      </c>
      <c r="C22" s="917" t="str">
        <f>INDEX('AMMO vwFlags'!$C:$C,MATCH($A22&amp;K22,'AMMO vwFlags'!$K:$K,0))</f>
        <v>0</v>
      </c>
      <c r="D22" s="917" t="str">
        <f>INDEX('AMMO vwFlags'!$D:$D,MATCH($A22&amp;$K22,'AMMO vwFlags'!$K:$K,0))</f>
        <v>0</v>
      </c>
      <c r="E22" s="916">
        <f t="shared" si="1"/>
        <v>1</v>
      </c>
      <c r="F22" s="904" t="str">
        <f t="shared" si="2"/>
        <v>Residential</v>
      </c>
      <c r="G22" s="904" t="str">
        <f>INDEX('AMMO Measures'!B:B,MATCH($A22,'AMMO Measures'!$A:$A,0))</f>
        <v>Retail Product Portfolio</v>
      </c>
      <c r="H22" s="904" t="str">
        <f>INDEX('AMMO Measures'!C:C,MATCH($A22,'AMMO Measures'!$A:$A,0))</f>
        <v>Clothes Washers Front Loading</v>
      </c>
      <c r="I22" s="904" t="str">
        <f>INDEX('AMMO Measures'!D:D,MATCH($A22,'AMMO Measures'!$A:$A,0))</f>
        <v>ENERGY STAR Most Efficient 2018 through 2020</v>
      </c>
      <c r="J22" s="905">
        <f>VALUE(INDEX('AMMO Measures'!H:H,MATCH($A22,'AMMO Measures'!A:A,0)))</f>
        <v>14</v>
      </c>
      <c r="K22" s="683">
        <v>2027</v>
      </c>
      <c r="L22" s="900">
        <f>SUMIFS('AMMO Units'!F:F,'AMMO Units'!$A:$A,$K22,'AMMO Units'!$E:$E,$A22)</f>
        <v>178660.95241485999</v>
      </c>
      <c r="M22" s="872">
        <f>SUMIFS('AMMO Units'!G:G,'AMMO Units'!$A:$A,$K22,'AMMO Units'!$E:$E,$A22)</f>
        <v>0</v>
      </c>
      <c r="N22" s="1847"/>
      <c r="O22" s="773">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P22" s="684">
        <f t="shared" si="4"/>
        <v>119.99</v>
      </c>
      <c r="Q22" s="1850"/>
      <c r="R22" s="901">
        <f t="shared" si="8"/>
        <v>0.34225649215186188</v>
      </c>
      <c r="S22" s="902">
        <f t="shared" si="11"/>
        <v>0</v>
      </c>
      <c r="T22" s="793">
        <f t="shared" si="10"/>
        <v>0.34225649215186188</v>
      </c>
      <c r="U22" s="279"/>
    </row>
    <row r="23" spans="1:21" ht="18" customHeight="1">
      <c r="A23" s="919" t="s">
        <v>95</v>
      </c>
      <c r="B23" s="916" t="str">
        <f t="shared" si="7"/>
        <v>RES_201403</v>
      </c>
      <c r="C23" s="917" t="str">
        <f>INDEX('AMMO vwFlags'!$C:$C,MATCH($A23&amp;K23,'AMMO vwFlags'!$K:$K,0))</f>
        <v>0</v>
      </c>
      <c r="D23" s="917" t="str">
        <f>INDEX('AMMO vwFlags'!$D:$D,MATCH($A23&amp;$K23,'AMMO vwFlags'!$K:$K,0))</f>
        <v>0</v>
      </c>
      <c r="E23" s="916">
        <f t="shared" si="1"/>
        <v>1</v>
      </c>
      <c r="F23" s="908" t="str">
        <f t="shared" si="2"/>
        <v>Residential</v>
      </c>
      <c r="G23" s="909" t="str">
        <f>INDEX('AMMO Measures'!B:B,MATCH($A23,'AMMO Measures'!$A:$A,0))</f>
        <v>Retail Product Portfolio</v>
      </c>
      <c r="H23" s="909" t="str">
        <f>INDEX('AMMO Measures'!C:C,MATCH($A23,'AMMO Measures'!$A:$A,0))</f>
        <v>Clothes Washers Front Loading</v>
      </c>
      <c r="I23" s="909" t="str">
        <f>INDEX('AMMO Measures'!D:D,MATCH($A23,'AMMO Measures'!$A:$A,0))</f>
        <v>ENERGY STAR Most Efficient TBD</v>
      </c>
      <c r="J23" s="910">
        <f>VALUE(INDEX('AMMO Measures'!H:H,MATCH($A23,'AMMO Measures'!A:A,0)))</f>
        <v>14</v>
      </c>
      <c r="K23" s="694">
        <v>2027</v>
      </c>
      <c r="L23" s="911">
        <f>SUMIFS('AMMO Units'!F:F,'AMMO Units'!$A:$A,$K23,'AMMO Units'!$E:$E,$A23)</f>
        <v>0</v>
      </c>
      <c r="M23" s="877">
        <f>SUMIFS('AMMO Units'!G:G,'AMMO Units'!$A:$A,$K23,'AMMO Units'!$E:$E,$A23)</f>
        <v>0</v>
      </c>
      <c r="N23" s="1848"/>
      <c r="O23" s="864">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v>
      </c>
      <c r="P23" s="688">
        <f t="shared" si="4"/>
        <v>119.99</v>
      </c>
      <c r="Q23" s="1851"/>
      <c r="R23" s="912">
        <f t="shared" si="8"/>
        <v>0</v>
      </c>
      <c r="S23" s="879">
        <f>IFERROR((M23/L23*M23)*O23*P23/8760/1000,0)</f>
        <v>0</v>
      </c>
      <c r="T23" s="799">
        <f t="shared" si="10"/>
        <v>0</v>
      </c>
      <c r="U23" s="279"/>
    </row>
    <row r="24" spans="1:21" ht="18" customHeight="1">
      <c r="F24" s="125"/>
      <c r="G24" s="125"/>
      <c r="H24" s="125"/>
      <c r="I24" s="125"/>
      <c r="J24" s="15"/>
      <c r="K24" s="50"/>
      <c r="L24" s="50"/>
      <c r="M24" s="50"/>
      <c r="S24" s="50"/>
    </row>
    <row r="25" spans="1:21" ht="12.75" customHeight="1">
      <c r="F25" s="119" t="s">
        <v>1970</v>
      </c>
      <c r="G25" s="125"/>
      <c r="H25" s="125"/>
      <c r="I25" s="125"/>
      <c r="J25" s="15"/>
    </row>
    <row r="26" spans="1:21" ht="9.75" customHeight="1">
      <c r="F26" s="1837" t="s">
        <v>2711</v>
      </c>
      <c r="G26" s="1838"/>
      <c r="H26" s="1838"/>
      <c r="I26" s="1838"/>
      <c r="J26" s="1839"/>
    </row>
    <row r="27" spans="1:21" ht="50.25" customHeight="1">
      <c r="F27" s="1840"/>
      <c r="G27" s="1841"/>
      <c r="H27" s="1841"/>
      <c r="I27" s="1841"/>
      <c r="J27" s="1842"/>
    </row>
    <row r="28" spans="1:21" ht="63.75" customHeight="1">
      <c r="F28" s="1843"/>
      <c r="G28" s="1844"/>
      <c r="H28" s="1844"/>
      <c r="I28" s="1844"/>
      <c r="J28" s="1845"/>
    </row>
    <row r="29" spans="1:21" ht="12.75" customHeight="1">
      <c r="F29" s="125"/>
      <c r="G29" s="125"/>
      <c r="H29" s="125"/>
      <c r="I29" s="125"/>
      <c r="J29" s="15"/>
    </row>
    <row r="30" spans="1:21" s="47" customFormat="1" ht="20.25" customHeight="1" thickBot="1">
      <c r="A30" s="49"/>
      <c r="B30" s="49"/>
      <c r="C30" s="49"/>
      <c r="D30" s="49"/>
      <c r="E30" s="49"/>
      <c r="F30" s="119" t="s">
        <v>186</v>
      </c>
      <c r="S30" s="278"/>
    </row>
    <row r="31" spans="1:21" ht="12.75" customHeight="1" thickBot="1">
      <c r="F31" s="1254" t="s">
        <v>832</v>
      </c>
      <c r="G31" s="1255" t="s">
        <v>833</v>
      </c>
      <c r="H31" s="1255" t="s">
        <v>1076</v>
      </c>
    </row>
    <row r="32" spans="1:21" ht="12.75" customHeight="1">
      <c r="F32" s="408" t="s">
        <v>1077</v>
      </c>
      <c r="G32" s="408"/>
      <c r="H32" s="408">
        <v>171.29</v>
      </c>
    </row>
    <row r="33" spans="6:8" ht="12.75" customHeight="1">
      <c r="F33" s="408" t="s">
        <v>1078</v>
      </c>
      <c r="G33" s="408"/>
      <c r="H33" s="408">
        <v>59.52</v>
      </c>
    </row>
    <row r="34" spans="6:8" ht="12.75" customHeight="1">
      <c r="F34" s="408" t="s">
        <v>1079</v>
      </c>
      <c r="G34" s="408"/>
      <c r="H34" s="408">
        <v>108.45</v>
      </c>
    </row>
    <row r="35" spans="6:8" ht="12.75" customHeight="1">
      <c r="F35" s="408" t="s">
        <v>1080</v>
      </c>
      <c r="G35" s="408"/>
      <c r="H35" s="408">
        <v>-3.32</v>
      </c>
    </row>
    <row r="36" spans="6:8" ht="12.75" customHeight="1">
      <c r="F36" s="408" t="s">
        <v>1081</v>
      </c>
      <c r="G36" s="408"/>
      <c r="H36" s="408">
        <v>119.99</v>
      </c>
    </row>
    <row r="37" spans="6:8" ht="12.75" customHeight="1">
      <c r="F37" s="45" t="s">
        <v>2710</v>
      </c>
    </row>
  </sheetData>
  <autoFilter ref="F11:T11" xr:uid="{00000000-0001-0000-1A00-000000000000}"/>
  <dataConsolidate/>
  <mergeCells count="9">
    <mergeCell ref="G2:T2"/>
    <mergeCell ref="R10:T10"/>
    <mergeCell ref="F26:J28"/>
    <mergeCell ref="A10:E10"/>
    <mergeCell ref="F10:K10"/>
    <mergeCell ref="L10:O10"/>
    <mergeCell ref="P10:Q10"/>
    <mergeCell ref="N12:N23"/>
    <mergeCell ref="Q12:Q23"/>
  </mergeCells>
  <phoneticPr fontId="119" type="noConversion"/>
  <dataValidations disablePrompts="1" count="1">
    <dataValidation type="list" allowBlank="1" showInputMessage="1" showErrorMessage="1" sqref="Y2" xr:uid="{00000000-0002-0000-1A00-000000000000}">
      <formula1>$AA$2:$AA$3</formula1>
    </dataValidation>
  </dataValidations>
  <hyperlinks>
    <hyperlink ref="F1" location="'2024-2025 Summary'!C1" display="Summary Page" xr:uid="{0A8E4530-3562-40F1-BBE9-DF3914B022AA}"/>
  </hyperlinks>
  <pageMargins left="0.7" right="0.7" top="0.75" bottom="0.75" header="0.3" footer="0.3"/>
  <pageSetup scale="1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rgb="FF0083CA"/>
    <pageSetUpPr fitToPage="1"/>
  </sheetPr>
  <dimension ref="A1:Y105"/>
  <sheetViews>
    <sheetView showGridLines="0" topLeftCell="F1" zoomScale="90" zoomScaleNormal="90" workbookViewId="0">
      <selection activeCell="F2" sqref="F2"/>
    </sheetView>
  </sheetViews>
  <sheetFormatPr defaultColWidth="11.5703125" defaultRowHeight="12.75" customHeight="1" outlineLevelRow="1" outlineLevelCol="1"/>
  <cols>
    <col min="1" max="1" width="20.5703125" style="49" hidden="1" customWidth="1" outlineLevel="1"/>
    <col min="2" max="2" width="10" style="49" hidden="1" customWidth="1" outlineLevel="1"/>
    <col min="3" max="3" width="11.5703125" style="49" hidden="1" customWidth="1" outlineLevel="1"/>
    <col min="4" max="4" width="15.42578125" style="49" hidden="1" customWidth="1" outlineLevel="1"/>
    <col min="5" max="5" width="9.42578125" style="49" hidden="1" customWidth="1" outlineLevel="1"/>
    <col min="6" max="6" width="11.5703125" style="50" collapsed="1"/>
    <col min="7" max="7" width="31" style="50" customWidth="1"/>
    <col min="8" max="8" width="23" style="50" customWidth="1"/>
    <col min="9" max="9" width="23.5703125" style="50" customWidth="1"/>
    <col min="10" max="10" width="11.5703125" style="50"/>
    <col min="11" max="14" width="11.5703125" style="51"/>
    <col min="15" max="15" width="19.140625" style="50" customWidth="1"/>
    <col min="16" max="19" width="11.5703125" style="50"/>
    <col min="20" max="20" width="11.5703125" style="52"/>
    <col min="21" max="16384" width="11.5703125" style="50"/>
  </cols>
  <sheetData>
    <row r="1" spans="1:20" ht="12.75" customHeight="1">
      <c r="F1" s="26" t="s">
        <v>557</v>
      </c>
    </row>
    <row r="2" spans="1:20" ht="66" customHeight="1">
      <c r="F2" s="923" t="str">
        <f>G12&amp;":"</f>
        <v>Retail Product Portfolio:</v>
      </c>
      <c r="G2" s="185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58"/>
      <c r="I2" s="1858"/>
      <c r="J2" s="1858"/>
      <c r="K2" s="1858"/>
      <c r="L2" s="1858"/>
      <c r="M2" s="1858"/>
      <c r="N2" s="1858"/>
      <c r="O2" s="1858"/>
      <c r="P2" s="1858"/>
      <c r="Q2" s="1858"/>
      <c r="R2" s="1858"/>
      <c r="S2" s="1858"/>
      <c r="T2" s="1859"/>
    </row>
    <row r="3" spans="1:20" ht="15.75" customHeight="1">
      <c r="F3" s="122"/>
    </row>
    <row r="4" spans="1:20" ht="15.75" hidden="1" customHeight="1" outlineLevel="1">
      <c r="F4"/>
      <c r="G4"/>
      <c r="H4"/>
      <c r="I4"/>
      <c r="J4"/>
    </row>
    <row r="5" spans="1:20" ht="15.75" hidden="1" customHeight="1" outlineLevel="1">
      <c r="A5" s="9" t="s">
        <v>2652</v>
      </c>
      <c r="F5"/>
      <c r="G5"/>
      <c r="H5"/>
      <c r="I5"/>
      <c r="J5"/>
    </row>
    <row r="6" spans="1:20" ht="15.75" hidden="1" customHeight="1" outlineLevel="1">
      <c r="A6" s="667">
        <f>(B6/(SUM(B6:C6)))*D6+ (C6/SUM(B6:C6))*E6</f>
        <v>16</v>
      </c>
      <c r="B6" s="668">
        <f>SUMIFS($T$12:$T$35,$K$12:$K$35, 2024)</f>
        <v>0.1562522936091163</v>
      </c>
      <c r="C6" s="668">
        <f>SUMIFS($T$12:$T$35,$K$12:$K$35, 2025)</f>
        <v>0.16441177881992453</v>
      </c>
      <c r="D6" s="667" cm="1">
        <f t="array" ref="D6">SUMPRODUCT($J$12:$J$35,$T$12:$T$35,--($K$12:$K$35=2024))/SUMIFS($T$12:$T$35,$K$12:$K$35, 2024)</f>
        <v>16</v>
      </c>
      <c r="E6" s="667" cm="1">
        <f t="array" ref="E6">SUMPRODUCT($J$12:$J$35,$T$12:$T$35,--($K$12:$K$35=2025))/SUMIFS($T$12:$T$35,$K$12:$K$35, 2025)</f>
        <v>16</v>
      </c>
      <c r="F6"/>
      <c r="G6"/>
      <c r="H6"/>
      <c r="I6"/>
      <c r="J6"/>
    </row>
    <row r="7" spans="1:20" ht="40.35" hidden="1" customHeight="1" outlineLevel="1">
      <c r="A7" s="667">
        <f>(B7/(SUM(B7:C7)))*D7+ (C7/SUM(B7:C7))*E7</f>
        <v>15.999999999999998</v>
      </c>
      <c r="B7" s="668">
        <f>SUMIFS($T$12:$T$35,$K$12:$K$35, 2026)</f>
        <v>0.20064289562564139</v>
      </c>
      <c r="C7" s="668">
        <f>SUMIFS($T$12:$T$35,$K$12:$K$35, 2027)</f>
        <v>0.25512866382665866</v>
      </c>
      <c r="D7" s="9" cm="1">
        <f t="array" ref="D7">SUMPRODUCT($J$12:$J$35,$T$12:$T$35,--($K$12:$K$35=2026))/SUMIFS($T$12:$T$35,$K$12:$K$35, 2026)</f>
        <v>16</v>
      </c>
      <c r="E7" s="9" cm="1">
        <f t="array" ref="E7">SUMPRODUCT($J$12:$J$35,$T$12:$T$35,--($K$12:$K$35=2027))/SUMIFS($T$12:$T$35,$K$12:$K$35, 2027)</f>
        <v>16</v>
      </c>
      <c r="F7"/>
      <c r="G7"/>
      <c r="H7"/>
      <c r="I7"/>
      <c r="J7"/>
    </row>
    <row r="8" spans="1:20" ht="15.75" hidden="1" customHeight="1" outlineLevel="1">
      <c r="F8"/>
      <c r="G8"/>
      <c r="H8"/>
      <c r="I8"/>
      <c r="J8"/>
    </row>
    <row r="9" spans="1:20" ht="15.75" customHeight="1" collapsed="1">
      <c r="F9" s="122"/>
    </row>
    <row r="10" spans="1:20" s="47" customFormat="1" ht="15.75" customHeight="1">
      <c r="A10" s="1701" t="s">
        <v>125</v>
      </c>
      <c r="B10" s="1702"/>
      <c r="C10" s="1702"/>
      <c r="D10" s="1702"/>
      <c r="E10" s="1702"/>
      <c r="F10" s="1720" t="s">
        <v>7</v>
      </c>
      <c r="G10" s="1722"/>
      <c r="H10" s="1722"/>
      <c r="I10" s="1722"/>
      <c r="J10" s="1722"/>
      <c r="K10" s="1722"/>
      <c r="L10" s="1717" t="s">
        <v>122</v>
      </c>
      <c r="M10" s="1718"/>
      <c r="N10" s="1718"/>
      <c r="O10" s="1719"/>
      <c r="P10" s="1802" t="s">
        <v>123</v>
      </c>
      <c r="Q10" s="1803"/>
      <c r="R10" s="1862" t="s">
        <v>124</v>
      </c>
      <c r="S10" s="1863"/>
      <c r="T10" s="1864"/>
    </row>
    <row r="11" spans="1:20" customFormat="1" ht="60" customHeight="1" thickBot="1">
      <c r="A11" s="992" t="s">
        <v>0</v>
      </c>
      <c r="B11" s="993" t="s">
        <v>10</v>
      </c>
      <c r="C11" s="993" t="s">
        <v>1</v>
      </c>
      <c r="D11" s="993" t="s">
        <v>2</v>
      </c>
      <c r="E11" s="993" t="s">
        <v>187</v>
      </c>
      <c r="F11" s="994" t="s">
        <v>3</v>
      </c>
      <c r="G11" s="995" t="s">
        <v>4</v>
      </c>
      <c r="H11" s="995" t="s">
        <v>5</v>
      </c>
      <c r="I11" s="995" t="s">
        <v>6</v>
      </c>
      <c r="J11" s="995" t="s">
        <v>834</v>
      </c>
      <c r="K11" s="995" t="s">
        <v>8</v>
      </c>
      <c r="L11" s="764" t="s">
        <v>11</v>
      </c>
      <c r="M11" s="763" t="s">
        <v>12</v>
      </c>
      <c r="N11" s="763" t="s">
        <v>120</v>
      </c>
      <c r="O11" s="967" t="str">
        <f>"Funder Share: "&amp;Selection!A2&amp;" "&amp;Selection!A3</f>
        <v>Funder Share: Puget Sound Energy Washington</v>
      </c>
      <c r="P11" s="989" t="s">
        <v>451</v>
      </c>
      <c r="Q11" s="766" t="s">
        <v>121</v>
      </c>
      <c r="R11" s="715" t="s">
        <v>2683</v>
      </c>
      <c r="S11" s="714" t="s">
        <v>2675</v>
      </c>
      <c r="T11" s="716" t="s">
        <v>2283</v>
      </c>
    </row>
    <row r="12" spans="1:20" ht="12.75" customHeight="1" thickTop="1">
      <c r="A12" s="81" t="s">
        <v>979</v>
      </c>
      <c r="B12" s="82" t="str">
        <f t="shared" ref="B12:B17" si="0">LEFT(A12,10)</f>
        <v>RES_201403</v>
      </c>
      <c r="C12" s="670" t="str">
        <f>INDEX('AMMO vwFlags'!$C:$C,MATCH($A12&amp;K12,'AMMO vwFlags'!$K:$K,0))</f>
        <v>0</v>
      </c>
      <c r="D12" s="670" t="str">
        <f>INDEX('AMMO vwFlags'!$D:$D,MATCH($A12&amp;$K12,'AMMO vwFlags'!$K:$K,0))</f>
        <v>0</v>
      </c>
      <c r="E12" s="82">
        <f t="shared" ref="E12:E35" si="1">COUNTIFS($A:$A,$A12,$K:$K,$K12)</f>
        <v>1</v>
      </c>
      <c r="F12" s="722" t="str">
        <f t="shared" ref="F12:F35" si="2">IF(LEFT(A12,3)="Res","Residential",IF(LEFT(A12,3)="Ind","industrial",IF(LEFT(A12,3)="Com","Commercial",IF(LEFT(A12,3)="AGR","Agriculture",""))))</f>
        <v>Residential</v>
      </c>
      <c r="G12" s="782" t="str">
        <f>INDEX('AMMO Measures'!B:B,MATCH($A12,'AMMO Measures'!$A:$A,0))</f>
        <v>Retail Product Portfolio</v>
      </c>
      <c r="H12" s="782" t="str">
        <f>INDEX('AMMO Measures'!C:C,MATCH($A12,'AMMO Measures'!$A:$A,0))</f>
        <v>Clothes Dryers (Standard)</v>
      </c>
      <c r="I12" s="782" t="str">
        <f>INDEX('AMMO Measures'!D:D,MATCH($A12,'AMMO Measures'!$A:$A,0))</f>
        <v>ENERGY STAR v1</v>
      </c>
      <c r="J12" s="783">
        <f>VALUE(INDEX('AMMO Measures'!H:H,MATCH($A12,'AMMO Measures'!A:A,0)))</f>
        <v>16</v>
      </c>
      <c r="K12" s="677">
        <v>2024</v>
      </c>
      <c r="L12" s="1256">
        <f>SUMIFS('AMMO Units'!F:F,'AMMO Units'!$A:$A,$K12,'AMMO Units'!$E:$E,$A12)</f>
        <v>161609.30430739</v>
      </c>
      <c r="M12" s="725">
        <f>SUMIFS('AMMO Units'!G:G,'AMMO Units'!$A:$A,$K12,'AMMO Units'!$E:$E,$A12)</f>
        <v>9159.8998513200004</v>
      </c>
      <c r="N12" s="1846" t="s">
        <v>2052</v>
      </c>
      <c r="O12" s="726">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927">
        <f>$O$94</f>
        <v>52.54</v>
      </c>
      <c r="Q12" s="1854" t="s">
        <v>2051</v>
      </c>
      <c r="R12" s="679">
        <f>(L12)*O12*P12/8760000</f>
        <v>0.13556058236909604</v>
      </c>
      <c r="S12" s="869">
        <f>IFERROR((M12)*O12*P12/8760/1000,0)</f>
        <v>7.6834769112408994E-3</v>
      </c>
      <c r="T12" s="787">
        <f t="shared" ref="T12:T17" si="3">R12-S12</f>
        <v>0.12787710545785513</v>
      </c>
    </row>
    <row r="13" spans="1:20" ht="12.75" customHeight="1">
      <c r="A13" s="81" t="s">
        <v>982</v>
      </c>
      <c r="B13" s="82" t="str">
        <f t="shared" si="0"/>
        <v>RES_201403</v>
      </c>
      <c r="C13" s="670" t="str">
        <f>INDEX('AMMO vwFlags'!$C:$C,MATCH($A13&amp;K13,'AMMO vwFlags'!$K:$K,0))</f>
        <v>0</v>
      </c>
      <c r="D13" s="670" t="str">
        <f>INDEX('AMMO vwFlags'!$D:$D,MATCH($A13&amp;$K13,'AMMO vwFlags'!$K:$K,0))</f>
        <v>0</v>
      </c>
      <c r="E13" s="82">
        <f t="shared" si="1"/>
        <v>1</v>
      </c>
      <c r="F13" s="730" t="str">
        <f t="shared" si="2"/>
        <v>Residential</v>
      </c>
      <c r="G13" s="788" t="str">
        <f>INDEX('AMMO Measures'!B:B,MATCH($A13,'AMMO Measures'!$A:$A,0))</f>
        <v>Retail Product Portfolio</v>
      </c>
      <c r="H13" s="788" t="str">
        <f>INDEX('AMMO Measures'!C:C,MATCH($A13,'AMMO Measures'!$A:$A,0))</f>
        <v>Clothes Dryers (Standard)</v>
      </c>
      <c r="I13" s="788" t="str">
        <f>INDEX('AMMO Measures'!D:D,MATCH($A13,'AMMO Measures'!$A:$A,0))</f>
        <v>UCEF 3.00 to 4.19</v>
      </c>
      <c r="J13" s="789">
        <f>VALUE(INDEX('AMMO Measures'!H:H,MATCH($A13,'AMMO Measures'!A:A,0)))</f>
        <v>16</v>
      </c>
      <c r="K13" s="683">
        <v>2024</v>
      </c>
      <c r="L13" s="1257">
        <f>SUMIFS('AMMO Units'!F:F,'AMMO Units'!$A:$A,$K13,'AMMO Units'!$E:$E,$A13)</f>
        <v>2981.43559512</v>
      </c>
      <c r="M13" s="733">
        <f>SUMIFS('AMMO Units'!G:G,'AMMO Units'!$A:$A,$K13,'AMMO Units'!$E:$E,$A13)</f>
        <v>447.21533927000002</v>
      </c>
      <c r="N13" s="1847"/>
      <c r="O13" s="734">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928">
        <f>$O$95</f>
        <v>263.72000000000003</v>
      </c>
      <c r="Q13" s="1855"/>
      <c r="R13" s="684">
        <f t="shared" ref="R13:R22" si="4">(L13)*O13*P13/8760000</f>
        <v>1.2552941241575986E-2</v>
      </c>
      <c r="S13" s="874">
        <f t="shared" ref="S13:S22" si="5">IFERROR((M13)*O13*P13/8760/1000,0)</f>
        <v>1.8829411862448184E-3</v>
      </c>
      <c r="T13" s="793">
        <f t="shared" si="3"/>
        <v>1.0670000055331167E-2</v>
      </c>
    </row>
    <row r="14" spans="1:20" ht="12.75" customHeight="1">
      <c r="A14" s="49" t="s">
        <v>983</v>
      </c>
      <c r="B14" s="82" t="str">
        <f t="shared" si="0"/>
        <v>RES_201403</v>
      </c>
      <c r="C14" s="670" t="str">
        <f>INDEX('AMMO vwFlags'!$C:$C,MATCH($A14&amp;K14,'AMMO vwFlags'!$K:$K,0))</f>
        <v>0</v>
      </c>
      <c r="D14" s="670" t="str">
        <f>INDEX('AMMO vwFlags'!$D:$D,MATCH($A14&amp;$K14,'AMMO vwFlags'!$K:$K,0))</f>
        <v>0</v>
      </c>
      <c r="E14" s="82">
        <f t="shared" si="1"/>
        <v>1</v>
      </c>
      <c r="F14" s="730" t="str">
        <f t="shared" si="2"/>
        <v>Residential</v>
      </c>
      <c r="G14" s="788" t="str">
        <f>INDEX('AMMO Measures'!B:B,MATCH($A14,'AMMO Measures'!$A:$A,0))</f>
        <v>Retail Product Portfolio</v>
      </c>
      <c r="H14" s="788" t="str">
        <f>INDEX('AMMO Measures'!C:C,MATCH($A14,'AMMO Measures'!$A:$A,0))</f>
        <v>Clothes Dryers (Standard)</v>
      </c>
      <c r="I14" s="788" t="str">
        <f>INDEX('AMMO Measures'!D:D,MATCH($A14,'AMMO Measures'!$A:$A,0))</f>
        <v>UCEF 4.20 to 5.29</v>
      </c>
      <c r="J14" s="789">
        <f>VALUE(INDEX('AMMO Measures'!H:H,MATCH($A14,'AMMO Measures'!A:A,0)))</f>
        <v>16</v>
      </c>
      <c r="K14" s="683">
        <v>2024</v>
      </c>
      <c r="L14" s="1257">
        <f>SUMIFS('AMMO Units'!F:F,'AMMO Units'!$A:$A,$K14,'AMMO Units'!$E:$E,$A14)</f>
        <v>0</v>
      </c>
      <c r="M14" s="733">
        <f>SUMIFS('AMMO Units'!G:G,'AMMO Units'!$A:$A,$K14,'AMMO Units'!$E:$E,$A14)</f>
        <v>0</v>
      </c>
      <c r="N14" s="1847"/>
      <c r="O14" s="734">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v>
      </c>
      <c r="P14" s="928">
        <f>$O$96</f>
        <v>356.07</v>
      </c>
      <c r="Q14" s="1855"/>
      <c r="R14" s="684">
        <f t="shared" si="4"/>
        <v>0</v>
      </c>
      <c r="S14" s="874">
        <f t="shared" si="5"/>
        <v>0</v>
      </c>
      <c r="T14" s="793">
        <f t="shared" si="3"/>
        <v>0</v>
      </c>
    </row>
    <row r="15" spans="1:20" ht="12.75" customHeight="1">
      <c r="A15" s="49" t="s">
        <v>984</v>
      </c>
      <c r="B15" s="82" t="str">
        <f t="shared" si="0"/>
        <v>RES_201403</v>
      </c>
      <c r="C15" s="670" t="str">
        <f>INDEX('AMMO vwFlags'!$C:$C,MATCH($A15&amp;K15,'AMMO vwFlags'!$K:$K,0))</f>
        <v>0</v>
      </c>
      <c r="D15" s="670" t="str">
        <f>INDEX('AMMO vwFlags'!$D:$D,MATCH($A15&amp;$K15,'AMMO vwFlags'!$K:$K,0))</f>
        <v>0</v>
      </c>
      <c r="E15" s="82">
        <f t="shared" si="1"/>
        <v>1</v>
      </c>
      <c r="F15" s="730" t="str">
        <f t="shared" si="2"/>
        <v>Residential</v>
      </c>
      <c r="G15" s="788" t="str">
        <f>INDEX('AMMO Measures'!B:B,MATCH($A15,'AMMO Measures'!$A:$A,0))</f>
        <v>Retail Product Portfolio</v>
      </c>
      <c r="H15" s="788" t="str">
        <f>INDEX('AMMO Measures'!C:C,MATCH($A15,'AMMO Measures'!$A:$A,0))</f>
        <v>Clothes Dryers (Standard)</v>
      </c>
      <c r="I15" s="788" t="str">
        <f>INDEX('AMMO Measures'!D:D,MATCH($A15,'AMMO Measures'!$A:$A,0))</f>
        <v>UCEF 5.30 to 6.09</v>
      </c>
      <c r="J15" s="789">
        <f>VALUE(INDEX('AMMO Measures'!H:H,MATCH($A15,'AMMO Measures'!A:A,0)))</f>
        <v>16</v>
      </c>
      <c r="K15" s="683">
        <v>2024</v>
      </c>
      <c r="L15" s="1257">
        <f>SUMIFS('AMMO Units'!F:F,'AMMO Units'!$A:$A,$K15,'AMMO Units'!$E:$E,$A15)</f>
        <v>2974.4611406899999</v>
      </c>
      <c r="M15" s="733">
        <f>SUMIFS('AMMO Units'!G:G,'AMMO Units'!$A:$A,$K15,'AMMO Units'!$E:$E,$A15)</f>
        <v>446.16917110000003</v>
      </c>
      <c r="N15" s="1847"/>
      <c r="O15" s="73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928">
        <f>$O$97</f>
        <v>437.43</v>
      </c>
      <c r="Q15" s="1855"/>
      <c r="R15" s="684">
        <f t="shared" si="4"/>
        <v>2.0772743616300066E-2</v>
      </c>
      <c r="S15" s="874">
        <f t="shared" si="5"/>
        <v>3.1159115424205671E-3</v>
      </c>
      <c r="T15" s="793">
        <f t="shared" si="3"/>
        <v>1.7656832073879501E-2</v>
      </c>
    </row>
    <row r="16" spans="1:20" ht="12.75" customHeight="1">
      <c r="A16" s="49" t="s">
        <v>985</v>
      </c>
      <c r="B16" s="82" t="str">
        <f t="shared" si="0"/>
        <v>RES_201403</v>
      </c>
      <c r="C16" s="670" t="str">
        <f>INDEX('AMMO vwFlags'!$C:$C,MATCH($A16&amp;K16,'AMMO vwFlags'!$K:$K,0))</f>
        <v>0</v>
      </c>
      <c r="D16" s="670" t="str">
        <f>INDEX('AMMO vwFlags'!$D:$D,MATCH($A16&amp;$K16,'AMMO vwFlags'!$K:$K,0))</f>
        <v>0</v>
      </c>
      <c r="E16" s="82">
        <f t="shared" si="1"/>
        <v>1</v>
      </c>
      <c r="F16" s="730" t="str">
        <f t="shared" si="2"/>
        <v>Residential</v>
      </c>
      <c r="G16" s="788" t="str">
        <f>INDEX('AMMO Measures'!B:B,MATCH($A16,'AMMO Measures'!$A:$A,0))</f>
        <v>Retail Product Portfolio</v>
      </c>
      <c r="H16" s="788" t="str">
        <f>INDEX('AMMO Measures'!C:C,MATCH($A16,'AMMO Measures'!$A:$A,0))</f>
        <v>Clothes Dryers (Standard)</v>
      </c>
      <c r="I16" s="788" t="str">
        <f>INDEX('AMMO Measures'!D:D,MATCH($A16,'AMMO Measures'!$A:$A,0))</f>
        <v>UCEF 6.10 to 7.19</v>
      </c>
      <c r="J16" s="789">
        <f>VALUE(INDEX('AMMO Measures'!H:H,MATCH($A16,'AMMO Measures'!A:A,0)))</f>
        <v>16</v>
      </c>
      <c r="K16" s="683">
        <v>2024</v>
      </c>
      <c r="L16" s="1257">
        <f>SUMIFS('AMMO Units'!F:F,'AMMO Units'!$A:$A,$K16,'AMMO Units'!$E:$E,$A16)</f>
        <v>0</v>
      </c>
      <c r="M16" s="733">
        <f>SUMIFS('AMMO Units'!G:G,'AMMO Units'!$A:$A,$K16,'AMMO Units'!$E:$E,$A16)</f>
        <v>0</v>
      </c>
      <c r="N16" s="1847"/>
      <c r="O16" s="73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v>
      </c>
      <c r="P16" s="928">
        <f>$O$98</f>
        <v>478.66</v>
      </c>
      <c r="Q16" s="1855"/>
      <c r="R16" s="684">
        <f t="shared" si="4"/>
        <v>0</v>
      </c>
      <c r="S16" s="874">
        <f t="shared" si="5"/>
        <v>0</v>
      </c>
      <c r="T16" s="793">
        <f t="shared" si="3"/>
        <v>0</v>
      </c>
    </row>
    <row r="17" spans="1:20" ht="12.75" customHeight="1">
      <c r="A17" s="49" t="s">
        <v>986</v>
      </c>
      <c r="B17" s="82" t="str">
        <f t="shared" si="0"/>
        <v>RES_201403</v>
      </c>
      <c r="C17" s="670" t="str">
        <f>INDEX('AMMO vwFlags'!$C:$C,MATCH($A17&amp;K17,'AMMO vwFlags'!$K:$K,0))</f>
        <v>0</v>
      </c>
      <c r="D17" s="670" t="str">
        <f>INDEX('AMMO vwFlags'!$D:$D,MATCH($A17&amp;$K17,'AMMO vwFlags'!$K:$K,0))</f>
        <v>0</v>
      </c>
      <c r="E17" s="82">
        <f t="shared" si="1"/>
        <v>1</v>
      </c>
      <c r="F17" s="730" t="str">
        <f t="shared" si="2"/>
        <v>Residential</v>
      </c>
      <c r="G17" s="788" t="str">
        <f>INDEX('AMMO Measures'!B:B,MATCH($A17,'AMMO Measures'!$A:$A,0))</f>
        <v>Retail Product Portfolio</v>
      </c>
      <c r="H17" s="788" t="str">
        <f>INDEX('AMMO Measures'!C:C,MATCH($A17,'AMMO Measures'!$A:$A,0))</f>
        <v>Clothes Dryers (Standard)</v>
      </c>
      <c r="I17" s="788" t="str">
        <f>INDEX('AMMO Measures'!D:D,MATCH($A17,'AMMO Measures'!$A:$A,0))</f>
        <v>UCEF 7.20 to 8.00</v>
      </c>
      <c r="J17" s="789">
        <f>VALUE(INDEX('AMMO Measures'!H:H,MATCH($A17,'AMMO Measures'!A:A,0)))</f>
        <v>16</v>
      </c>
      <c r="K17" s="683">
        <v>2024</v>
      </c>
      <c r="L17" s="1257">
        <f>SUMIFS('AMMO Units'!F:F,'AMMO Units'!$A:$A,$K17,'AMMO Units'!$E:$E,$A17)</f>
        <v>6.9744544299999998</v>
      </c>
      <c r="M17" s="733">
        <f>SUMIFS('AMMO Units'!G:G,'AMMO Units'!$A:$A,$K17,'AMMO Units'!$E:$E,$A17)</f>
        <v>1.0461681599999999</v>
      </c>
      <c r="N17" s="1847"/>
      <c r="O17" s="734">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P17" s="928">
        <f>$O$99</f>
        <v>510.91</v>
      </c>
      <c r="Q17" s="1855"/>
      <c r="R17" s="684">
        <f t="shared" si="4"/>
        <v>5.6889437663303003E-5</v>
      </c>
      <c r="S17" s="874">
        <f t="shared" si="5"/>
        <v>8.5334156127897174E-6</v>
      </c>
      <c r="T17" s="793">
        <f t="shared" si="3"/>
        <v>4.8356022050513287E-5</v>
      </c>
    </row>
    <row r="18" spans="1:20" customFormat="1" ht="12.75" customHeight="1">
      <c r="A18" s="49" t="s">
        <v>979</v>
      </c>
      <c r="B18" s="82" t="str">
        <f t="shared" ref="B18:B22" si="6">LEFT(A18,10)</f>
        <v>RES_201403</v>
      </c>
      <c r="C18" s="670" t="str">
        <f>INDEX('AMMO vwFlags'!$C:$C,MATCH($A18&amp;K18,'AMMO vwFlags'!$K:$K,0))</f>
        <v>0</v>
      </c>
      <c r="D18" s="670" t="str">
        <f>INDEX('AMMO vwFlags'!$D:$D,MATCH($A18&amp;$K18,'AMMO vwFlags'!$K:$K,0))</f>
        <v>0</v>
      </c>
      <c r="E18" s="82">
        <f t="shared" si="1"/>
        <v>1</v>
      </c>
      <c r="F18" s="929" t="str">
        <f t="shared" si="2"/>
        <v>Residential</v>
      </c>
      <c r="G18" s="788" t="str">
        <f>INDEX('AMMO Measures'!B:B,MATCH($A18,'AMMO Measures'!$A:$A,0))</f>
        <v>Retail Product Portfolio</v>
      </c>
      <c r="H18" s="788" t="str">
        <f>INDEX('AMMO Measures'!C:C,MATCH($A18,'AMMO Measures'!$A:$A,0))</f>
        <v>Clothes Dryers (Standard)</v>
      </c>
      <c r="I18" s="788" t="str">
        <f>INDEX('AMMO Measures'!D:D,MATCH($A18,'AMMO Measures'!$A:$A,0))</f>
        <v>ENERGY STAR v1</v>
      </c>
      <c r="J18" s="789">
        <f>VALUE(INDEX('AMMO Measures'!H:H,MATCH($A18,'AMMO Measures'!A:A,0)))</f>
        <v>16</v>
      </c>
      <c r="K18" s="683">
        <v>2025</v>
      </c>
      <c r="L18" s="1257">
        <f>SUMIFS('AMMO Units'!F:F,'AMMO Units'!$A:$A,$K18,'AMMO Units'!$E:$E,$A18)</f>
        <v>164854.57182270999</v>
      </c>
      <c r="M18" s="733">
        <f>SUMIFS('AMMO Units'!G:G,'AMMO Units'!$A:$A,$K18,'AMMO Units'!$E:$E,$A18)</f>
        <v>9619.7748761799994</v>
      </c>
      <c r="N18" s="1847"/>
      <c r="O18" s="734">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P18" s="930">
        <f>$O$94</f>
        <v>52.54</v>
      </c>
      <c r="Q18" s="1855"/>
      <c r="R18" s="684">
        <f t="shared" si="4"/>
        <v>0.13828276693764979</v>
      </c>
      <c r="S18" s="874">
        <f t="shared" si="5"/>
        <v>8.0692277592765288E-3</v>
      </c>
      <c r="T18" s="793">
        <f t="shared" ref="T18:T22" si="7">R18-S18</f>
        <v>0.13021353917837325</v>
      </c>
    </row>
    <row r="19" spans="1:20" ht="12.75" customHeight="1">
      <c r="A19" s="49" t="s">
        <v>982</v>
      </c>
      <c r="B19" s="82" t="str">
        <f t="shared" si="6"/>
        <v>RES_201403</v>
      </c>
      <c r="C19" s="670" t="str">
        <f>INDEX('AMMO vwFlags'!$C:$C,MATCH($A19&amp;K19,'AMMO vwFlags'!$K:$K,0))</f>
        <v>0</v>
      </c>
      <c r="D19" s="670" t="str">
        <f>INDEX('AMMO vwFlags'!$D:$D,MATCH($A19&amp;$K19,'AMMO vwFlags'!$K:$K,0))</f>
        <v>0</v>
      </c>
      <c r="E19" s="82">
        <f t="shared" si="1"/>
        <v>1</v>
      </c>
      <c r="F19" s="929" t="str">
        <f t="shared" si="2"/>
        <v>Residential</v>
      </c>
      <c r="G19" s="788" t="str">
        <f>INDEX('AMMO Measures'!B:B,MATCH($A19,'AMMO Measures'!$A:$A,0))</f>
        <v>Retail Product Portfolio</v>
      </c>
      <c r="H19" s="788" t="str">
        <f>INDEX('AMMO Measures'!C:C,MATCH($A19,'AMMO Measures'!$A:$A,0))</f>
        <v>Clothes Dryers (Standard)</v>
      </c>
      <c r="I19" s="788" t="str">
        <f>INDEX('AMMO Measures'!D:D,MATCH($A19,'AMMO Measures'!$A:$A,0))</f>
        <v>UCEF 3.00 to 4.19</v>
      </c>
      <c r="J19" s="789">
        <f>VALUE(INDEX('AMMO Measures'!H:H,MATCH($A19,'AMMO Measures'!A:A,0)))</f>
        <v>16</v>
      </c>
      <c r="K19" s="683">
        <v>2025</v>
      </c>
      <c r="L19" s="1257">
        <f>SUMIFS('AMMO Units'!F:F,'AMMO Units'!$A:$A,$K19,'AMMO Units'!$E:$E,$A19)</f>
        <v>3393.7429148000001</v>
      </c>
      <c r="M19" s="733">
        <f>SUMIFS('AMMO Units'!G:G,'AMMO Units'!$A:$A,$K19,'AMMO Units'!$E:$E,$A19)</f>
        <v>339.37429148000001</v>
      </c>
      <c r="N19" s="1847"/>
      <c r="O19" s="73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P19" s="930">
        <f>$O$95</f>
        <v>263.72000000000003</v>
      </c>
      <c r="Q19" s="1855"/>
      <c r="R19" s="684">
        <f t="shared" si="4"/>
        <v>1.4288906816645339E-2</v>
      </c>
      <c r="S19" s="874">
        <f t="shared" si="5"/>
        <v>1.4288906816645338E-3</v>
      </c>
      <c r="T19" s="793">
        <f t="shared" si="7"/>
        <v>1.2860016134980804E-2</v>
      </c>
    </row>
    <row r="20" spans="1:20" ht="12.75" customHeight="1">
      <c r="A20" s="49" t="s">
        <v>983</v>
      </c>
      <c r="B20" s="82" t="str">
        <f t="shared" si="6"/>
        <v>RES_201403</v>
      </c>
      <c r="C20" s="670" t="str">
        <f>INDEX('AMMO vwFlags'!$C:$C,MATCH($A20&amp;K20,'AMMO vwFlags'!$K:$K,0))</f>
        <v>0</v>
      </c>
      <c r="D20" s="670" t="str">
        <f>INDEX('AMMO vwFlags'!$D:$D,MATCH($A20&amp;$K20,'AMMO vwFlags'!$K:$K,0))</f>
        <v>0</v>
      </c>
      <c r="E20" s="82">
        <f t="shared" si="1"/>
        <v>1</v>
      </c>
      <c r="F20" s="929" t="str">
        <f t="shared" si="2"/>
        <v>Residential</v>
      </c>
      <c r="G20" s="788" t="str">
        <f>INDEX('AMMO Measures'!B:B,MATCH($A20,'AMMO Measures'!$A:$A,0))</f>
        <v>Retail Product Portfolio</v>
      </c>
      <c r="H20" s="788" t="str">
        <f>INDEX('AMMO Measures'!C:C,MATCH($A20,'AMMO Measures'!$A:$A,0))</f>
        <v>Clothes Dryers (Standard)</v>
      </c>
      <c r="I20" s="788" t="str">
        <f>INDEX('AMMO Measures'!D:D,MATCH($A20,'AMMO Measures'!$A:$A,0))</f>
        <v>UCEF 4.20 to 5.29</v>
      </c>
      <c r="J20" s="789">
        <f>VALUE(INDEX('AMMO Measures'!H:H,MATCH($A20,'AMMO Measures'!A:A,0)))</f>
        <v>16</v>
      </c>
      <c r="K20" s="683">
        <v>2025</v>
      </c>
      <c r="L20" s="1257">
        <f>SUMIFS('AMMO Units'!F:F,'AMMO Units'!$A:$A,$K20,'AMMO Units'!$E:$E,$A20)</f>
        <v>0</v>
      </c>
      <c r="M20" s="733">
        <f>SUMIFS('AMMO Units'!G:G,'AMMO Units'!$A:$A,$K20,'AMMO Units'!$E:$E,$A20)</f>
        <v>0</v>
      </c>
      <c r="N20" s="1847"/>
      <c r="O20" s="734">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v>
      </c>
      <c r="P20" s="930">
        <f>$O$96</f>
        <v>356.07</v>
      </c>
      <c r="Q20" s="1855"/>
      <c r="R20" s="684">
        <f t="shared" si="4"/>
        <v>0</v>
      </c>
      <c r="S20" s="874">
        <f t="shared" si="5"/>
        <v>0</v>
      </c>
      <c r="T20" s="793">
        <f t="shared" si="7"/>
        <v>0</v>
      </c>
    </row>
    <row r="21" spans="1:20" ht="12.75" customHeight="1">
      <c r="A21" s="49" t="s">
        <v>984</v>
      </c>
      <c r="B21" s="82" t="str">
        <f t="shared" si="6"/>
        <v>RES_201403</v>
      </c>
      <c r="C21" s="670" t="str">
        <f>INDEX('AMMO vwFlags'!$C:$C,MATCH($A21&amp;K21,'AMMO vwFlags'!$K:$K,0))</f>
        <v>0</v>
      </c>
      <c r="D21" s="670" t="str">
        <f>INDEX('AMMO vwFlags'!$D:$D,MATCH($A21&amp;$K21,'AMMO vwFlags'!$K:$K,0))</f>
        <v>0</v>
      </c>
      <c r="E21" s="82">
        <f t="shared" si="1"/>
        <v>1</v>
      </c>
      <c r="F21" s="929" t="str">
        <f t="shared" si="2"/>
        <v>Residential</v>
      </c>
      <c r="G21" s="788" t="str">
        <f>INDEX('AMMO Measures'!B:B,MATCH($A21,'AMMO Measures'!$A:$A,0))</f>
        <v>Retail Product Portfolio</v>
      </c>
      <c r="H21" s="788" t="str">
        <f>INDEX('AMMO Measures'!C:C,MATCH($A21,'AMMO Measures'!$A:$A,0))</f>
        <v>Clothes Dryers (Standard)</v>
      </c>
      <c r="I21" s="788" t="str">
        <f>INDEX('AMMO Measures'!D:D,MATCH($A21,'AMMO Measures'!$A:$A,0))</f>
        <v>UCEF 5.30 to 6.09</v>
      </c>
      <c r="J21" s="789">
        <f>VALUE(INDEX('AMMO Measures'!H:H,MATCH($A21,'AMMO Measures'!A:A,0)))</f>
        <v>16</v>
      </c>
      <c r="K21" s="683">
        <v>2025</v>
      </c>
      <c r="L21" s="1257">
        <f>SUMIFS('AMMO Units'!F:F,'AMMO Units'!$A:$A,$K21,'AMMO Units'!$E:$E,$A21)</f>
        <v>3386.70569028</v>
      </c>
      <c r="M21" s="733">
        <f>SUMIFS('AMMO Units'!G:G,'AMMO Units'!$A:$A,$K21,'AMMO Units'!$E:$E,$A21)</f>
        <v>338.67056903000002</v>
      </c>
      <c r="N21" s="1847"/>
      <c r="O21" s="734">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P21" s="930">
        <f>$O$97</f>
        <v>437.43</v>
      </c>
      <c r="Q21" s="1855"/>
      <c r="R21" s="684">
        <f t="shared" si="4"/>
        <v>2.3651735786916782E-2</v>
      </c>
      <c r="S21" s="874">
        <f t="shared" si="5"/>
        <v>2.3651735787056458E-3</v>
      </c>
      <c r="T21" s="793">
        <f t="shared" si="7"/>
        <v>2.1286562208211138E-2</v>
      </c>
    </row>
    <row r="22" spans="1:20" ht="12.75" customHeight="1">
      <c r="A22" s="82" t="s">
        <v>985</v>
      </c>
      <c r="B22" s="82" t="str">
        <f t="shared" si="6"/>
        <v>RES_201403</v>
      </c>
      <c r="C22" s="670" t="str">
        <f>INDEX('AMMO vwFlags'!$C:$C,MATCH($A22&amp;K22,'AMMO vwFlags'!$K:$K,0))</f>
        <v>0</v>
      </c>
      <c r="D22" s="670" t="str">
        <f>INDEX('AMMO vwFlags'!$D:$D,MATCH($A22&amp;$K22,'AMMO vwFlags'!$K:$K,0))</f>
        <v>0</v>
      </c>
      <c r="E22" s="82">
        <f t="shared" si="1"/>
        <v>1</v>
      </c>
      <c r="F22" s="929" t="str">
        <f t="shared" si="2"/>
        <v>Residential</v>
      </c>
      <c r="G22" s="788" t="str">
        <f>INDEX('AMMO Measures'!B:B,MATCH($A22,'AMMO Measures'!$A:$A,0))</f>
        <v>Retail Product Portfolio</v>
      </c>
      <c r="H22" s="788" t="str">
        <f>INDEX('AMMO Measures'!C:C,MATCH($A22,'AMMO Measures'!$A:$A,0))</f>
        <v>Clothes Dryers (Standard)</v>
      </c>
      <c r="I22" s="788" t="str">
        <f>INDEX('AMMO Measures'!D:D,MATCH($A22,'AMMO Measures'!$A:$A,0))</f>
        <v>UCEF 6.10 to 7.19</v>
      </c>
      <c r="J22" s="789">
        <f>VALUE(INDEX('AMMO Measures'!H:H,MATCH($A22,'AMMO Measures'!A:A,0)))</f>
        <v>16</v>
      </c>
      <c r="K22" s="683">
        <v>2025</v>
      </c>
      <c r="L22" s="1257">
        <f>SUMIFS('AMMO Units'!F:F,'AMMO Units'!$A:$A,$K22,'AMMO Units'!$E:$E,$A22)</f>
        <v>0</v>
      </c>
      <c r="M22" s="733">
        <f>SUMIFS('AMMO Units'!G:G,'AMMO Units'!$A:$A,$K22,'AMMO Units'!$E:$E,$A22)</f>
        <v>0</v>
      </c>
      <c r="N22" s="1847"/>
      <c r="O22" s="734">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v>
      </c>
      <c r="P22" s="930">
        <f>$O$98</f>
        <v>478.66</v>
      </c>
      <c r="Q22" s="1855"/>
      <c r="R22" s="684">
        <f t="shared" si="4"/>
        <v>0</v>
      </c>
      <c r="S22" s="874">
        <f t="shared" si="5"/>
        <v>0</v>
      </c>
      <c r="T22" s="793">
        <f t="shared" si="7"/>
        <v>0</v>
      </c>
    </row>
    <row r="23" spans="1:20" customFormat="1" ht="12.75" customHeight="1">
      <c r="A23" s="49" t="s">
        <v>986</v>
      </c>
      <c r="B23" s="82" t="str">
        <f t="shared" ref="B23:B29" si="8">LEFT(A23,10)</f>
        <v>RES_201403</v>
      </c>
      <c r="C23" s="670" t="str">
        <f>INDEX('AMMO vwFlags'!$C:$C,MATCH($A23&amp;K23,'AMMO vwFlags'!$K:$K,0))</f>
        <v>0</v>
      </c>
      <c r="D23" s="670" t="str">
        <f>INDEX('AMMO vwFlags'!$D:$D,MATCH($A23&amp;$K23,'AMMO vwFlags'!$K:$K,0))</f>
        <v>0</v>
      </c>
      <c r="E23" s="82">
        <f t="shared" si="1"/>
        <v>1</v>
      </c>
      <c r="F23" s="933" t="str">
        <f t="shared" si="2"/>
        <v>Residential</v>
      </c>
      <c r="G23" s="934" t="str">
        <f>INDEX('AMMO Measures'!B:B,MATCH($A23,'AMMO Measures'!$A:$A,0))</f>
        <v>Retail Product Portfolio</v>
      </c>
      <c r="H23" s="934" t="str">
        <f>INDEX('AMMO Measures'!C:C,MATCH($A23,'AMMO Measures'!$A:$A,0))</f>
        <v>Clothes Dryers (Standard)</v>
      </c>
      <c r="I23" s="934" t="str">
        <f>INDEX('AMMO Measures'!D:D,MATCH($A23,'AMMO Measures'!$A:$A,0))</f>
        <v>UCEF 7.20 to 8.00</v>
      </c>
      <c r="J23" s="935">
        <f>VALUE(INDEX('AMMO Measures'!H:H,MATCH($A23,'AMMO Measures'!A:A,0)))</f>
        <v>16</v>
      </c>
      <c r="K23" s="697">
        <v>2025</v>
      </c>
      <c r="L23" s="1258">
        <f>SUMIFS('AMMO Units'!F:F,'AMMO Units'!$A:$A,$K23,'AMMO Units'!$E:$E,$A23)</f>
        <v>7.0372245199999997</v>
      </c>
      <c r="M23" s="936">
        <f>SUMIFS('AMMO Units'!G:G,'AMMO Units'!$A:$A,$K23,'AMMO Units'!$E:$E,$A23)</f>
        <v>0.70372245</v>
      </c>
      <c r="N23" s="1847"/>
      <c r="O23" s="937">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0.13985600000000001</v>
      </c>
      <c r="P23" s="946">
        <f>$O$99</f>
        <v>510.91</v>
      </c>
      <c r="Q23" s="1855"/>
      <c r="R23" s="699">
        <f t="shared" ref="R23:R29" si="9">(L23)*O23*P23/8760000</f>
        <v>5.7401442603333122E-5</v>
      </c>
      <c r="S23" s="938">
        <f t="shared" ref="S23:S29" si="10">IFERROR((M23)*O23*P23/8760/1000,0)</f>
        <v>5.7401442440196523E-6</v>
      </c>
      <c r="T23" s="939">
        <f t="shared" ref="T23:T29" si="11">R23-S23</f>
        <v>5.1661298359313471E-5</v>
      </c>
    </row>
    <row r="24" spans="1:20" customFormat="1" ht="12.75" customHeight="1">
      <c r="A24" s="82" t="s">
        <v>979</v>
      </c>
      <c r="B24" s="82" t="str">
        <f t="shared" si="8"/>
        <v>RES_201403</v>
      </c>
      <c r="C24" s="670" t="str">
        <f>INDEX('AMMO vwFlags'!$C:$C,MATCH($A24&amp;K24,'AMMO vwFlags'!$K:$K,0))</f>
        <v>0</v>
      </c>
      <c r="D24" s="670" t="str">
        <f>INDEX('AMMO vwFlags'!$D:$D,MATCH($A24&amp;$K24,'AMMO vwFlags'!$K:$K,0))</f>
        <v>0</v>
      </c>
      <c r="E24" s="82">
        <f t="shared" si="1"/>
        <v>1</v>
      </c>
      <c r="F24" s="947" t="str">
        <f t="shared" si="2"/>
        <v>Residential</v>
      </c>
      <c r="G24" s="940" t="str">
        <f>INDEX('AMMO Measures'!B:B,MATCH($A24,'AMMO Measures'!$A:$A,0))</f>
        <v>Retail Product Portfolio</v>
      </c>
      <c r="H24" s="940" t="str">
        <f>INDEX('AMMO Measures'!C:C,MATCH($A24,'AMMO Measures'!$A:$A,0))</f>
        <v>Clothes Dryers (Standard)</v>
      </c>
      <c r="I24" s="940" t="str">
        <f>INDEX('AMMO Measures'!D:D,MATCH($A24,'AMMO Measures'!$A:$A,0))</f>
        <v>ENERGY STAR v1</v>
      </c>
      <c r="J24" s="941">
        <f>VALUE(INDEX('AMMO Measures'!H:H,MATCH($A24,'AMMO Measures'!A:A,0)))</f>
        <v>16</v>
      </c>
      <c r="K24" s="692">
        <v>2026</v>
      </c>
      <c r="L24" s="1259">
        <v>192942.5607758087</v>
      </c>
      <c r="M24" s="942">
        <f>SUMIFS('AMMO Units'!G:G,'AMMO Units'!$A:$A,$K24,'AMMO Units'!$E:$E,$A24)</f>
        <v>0</v>
      </c>
      <c r="N24" s="1847"/>
      <c r="O24" s="943">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P24" s="1162">
        <f>$O$94</f>
        <v>52.54</v>
      </c>
      <c r="Q24" s="1855"/>
      <c r="R24" s="693">
        <f t="shared" si="9"/>
        <v>0.16184344097419218</v>
      </c>
      <c r="S24" s="944">
        <f t="shared" si="10"/>
        <v>0</v>
      </c>
      <c r="T24" s="945">
        <f t="shared" si="11"/>
        <v>0.16184344097419218</v>
      </c>
    </row>
    <row r="25" spans="1:20" ht="12.75" customHeight="1">
      <c r="A25" s="49" t="s">
        <v>982</v>
      </c>
      <c r="B25" s="82" t="str">
        <f t="shared" si="8"/>
        <v>RES_201403</v>
      </c>
      <c r="C25" s="670" t="str">
        <f>INDEX('AMMO vwFlags'!$C:$C,MATCH($A25&amp;K25,'AMMO vwFlags'!$K:$K,0))</f>
        <v>0</v>
      </c>
      <c r="D25" s="670" t="str">
        <f>INDEX('AMMO vwFlags'!$D:$D,MATCH($A25&amp;$K25,'AMMO vwFlags'!$K:$K,0))</f>
        <v>0</v>
      </c>
      <c r="E25" s="82">
        <f t="shared" si="1"/>
        <v>1</v>
      </c>
      <c r="F25" s="730" t="str">
        <f t="shared" si="2"/>
        <v>Residential</v>
      </c>
      <c r="G25" s="788" t="str">
        <f>INDEX('AMMO Measures'!B:B,MATCH($A25,'AMMO Measures'!$A:$A,0))</f>
        <v>Retail Product Portfolio</v>
      </c>
      <c r="H25" s="788" t="str">
        <f>INDEX('AMMO Measures'!C:C,MATCH($A25,'AMMO Measures'!$A:$A,0))</f>
        <v>Clothes Dryers (Standard)</v>
      </c>
      <c r="I25" s="788" t="str">
        <f>INDEX('AMMO Measures'!D:D,MATCH($A25,'AMMO Measures'!$A:$A,0))</f>
        <v>UCEF 3.00 to 4.19</v>
      </c>
      <c r="J25" s="789">
        <f>VALUE(INDEX('AMMO Measures'!H:H,MATCH($A25,'AMMO Measures'!A:A,0)))</f>
        <v>16</v>
      </c>
      <c r="K25" s="683">
        <v>2026</v>
      </c>
      <c r="L25" s="1257">
        <f>SUMIFS('AMMO Units'!F:F,'AMMO Units'!$A:$A,$K25,'AMMO Units'!$E:$E,$A25)</f>
        <v>3850.4479203999999</v>
      </c>
      <c r="M25" s="733">
        <f>SUMIFS('AMMO Units'!G:G,'AMMO Units'!$A:$A,$K25,'AMMO Units'!$E:$E,$A25)</f>
        <v>385.04479204</v>
      </c>
      <c r="N25" s="1847"/>
      <c r="O25" s="734">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P25" s="1160">
        <f>$O$95</f>
        <v>263.72000000000003</v>
      </c>
      <c r="Q25" s="1855"/>
      <c r="R25" s="684">
        <f t="shared" si="9"/>
        <v>1.6211802991029974E-2</v>
      </c>
      <c r="S25" s="874">
        <f t="shared" si="10"/>
        <v>1.6211802991029974E-3</v>
      </c>
      <c r="T25" s="793">
        <f t="shared" si="11"/>
        <v>1.4590622691926977E-2</v>
      </c>
    </row>
    <row r="26" spans="1:20" ht="12.75" customHeight="1">
      <c r="A26" s="49" t="s">
        <v>983</v>
      </c>
      <c r="B26" s="82" t="str">
        <f t="shared" si="8"/>
        <v>RES_201403</v>
      </c>
      <c r="C26" s="670" t="str">
        <f>INDEX('AMMO vwFlags'!$C:$C,MATCH($A26&amp;K26,'AMMO vwFlags'!$K:$K,0))</f>
        <v>0</v>
      </c>
      <c r="D26" s="670" t="str">
        <f>INDEX('AMMO vwFlags'!$D:$D,MATCH($A26&amp;$K26,'AMMO vwFlags'!$K:$K,0))</f>
        <v>0</v>
      </c>
      <c r="E26" s="82">
        <f t="shared" si="1"/>
        <v>1</v>
      </c>
      <c r="F26" s="929" t="str">
        <f t="shared" si="2"/>
        <v>Residential</v>
      </c>
      <c r="G26" s="788" t="str">
        <f>INDEX('AMMO Measures'!B:B,MATCH($A26,'AMMO Measures'!$A:$A,0))</f>
        <v>Retail Product Portfolio</v>
      </c>
      <c r="H26" s="788" t="str">
        <f>INDEX('AMMO Measures'!C:C,MATCH($A26,'AMMO Measures'!$A:$A,0))</f>
        <v>Clothes Dryers (Standard)</v>
      </c>
      <c r="I26" s="788" t="str">
        <f>INDEX('AMMO Measures'!D:D,MATCH($A26,'AMMO Measures'!$A:$A,0))</f>
        <v>UCEF 4.20 to 5.29</v>
      </c>
      <c r="J26" s="789">
        <f>VALUE(INDEX('AMMO Measures'!H:H,MATCH($A26,'AMMO Measures'!A:A,0)))</f>
        <v>16</v>
      </c>
      <c r="K26" s="683">
        <v>2026</v>
      </c>
      <c r="L26" s="1257">
        <f>SUMIFS('AMMO Units'!F:F,'AMMO Units'!$A:$A,$K26,'AMMO Units'!$E:$E,$A26)</f>
        <v>0</v>
      </c>
      <c r="M26" s="733">
        <f>SUMIFS('AMMO Units'!G:G,'AMMO Units'!$A:$A,$K26,'AMMO Units'!$E:$E,$A26)</f>
        <v>0</v>
      </c>
      <c r="N26" s="1847"/>
      <c r="O26" s="734">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v>
      </c>
      <c r="P26" s="1160">
        <f>$O$96</f>
        <v>356.07</v>
      </c>
      <c r="Q26" s="1855"/>
      <c r="R26" s="684">
        <f t="shared" si="9"/>
        <v>0</v>
      </c>
      <c r="S26" s="874">
        <f t="shared" si="10"/>
        <v>0</v>
      </c>
      <c r="T26" s="793">
        <f t="shared" si="11"/>
        <v>0</v>
      </c>
    </row>
    <row r="27" spans="1:20" ht="12.75" customHeight="1">
      <c r="A27" s="49" t="s">
        <v>984</v>
      </c>
      <c r="B27" s="82" t="str">
        <f t="shared" si="8"/>
        <v>RES_201403</v>
      </c>
      <c r="C27" s="670" t="str">
        <f>INDEX('AMMO vwFlags'!$C:$C,MATCH($A27&amp;K27,'AMMO vwFlags'!$K:$K,0))</f>
        <v>0</v>
      </c>
      <c r="D27" s="670" t="str">
        <f>INDEX('AMMO vwFlags'!$D:$D,MATCH($A27&amp;$K27,'AMMO vwFlags'!$K:$K,0))</f>
        <v>0</v>
      </c>
      <c r="E27" s="82">
        <f t="shared" si="1"/>
        <v>1</v>
      </c>
      <c r="F27" s="929" t="str">
        <f t="shared" si="2"/>
        <v>Residential</v>
      </c>
      <c r="G27" s="788" t="str">
        <f>INDEX('AMMO Measures'!B:B,MATCH($A27,'AMMO Measures'!$A:$A,0))</f>
        <v>Retail Product Portfolio</v>
      </c>
      <c r="H27" s="788" t="str">
        <f>INDEX('AMMO Measures'!C:C,MATCH($A27,'AMMO Measures'!$A:$A,0))</f>
        <v>Clothes Dryers (Standard)</v>
      </c>
      <c r="I27" s="788" t="str">
        <f>INDEX('AMMO Measures'!D:D,MATCH($A27,'AMMO Measures'!$A:$A,0))</f>
        <v>UCEF 5.30 to 6.09</v>
      </c>
      <c r="J27" s="789">
        <f>VALUE(INDEX('AMMO Measures'!H:H,MATCH($A27,'AMMO Measures'!A:A,0)))</f>
        <v>16</v>
      </c>
      <c r="K27" s="683">
        <v>2026</v>
      </c>
      <c r="L27" s="1257">
        <f>SUMIFS('AMMO Units'!F:F,'AMMO Units'!$A:$A,$K27,'AMMO Units'!$E:$E,$A27)</f>
        <v>3843.3473608600002</v>
      </c>
      <c r="M27" s="733">
        <f>SUMIFS('AMMO Units'!G:G,'AMMO Units'!$A:$A,$K27,'AMMO Units'!$E:$E,$A27)</f>
        <v>384.33473608999998</v>
      </c>
      <c r="N27" s="1847"/>
      <c r="O27" s="734">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P27" s="1160">
        <f>$O$97</f>
        <v>437.43</v>
      </c>
      <c r="Q27" s="1855"/>
      <c r="R27" s="684">
        <f t="shared" si="9"/>
        <v>2.6840784121660483E-2</v>
      </c>
      <c r="S27" s="874">
        <f t="shared" si="10"/>
        <v>2.6840784121939828E-3</v>
      </c>
      <c r="T27" s="793">
        <f t="shared" si="11"/>
        <v>2.41567057094665E-2</v>
      </c>
    </row>
    <row r="28" spans="1:20" ht="12.75" customHeight="1">
      <c r="A28" s="82" t="s">
        <v>985</v>
      </c>
      <c r="B28" s="82" t="str">
        <f t="shared" si="8"/>
        <v>RES_201403</v>
      </c>
      <c r="C28" s="670" t="str">
        <f>INDEX('AMMO vwFlags'!$C:$C,MATCH($A28&amp;K28,'AMMO vwFlags'!$K:$K,0))</f>
        <v>0</v>
      </c>
      <c r="D28" s="670" t="str">
        <f>INDEX('AMMO vwFlags'!$D:$D,MATCH($A28&amp;$K28,'AMMO vwFlags'!$K:$K,0))</f>
        <v>0</v>
      </c>
      <c r="E28" s="82">
        <f t="shared" si="1"/>
        <v>1</v>
      </c>
      <c r="F28" s="929" t="str">
        <f t="shared" si="2"/>
        <v>Residential</v>
      </c>
      <c r="G28" s="788" t="str">
        <f>INDEX('AMMO Measures'!B:B,MATCH($A28,'AMMO Measures'!$A:$A,0))</f>
        <v>Retail Product Portfolio</v>
      </c>
      <c r="H28" s="788" t="str">
        <f>INDEX('AMMO Measures'!C:C,MATCH($A28,'AMMO Measures'!$A:$A,0))</f>
        <v>Clothes Dryers (Standard)</v>
      </c>
      <c r="I28" s="788" t="str">
        <f>INDEX('AMMO Measures'!D:D,MATCH($A28,'AMMO Measures'!$A:$A,0))</f>
        <v>UCEF 6.10 to 7.19</v>
      </c>
      <c r="J28" s="789">
        <f>VALUE(INDEX('AMMO Measures'!H:H,MATCH($A28,'AMMO Measures'!A:A,0)))</f>
        <v>16</v>
      </c>
      <c r="K28" s="683">
        <v>2026</v>
      </c>
      <c r="L28" s="1257">
        <f>SUMIFS('AMMO Units'!F:F,'AMMO Units'!$A:$A,$K28,'AMMO Units'!$E:$E,$A28)</f>
        <v>0</v>
      </c>
      <c r="M28" s="733">
        <f>SUMIFS('AMMO Units'!G:G,'AMMO Units'!$A:$A,$K28,'AMMO Units'!$E:$E,$A28)</f>
        <v>0</v>
      </c>
      <c r="N28" s="1847"/>
      <c r="O28" s="734">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v>
      </c>
      <c r="P28" s="1160">
        <f>$O$98</f>
        <v>478.66</v>
      </c>
      <c r="Q28" s="1855"/>
      <c r="R28" s="684">
        <f t="shared" si="9"/>
        <v>0</v>
      </c>
      <c r="S28" s="874">
        <f t="shared" si="10"/>
        <v>0</v>
      </c>
      <c r="T28" s="793">
        <f t="shared" si="11"/>
        <v>0</v>
      </c>
    </row>
    <row r="29" spans="1:20" ht="12.75" customHeight="1">
      <c r="A29" s="49" t="s">
        <v>986</v>
      </c>
      <c r="B29" s="82" t="str">
        <f t="shared" si="8"/>
        <v>RES_201403</v>
      </c>
      <c r="C29" s="670" t="str">
        <f>INDEX('AMMO vwFlags'!$C:$C,MATCH($A29&amp;K29,'AMMO vwFlags'!$K:$K,0))</f>
        <v>0</v>
      </c>
      <c r="D29" s="670" t="str">
        <f>INDEX('AMMO vwFlags'!$D:$D,MATCH($A29&amp;$K29,'AMMO vwFlags'!$K:$K,0))</f>
        <v>0</v>
      </c>
      <c r="E29" s="82">
        <f t="shared" si="1"/>
        <v>1</v>
      </c>
      <c r="F29" s="730" t="str">
        <f t="shared" si="2"/>
        <v>Residential</v>
      </c>
      <c r="G29" s="788" t="str">
        <f>INDEX('AMMO Measures'!B:B,MATCH($A29,'AMMO Measures'!$A:$A,0))</f>
        <v>Retail Product Portfolio</v>
      </c>
      <c r="H29" s="788" t="str">
        <f>INDEX('AMMO Measures'!C:C,MATCH($A29,'AMMO Measures'!$A:$A,0))</f>
        <v>Clothes Dryers (Standard)</v>
      </c>
      <c r="I29" s="788" t="str">
        <f>INDEX('AMMO Measures'!D:D,MATCH($A29,'AMMO Measures'!$A:$A,0))</f>
        <v>UCEF 7.20 to 8.00</v>
      </c>
      <c r="J29" s="789">
        <f>VALUE(INDEX('AMMO Measures'!H:H,MATCH($A29,'AMMO Measures'!A:A,0)))</f>
        <v>16</v>
      </c>
      <c r="K29" s="683">
        <v>2026</v>
      </c>
      <c r="L29" s="1257">
        <f>SUMIFS('AMMO Units'!F:F,'AMMO Units'!$A:$A,$K29,'AMMO Units'!$E:$E,$A29)</f>
        <v>7.1005595399999999</v>
      </c>
      <c r="M29" s="733">
        <f>SUMIFS('AMMO Units'!G:G,'AMMO Units'!$A:$A,$K29,'AMMO Units'!$E:$E,$A29)</f>
        <v>0.71005594999999999</v>
      </c>
      <c r="N29" s="1847"/>
      <c r="O29" s="734">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P29" s="1160">
        <f>$O$99</f>
        <v>510.91</v>
      </c>
      <c r="Q29" s="1855"/>
      <c r="R29" s="684">
        <f t="shared" si="9"/>
        <v>5.7918055581216479E-5</v>
      </c>
      <c r="S29" s="874">
        <f t="shared" si="10"/>
        <v>5.7918055254943282E-6</v>
      </c>
      <c r="T29" s="793">
        <f t="shared" si="11"/>
        <v>5.212625005572215E-5</v>
      </c>
    </row>
    <row r="30" spans="1:20" customFormat="1" ht="12.75" customHeight="1">
      <c r="A30" s="49" t="s">
        <v>979</v>
      </c>
      <c r="B30" s="82" t="str">
        <f t="shared" ref="B30:B35" si="12">LEFT(A30,10)</f>
        <v>RES_201403</v>
      </c>
      <c r="C30" s="670" t="str">
        <f>INDEX('AMMO vwFlags'!$C:$C,MATCH($A30&amp;K30,'AMMO vwFlags'!$K:$K,0))</f>
        <v>0</v>
      </c>
      <c r="D30" s="670" t="str">
        <f>INDEX('AMMO vwFlags'!$D:$D,MATCH($A30&amp;$K30,'AMMO vwFlags'!$K:$K,0))</f>
        <v>0</v>
      </c>
      <c r="E30" s="82">
        <f t="shared" si="1"/>
        <v>1</v>
      </c>
      <c r="F30" s="929" t="str">
        <f t="shared" si="2"/>
        <v>Residential</v>
      </c>
      <c r="G30" s="788" t="str">
        <f>INDEX('AMMO Measures'!B:B,MATCH($A30,'AMMO Measures'!$A:$A,0))</f>
        <v>Retail Product Portfolio</v>
      </c>
      <c r="H30" s="788" t="str">
        <f>INDEX('AMMO Measures'!C:C,MATCH($A30,'AMMO Measures'!$A:$A,0))</f>
        <v>Clothes Dryers (Standard)</v>
      </c>
      <c r="I30" s="788" t="str">
        <f>INDEX('AMMO Measures'!D:D,MATCH($A30,'AMMO Measures'!$A:$A,0))</f>
        <v>ENERGY STAR v1</v>
      </c>
      <c r="J30" s="789">
        <f>VALUE(INDEX('AMMO Measures'!H:H,MATCH($A30,'AMMO Measures'!A:A,0)))</f>
        <v>16</v>
      </c>
      <c r="K30" s="683">
        <v>2027</v>
      </c>
      <c r="L30" s="1257">
        <v>248956.61811168533</v>
      </c>
      <c r="M30" s="733">
        <f>SUMIFS('AMMO Units'!G:G,'AMMO Units'!$A:$A,$K30,'AMMO Units'!$E:$E,$A30)</f>
        <v>0</v>
      </c>
      <c r="N30" s="1847"/>
      <c r="O30" s="734">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P30" s="930">
        <f>$O$94</f>
        <v>52.54</v>
      </c>
      <c r="Q30" s="1855"/>
      <c r="R30" s="684">
        <f t="shared" ref="R30:R35" si="13">(L30)*O30*P30/8760000</f>
        <v>0.20882896736977949</v>
      </c>
      <c r="S30" s="874">
        <f t="shared" ref="S30:S35" si="14">IFERROR((M30)*O30*P30/8760/1000,0)</f>
        <v>0</v>
      </c>
      <c r="T30" s="793">
        <f t="shared" ref="T30:T35" si="15">R30-S30</f>
        <v>0.20882896736977949</v>
      </c>
    </row>
    <row r="31" spans="1:20" ht="12.75" customHeight="1">
      <c r="A31" s="49" t="s">
        <v>982</v>
      </c>
      <c r="B31" s="82" t="str">
        <f t="shared" si="12"/>
        <v>RES_201403</v>
      </c>
      <c r="C31" s="670" t="str">
        <f>INDEX('AMMO vwFlags'!$C:$C,MATCH($A31&amp;K31,'AMMO vwFlags'!$K:$K,0))</f>
        <v>0</v>
      </c>
      <c r="D31" s="670" t="str">
        <f>INDEX('AMMO vwFlags'!$D:$D,MATCH($A31&amp;$K31,'AMMO vwFlags'!$K:$K,0))</f>
        <v>0</v>
      </c>
      <c r="E31" s="82">
        <f t="shared" si="1"/>
        <v>1</v>
      </c>
      <c r="F31" s="929" t="str">
        <f t="shared" si="2"/>
        <v>Residential</v>
      </c>
      <c r="G31" s="788" t="str">
        <f>INDEX('AMMO Measures'!B:B,MATCH($A31,'AMMO Measures'!$A:$A,0))</f>
        <v>Retail Product Portfolio</v>
      </c>
      <c r="H31" s="788" t="str">
        <f>INDEX('AMMO Measures'!C:C,MATCH($A31,'AMMO Measures'!$A:$A,0))</f>
        <v>Clothes Dryers (Standard)</v>
      </c>
      <c r="I31" s="788" t="str">
        <f>INDEX('AMMO Measures'!D:D,MATCH($A31,'AMMO Measures'!$A:$A,0))</f>
        <v>UCEF 3.00 to 4.19</v>
      </c>
      <c r="J31" s="789">
        <f>VALUE(INDEX('AMMO Measures'!H:H,MATCH($A31,'AMMO Measures'!A:A,0)))</f>
        <v>16</v>
      </c>
      <c r="K31" s="683">
        <v>2027</v>
      </c>
      <c r="L31" s="1257">
        <f>SUMIFS('AMMO Units'!F:F,'AMMO Units'!$A:$A,$K31,'AMMO Units'!$E:$E,$A31)</f>
        <v>4353.0304062599998</v>
      </c>
      <c r="M31" s="733">
        <f>SUMIFS('AMMO Units'!G:G,'AMMO Units'!$A:$A,$K31,'AMMO Units'!$E:$E,$A31)</f>
        <v>217.65152031</v>
      </c>
      <c r="N31" s="1847"/>
      <c r="O31" s="734">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P31" s="930">
        <f>$O$95</f>
        <v>263.72000000000003</v>
      </c>
      <c r="Q31" s="1855"/>
      <c r="R31" s="684">
        <f t="shared" si="13"/>
        <v>1.8327860243573722E-2</v>
      </c>
      <c r="S31" s="874">
        <f t="shared" si="14"/>
        <v>9.1639301216605521E-4</v>
      </c>
      <c r="T31" s="793">
        <f t="shared" si="15"/>
        <v>1.7411467231407667E-2</v>
      </c>
    </row>
    <row r="32" spans="1:20" ht="12.75" customHeight="1">
      <c r="A32" s="49" t="s">
        <v>983</v>
      </c>
      <c r="B32" s="82" t="str">
        <f t="shared" si="12"/>
        <v>RES_201403</v>
      </c>
      <c r="C32" s="670" t="str">
        <f>INDEX('AMMO vwFlags'!$C:$C,MATCH($A32&amp;K32,'AMMO vwFlags'!$K:$K,0))</f>
        <v>0</v>
      </c>
      <c r="D32" s="670" t="str">
        <f>INDEX('AMMO vwFlags'!$D:$D,MATCH($A32&amp;$K32,'AMMO vwFlags'!$K:$K,0))</f>
        <v>0</v>
      </c>
      <c r="E32" s="82">
        <f t="shared" si="1"/>
        <v>1</v>
      </c>
      <c r="F32" s="929" t="str">
        <f t="shared" si="2"/>
        <v>Residential</v>
      </c>
      <c r="G32" s="788" t="str">
        <f>INDEX('AMMO Measures'!B:B,MATCH($A32,'AMMO Measures'!$A:$A,0))</f>
        <v>Retail Product Portfolio</v>
      </c>
      <c r="H32" s="788" t="str">
        <f>INDEX('AMMO Measures'!C:C,MATCH($A32,'AMMO Measures'!$A:$A,0))</f>
        <v>Clothes Dryers (Standard)</v>
      </c>
      <c r="I32" s="788" t="str">
        <f>INDEX('AMMO Measures'!D:D,MATCH($A32,'AMMO Measures'!$A:$A,0))</f>
        <v>UCEF 4.20 to 5.29</v>
      </c>
      <c r="J32" s="789">
        <f>VALUE(INDEX('AMMO Measures'!H:H,MATCH($A32,'AMMO Measures'!A:A,0)))</f>
        <v>16</v>
      </c>
      <c r="K32" s="683">
        <v>2027</v>
      </c>
      <c r="L32" s="1257">
        <f>SUMIFS('AMMO Units'!F:F,'AMMO Units'!$A:$A,$K32,'AMMO Units'!$E:$E,$A32)</f>
        <v>0</v>
      </c>
      <c r="M32" s="733">
        <f>SUMIFS('AMMO Units'!G:G,'AMMO Units'!$A:$A,$K32,'AMMO Units'!$E:$E,$A32)</f>
        <v>0</v>
      </c>
      <c r="N32" s="1847"/>
      <c r="O32" s="734">
        <f>IF(Selection!$A$2="regional",1,IF($L32=0,0,
( INDEX(Allocation!$B:$B,MATCH(K32,Allocation!$A:$A,0)) * INDEX(UnitsFunderShareAllocation!$C:$C, MATCH($A32&amp;K32,UnitsFunderShareAllocation!$H:$H,0))
+ INDEX(Allocation!$C:$C,MATCH(K32,Allocation!$A:$A,0)) * INDEX(UnitsFunderShareAllocation!$D:$D, MATCH($A32&amp;K32,UnitsFunderShareAllocation!$H:$H,0))
+ INDEX(Allocation!$D:$D,MATCH(K32,Allocation!$A:$A,0)) * INDEX(UnitsFunderShareAllocation!$E:$E, MATCH($A32&amp;K32,UnitsFunderShareAllocation!$H:$H,0))
+ INDEX(Allocation!$E:$E,MATCH(K32,Allocation!$A:$A,0)) * INDEX(UnitsFunderShareAllocation!$F:$F, MATCH($A32&amp;K32,UnitsFunderShareAllocation!$H:$H,0)))
))</f>
        <v>0</v>
      </c>
      <c r="P32" s="930">
        <f>$O$96</f>
        <v>356.07</v>
      </c>
      <c r="Q32" s="1855"/>
      <c r="R32" s="684">
        <f t="shared" si="13"/>
        <v>0</v>
      </c>
      <c r="S32" s="874">
        <f t="shared" si="14"/>
        <v>0</v>
      </c>
      <c r="T32" s="793">
        <f t="shared" si="15"/>
        <v>0</v>
      </c>
    </row>
    <row r="33" spans="1:25" ht="12.75" customHeight="1">
      <c r="A33" s="49" t="s">
        <v>984</v>
      </c>
      <c r="B33" s="82" t="str">
        <f t="shared" si="12"/>
        <v>RES_201403</v>
      </c>
      <c r="C33" s="670" t="str">
        <f>INDEX('AMMO vwFlags'!$C:$C,MATCH($A33&amp;K33,'AMMO vwFlags'!$K:$K,0))</f>
        <v>0</v>
      </c>
      <c r="D33" s="670" t="str">
        <f>INDEX('AMMO vwFlags'!$D:$D,MATCH($A33&amp;$K33,'AMMO vwFlags'!$K:$K,0))</f>
        <v>0</v>
      </c>
      <c r="E33" s="82">
        <f t="shared" si="1"/>
        <v>1</v>
      </c>
      <c r="F33" s="929" t="str">
        <f t="shared" si="2"/>
        <v>Residential</v>
      </c>
      <c r="G33" s="788" t="str">
        <f>INDEX('AMMO Measures'!B:B,MATCH($A33,'AMMO Measures'!$A:$A,0))</f>
        <v>Retail Product Portfolio</v>
      </c>
      <c r="H33" s="788" t="str">
        <f>INDEX('AMMO Measures'!C:C,MATCH($A33,'AMMO Measures'!$A:$A,0))</f>
        <v>Clothes Dryers (Standard)</v>
      </c>
      <c r="I33" s="788" t="str">
        <f>INDEX('AMMO Measures'!D:D,MATCH($A33,'AMMO Measures'!$A:$A,0))</f>
        <v>UCEF 5.30 to 6.09</v>
      </c>
      <c r="J33" s="789">
        <f>VALUE(INDEX('AMMO Measures'!H:H,MATCH($A33,'AMMO Measures'!A:A,0)))</f>
        <v>16</v>
      </c>
      <c r="K33" s="683">
        <v>2027</v>
      </c>
      <c r="L33" s="1257">
        <f>SUMIFS('AMMO Units'!F:F,'AMMO Units'!$A:$A,$K33,'AMMO Units'!$E:$E,$A33)</f>
        <v>4345.86594169</v>
      </c>
      <c r="M33" s="733">
        <f>SUMIFS('AMMO Units'!G:G,'AMMO Units'!$A:$A,$K33,'AMMO Units'!$E:$E,$A33)</f>
        <v>217.29329708</v>
      </c>
      <c r="N33" s="1847"/>
      <c r="O33" s="734">
        <f>IF(Selection!$A$2="regional",1,IF($L33=0,0,
( INDEX(Allocation!$B:$B,MATCH(K33,Allocation!$A:$A,0)) * INDEX(UnitsFunderShareAllocation!$C:$C, MATCH($A33&amp;K33,UnitsFunderShareAllocation!$H:$H,0))
+ INDEX(Allocation!$C:$C,MATCH(K33,Allocation!$A:$A,0)) * INDEX(UnitsFunderShareAllocation!$D:$D, MATCH($A33&amp;K33,UnitsFunderShareAllocation!$H:$H,0))
+ INDEX(Allocation!$D:$D,MATCH(K33,Allocation!$A:$A,0)) * INDEX(UnitsFunderShareAllocation!$E:$E, MATCH($A33&amp;K33,UnitsFunderShareAllocation!$H:$H,0))
+ INDEX(Allocation!$E:$E,MATCH(K33,Allocation!$A:$A,0)) * INDEX(UnitsFunderShareAllocation!$F:$F, MATCH($A33&amp;K33,UnitsFunderShareAllocation!$H:$H,0)))
))</f>
        <v>0.13985600000000001</v>
      </c>
      <c r="P33" s="930">
        <f>$O$97</f>
        <v>437.43</v>
      </c>
      <c r="Q33" s="1855"/>
      <c r="R33" s="684">
        <f t="shared" si="13"/>
        <v>3.0350223024461893E-2</v>
      </c>
      <c r="S33" s="874">
        <f t="shared" si="14"/>
        <v>1.5175111511916679E-3</v>
      </c>
      <c r="T33" s="793">
        <f t="shared" si="15"/>
        <v>2.8832711873270224E-2</v>
      </c>
    </row>
    <row r="34" spans="1:25" ht="12.75" customHeight="1">
      <c r="A34" s="82" t="s">
        <v>985</v>
      </c>
      <c r="B34" s="82" t="str">
        <f t="shared" si="12"/>
        <v>RES_201403</v>
      </c>
      <c r="C34" s="670" t="str">
        <f>INDEX('AMMO vwFlags'!$C:$C,MATCH($A34&amp;K34,'AMMO vwFlags'!$K:$K,0))</f>
        <v>0</v>
      </c>
      <c r="D34" s="670" t="str">
        <f>INDEX('AMMO vwFlags'!$D:$D,MATCH($A34&amp;$K34,'AMMO vwFlags'!$K:$K,0))</f>
        <v>0</v>
      </c>
      <c r="E34" s="82">
        <f t="shared" si="1"/>
        <v>1</v>
      </c>
      <c r="F34" s="929" t="str">
        <f t="shared" si="2"/>
        <v>Residential</v>
      </c>
      <c r="G34" s="788" t="str">
        <f>INDEX('AMMO Measures'!B:B,MATCH($A34,'AMMO Measures'!$A:$A,0))</f>
        <v>Retail Product Portfolio</v>
      </c>
      <c r="H34" s="788" t="str">
        <f>INDEX('AMMO Measures'!C:C,MATCH($A34,'AMMO Measures'!$A:$A,0))</f>
        <v>Clothes Dryers (Standard)</v>
      </c>
      <c r="I34" s="788" t="str">
        <f>INDEX('AMMO Measures'!D:D,MATCH($A34,'AMMO Measures'!$A:$A,0))</f>
        <v>UCEF 6.10 to 7.19</v>
      </c>
      <c r="J34" s="789">
        <f>VALUE(INDEX('AMMO Measures'!H:H,MATCH($A34,'AMMO Measures'!A:A,0)))</f>
        <v>16</v>
      </c>
      <c r="K34" s="683">
        <v>2027</v>
      </c>
      <c r="L34" s="1257">
        <f>SUMIFS('AMMO Units'!F:F,'AMMO Units'!$A:$A,$K34,'AMMO Units'!$E:$E,$A34)</f>
        <v>0</v>
      </c>
      <c r="M34" s="733">
        <f>SUMIFS('AMMO Units'!G:G,'AMMO Units'!$A:$A,$K34,'AMMO Units'!$E:$E,$A34)</f>
        <v>0</v>
      </c>
      <c r="N34" s="1847"/>
      <c r="O34" s="734">
        <f>IF(Selection!$A$2="regional",1,IF($L34=0,0,
( INDEX(Allocation!$B:$B,MATCH(K34,Allocation!$A:$A,0)) * INDEX(UnitsFunderShareAllocation!$C:$C, MATCH($A34&amp;K34,UnitsFunderShareAllocation!$H:$H,0))
+ INDEX(Allocation!$C:$C,MATCH(K34,Allocation!$A:$A,0)) * INDEX(UnitsFunderShareAllocation!$D:$D, MATCH($A34&amp;K34,UnitsFunderShareAllocation!$H:$H,0))
+ INDEX(Allocation!$D:$D,MATCH(K34,Allocation!$A:$A,0)) * INDEX(UnitsFunderShareAllocation!$E:$E, MATCH($A34&amp;K34,UnitsFunderShareAllocation!$H:$H,0))
+ INDEX(Allocation!$E:$E,MATCH(K34,Allocation!$A:$A,0)) * INDEX(UnitsFunderShareAllocation!$F:$F, MATCH($A34&amp;K34,UnitsFunderShareAllocation!$H:$H,0)))
))</f>
        <v>0</v>
      </c>
      <c r="P34" s="930">
        <f>$O$98</f>
        <v>478.66</v>
      </c>
      <c r="Q34" s="1855"/>
      <c r="R34" s="684">
        <f t="shared" si="13"/>
        <v>0</v>
      </c>
      <c r="S34" s="874">
        <f t="shared" si="14"/>
        <v>0</v>
      </c>
      <c r="T34" s="793">
        <f t="shared" si="15"/>
        <v>0</v>
      </c>
    </row>
    <row r="35" spans="1:25" customFormat="1" ht="12.75" customHeight="1" thickBot="1">
      <c r="A35" s="104" t="s">
        <v>986</v>
      </c>
      <c r="B35" s="104" t="str">
        <f t="shared" si="12"/>
        <v>RES_201403</v>
      </c>
      <c r="C35" s="672" t="str">
        <f>INDEX('AMMO vwFlags'!$C:$C,MATCH($A35&amp;K35,'AMMO vwFlags'!$K:$K,0))</f>
        <v>0</v>
      </c>
      <c r="D35" s="672" t="str">
        <f>INDEX('AMMO vwFlags'!$D:$D,MATCH($A35&amp;$K35,'AMMO vwFlags'!$K:$K,0))</f>
        <v>0</v>
      </c>
      <c r="E35" s="104">
        <f t="shared" si="1"/>
        <v>1</v>
      </c>
      <c r="F35" s="931" t="str">
        <f t="shared" si="2"/>
        <v>Residential</v>
      </c>
      <c r="G35" s="794" t="str">
        <f>INDEX('AMMO Measures'!B:B,MATCH($A35,'AMMO Measures'!$A:$A,0))</f>
        <v>Retail Product Portfolio</v>
      </c>
      <c r="H35" s="794" t="str">
        <f>INDEX('AMMO Measures'!C:C,MATCH($A35,'AMMO Measures'!$A:$A,0))</f>
        <v>Clothes Dryers (Standard)</v>
      </c>
      <c r="I35" s="794" t="str">
        <f>INDEX('AMMO Measures'!D:D,MATCH($A35,'AMMO Measures'!$A:$A,0))</f>
        <v>UCEF 7.20 to 8.00</v>
      </c>
      <c r="J35" s="794">
        <f>VALUE(INDEX('AMMO Measures'!H:H,MATCH($A35,'AMMO Measures'!A:A,0)))</f>
        <v>16</v>
      </c>
      <c r="K35" s="694">
        <v>2027</v>
      </c>
      <c r="L35" s="1260">
        <f>SUMIFS('AMMO Units'!F:F,'AMMO Units'!$A:$A,$K35,'AMMO Units'!$E:$E,$A35)</f>
        <v>7.1644645799999997</v>
      </c>
      <c r="M35" s="743">
        <f>SUMIFS('AMMO Units'!G:G,'AMMO Units'!$A:$A,$K35,'AMMO Units'!$E:$E,$A35)</f>
        <v>0.35822323</v>
      </c>
      <c r="N35" s="1848"/>
      <c r="O35" s="744">
        <f>IF(Selection!$A$2="regional",1,IF($L35=0,0,
( INDEX(Allocation!$B:$B,MATCH(K35,Allocation!$A:$A,0)) * INDEX(UnitsFunderShareAllocation!$C:$C, MATCH($A35&amp;K35,UnitsFunderShareAllocation!$H:$H,0))
+ INDEX(Allocation!$C:$C,MATCH(K35,Allocation!$A:$A,0)) * INDEX(UnitsFunderShareAllocation!$D:$D, MATCH($A35&amp;K35,UnitsFunderShareAllocation!$H:$H,0))
+ INDEX(Allocation!$D:$D,MATCH(K35,Allocation!$A:$A,0)) * INDEX(UnitsFunderShareAllocation!$E:$E, MATCH($A35&amp;K35,UnitsFunderShareAllocation!$H:$H,0))
+ INDEX(Allocation!$E:$E,MATCH(K35,Allocation!$A:$A,0)) * INDEX(UnitsFunderShareAllocation!$F:$F, MATCH($A35&amp;K35,UnitsFunderShareAllocation!$H:$H,0)))
))</f>
        <v>0.13985600000000001</v>
      </c>
      <c r="P35" s="1161">
        <f>$O$99</f>
        <v>510.91</v>
      </c>
      <c r="Q35" s="1856"/>
      <c r="R35" s="688">
        <f t="shared" si="13"/>
        <v>5.8439318115216698E-5</v>
      </c>
      <c r="S35" s="879">
        <f t="shared" si="14"/>
        <v>2.921965913917665E-6</v>
      </c>
      <c r="T35" s="799">
        <f t="shared" si="15"/>
        <v>5.5517352201299033E-5</v>
      </c>
    </row>
    <row r="36" spans="1:25" ht="12.75" customHeight="1">
      <c r="B36" s="82"/>
      <c r="C36" s="82"/>
      <c r="D36" s="82"/>
      <c r="E36" s="82"/>
      <c r="F36" s="47"/>
      <c r="G36" s="47"/>
      <c r="H36" s="47"/>
      <c r="I36" s="47"/>
      <c r="J36" s="47"/>
      <c r="K36" s="47"/>
      <c r="L36" s="47"/>
      <c r="M36" s="47"/>
      <c r="N36" s="47"/>
      <c r="O36" s="47"/>
      <c r="P36" s="47"/>
      <c r="Q36" s="47"/>
      <c r="R36" s="47"/>
      <c r="S36" s="47"/>
      <c r="T36" s="47"/>
      <c r="U36" s="47"/>
    </row>
    <row r="37" spans="1:25" ht="12.75" customHeight="1">
      <c r="F37" s="127" t="s">
        <v>671</v>
      </c>
      <c r="G37" s="125"/>
      <c r="H37" s="125"/>
      <c r="I37" s="125"/>
      <c r="J37" s="15"/>
    </row>
    <row r="38" spans="1:25" ht="126" customHeight="1">
      <c r="F38" s="1827" t="s">
        <v>2552</v>
      </c>
      <c r="G38" s="1828"/>
      <c r="H38" s="1828"/>
      <c r="I38" s="1828"/>
      <c r="J38" s="1828"/>
      <c r="K38" s="1829"/>
      <c r="P38"/>
      <c r="Q38"/>
      <c r="R38"/>
      <c r="S38"/>
      <c r="T38"/>
      <c r="U38"/>
      <c r="V38"/>
      <c r="W38"/>
      <c r="X38"/>
      <c r="Y38"/>
    </row>
    <row r="39" spans="1:25" ht="12.75" customHeight="1">
      <c r="B39" s="82"/>
      <c r="C39" s="82"/>
      <c r="D39" s="82"/>
      <c r="E39" s="82"/>
      <c r="F39" s="47"/>
      <c r="G39" s="47"/>
      <c r="H39" s="47"/>
      <c r="I39" s="47"/>
      <c r="J39" s="47"/>
      <c r="K39" s="47"/>
      <c r="L39" s="47"/>
      <c r="M39" s="47"/>
      <c r="N39" s="47"/>
      <c r="O39" s="47"/>
      <c r="P39"/>
      <c r="Q39"/>
      <c r="R39"/>
      <c r="S39"/>
      <c r="T39"/>
      <c r="U39"/>
      <c r="V39"/>
      <c r="W39"/>
      <c r="X39"/>
      <c r="Y39"/>
    </row>
    <row r="40" spans="1:25" ht="12.75" customHeight="1">
      <c r="B40" s="82"/>
      <c r="C40" s="82"/>
      <c r="D40" s="82"/>
      <c r="E40" s="82"/>
      <c r="F40" s="47"/>
      <c r="G40" s="47"/>
      <c r="H40" s="47"/>
      <c r="I40" s="47"/>
      <c r="J40" s="47"/>
      <c r="K40" s="47"/>
      <c r="L40" s="47"/>
      <c r="M40" s="47"/>
      <c r="N40" s="47"/>
      <c r="O40" s="47"/>
      <c r="P40"/>
      <c r="Q40"/>
      <c r="R40"/>
      <c r="S40"/>
      <c r="T40"/>
      <c r="U40"/>
      <c r="V40"/>
      <c r="W40"/>
      <c r="X40"/>
      <c r="Y40"/>
    </row>
    <row r="41" spans="1:25" s="47" customFormat="1" ht="27" customHeight="1">
      <c r="A41" s="49"/>
      <c r="B41" s="49"/>
      <c r="C41" s="49"/>
      <c r="D41" s="49"/>
      <c r="E41" s="49"/>
      <c r="F41" s="119" t="s">
        <v>9</v>
      </c>
      <c r="P41"/>
      <c r="Q41"/>
      <c r="R41"/>
      <c r="S41"/>
      <c r="T41"/>
      <c r="U41"/>
      <c r="V41"/>
      <c r="W41"/>
      <c r="X41"/>
      <c r="Y41"/>
    </row>
    <row r="42" spans="1:25" ht="12.75" customHeight="1">
      <c r="P42"/>
      <c r="Q42"/>
      <c r="R42"/>
      <c r="S42"/>
      <c r="T42"/>
      <c r="U42"/>
      <c r="V42"/>
      <c r="W42"/>
      <c r="X42"/>
      <c r="Y42"/>
    </row>
    <row r="43" spans="1:25" ht="12.75" customHeight="1">
      <c r="F43" s="1869" t="s">
        <v>1090</v>
      </c>
      <c r="G43" s="1869"/>
      <c r="H43" s="1869"/>
      <c r="I43" s="1869"/>
      <c r="J43" s="1869"/>
      <c r="K43" s="1869"/>
      <c r="L43" s="1869"/>
      <c r="M43" s="1869"/>
      <c r="N43" s="1869"/>
      <c r="P43"/>
      <c r="Q43"/>
      <c r="R43"/>
      <c r="S43"/>
      <c r="T43"/>
      <c r="U43"/>
      <c r="V43"/>
      <c r="W43"/>
      <c r="X43"/>
      <c r="Y43"/>
    </row>
    <row r="44" spans="1:25" ht="12.75" customHeight="1" thickBot="1">
      <c r="P44"/>
      <c r="Q44"/>
      <c r="R44"/>
      <c r="S44"/>
      <c r="T44"/>
      <c r="U44"/>
      <c r="V44"/>
      <c r="W44"/>
      <c r="X44"/>
      <c r="Y44"/>
    </row>
    <row r="45" spans="1:25" ht="12.75" customHeight="1" thickTop="1" thickBot="1">
      <c r="F45" s="47" t="s">
        <v>478</v>
      </c>
      <c r="G45" s="1693" t="s">
        <v>2715</v>
      </c>
      <c r="H45" s="1694"/>
      <c r="I45" s="1695"/>
      <c r="J45" s="51"/>
      <c r="P45"/>
      <c r="Q45"/>
      <c r="R45"/>
      <c r="S45"/>
      <c r="T45"/>
      <c r="U45"/>
      <c r="V45"/>
      <c r="W45"/>
      <c r="X45"/>
      <c r="Y45"/>
    </row>
    <row r="46" spans="1:25" ht="12.75" customHeight="1" thickTop="1">
      <c r="P46"/>
      <c r="Q46"/>
      <c r="R46"/>
      <c r="S46"/>
      <c r="T46"/>
      <c r="U46"/>
      <c r="V46"/>
      <c r="W46"/>
      <c r="X46"/>
      <c r="Y46"/>
    </row>
    <row r="47" spans="1:25" ht="12.75" customHeight="1">
      <c r="P47"/>
      <c r="Q47"/>
      <c r="R47"/>
      <c r="S47"/>
      <c r="T47"/>
      <c r="U47"/>
      <c r="V47"/>
      <c r="W47"/>
      <c r="X47"/>
      <c r="Y47"/>
    </row>
    <row r="48" spans="1:25" ht="62.25" customHeight="1">
      <c r="F48" s="1868" t="s">
        <v>2573</v>
      </c>
      <c r="G48" s="1868"/>
      <c r="H48" s="1868"/>
      <c r="I48" s="1868"/>
      <c r="J48" s="1868"/>
      <c r="K48" s="1868"/>
      <c r="L48" s="1868"/>
      <c r="M48" s="1868"/>
      <c r="N48" s="1868"/>
      <c r="O48" s="211"/>
      <c r="P48"/>
      <c r="Q48"/>
      <c r="R48"/>
      <c r="S48"/>
      <c r="T48"/>
      <c r="U48"/>
      <c r="V48"/>
      <c r="W48"/>
      <c r="X48"/>
      <c r="Y48"/>
    </row>
    <row r="49" spans="6:25" ht="12.75" customHeight="1">
      <c r="P49"/>
      <c r="Q49"/>
      <c r="R49"/>
      <c r="S49"/>
      <c r="T49"/>
      <c r="U49"/>
      <c r="V49"/>
      <c r="W49"/>
      <c r="X49"/>
      <c r="Y49"/>
    </row>
    <row r="50" spans="6:25" ht="12.75" customHeight="1" thickBot="1">
      <c r="F50" s="218"/>
      <c r="G50" s="218"/>
      <c r="H50" s="218"/>
      <c r="I50" s="218"/>
      <c r="J50" s="218"/>
      <c r="K50" s="218"/>
      <c r="L50" s="218"/>
      <c r="M50" s="218"/>
      <c r="P50"/>
      <c r="Q50"/>
      <c r="R50"/>
      <c r="S50"/>
      <c r="T50"/>
      <c r="U50"/>
      <c r="V50"/>
      <c r="W50"/>
      <c r="X50"/>
      <c r="Y50"/>
    </row>
    <row r="51" spans="6:25" ht="27.6" customHeight="1">
      <c r="F51" s="409"/>
      <c r="G51" s="410"/>
      <c r="H51" s="1870" t="s">
        <v>2019</v>
      </c>
      <c r="I51" s="1871"/>
      <c r="J51" s="1872"/>
      <c r="K51" s="1873" t="s">
        <v>2020</v>
      </c>
      <c r="L51" s="1874"/>
      <c r="M51" s="1875"/>
      <c r="N51" s="1852" t="s">
        <v>834</v>
      </c>
      <c r="O51" s="1853"/>
      <c r="P51"/>
      <c r="Q51"/>
      <c r="R51"/>
      <c r="S51"/>
      <c r="T51"/>
      <c r="U51"/>
      <c r="V51"/>
      <c r="W51"/>
      <c r="X51"/>
      <c r="Y51"/>
    </row>
    <row r="52" spans="6:25" ht="64.349999999999994" customHeight="1" thickBot="1">
      <c r="F52" s="411" t="s">
        <v>832</v>
      </c>
      <c r="G52" s="412" t="s">
        <v>833</v>
      </c>
      <c r="H52" s="413" t="s">
        <v>1076</v>
      </c>
      <c r="I52" s="414" t="s">
        <v>2021</v>
      </c>
      <c r="J52" s="415" t="s">
        <v>2022</v>
      </c>
      <c r="K52" s="416" t="s">
        <v>2023</v>
      </c>
      <c r="L52" s="414" t="s">
        <v>2024</v>
      </c>
      <c r="M52" s="415" t="s">
        <v>2025</v>
      </c>
      <c r="N52" s="416" t="s">
        <v>1954</v>
      </c>
      <c r="O52" s="417" t="s">
        <v>2026</v>
      </c>
      <c r="P52"/>
      <c r="Q52"/>
      <c r="R52"/>
      <c r="S52"/>
      <c r="T52"/>
      <c r="U52"/>
      <c r="V52"/>
      <c r="W52"/>
      <c r="X52"/>
      <c r="Y52"/>
    </row>
    <row r="53" spans="6:25" ht="12.75" customHeight="1">
      <c r="F53" s="408" t="s">
        <v>2027</v>
      </c>
      <c r="G53" s="408" t="s">
        <v>2028</v>
      </c>
      <c r="H53" s="408">
        <v>52.54</v>
      </c>
      <c r="I53" s="408">
        <v>0</v>
      </c>
      <c r="J53" s="408" t="s">
        <v>835</v>
      </c>
      <c r="K53" s="408">
        <v>-0.06</v>
      </c>
      <c r="L53" s="408">
        <v>0</v>
      </c>
      <c r="M53" s="408" t="s">
        <v>835</v>
      </c>
      <c r="N53" s="408">
        <v>12</v>
      </c>
      <c r="O53" s="408"/>
      <c r="P53"/>
      <c r="Q53"/>
      <c r="R53"/>
      <c r="S53"/>
      <c r="T53"/>
      <c r="U53"/>
      <c r="V53"/>
      <c r="W53"/>
      <c r="X53"/>
      <c r="Y53"/>
    </row>
    <row r="54" spans="6:25" ht="12.75" customHeight="1">
      <c r="F54" s="408" t="s">
        <v>2029</v>
      </c>
      <c r="G54" s="408" t="s">
        <v>2028</v>
      </c>
      <c r="H54" s="408">
        <v>154.41</v>
      </c>
      <c r="I54" s="408">
        <v>0</v>
      </c>
      <c r="J54" s="408" t="s">
        <v>835</v>
      </c>
      <c r="K54" s="408">
        <v>-0.18</v>
      </c>
      <c r="L54" s="408">
        <v>0</v>
      </c>
      <c r="M54" s="408" t="s">
        <v>835</v>
      </c>
      <c r="N54" s="408">
        <v>12</v>
      </c>
      <c r="O54" s="408"/>
      <c r="P54"/>
      <c r="Q54"/>
      <c r="R54"/>
      <c r="S54"/>
      <c r="T54"/>
      <c r="U54"/>
      <c r="V54"/>
      <c r="W54"/>
      <c r="X54"/>
      <c r="Y54"/>
    </row>
    <row r="55" spans="6:25" ht="12.75" customHeight="1">
      <c r="F55" s="408" t="s">
        <v>2030</v>
      </c>
      <c r="G55" s="408" t="s">
        <v>2028</v>
      </c>
      <c r="H55" s="408">
        <v>188.64</v>
      </c>
      <c r="I55" s="408">
        <v>0</v>
      </c>
      <c r="J55" s="408" t="s">
        <v>835</v>
      </c>
      <c r="K55" s="408">
        <v>-0.18</v>
      </c>
      <c r="L55" s="408">
        <v>0</v>
      </c>
      <c r="M55" s="408" t="s">
        <v>835</v>
      </c>
      <c r="N55" s="408">
        <v>12</v>
      </c>
      <c r="O55" s="408"/>
      <c r="P55"/>
      <c r="Q55"/>
      <c r="R55"/>
      <c r="S55"/>
      <c r="T55"/>
      <c r="U55"/>
      <c r="V55"/>
      <c r="W55"/>
      <c r="X55"/>
      <c r="Y55"/>
    </row>
    <row r="56" spans="6:25" ht="12.75" customHeight="1">
      <c r="F56" s="408" t="s">
        <v>2031</v>
      </c>
      <c r="G56" s="408" t="s">
        <v>2028</v>
      </c>
      <c r="H56" s="408">
        <v>218.95</v>
      </c>
      <c r="I56" s="408">
        <v>0</v>
      </c>
      <c r="J56" s="408" t="s">
        <v>835</v>
      </c>
      <c r="K56" s="408">
        <v>-0.18</v>
      </c>
      <c r="L56" s="408">
        <v>0</v>
      </c>
      <c r="M56" s="408" t="s">
        <v>835</v>
      </c>
      <c r="N56" s="408">
        <v>12</v>
      </c>
      <c r="O56" s="408"/>
      <c r="P56"/>
      <c r="Q56"/>
      <c r="R56"/>
      <c r="S56"/>
      <c r="T56"/>
      <c r="U56"/>
      <c r="V56"/>
      <c r="W56"/>
      <c r="X56"/>
      <c r="Y56"/>
    </row>
    <row r="57" spans="6:25" ht="12.75" customHeight="1">
      <c r="F57" s="408" t="s">
        <v>2032</v>
      </c>
      <c r="G57" s="408" t="s">
        <v>2028</v>
      </c>
      <c r="H57" s="408">
        <v>245.97</v>
      </c>
      <c r="I57" s="408">
        <v>0</v>
      </c>
      <c r="J57" s="408" t="s">
        <v>835</v>
      </c>
      <c r="K57" s="408">
        <v>-0.18</v>
      </c>
      <c r="L57" s="408">
        <v>0</v>
      </c>
      <c r="M57" s="408" t="s">
        <v>835</v>
      </c>
      <c r="N57" s="408">
        <v>12</v>
      </c>
      <c r="O57" s="408"/>
      <c r="P57"/>
      <c r="Q57"/>
      <c r="R57"/>
      <c r="S57"/>
      <c r="T57"/>
      <c r="U57"/>
      <c r="V57"/>
      <c r="W57"/>
      <c r="X57"/>
      <c r="Y57"/>
    </row>
    <row r="58" spans="6:25" ht="12.75" customHeight="1">
      <c r="F58" s="408" t="s">
        <v>2033</v>
      </c>
      <c r="G58" s="408" t="s">
        <v>2028</v>
      </c>
      <c r="H58" s="408">
        <v>280.60000000000002</v>
      </c>
      <c r="I58" s="408">
        <v>0</v>
      </c>
      <c r="J58" s="408" t="s">
        <v>835</v>
      </c>
      <c r="K58" s="408">
        <v>-0.18</v>
      </c>
      <c r="L58" s="408">
        <v>0</v>
      </c>
      <c r="M58" s="408" t="s">
        <v>835</v>
      </c>
      <c r="N58" s="408">
        <v>12</v>
      </c>
      <c r="O58" s="408"/>
      <c r="P58"/>
      <c r="Q58"/>
      <c r="R58"/>
      <c r="S58"/>
      <c r="T58"/>
      <c r="U58"/>
      <c r="V58"/>
      <c r="W58"/>
      <c r="X58"/>
      <c r="Y58"/>
    </row>
    <row r="59" spans="6:25" ht="12.75" customHeight="1">
      <c r="F59" s="408" t="s">
        <v>2034</v>
      </c>
      <c r="G59" s="408" t="s">
        <v>2028</v>
      </c>
      <c r="H59" s="408">
        <v>324.58</v>
      </c>
      <c r="I59" s="408">
        <v>0</v>
      </c>
      <c r="J59" s="408" t="s">
        <v>835</v>
      </c>
      <c r="K59" s="408">
        <v>-0.18</v>
      </c>
      <c r="L59" s="408">
        <v>0</v>
      </c>
      <c r="M59" s="408" t="s">
        <v>835</v>
      </c>
      <c r="N59" s="408">
        <v>12</v>
      </c>
      <c r="O59" s="408"/>
      <c r="P59"/>
      <c r="Q59"/>
      <c r="R59"/>
      <c r="S59"/>
      <c r="T59"/>
      <c r="U59"/>
      <c r="V59"/>
      <c r="W59"/>
      <c r="X59"/>
      <c r="Y59"/>
    </row>
    <row r="60" spans="6:25" ht="12.75" customHeight="1">
      <c r="F60" s="408" t="s">
        <v>2035</v>
      </c>
      <c r="G60" s="408" t="s">
        <v>2028</v>
      </c>
      <c r="H60" s="408">
        <v>367.53</v>
      </c>
      <c r="I60" s="408">
        <v>0</v>
      </c>
      <c r="J60" s="408" t="s">
        <v>835</v>
      </c>
      <c r="K60" s="408">
        <v>-0.19</v>
      </c>
      <c r="L60" s="408">
        <v>0</v>
      </c>
      <c r="M60" s="408" t="s">
        <v>835</v>
      </c>
      <c r="N60" s="408">
        <v>12</v>
      </c>
      <c r="O60" s="408"/>
      <c r="P60"/>
      <c r="Q60"/>
      <c r="R60"/>
      <c r="S60"/>
      <c r="T60"/>
      <c r="U60"/>
      <c r="V60"/>
      <c r="W60"/>
      <c r="X60"/>
      <c r="Y60"/>
    </row>
    <row r="61" spans="6:25" ht="12.75" customHeight="1">
      <c r="F61" s="408" t="s">
        <v>2036</v>
      </c>
      <c r="G61" s="408" t="s">
        <v>2028</v>
      </c>
      <c r="H61" s="408">
        <v>410.15</v>
      </c>
      <c r="I61" s="408">
        <v>0</v>
      </c>
      <c r="J61" s="408" t="s">
        <v>835</v>
      </c>
      <c r="K61" s="408">
        <v>-0.19</v>
      </c>
      <c r="L61" s="408">
        <v>0</v>
      </c>
      <c r="M61" s="408" t="s">
        <v>835</v>
      </c>
      <c r="N61" s="408">
        <v>12</v>
      </c>
      <c r="O61" s="408"/>
      <c r="P61"/>
      <c r="Q61"/>
      <c r="R61"/>
      <c r="S61"/>
      <c r="T61"/>
      <c r="U61"/>
      <c r="V61"/>
      <c r="W61"/>
      <c r="X61"/>
      <c r="Y61"/>
    </row>
    <row r="62" spans="6:25" ht="12.75" customHeight="1">
      <c r="F62" s="408" t="s">
        <v>2037</v>
      </c>
      <c r="G62" s="408" t="s">
        <v>2028</v>
      </c>
      <c r="H62" s="408">
        <v>453.61</v>
      </c>
      <c r="I62" s="408">
        <v>0</v>
      </c>
      <c r="J62" s="408" t="s">
        <v>835</v>
      </c>
      <c r="K62" s="408">
        <v>-0.19</v>
      </c>
      <c r="L62" s="408">
        <v>0</v>
      </c>
      <c r="M62" s="408" t="s">
        <v>835</v>
      </c>
      <c r="N62" s="408">
        <v>12</v>
      </c>
      <c r="O62" s="408"/>
      <c r="P62"/>
      <c r="Q62"/>
      <c r="R62"/>
      <c r="S62"/>
      <c r="T62"/>
      <c r="U62"/>
      <c r="V62"/>
      <c r="W62"/>
      <c r="X62"/>
      <c r="Y62"/>
    </row>
    <row r="63" spans="6:25" ht="12.75" customHeight="1">
      <c r="F63" s="408" t="s">
        <v>2038</v>
      </c>
      <c r="G63" s="408" t="s">
        <v>2028</v>
      </c>
      <c r="H63" s="408">
        <v>487.59</v>
      </c>
      <c r="I63" s="408">
        <v>0</v>
      </c>
      <c r="J63" s="408" t="s">
        <v>835</v>
      </c>
      <c r="K63" s="408">
        <v>-0.19</v>
      </c>
      <c r="L63" s="408">
        <v>0</v>
      </c>
      <c r="M63" s="408" t="s">
        <v>835</v>
      </c>
      <c r="N63" s="408">
        <v>12</v>
      </c>
      <c r="O63" s="408"/>
      <c r="P63"/>
      <c r="Q63"/>
      <c r="R63"/>
      <c r="S63"/>
      <c r="T63"/>
      <c r="U63"/>
    </row>
    <row r="64" spans="6:25" ht="12.75" customHeight="1">
      <c r="F64" s="408" t="s">
        <v>2039</v>
      </c>
      <c r="G64" s="408" t="s">
        <v>2028</v>
      </c>
      <c r="H64" s="408">
        <v>96.6</v>
      </c>
      <c r="I64" s="408">
        <v>0</v>
      </c>
      <c r="J64" s="408" t="s">
        <v>835</v>
      </c>
      <c r="K64" s="408">
        <v>4.8899999999999997</v>
      </c>
      <c r="L64" s="408">
        <v>0</v>
      </c>
      <c r="M64" s="408" t="s">
        <v>835</v>
      </c>
      <c r="N64" s="408">
        <v>12</v>
      </c>
      <c r="O64" s="408"/>
      <c r="P64"/>
      <c r="Q64"/>
      <c r="R64"/>
      <c r="S64"/>
      <c r="T64"/>
      <c r="U64"/>
    </row>
    <row r="65" spans="6:21" ht="12.75" customHeight="1">
      <c r="F65" s="408" t="s">
        <v>2040</v>
      </c>
      <c r="G65" s="408" t="s">
        <v>2028</v>
      </c>
      <c r="H65" s="408">
        <v>194.6</v>
      </c>
      <c r="I65" s="408">
        <v>0</v>
      </c>
      <c r="J65" s="408" t="s">
        <v>835</v>
      </c>
      <c r="K65" s="408">
        <v>4.26</v>
      </c>
      <c r="L65" s="408">
        <v>0</v>
      </c>
      <c r="M65" s="408" t="s">
        <v>835</v>
      </c>
      <c r="N65" s="408">
        <v>12</v>
      </c>
      <c r="O65" s="408"/>
      <c r="P65"/>
      <c r="Q65"/>
      <c r="R65"/>
      <c r="S65"/>
      <c r="T65"/>
      <c r="U65"/>
    </row>
    <row r="66" spans="6:21" ht="12.75" customHeight="1">
      <c r="F66" s="408" t="s">
        <v>2041</v>
      </c>
      <c r="G66" s="408" t="s">
        <v>2028</v>
      </c>
      <c r="H66" s="408">
        <v>227.08</v>
      </c>
      <c r="I66" s="408">
        <v>0</v>
      </c>
      <c r="J66" s="408" t="s">
        <v>835</v>
      </c>
      <c r="K66" s="408">
        <v>4.0599999999999996</v>
      </c>
      <c r="L66" s="408">
        <v>0</v>
      </c>
      <c r="M66" s="408" t="s">
        <v>835</v>
      </c>
      <c r="N66" s="408">
        <v>12</v>
      </c>
      <c r="O66" s="408"/>
      <c r="P66"/>
      <c r="Q66"/>
      <c r="R66"/>
      <c r="S66"/>
      <c r="T66"/>
      <c r="U66"/>
    </row>
    <row r="67" spans="6:21" ht="12.75" customHeight="1">
      <c r="F67" s="408" t="s">
        <v>2042</v>
      </c>
      <c r="G67" s="408" t="s">
        <v>2028</v>
      </c>
      <c r="H67" s="408">
        <v>255.83</v>
      </c>
      <c r="I67" s="408">
        <v>0</v>
      </c>
      <c r="J67" s="408" t="s">
        <v>835</v>
      </c>
      <c r="K67" s="408">
        <v>3.87</v>
      </c>
      <c r="L67" s="408">
        <v>0</v>
      </c>
      <c r="M67" s="408" t="s">
        <v>835</v>
      </c>
      <c r="N67" s="408">
        <v>12</v>
      </c>
      <c r="O67" s="408"/>
      <c r="P67"/>
      <c r="Q67"/>
      <c r="R67"/>
      <c r="S67"/>
      <c r="T67"/>
      <c r="U67"/>
    </row>
    <row r="68" spans="6:21" ht="12.75" customHeight="1">
      <c r="F68" s="408" t="s">
        <v>2043</v>
      </c>
      <c r="G68" s="408" t="s">
        <v>2028</v>
      </c>
      <c r="H68" s="408">
        <v>281.47000000000003</v>
      </c>
      <c r="I68" s="408">
        <v>0</v>
      </c>
      <c r="J68" s="408" t="s">
        <v>835</v>
      </c>
      <c r="K68" s="408">
        <v>3.71</v>
      </c>
      <c r="L68" s="408">
        <v>0</v>
      </c>
      <c r="M68" s="408" t="s">
        <v>835</v>
      </c>
      <c r="N68" s="408">
        <v>12</v>
      </c>
      <c r="O68" s="408"/>
      <c r="P68"/>
      <c r="Q68"/>
      <c r="R68"/>
      <c r="S68"/>
      <c r="T68"/>
      <c r="U68"/>
    </row>
    <row r="69" spans="6:21" ht="12.75" customHeight="1">
      <c r="F69" s="408" t="s">
        <v>2044</v>
      </c>
      <c r="G69" s="408" t="s">
        <v>2028</v>
      </c>
      <c r="H69" s="408">
        <v>314.33</v>
      </c>
      <c r="I69" s="408">
        <v>0</v>
      </c>
      <c r="J69" s="408" t="s">
        <v>835</v>
      </c>
      <c r="K69" s="408">
        <v>3.5</v>
      </c>
      <c r="L69" s="408">
        <v>0</v>
      </c>
      <c r="M69" s="408" t="s">
        <v>835</v>
      </c>
      <c r="N69" s="408">
        <v>12</v>
      </c>
      <c r="O69" s="408"/>
      <c r="P69"/>
      <c r="Q69"/>
      <c r="R69"/>
      <c r="S69"/>
      <c r="T69"/>
      <c r="U69"/>
    </row>
    <row r="70" spans="6:21" ht="12.75" customHeight="1">
      <c r="F70" s="408" t="s">
        <v>2045</v>
      </c>
      <c r="G70" s="408" t="s">
        <v>2028</v>
      </c>
      <c r="H70" s="408">
        <v>356.07</v>
      </c>
      <c r="I70" s="408">
        <v>0</v>
      </c>
      <c r="J70" s="408" t="s">
        <v>835</v>
      </c>
      <c r="K70" s="408">
        <v>3.23</v>
      </c>
      <c r="L70" s="408">
        <v>0</v>
      </c>
      <c r="M70" s="408" t="s">
        <v>835</v>
      </c>
      <c r="N70" s="408">
        <v>12</v>
      </c>
      <c r="O70" s="408"/>
      <c r="P70"/>
      <c r="Q70"/>
      <c r="R70"/>
      <c r="S70"/>
      <c r="T70"/>
      <c r="U70"/>
    </row>
    <row r="71" spans="6:21" ht="12.75" customHeight="1">
      <c r="F71" s="408" t="s">
        <v>2046</v>
      </c>
      <c r="G71" s="408" t="s">
        <v>2028</v>
      </c>
      <c r="H71" s="408">
        <v>396.99</v>
      </c>
      <c r="I71" s="408">
        <v>0</v>
      </c>
      <c r="J71" s="408" t="s">
        <v>835</v>
      </c>
      <c r="K71" s="408">
        <v>2.97</v>
      </c>
      <c r="L71" s="408">
        <v>0</v>
      </c>
      <c r="M71" s="408" t="s">
        <v>835</v>
      </c>
      <c r="N71" s="408">
        <v>12</v>
      </c>
      <c r="O71" s="408"/>
      <c r="P71"/>
      <c r="Q71"/>
      <c r="R71"/>
      <c r="S71"/>
      <c r="T71"/>
      <c r="U71"/>
    </row>
    <row r="72" spans="6:21" ht="12.75" customHeight="1">
      <c r="F72" s="408" t="s">
        <v>2047</v>
      </c>
      <c r="G72" s="408" t="s">
        <v>2028</v>
      </c>
      <c r="H72" s="408">
        <v>437.43</v>
      </c>
      <c r="I72" s="408">
        <v>0</v>
      </c>
      <c r="J72" s="408" t="s">
        <v>835</v>
      </c>
      <c r="K72" s="408">
        <v>2.71</v>
      </c>
      <c r="L72" s="408">
        <v>0</v>
      </c>
      <c r="M72" s="408" t="s">
        <v>835</v>
      </c>
      <c r="N72" s="408">
        <v>12</v>
      </c>
      <c r="O72" s="408"/>
      <c r="P72"/>
      <c r="Q72"/>
      <c r="R72"/>
      <c r="S72"/>
      <c r="T72"/>
      <c r="U72"/>
    </row>
    <row r="73" spans="6:21" ht="12.75" customHeight="1">
      <c r="F73" s="408" t="s">
        <v>2048</v>
      </c>
      <c r="G73" s="408" t="s">
        <v>2028</v>
      </c>
      <c r="H73" s="408">
        <v>478.66</v>
      </c>
      <c r="I73" s="408">
        <v>0</v>
      </c>
      <c r="J73" s="408" t="s">
        <v>835</v>
      </c>
      <c r="K73" s="408">
        <v>2.4500000000000002</v>
      </c>
      <c r="L73" s="408">
        <v>0</v>
      </c>
      <c r="M73" s="408" t="s">
        <v>835</v>
      </c>
      <c r="N73" s="408">
        <v>12</v>
      </c>
      <c r="O73" s="408"/>
      <c r="P73"/>
      <c r="Q73"/>
      <c r="R73"/>
      <c r="S73"/>
      <c r="T73"/>
      <c r="U73"/>
    </row>
    <row r="74" spans="6:21" ht="12.75" customHeight="1">
      <c r="F74" s="408" t="s">
        <v>2049</v>
      </c>
      <c r="G74" s="408" t="s">
        <v>2028</v>
      </c>
      <c r="H74" s="408">
        <v>510.91</v>
      </c>
      <c r="I74" s="408">
        <v>0</v>
      </c>
      <c r="J74" s="408" t="s">
        <v>835</v>
      </c>
      <c r="K74" s="408">
        <v>2.2400000000000002</v>
      </c>
      <c r="L74" s="408">
        <v>0</v>
      </c>
      <c r="M74" s="408" t="s">
        <v>835</v>
      </c>
      <c r="N74" s="408">
        <v>12</v>
      </c>
      <c r="O74" s="408"/>
      <c r="P74"/>
      <c r="Q74"/>
      <c r="R74"/>
      <c r="S74"/>
      <c r="T74"/>
      <c r="U74"/>
    </row>
    <row r="75" spans="6:21" ht="12.75" customHeight="1">
      <c r="F75" s="408" t="s">
        <v>2714</v>
      </c>
      <c r="G75" s="408" t="s">
        <v>2028</v>
      </c>
      <c r="H75" s="408">
        <v>-0.4</v>
      </c>
      <c r="I75" s="408">
        <v>0</v>
      </c>
      <c r="J75" s="408" t="s">
        <v>835</v>
      </c>
      <c r="K75" s="408">
        <v>1.63</v>
      </c>
      <c r="L75" s="408">
        <v>0</v>
      </c>
      <c r="M75" s="408" t="s">
        <v>835</v>
      </c>
      <c r="N75" s="408">
        <v>12</v>
      </c>
      <c r="O75" s="408"/>
      <c r="P75"/>
      <c r="Q75"/>
      <c r="R75"/>
      <c r="S75"/>
      <c r="T75"/>
      <c r="U75"/>
    </row>
    <row r="76" spans="6:21" ht="12.75" customHeight="1">
      <c r="P76"/>
      <c r="Q76"/>
      <c r="R76"/>
      <c r="S76"/>
      <c r="T76"/>
      <c r="U76"/>
    </row>
    <row r="77" spans="6:21" ht="12.75" customHeight="1">
      <c r="F77" s="1865" t="s">
        <v>836</v>
      </c>
      <c r="G77" s="1866"/>
      <c r="H77" s="1866"/>
      <c r="I77" s="1866"/>
      <c r="J77" s="1866"/>
      <c r="K77" s="1867"/>
    </row>
    <row r="78" spans="6:21" ht="12.75" customHeight="1">
      <c r="F78" s="212" t="s">
        <v>837</v>
      </c>
      <c r="G78" s="213" t="s">
        <v>490</v>
      </c>
      <c r="H78" s="220" t="s">
        <v>1019</v>
      </c>
      <c r="I78" s="51"/>
      <c r="J78" s="219"/>
      <c r="K78" s="418">
        <f>H53</f>
        <v>52.54</v>
      </c>
    </row>
    <row r="79" spans="6:21" ht="12.75" customHeight="1">
      <c r="F79" s="212" t="s">
        <v>837</v>
      </c>
      <c r="G79" s="213" t="s">
        <v>491</v>
      </c>
      <c r="H79" s="220" t="s">
        <v>902</v>
      </c>
      <c r="I79" s="51"/>
      <c r="J79" s="219"/>
      <c r="K79" s="419">
        <f>H57</f>
        <v>245.97</v>
      </c>
    </row>
    <row r="80" spans="6:21" ht="12.75" customHeight="1">
      <c r="F80" s="212" t="s">
        <v>837</v>
      </c>
      <c r="G80" s="213" t="s">
        <v>492</v>
      </c>
      <c r="H80" s="220" t="s">
        <v>903</v>
      </c>
      <c r="I80" s="51"/>
      <c r="J80" s="219"/>
      <c r="K80" s="419">
        <f>H59</f>
        <v>324.58</v>
      </c>
    </row>
    <row r="81" spans="6:17" ht="12.75" customHeight="1">
      <c r="F81" s="212" t="s">
        <v>837</v>
      </c>
      <c r="G81" s="213" t="s">
        <v>838</v>
      </c>
      <c r="H81" s="220" t="s">
        <v>904</v>
      </c>
      <c r="I81" s="51"/>
      <c r="J81" s="219"/>
      <c r="K81" s="419">
        <f>H61</f>
        <v>410.15</v>
      </c>
    </row>
    <row r="82" spans="6:17" ht="12.75" customHeight="1">
      <c r="F82" s="212" t="s">
        <v>837</v>
      </c>
      <c r="G82" s="213" t="s">
        <v>839</v>
      </c>
      <c r="H82" s="220" t="s">
        <v>905</v>
      </c>
      <c r="I82" s="51"/>
      <c r="J82" s="219"/>
      <c r="K82" s="419">
        <f>H62</f>
        <v>453.61</v>
      </c>
    </row>
    <row r="83" spans="6:17" ht="12.75" customHeight="1">
      <c r="F83" s="212" t="s">
        <v>837</v>
      </c>
      <c r="G83" s="213" t="s">
        <v>840</v>
      </c>
      <c r="H83" s="220" t="s">
        <v>906</v>
      </c>
      <c r="I83" s="51"/>
      <c r="J83" s="219"/>
      <c r="K83" s="419">
        <f>H63</f>
        <v>487.59</v>
      </c>
    </row>
    <row r="84" spans="6:17" ht="12.75" customHeight="1">
      <c r="F84" s="212" t="s">
        <v>841</v>
      </c>
      <c r="G84" s="213" t="s">
        <v>490</v>
      </c>
      <c r="H84" s="220" t="s">
        <v>901</v>
      </c>
      <c r="I84" s="51"/>
      <c r="J84" s="219"/>
      <c r="K84" s="419">
        <f>H64</f>
        <v>96.6</v>
      </c>
    </row>
    <row r="85" spans="6:17" ht="12.75" customHeight="1">
      <c r="F85" s="212" t="s">
        <v>841</v>
      </c>
      <c r="G85" s="213" t="s">
        <v>491</v>
      </c>
      <c r="H85" s="220" t="s">
        <v>902</v>
      </c>
      <c r="I85" s="51"/>
      <c r="J85" s="219"/>
      <c r="K85" s="419">
        <f>H68</f>
        <v>281.47000000000003</v>
      </c>
    </row>
    <row r="86" spans="6:17" ht="12.75" customHeight="1">
      <c r="F86" s="212" t="s">
        <v>841</v>
      </c>
      <c r="G86" s="213" t="s">
        <v>492</v>
      </c>
      <c r="H86" s="220" t="s">
        <v>903</v>
      </c>
      <c r="I86" s="51"/>
      <c r="J86" s="219"/>
      <c r="K86" s="419">
        <f>H70</f>
        <v>356.07</v>
      </c>
    </row>
    <row r="87" spans="6:17" ht="12.75" customHeight="1">
      <c r="F87" s="212" t="s">
        <v>841</v>
      </c>
      <c r="G87" s="213" t="s">
        <v>838</v>
      </c>
      <c r="H87" s="220" t="s">
        <v>904</v>
      </c>
      <c r="I87" s="51"/>
      <c r="J87" s="219"/>
      <c r="K87" s="419">
        <f>H72</f>
        <v>437.43</v>
      </c>
    </row>
    <row r="88" spans="6:17" ht="12.75" customHeight="1">
      <c r="F88" s="212" t="s">
        <v>841</v>
      </c>
      <c r="G88" s="213" t="s">
        <v>839</v>
      </c>
      <c r="H88" s="220" t="s">
        <v>905</v>
      </c>
      <c r="I88" s="51"/>
      <c r="J88" s="219"/>
      <c r="K88" s="419">
        <f>H73</f>
        <v>478.66</v>
      </c>
    </row>
    <row r="89" spans="6:17" ht="12.75" customHeight="1">
      <c r="F89" s="214" t="s">
        <v>841</v>
      </c>
      <c r="G89" s="215" t="s">
        <v>840</v>
      </c>
      <c r="H89" s="220" t="s">
        <v>906</v>
      </c>
      <c r="I89" s="95"/>
      <c r="J89" s="221"/>
      <c r="K89" s="420">
        <f>H74</f>
        <v>510.91</v>
      </c>
      <c r="P89"/>
      <c r="Q89"/>
    </row>
    <row r="90" spans="6:17" ht="12.75" customHeight="1">
      <c r="P90"/>
      <c r="Q90"/>
    </row>
    <row r="91" spans="6:17" ht="12.75" customHeight="1">
      <c r="P91"/>
      <c r="Q91"/>
    </row>
    <row r="92" spans="6:17" ht="12.75" customHeight="1">
      <c r="F92" s="1865" t="s">
        <v>2050</v>
      </c>
      <c r="G92" s="1866"/>
      <c r="H92" s="1866"/>
      <c r="I92" s="1866"/>
      <c r="J92" s="1866"/>
      <c r="K92" s="1867"/>
      <c r="M92" s="541"/>
      <c r="N92" s="542"/>
      <c r="O92" s="1860" t="s">
        <v>186</v>
      </c>
      <c r="P92"/>
      <c r="Q92"/>
    </row>
    <row r="93" spans="6:17" ht="12.75" customHeight="1">
      <c r="F93" s="212" t="s">
        <v>837</v>
      </c>
      <c r="G93" s="213" t="s">
        <v>490</v>
      </c>
      <c r="H93" s="220" t="s">
        <v>1019</v>
      </c>
      <c r="I93" s="216">
        <v>1</v>
      </c>
      <c r="J93" s="219"/>
      <c r="K93" s="418">
        <f t="shared" ref="K93:K104" si="16">K78*I93</f>
        <v>52.54</v>
      </c>
      <c r="L93" s="213"/>
      <c r="M93" s="222"/>
      <c r="N93" s="219"/>
      <c r="O93" s="1861"/>
      <c r="P93"/>
      <c r="Q93"/>
    </row>
    <row r="94" spans="6:17" ht="12.75" customHeight="1">
      <c r="F94" s="212" t="s">
        <v>837</v>
      </c>
      <c r="G94" s="213" t="s">
        <v>491</v>
      </c>
      <c r="H94" s="220" t="s">
        <v>902</v>
      </c>
      <c r="I94" s="216">
        <v>0.5</v>
      </c>
      <c r="J94" s="219"/>
      <c r="K94" s="419">
        <f t="shared" si="16"/>
        <v>122.985</v>
      </c>
      <c r="L94" s="219"/>
      <c r="M94" s="543" t="s">
        <v>1019</v>
      </c>
      <c r="N94" s="544"/>
      <c r="O94" s="388">
        <f>SUMIFS($K$93:$K$104,$H$93:$H$104,M94)</f>
        <v>52.54</v>
      </c>
      <c r="P94"/>
      <c r="Q94"/>
    </row>
    <row r="95" spans="6:17" ht="12.75" customHeight="1">
      <c r="F95" s="212" t="s">
        <v>837</v>
      </c>
      <c r="G95" s="213" t="s">
        <v>492</v>
      </c>
      <c r="H95" s="220" t="s">
        <v>903</v>
      </c>
      <c r="I95" s="216">
        <v>0</v>
      </c>
      <c r="J95" s="219"/>
      <c r="K95" s="419">
        <f t="shared" si="16"/>
        <v>0</v>
      </c>
      <c r="L95" s="213"/>
      <c r="M95" s="543" t="s">
        <v>902</v>
      </c>
      <c r="N95" s="544"/>
      <c r="O95" s="388">
        <f>SUMIFS($K$93:$K$104,$H$93:$H$104,M95)</f>
        <v>263.72000000000003</v>
      </c>
      <c r="P95"/>
      <c r="Q95"/>
    </row>
    <row r="96" spans="6:17" ht="12.75" customHeight="1">
      <c r="F96" s="212" t="s">
        <v>837</v>
      </c>
      <c r="G96" s="213" t="s">
        <v>838</v>
      </c>
      <c r="H96" s="220" t="s">
        <v>904</v>
      </c>
      <c r="I96" s="216">
        <v>0</v>
      </c>
      <c r="J96" s="219"/>
      <c r="K96" s="419">
        <f t="shared" si="16"/>
        <v>0</v>
      </c>
      <c r="L96" s="213"/>
      <c r="M96" s="543" t="s">
        <v>903</v>
      </c>
      <c r="N96" s="544"/>
      <c r="O96" s="388">
        <f t="shared" ref="O96:O99" si="17">SUMIFS($K$93:$K$104,$H$93:$H$104,M96)</f>
        <v>356.07</v>
      </c>
      <c r="P96"/>
      <c r="Q96"/>
    </row>
    <row r="97" spans="6:17" ht="12.75" customHeight="1">
      <c r="F97" s="212" t="s">
        <v>837</v>
      </c>
      <c r="G97" s="213" t="s">
        <v>839</v>
      </c>
      <c r="H97" s="220" t="s">
        <v>905</v>
      </c>
      <c r="I97" s="216">
        <v>0</v>
      </c>
      <c r="J97" s="219"/>
      <c r="K97" s="419">
        <f t="shared" si="16"/>
        <v>0</v>
      </c>
      <c r="L97" s="213"/>
      <c r="M97" s="543" t="s">
        <v>904</v>
      </c>
      <c r="N97" s="544"/>
      <c r="O97" s="388">
        <f t="shared" si="17"/>
        <v>437.43</v>
      </c>
      <c r="P97"/>
      <c r="Q97"/>
    </row>
    <row r="98" spans="6:17" ht="12.75" customHeight="1">
      <c r="F98" s="212" t="s">
        <v>837</v>
      </c>
      <c r="G98" s="213" t="s">
        <v>840</v>
      </c>
      <c r="H98" s="220" t="s">
        <v>906</v>
      </c>
      <c r="I98" s="216">
        <v>0</v>
      </c>
      <c r="J98" s="219"/>
      <c r="K98" s="419">
        <f t="shared" si="16"/>
        <v>0</v>
      </c>
      <c r="L98" s="213"/>
      <c r="M98" s="543" t="s">
        <v>905</v>
      </c>
      <c r="N98" s="544"/>
      <c r="O98" s="388">
        <f t="shared" si="17"/>
        <v>478.66</v>
      </c>
      <c r="P98"/>
      <c r="Q98"/>
    </row>
    <row r="99" spans="6:17" ht="12.75" customHeight="1">
      <c r="F99" s="212" t="s">
        <v>841</v>
      </c>
      <c r="G99" s="213" t="s">
        <v>490</v>
      </c>
      <c r="H99" s="220" t="s">
        <v>901</v>
      </c>
      <c r="I99" s="223">
        <v>0</v>
      </c>
      <c r="J99" s="219"/>
      <c r="K99" s="419">
        <f t="shared" si="16"/>
        <v>0</v>
      </c>
      <c r="L99" s="213"/>
      <c r="M99" s="543" t="s">
        <v>906</v>
      </c>
      <c r="N99" s="544"/>
      <c r="O99" s="388">
        <f t="shared" si="17"/>
        <v>510.91</v>
      </c>
      <c r="P99"/>
      <c r="Q99"/>
    </row>
    <row r="100" spans="6:17" ht="12.75" customHeight="1">
      <c r="F100" s="212" t="s">
        <v>841</v>
      </c>
      <c r="G100" s="213" t="s">
        <v>491</v>
      </c>
      <c r="H100" s="220" t="s">
        <v>902</v>
      </c>
      <c r="I100" s="223">
        <v>0.5</v>
      </c>
      <c r="J100" s="219"/>
      <c r="K100" s="419">
        <f>K85*I100</f>
        <v>140.73500000000001</v>
      </c>
      <c r="L100" s="213"/>
      <c r="M100" s="219"/>
      <c r="N100" s="219"/>
      <c r="O100" s="219"/>
      <c r="P100"/>
      <c r="Q100"/>
    </row>
    <row r="101" spans="6:17" ht="12.75" customHeight="1">
      <c r="F101" s="212" t="s">
        <v>841</v>
      </c>
      <c r="G101" s="213" t="s">
        <v>492</v>
      </c>
      <c r="H101" s="220" t="s">
        <v>903</v>
      </c>
      <c r="I101" s="223">
        <v>1</v>
      </c>
      <c r="J101" s="219"/>
      <c r="K101" s="419">
        <f t="shared" si="16"/>
        <v>356.07</v>
      </c>
      <c r="L101" s="219"/>
      <c r="M101" s="219"/>
      <c r="N101" s="219"/>
      <c r="O101" s="219"/>
      <c r="P101"/>
      <c r="Q101"/>
    </row>
    <row r="102" spans="6:17" ht="12.75" customHeight="1">
      <c r="F102" s="212" t="s">
        <v>841</v>
      </c>
      <c r="G102" s="213" t="s">
        <v>838</v>
      </c>
      <c r="H102" s="220" t="s">
        <v>904</v>
      </c>
      <c r="I102" s="223">
        <v>1</v>
      </c>
      <c r="J102" s="219"/>
      <c r="K102" s="419">
        <f t="shared" si="16"/>
        <v>437.43</v>
      </c>
      <c r="L102" s="219"/>
      <c r="M102" s="219"/>
      <c r="N102" s="219"/>
      <c r="O102" s="219"/>
      <c r="P102"/>
      <c r="Q102"/>
    </row>
    <row r="103" spans="6:17" ht="12.75" customHeight="1">
      <c r="F103" s="212" t="s">
        <v>841</v>
      </c>
      <c r="G103" s="213" t="s">
        <v>839</v>
      </c>
      <c r="H103" s="220" t="s">
        <v>905</v>
      </c>
      <c r="I103" s="223">
        <v>1</v>
      </c>
      <c r="J103" s="219"/>
      <c r="K103" s="419">
        <f t="shared" si="16"/>
        <v>478.66</v>
      </c>
      <c r="L103" s="219"/>
      <c r="M103" s="219"/>
      <c r="N103" s="219"/>
      <c r="O103" s="219"/>
      <c r="P103" s="219"/>
      <c r="Q103" s="219"/>
    </row>
    <row r="104" spans="6:17" ht="12.75" customHeight="1">
      <c r="F104" s="214" t="s">
        <v>841</v>
      </c>
      <c r="G104" s="215" t="s">
        <v>840</v>
      </c>
      <c r="H104" s="220" t="s">
        <v>906</v>
      </c>
      <c r="I104" s="223">
        <v>1</v>
      </c>
      <c r="J104" s="221"/>
      <c r="K104" s="420">
        <f t="shared" si="16"/>
        <v>510.91</v>
      </c>
      <c r="L104" s="219"/>
      <c r="M104" s="219"/>
      <c r="N104" s="219"/>
      <c r="O104" s="219"/>
      <c r="P104" s="219"/>
      <c r="Q104" s="219"/>
    </row>
    <row r="105" spans="6:17" ht="12.75" customHeight="1">
      <c r="F105" s="219"/>
      <c r="G105" s="219"/>
      <c r="H105" s="219"/>
      <c r="I105" s="217"/>
      <c r="J105" s="219"/>
      <c r="K105" s="219"/>
      <c r="L105" s="219"/>
      <c r="M105" s="219"/>
      <c r="N105" s="219"/>
      <c r="O105" s="219"/>
      <c r="P105" s="219"/>
      <c r="Q105" s="219"/>
    </row>
  </sheetData>
  <autoFilter ref="F11:T11" xr:uid="{00000000-0001-0000-1300-000000000000}"/>
  <dataConsolidate/>
  <mergeCells count="18">
    <mergeCell ref="G2:T2"/>
    <mergeCell ref="O92:O93"/>
    <mergeCell ref="F10:K10"/>
    <mergeCell ref="L10:O10"/>
    <mergeCell ref="R10:T10"/>
    <mergeCell ref="P10:Q10"/>
    <mergeCell ref="F77:K77"/>
    <mergeCell ref="F92:K92"/>
    <mergeCell ref="F48:N48"/>
    <mergeCell ref="F43:N43"/>
    <mergeCell ref="G45:I45"/>
    <mergeCell ref="H51:J51"/>
    <mergeCell ref="K51:M51"/>
    <mergeCell ref="N51:O51"/>
    <mergeCell ref="N12:N35"/>
    <mergeCell ref="Q12:Q35"/>
    <mergeCell ref="F38:K38"/>
    <mergeCell ref="A10:E10"/>
  </mergeCells>
  <hyperlinks>
    <hyperlink ref="F1" location="'2024-2025 Summary'!C1" display="Summary Page" xr:uid="{7AC0F62A-285B-4063-8A31-7884B6B3E6BB}"/>
  </hyperlinks>
  <pageMargins left="0.7" right="0.7" top="0.75" bottom="0.75" header="0.3" footer="0.3"/>
  <pageSetup scale="33"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A082C-6CD7-4992-9DAD-618E899C32BC}">
  <sheetPr>
    <tabColor theme="5"/>
  </sheetPr>
  <dimension ref="A1"/>
  <sheetViews>
    <sheetView workbookViewId="0">
      <selection activeCell="J32" sqref="J32"/>
    </sheetView>
  </sheetViews>
  <sheetFormatPr defaultRowHeight="1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0083CA"/>
    <pageSetUpPr fitToPage="1"/>
  </sheetPr>
  <dimension ref="A1:AV23"/>
  <sheetViews>
    <sheetView showGridLines="0" topLeftCell="F1" zoomScale="90" zoomScaleNormal="90" workbookViewId="0">
      <selection activeCell="F2" sqref="F2"/>
    </sheetView>
  </sheetViews>
  <sheetFormatPr defaultColWidth="18.5703125" defaultRowHeight="12.75" customHeight="1" outlineLevelRow="1" outlineLevelCol="1"/>
  <cols>
    <col min="1" max="1" width="17.42578125" style="9" hidden="1" customWidth="1" outlineLevel="1"/>
    <col min="2" max="2" width="12" style="9" hidden="1" customWidth="1" outlineLevel="1"/>
    <col min="3" max="3" width="13.5703125" style="9" hidden="1" customWidth="1" outlineLevel="1"/>
    <col min="4" max="4" width="20.42578125" style="9" hidden="1" customWidth="1" outlineLevel="1"/>
    <col min="5" max="5" width="9.5703125" style="9" hidden="1" customWidth="1" outlineLevel="1"/>
    <col min="6" max="6" width="14.5703125" style="50" customWidth="1" collapsed="1"/>
    <col min="7" max="7" width="26.42578125" style="50" customWidth="1"/>
    <col min="8" max="8" width="10.5703125" style="50" customWidth="1"/>
    <col min="9" max="9" width="27.5703125" style="50" customWidth="1"/>
    <col min="10" max="10" width="14.42578125" style="50" customWidth="1"/>
    <col min="11" max="11" width="14.5703125" style="51" customWidth="1"/>
    <col min="12" max="12" width="12.5703125" style="51" customWidth="1"/>
    <col min="13" max="13" width="14.5703125" style="51" customWidth="1"/>
    <col min="14" max="14" width="16.42578125" style="50" customWidth="1"/>
    <col min="15" max="15" width="17.140625" style="50" customWidth="1"/>
    <col min="16" max="16" width="14.5703125" style="50" customWidth="1"/>
    <col min="17" max="17" width="11.28515625" style="50" customWidth="1"/>
    <col min="18" max="18" width="10.5703125" style="50" customWidth="1"/>
    <col min="19" max="19" width="12.5703125" style="52" customWidth="1"/>
    <col min="20" max="20" width="18.5703125" style="50"/>
    <col min="21" max="21" width="7.5703125" style="50" bestFit="1" customWidth="1"/>
    <col min="22" max="22" width="7.42578125" style="50" bestFit="1" customWidth="1"/>
    <col min="23" max="23" width="5" style="50" bestFit="1" customWidth="1"/>
    <col min="24" max="24" width="10.42578125" style="50" bestFit="1" customWidth="1"/>
    <col min="25" max="25" width="9.5703125" style="50" customWidth="1"/>
    <col min="26" max="16384" width="18.5703125" style="50"/>
  </cols>
  <sheetData>
    <row r="1" spans="1:48" ht="12.75" customHeight="1">
      <c r="F1" s="26" t="s">
        <v>557</v>
      </c>
    </row>
    <row r="2" spans="1:48" ht="105.75" customHeight="1">
      <c r="F2" s="966" t="str">
        <f>G13&amp;":"</f>
        <v>Retail Product Portfolio:</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Z2" s="226"/>
      <c r="AA2" s="226" t="s">
        <v>232</v>
      </c>
    </row>
    <row r="3" spans="1:48" ht="27.75" customHeight="1">
      <c r="F3" s="122"/>
      <c r="K3" s="206"/>
      <c r="Z3" s="226"/>
      <c r="AA3" s="226" t="s">
        <v>233</v>
      </c>
    </row>
    <row r="4" spans="1:48" ht="15" hidden="1" outlineLevel="1">
      <c r="F4"/>
      <c r="G4"/>
      <c r="H4"/>
      <c r="I4"/>
      <c r="J4"/>
      <c r="K4" s="206"/>
      <c r="Z4" s="226"/>
      <c r="AA4" s="226"/>
    </row>
    <row r="5" spans="1:48" ht="27.75" hidden="1" customHeight="1" outlineLevel="1">
      <c r="A5" s="9" t="s">
        <v>2652</v>
      </c>
      <c r="F5"/>
      <c r="G5"/>
      <c r="H5"/>
      <c r="I5"/>
      <c r="J5"/>
      <c r="K5" s="206"/>
      <c r="Z5" s="226"/>
      <c r="AA5" s="226"/>
    </row>
    <row r="6" spans="1:48" ht="15" hidden="1" outlineLevel="1">
      <c r="A6" s="667">
        <f>(B6/(SUM(B6:C6)))*D6+ (C6/SUM(B6:C6))*E6</f>
        <v>9</v>
      </c>
      <c r="B6" s="668">
        <f>SUMIFS($T$12:$T$15,$K$12:$K$15, 2024)</f>
        <v>7.4087260467702977E-3</v>
      </c>
      <c r="C6" s="668">
        <f>SUMIFS($T$12:$T$15,$K$12:$K$15, 2025)</f>
        <v>1.0537449825907314E-2</v>
      </c>
      <c r="D6" s="667" cm="1">
        <f t="array" ref="D6">SUMPRODUCT($J$12:$J$15,$T$12:$T$15,--($K$12:$K$15=2024))/SUMIFS($T$12:$T$15,$K$12:$K$15, 2024)</f>
        <v>9</v>
      </c>
      <c r="E6" s="667" cm="1">
        <f t="array" ref="E6">SUMPRODUCT($J$12:$J$15,$T$12:$T$15,--($K$12:$K$15=2025))/SUMIFS($T$12:$T$15,$K$12:$K$15, 2025)</f>
        <v>9</v>
      </c>
      <c r="F6"/>
      <c r="G6"/>
      <c r="H6"/>
      <c r="I6"/>
      <c r="J6"/>
      <c r="K6" s="206"/>
      <c r="Z6" s="226"/>
      <c r="AA6" s="226"/>
    </row>
    <row r="7" spans="1:48" ht="15" hidden="1" outlineLevel="1">
      <c r="A7" s="667">
        <f>(B7/(SUM(B7:C7)))*D7+ (C7/SUM(B7:C7))*E7</f>
        <v>9</v>
      </c>
      <c r="B7" s="668">
        <f>SUMIFS($T$12:$T$15,$K$12:$K$15, 2026)</f>
        <v>1.3034543520522275E-2</v>
      </c>
      <c r="C7" s="668">
        <f>SUMIFS($T$12:$T$15,$K$12:$K$15, 2027)</f>
        <v>1.3443842090982807E-2</v>
      </c>
      <c r="D7" s="667" cm="1">
        <f t="array" ref="D7">SUMPRODUCT($J$12:$J$15,$T$12:$T$15,--($K$12:$K$15=2026))/SUMIFS($T$12:$T$15,$K$12:$K$15, 2026)</f>
        <v>9</v>
      </c>
      <c r="E7" s="667" cm="1">
        <f t="array" ref="E7">SUMPRODUCT($J$12:$J$15,$T$12:$T$15,--($K$12:$K$15=2027))/SUMIFS($T$12:$T$15,$K$12:$K$15, 2027)</f>
        <v>9</v>
      </c>
      <c r="F7"/>
      <c r="G7"/>
      <c r="H7"/>
      <c r="I7"/>
      <c r="J7"/>
      <c r="K7" s="206"/>
      <c r="Z7" s="226"/>
      <c r="AA7" s="226"/>
    </row>
    <row r="8" spans="1:48" ht="15" hidden="1" outlineLevel="1">
      <c r="F8"/>
      <c r="G8"/>
      <c r="H8"/>
      <c r="I8"/>
      <c r="J8"/>
      <c r="K8" s="206"/>
      <c r="Z8" s="226"/>
      <c r="AA8" s="226"/>
    </row>
    <row r="9" spans="1:48" ht="27.75" hidden="1" customHeight="1" outlineLevel="1">
      <c r="F9" s="122"/>
      <c r="K9" s="206"/>
      <c r="Z9" s="226"/>
      <c r="AA9" s="226"/>
    </row>
    <row r="10" spans="1:48" s="47" customFormat="1" ht="15.75" customHeight="1" collapsed="1">
      <c r="A10" s="1809" t="s">
        <v>125</v>
      </c>
      <c r="B10" s="1810"/>
      <c r="C10" s="1810"/>
      <c r="D10" s="1810"/>
      <c r="E10" s="1810"/>
      <c r="F10" s="1720" t="s">
        <v>7</v>
      </c>
      <c r="G10" s="1722"/>
      <c r="H10" s="1722"/>
      <c r="I10" s="1722"/>
      <c r="J10" s="1722"/>
      <c r="K10" s="1816"/>
      <c r="L10" s="1717" t="s">
        <v>122</v>
      </c>
      <c r="M10" s="1718"/>
      <c r="N10" s="1718"/>
      <c r="O10" s="1719"/>
      <c r="P10" s="1802" t="s">
        <v>123</v>
      </c>
      <c r="Q10" s="1803"/>
      <c r="R10" s="1862" t="s">
        <v>124</v>
      </c>
      <c r="S10" s="1863"/>
      <c r="T10" s="1864"/>
      <c r="U10"/>
      <c r="V10"/>
      <c r="W10"/>
      <c r="X10"/>
      <c r="Y10"/>
      <c r="Z10"/>
      <c r="AA10"/>
      <c r="AB10"/>
      <c r="AC10"/>
      <c r="AD10"/>
      <c r="AE10"/>
      <c r="AF10"/>
      <c r="AG10"/>
      <c r="AH10"/>
      <c r="AI10"/>
      <c r="AJ10"/>
      <c r="AK10"/>
      <c r="AL10"/>
      <c r="AM10"/>
      <c r="AN10"/>
      <c r="AO10"/>
      <c r="AP10"/>
      <c r="AQ10"/>
      <c r="AR10"/>
      <c r="AS10"/>
      <c r="AT10"/>
      <c r="AU10"/>
    </row>
    <row r="11" spans="1:48" s="125" customFormat="1" ht="60" customHeight="1" thickBot="1">
      <c r="A11" s="11" t="s">
        <v>0</v>
      </c>
      <c r="B11" s="8" t="s">
        <v>10</v>
      </c>
      <c r="C11" s="8" t="s">
        <v>1</v>
      </c>
      <c r="D11" s="8" t="s">
        <v>2</v>
      </c>
      <c r="E11" s="8" t="s">
        <v>187</v>
      </c>
      <c r="F11" s="996" t="s">
        <v>3</v>
      </c>
      <c r="G11" s="997" t="s">
        <v>4</v>
      </c>
      <c r="H11" s="997" t="s">
        <v>5</v>
      </c>
      <c r="I11" s="997" t="s">
        <v>6</v>
      </c>
      <c r="J11" s="997" t="s">
        <v>834</v>
      </c>
      <c r="K11" s="997" t="s">
        <v>8</v>
      </c>
      <c r="L11" s="913" t="s">
        <v>11</v>
      </c>
      <c r="M11" s="980" t="s">
        <v>12</v>
      </c>
      <c r="N11" s="980" t="s">
        <v>120</v>
      </c>
      <c r="O11" s="720" t="str">
        <f>"Funder Share: "&amp;Selection!A2&amp;" "&amp;Selection!A3</f>
        <v>Funder Share: Puget Sound Energy Washington</v>
      </c>
      <c r="P11" s="981" t="s">
        <v>451</v>
      </c>
      <c r="Q11" s="771" t="s">
        <v>121</v>
      </c>
      <c r="R11" s="715" t="s">
        <v>2683</v>
      </c>
      <c r="S11" s="714" t="s">
        <v>2675</v>
      </c>
      <c r="T11" s="716" t="s">
        <v>2283</v>
      </c>
      <c r="U11"/>
      <c r="V11"/>
      <c r="W11"/>
      <c r="X11"/>
      <c r="Y11"/>
      <c r="Z11"/>
      <c r="AA11"/>
      <c r="AB11"/>
      <c r="AC11"/>
      <c r="AD11"/>
      <c r="AE11"/>
      <c r="AF11"/>
      <c r="AG11"/>
      <c r="AH11"/>
      <c r="AI11"/>
      <c r="AJ11"/>
      <c r="AK11"/>
      <c r="AL11"/>
      <c r="AM11"/>
      <c r="AN11"/>
      <c r="AO11"/>
      <c r="AP11"/>
      <c r="AQ11"/>
      <c r="AR11"/>
      <c r="AS11"/>
      <c r="AT11"/>
      <c r="AU11"/>
      <c r="AV11"/>
    </row>
    <row r="12" spans="1:48" ht="78" thickTop="1">
      <c r="A12" s="12" t="s">
        <v>910</v>
      </c>
      <c r="B12" s="10" t="str">
        <f t="shared" ref="B12:B13" si="0">LEFT(A12,10)</f>
        <v>RES_201403</v>
      </c>
      <c r="C12" s="670" t="str">
        <f>INDEX('AMMO vwFlags'!$C:$C,MATCH($A12&amp;K12,'AMMO vwFlags'!$K:$K,0))</f>
        <v>0</v>
      </c>
      <c r="D12" s="670" t="str">
        <f>INDEX('AMMO vwFlags'!$D:$D,MATCH($A12&amp;$K12,'AMMO vwFlags'!$K:$K,0))</f>
        <v>0</v>
      </c>
      <c r="E12" s="10">
        <f>COUNTIFS($A:$A,$A12,$K:$K,$K12)</f>
        <v>1</v>
      </c>
      <c r="F12" s="722" t="str">
        <f>IF(LEFT(A12,3)="Res","Residential",IF(LEFT(A12,3)="Ind","industrial",IF(LEFT(A12,3)="Com","Commercial",IF(LEFT(A12,3)="AGR","Agriculture",""))))</f>
        <v>Residential</v>
      </c>
      <c r="G12" s="675" t="str">
        <f>INDEX('AMMO Measures'!B:B,MATCH($A12,'AMMO Measures'!$A:$A,0))</f>
        <v>Retail Product Portfolio</v>
      </c>
      <c r="H12" s="675" t="str">
        <f>INDEX('AMMO Measures'!C:C,MATCH($A12,'AMMO Measures'!$A:$A,0))</f>
        <v>Room AC</v>
      </c>
      <c r="I12" s="675" t="str">
        <f>INDEX('AMMO Measures'!D:D,MATCH($A12,'AMMO Measures'!$A:$A,0))</f>
        <v>ENERGY STAR Most Efficient</v>
      </c>
      <c r="J12" s="676">
        <f>VALUE(INDEX('AMMO Measures'!H:H,MATCH($A12,'AMMO Measures'!A:A,0)))</f>
        <v>9</v>
      </c>
      <c r="K12" s="677">
        <v>2024</v>
      </c>
      <c r="L12" s="724">
        <f>SUMIFS('AMMO Units'!F:F,'AMMO Units'!$A:$A,$K12,'AMMO Units'!$E:$E,$A12)</f>
        <v>15402.42394472</v>
      </c>
      <c r="M12" s="725">
        <f>SUMIFS('AMMO Units'!G:G,'AMMO Units'!$A:$A,$K12,'AMMO Units'!$E:$E,$A12)</f>
        <v>0</v>
      </c>
      <c r="N12" s="1565" t="s">
        <v>1971</v>
      </c>
      <c r="O12" s="726">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961">
        <f>SUMIFS('AMMO Savings Rates'!F:F,'AMMO Savings Rates'!$E:$E,$K12,'AMMO Savings Rates'!$D:$D,$A12)</f>
        <v>30.12849697</v>
      </c>
      <c r="Q12" s="1568" t="s">
        <v>1975</v>
      </c>
      <c r="R12" s="962">
        <f>(L12*O12*P12/8760000)</f>
        <v>7.4087260467702977E-3</v>
      </c>
      <c r="S12" s="786">
        <f>IFERROR((M12)*O12*P12/8760/1000,0)</f>
        <v>0</v>
      </c>
      <c r="T12" s="787">
        <f t="shared" ref="T12:T13" si="1">R12-S12</f>
        <v>7.4087260467702977E-3</v>
      </c>
      <c r="U12"/>
      <c r="V12"/>
      <c r="W12"/>
      <c r="X12"/>
      <c r="Y12"/>
      <c r="Z12"/>
      <c r="AA12"/>
      <c r="AB12"/>
      <c r="AC12"/>
      <c r="AD12"/>
      <c r="AE12"/>
      <c r="AF12"/>
      <c r="AG12"/>
      <c r="AH12"/>
      <c r="AI12"/>
      <c r="AJ12"/>
      <c r="AK12"/>
      <c r="AL12"/>
      <c r="AM12"/>
      <c r="AN12"/>
      <c r="AO12"/>
      <c r="AP12"/>
      <c r="AQ12"/>
      <c r="AR12"/>
      <c r="AS12"/>
      <c r="AT12"/>
      <c r="AU12"/>
      <c r="AV12"/>
    </row>
    <row r="13" spans="1:48" ht="77.25">
      <c r="A13" s="12" t="s">
        <v>910</v>
      </c>
      <c r="B13" s="10" t="str">
        <f t="shared" si="0"/>
        <v>RES_201403</v>
      </c>
      <c r="C13" s="670" t="str">
        <f>INDEX('AMMO vwFlags'!$C:$C,MATCH($A13&amp;K13,'AMMO vwFlags'!$K:$K,0))</f>
        <v>0</v>
      </c>
      <c r="D13" s="670" t="str">
        <f>INDEX('AMMO vwFlags'!$D:$D,MATCH($A13&amp;$K13,'AMMO vwFlags'!$K:$K,0))</f>
        <v>0</v>
      </c>
      <c r="E13" s="10">
        <f>COUNTIFS($A:$A,$A13,$K:$K,$K13)</f>
        <v>1</v>
      </c>
      <c r="F13" s="730" t="str">
        <f>IF(LEFT(A13,3)="Res","Residential",IF(LEFT(A13,3)="Ind","industrial",IF(LEFT(A13,3)="Com","Commercial",IF(LEFT(A13,3)="AGR","Agriculture",""))))</f>
        <v>Residential</v>
      </c>
      <c r="G13" s="681" t="str">
        <f>INDEX('AMMO Measures'!B:B,MATCH($A13,'AMMO Measures'!$A:$A,0))</f>
        <v>Retail Product Portfolio</v>
      </c>
      <c r="H13" s="681" t="str">
        <f>INDEX('AMMO Measures'!C:C,MATCH($A13,'AMMO Measures'!$A:$A,0))</f>
        <v>Room AC</v>
      </c>
      <c r="I13" s="681" t="str">
        <f>INDEX('AMMO Measures'!D:D,MATCH($A13,'AMMO Measures'!$A:$A,0))</f>
        <v>ENERGY STAR Most Efficient</v>
      </c>
      <c r="J13" s="682">
        <f>VALUE(INDEX('AMMO Measures'!H:H,MATCH($A13,'AMMO Measures'!A:A,0)))</f>
        <v>9</v>
      </c>
      <c r="K13" s="683">
        <v>2025</v>
      </c>
      <c r="L13" s="732">
        <f>SUMIFS('AMMO Units'!F:F,'AMMO Units'!$A:$A,$K13,'AMMO Units'!$E:$E,$A13)</f>
        <v>21906.906597739999</v>
      </c>
      <c r="M13" s="733">
        <f>SUMIFS('AMMO Units'!G:G,'AMMO Units'!$A:$A,$K13,'AMMO Units'!$E:$E,$A13)</f>
        <v>0</v>
      </c>
      <c r="N13" s="1566" t="s">
        <v>1971</v>
      </c>
      <c r="O13" s="734">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930">
        <f>SUMIFS('AMMO Savings Rates'!F:F,'AMMO Savings Rates'!$E:$E,$K13,'AMMO Savings Rates'!$D:$D,$A13)</f>
        <v>30.12849697</v>
      </c>
      <c r="Q13" s="1569" t="s">
        <v>1975</v>
      </c>
      <c r="R13" s="963">
        <f>(L13)*O13*P13/8760000</f>
        <v>1.0537449825907314E-2</v>
      </c>
      <c r="S13" s="792">
        <f>IFERROR((M13)*O13*P13/8760/1000,0)</f>
        <v>0</v>
      </c>
      <c r="T13" s="793">
        <f t="shared" si="1"/>
        <v>1.0537449825907314E-2</v>
      </c>
      <c r="U13"/>
      <c r="V13"/>
      <c r="W13"/>
      <c r="X13"/>
      <c r="Y13"/>
      <c r="Z13"/>
      <c r="AA13"/>
      <c r="AB13"/>
      <c r="AC13"/>
      <c r="AD13"/>
      <c r="AE13"/>
      <c r="AF13"/>
      <c r="AG13"/>
      <c r="AH13"/>
      <c r="AI13"/>
      <c r="AJ13"/>
      <c r="AK13"/>
      <c r="AL13"/>
      <c r="AM13"/>
      <c r="AN13"/>
      <c r="AO13"/>
      <c r="AP13"/>
      <c r="AQ13"/>
      <c r="AR13"/>
      <c r="AS13"/>
      <c r="AT13"/>
      <c r="AU13"/>
      <c r="AV13"/>
    </row>
    <row r="14" spans="1:48" ht="77.25">
      <c r="A14" s="12" t="s">
        <v>910</v>
      </c>
      <c r="B14" s="10" t="str">
        <f t="shared" ref="B14:B15" si="2">LEFT(A14,10)</f>
        <v>RES_201403</v>
      </c>
      <c r="C14" s="670" t="str">
        <f>INDEX('AMMO vwFlags'!$C:$C,MATCH($A14&amp;K14,'AMMO vwFlags'!$K:$K,0))</f>
        <v>0</v>
      </c>
      <c r="D14" s="670" t="str">
        <f>INDEX('AMMO vwFlags'!$D:$D,MATCH($A14&amp;$K14,'AMMO vwFlags'!$K:$K,0))</f>
        <v>0</v>
      </c>
      <c r="E14" s="10">
        <f>COUNTIFS($A:$A,$A14,$K:$K,$K14)</f>
        <v>1</v>
      </c>
      <c r="F14" s="730" t="str">
        <f>IF(LEFT(A14,3)="Res","Residential",IF(LEFT(A14,3)="Ind","industrial",IF(LEFT(A14,3)="Com","Commercial",IF(LEFT(A14,3)="AGR","Agriculture",""))))</f>
        <v>Residential</v>
      </c>
      <c r="G14" s="681" t="str">
        <f>INDEX('AMMO Measures'!B:B,MATCH($A14,'AMMO Measures'!$A:$A,0))</f>
        <v>Retail Product Portfolio</v>
      </c>
      <c r="H14" s="681" t="str">
        <f>INDEX('AMMO Measures'!C:C,MATCH($A14,'AMMO Measures'!$A:$A,0))</f>
        <v>Room AC</v>
      </c>
      <c r="I14" s="681" t="str">
        <f>INDEX('AMMO Measures'!D:D,MATCH($A14,'AMMO Measures'!$A:$A,0))</f>
        <v>ENERGY STAR Most Efficient</v>
      </c>
      <c r="J14" s="682">
        <f>VALUE(INDEX('AMMO Measures'!H:H,MATCH($A14,'AMMO Measures'!A:A,0)))</f>
        <v>9</v>
      </c>
      <c r="K14" s="683">
        <v>2026</v>
      </c>
      <c r="L14" s="732">
        <f>SUMIFS('AMMO Units'!F:F,'AMMO Units'!$A:$A,$K14,'AMMO Units'!$E:$E,$A14)</f>
        <v>27098.257374019999</v>
      </c>
      <c r="M14" s="733">
        <f>SUMIFS('AMMO Units'!G:G,'AMMO Units'!$A:$A,$K14,'AMMO Units'!$E:$E,$A14)</f>
        <v>0</v>
      </c>
      <c r="N14" s="1566" t="s">
        <v>1971</v>
      </c>
      <c r="O14" s="734">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930">
        <f>SUMIFS('AMMO Savings Rates'!F:F,'AMMO Savings Rates'!$E:$E,$K14,'AMMO Savings Rates'!$D:$D,$A14)</f>
        <v>30.12849697</v>
      </c>
      <c r="Q14" s="1569" t="s">
        <v>1975</v>
      </c>
      <c r="R14" s="963">
        <f>(L14)*O14*P14/8760000</f>
        <v>1.3034543520522275E-2</v>
      </c>
      <c r="S14" s="792">
        <f>IFERROR((M14)*O14*P14/8760/1000,0)</f>
        <v>0</v>
      </c>
      <c r="T14" s="793">
        <f t="shared" ref="T14:T15" si="3">R14-S14</f>
        <v>1.3034543520522275E-2</v>
      </c>
      <c r="U14"/>
      <c r="V14"/>
      <c r="W14"/>
      <c r="X14"/>
      <c r="Y14"/>
      <c r="Z14"/>
      <c r="AA14"/>
      <c r="AB14"/>
      <c r="AC14"/>
      <c r="AD14"/>
      <c r="AE14"/>
      <c r="AF14"/>
      <c r="AG14"/>
      <c r="AH14"/>
      <c r="AI14"/>
      <c r="AJ14"/>
      <c r="AK14"/>
      <c r="AL14"/>
      <c r="AM14"/>
      <c r="AN14"/>
      <c r="AO14"/>
      <c r="AP14"/>
      <c r="AQ14"/>
      <c r="AR14"/>
      <c r="AS14"/>
      <c r="AT14"/>
      <c r="AU14"/>
      <c r="AV14"/>
    </row>
    <row r="15" spans="1:48" ht="77.25">
      <c r="A15" s="12" t="s">
        <v>910</v>
      </c>
      <c r="B15" s="10" t="str">
        <f t="shared" si="2"/>
        <v>RES_201403</v>
      </c>
      <c r="C15" s="670" t="str">
        <f>INDEX('AMMO vwFlags'!$C:$C,MATCH($A15&amp;K15,'AMMO vwFlags'!$K:$K,0))</f>
        <v>0</v>
      </c>
      <c r="D15" s="670" t="str">
        <f>INDEX('AMMO vwFlags'!$D:$D,MATCH($A15&amp;$K15,'AMMO vwFlags'!$K:$K,0))</f>
        <v>0</v>
      </c>
      <c r="E15" s="10">
        <f>COUNTIFS($A:$A,$A15,$K:$K,$K15)</f>
        <v>1</v>
      </c>
      <c r="F15" s="740" t="str">
        <f>IF(LEFT(A15,3)="Res","Residential",IF(LEFT(A15,3)="Ind","industrial",IF(LEFT(A15,3)="Com","Commercial",IF(LEFT(A15,3)="AGR","Agriculture",""))))</f>
        <v>Residential</v>
      </c>
      <c r="G15" s="687" t="str">
        <f>INDEX('AMMO Measures'!B:B,MATCH($A15,'AMMO Measures'!$A:$A,0))</f>
        <v>Retail Product Portfolio</v>
      </c>
      <c r="H15" s="687" t="str">
        <f>INDEX('AMMO Measures'!C:C,MATCH($A15,'AMMO Measures'!$A:$A,0))</f>
        <v>Room AC</v>
      </c>
      <c r="I15" s="687" t="str">
        <f>INDEX('AMMO Measures'!D:D,MATCH($A15,'AMMO Measures'!$A:$A,0))</f>
        <v>ENERGY STAR Most Efficient</v>
      </c>
      <c r="J15" s="964">
        <f>VALUE(INDEX('AMMO Measures'!H:H,MATCH($A15,'AMMO Measures'!A:A,0)))</f>
        <v>9</v>
      </c>
      <c r="K15" s="694">
        <v>2027</v>
      </c>
      <c r="L15" s="742">
        <f>SUMIFS('AMMO Units'!F:F,'AMMO Units'!$A:$A,$K15,'AMMO Units'!$E:$E,$A15)</f>
        <v>27949.171561210002</v>
      </c>
      <c r="M15" s="743">
        <f>SUMIFS('AMMO Units'!G:G,'AMMO Units'!$A:$A,$K15,'AMMO Units'!$E:$E,$A15)</f>
        <v>0</v>
      </c>
      <c r="N15" s="1567" t="s">
        <v>1971</v>
      </c>
      <c r="O15" s="74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932">
        <f>SUMIFS('AMMO Savings Rates'!F:F,'AMMO Savings Rates'!$E:$E,$K15,'AMMO Savings Rates'!$D:$D,$A15)</f>
        <v>30.12849697</v>
      </c>
      <c r="Q15" s="1570" t="s">
        <v>1975</v>
      </c>
      <c r="R15" s="965">
        <f>(L15)*O15*P15/8760000</f>
        <v>1.3443842090982807E-2</v>
      </c>
      <c r="S15" s="798">
        <f>IFERROR((M15)*O15*P15/8760/1000,0)</f>
        <v>0</v>
      </c>
      <c r="T15" s="799">
        <f t="shared" si="3"/>
        <v>1.3443842090982807E-2</v>
      </c>
      <c r="U15"/>
      <c r="V15"/>
      <c r="W15"/>
      <c r="X15"/>
      <c r="Y15"/>
      <c r="Z15"/>
      <c r="AA15"/>
      <c r="AB15"/>
      <c r="AC15"/>
      <c r="AD15"/>
      <c r="AE15"/>
      <c r="AF15"/>
      <c r="AG15"/>
      <c r="AH15"/>
      <c r="AI15"/>
      <c r="AJ15"/>
      <c r="AK15"/>
      <c r="AL15"/>
      <c r="AM15"/>
      <c r="AN15"/>
      <c r="AO15"/>
      <c r="AP15"/>
      <c r="AQ15"/>
      <c r="AR15"/>
      <c r="AS15"/>
      <c r="AT15"/>
      <c r="AU15"/>
      <c r="AV15"/>
    </row>
    <row r="16" spans="1:48" s="47" customFormat="1" ht="12.75" customHeight="1">
      <c r="A16" s="406"/>
      <c r="B16" s="406"/>
      <c r="C16" s="406"/>
      <c r="D16" s="406"/>
      <c r="E16" s="406"/>
      <c r="F16" s="227"/>
      <c r="G16" s="227"/>
      <c r="H16" s="227"/>
      <c r="I16" s="227"/>
      <c r="J16" s="281"/>
      <c r="K16" s="282"/>
      <c r="L16" s="282"/>
      <c r="M16" s="283"/>
      <c r="N16" s="284"/>
      <c r="O16" s="393"/>
      <c r="P16" s="287"/>
      <c r="Q16" s="232"/>
      <c r="R16" s="232"/>
      <c r="S16" s="285"/>
      <c r="T16"/>
      <c r="U16"/>
      <c r="V16"/>
      <c r="W16"/>
      <c r="X16"/>
      <c r="Y16"/>
      <c r="Z16"/>
      <c r="AA16"/>
      <c r="AB16"/>
      <c r="AC16"/>
      <c r="AD16"/>
      <c r="AE16"/>
      <c r="AF16"/>
      <c r="AG16"/>
      <c r="AH16"/>
      <c r="AI16"/>
      <c r="AJ16"/>
      <c r="AK16"/>
      <c r="AL16"/>
      <c r="AM16"/>
      <c r="AN16"/>
      <c r="AO16"/>
      <c r="AP16"/>
      <c r="AQ16"/>
      <c r="AR16"/>
      <c r="AS16"/>
      <c r="AT16"/>
      <c r="AU16"/>
    </row>
    <row r="17" spans="1:10" ht="12.75" customHeight="1">
      <c r="F17" s="127" t="s">
        <v>671</v>
      </c>
      <c r="G17" s="125"/>
      <c r="H17" s="125"/>
      <c r="I17" s="125"/>
      <c r="J17" s="15"/>
    </row>
    <row r="18" spans="1:10" ht="84" customHeight="1">
      <c r="F18" s="1827" t="s">
        <v>2553</v>
      </c>
      <c r="G18" s="1828"/>
      <c r="H18" s="1828"/>
      <c r="I18" s="1828"/>
      <c r="J18" s="1829"/>
    </row>
    <row r="19" spans="1:10" ht="12.75" customHeight="1">
      <c r="F19" s="125"/>
      <c r="G19" s="125"/>
      <c r="H19" s="125"/>
      <c r="I19" s="125"/>
      <c r="J19" s="15"/>
    </row>
    <row r="20" spans="1:10" ht="12.75" customHeight="1">
      <c r="F20" s="125"/>
      <c r="G20" s="125"/>
      <c r="H20" s="125"/>
      <c r="I20" s="125"/>
      <c r="J20" s="15"/>
    </row>
    <row r="21" spans="1:10" s="47" customFormat="1" ht="21" customHeight="1">
      <c r="A21" s="9"/>
      <c r="B21" s="9"/>
      <c r="C21" s="9"/>
      <c r="D21" s="9"/>
      <c r="E21" s="9"/>
      <c r="F21" s="224" t="s">
        <v>186</v>
      </c>
    </row>
    <row r="22" spans="1:10" ht="12.75" customHeight="1">
      <c r="F22" s="50" t="s">
        <v>1976</v>
      </c>
    </row>
    <row r="23" spans="1:10" ht="12.75" customHeight="1">
      <c r="F23" s="26" t="s">
        <v>2018</v>
      </c>
    </row>
  </sheetData>
  <dataConsolidate/>
  <mergeCells count="7">
    <mergeCell ref="G2:T2"/>
    <mergeCell ref="F18:J18"/>
    <mergeCell ref="A10:E10"/>
    <mergeCell ref="P10:Q10"/>
    <mergeCell ref="R10:T10"/>
    <mergeCell ref="L10:O10"/>
    <mergeCell ref="F10:K10"/>
  </mergeCells>
  <phoneticPr fontId="119" type="noConversion"/>
  <hyperlinks>
    <hyperlink ref="F1" location="'2024-2025 Summary'!C1" display="Summary Page" xr:uid="{A7774427-0BD5-4C51-9126-C52F05401A2F}"/>
    <hyperlink ref="F23" r:id="rId1" xr:uid="{3EBEDE30-8488-4471-BAE8-8C4F641218C9}"/>
  </hyperlinks>
  <pageMargins left="0.7" right="0.7" top="0.75" bottom="0.75" header="0.3" footer="0.3"/>
  <pageSetup scale="29" orientation="portrait"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B10A1-F5F2-425A-900C-00B826A9DB74}">
  <sheetPr>
    <tabColor rgb="FF0083CA"/>
    <pageSetUpPr fitToPage="1"/>
  </sheetPr>
  <dimension ref="A1:AV23"/>
  <sheetViews>
    <sheetView showGridLines="0" topLeftCell="F1" zoomScale="90" zoomScaleNormal="90" workbookViewId="0">
      <selection activeCell="F2" sqref="F2"/>
    </sheetView>
  </sheetViews>
  <sheetFormatPr defaultColWidth="18.5703125" defaultRowHeight="12.75" customHeight="1" outlineLevelRow="1" outlineLevelCol="1"/>
  <cols>
    <col min="1" max="1" width="17.42578125" style="9" hidden="1" customWidth="1" outlineLevel="1"/>
    <col min="2" max="2" width="12" style="9" hidden="1" customWidth="1" outlineLevel="1"/>
    <col min="3" max="3" width="11.140625" style="9" hidden="1" customWidth="1" outlineLevel="1"/>
    <col min="4" max="4" width="12.140625" style="9" hidden="1" customWidth="1" outlineLevel="1"/>
    <col min="5" max="5" width="9.5703125" style="9" hidden="1" customWidth="1" outlineLevel="1"/>
    <col min="6" max="6" width="14.5703125" style="50" customWidth="1" collapsed="1"/>
    <col min="7" max="7" width="24.5703125" style="50" customWidth="1"/>
    <col min="8" max="8" width="24.42578125" style="50" customWidth="1"/>
    <col min="9" max="9" width="27.5703125" style="50" customWidth="1"/>
    <col min="10" max="10" width="14.42578125" style="50" customWidth="1"/>
    <col min="11" max="11" width="14.5703125" style="51" customWidth="1"/>
    <col min="12" max="12" width="12.5703125" style="51" customWidth="1"/>
    <col min="13" max="13" width="14.5703125" style="51" customWidth="1"/>
    <col min="14" max="14" width="14.42578125" style="50" customWidth="1"/>
    <col min="15" max="15" width="11.5703125" style="50" customWidth="1"/>
    <col min="16" max="16" width="14.5703125" style="50" customWidth="1"/>
    <col min="17" max="17" width="25.85546875" style="50" customWidth="1"/>
    <col min="18" max="18" width="10.5703125" style="50" customWidth="1"/>
    <col min="19" max="19" width="12.5703125" style="52" customWidth="1"/>
    <col min="20" max="20" width="18.5703125" style="50"/>
    <col min="21" max="21" width="7.5703125" style="50" bestFit="1" customWidth="1"/>
    <col min="22" max="22" width="7.42578125" style="50" bestFit="1" customWidth="1"/>
    <col min="23" max="23" width="5" style="50" bestFit="1" customWidth="1"/>
    <col min="24" max="24" width="10.42578125" style="50" bestFit="1" customWidth="1"/>
    <col min="25" max="25" width="9.5703125" style="50" customWidth="1"/>
    <col min="26" max="16384" width="18.5703125" style="50"/>
  </cols>
  <sheetData>
    <row r="1" spans="1:48" ht="12.75" customHeight="1">
      <c r="F1" s="26" t="s">
        <v>557</v>
      </c>
    </row>
    <row r="2" spans="1:48" ht="80.099999999999994" customHeight="1">
      <c r="F2" s="966" t="str">
        <f>G13&amp;":"</f>
        <v>Retail Product Portfolio:</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Z2" s="226"/>
      <c r="AA2" s="226" t="s">
        <v>232</v>
      </c>
    </row>
    <row r="3" spans="1:48" ht="27.75" customHeight="1">
      <c r="F3" s="122"/>
      <c r="K3" s="206"/>
      <c r="Z3" s="226"/>
      <c r="AA3" s="226" t="s">
        <v>233</v>
      </c>
    </row>
    <row r="4" spans="1:48" ht="15" hidden="1" outlineLevel="1">
      <c r="F4"/>
      <c r="G4"/>
      <c r="H4"/>
      <c r="I4"/>
      <c r="J4"/>
      <c r="K4" s="206"/>
      <c r="Z4" s="226"/>
      <c r="AA4" s="226"/>
    </row>
    <row r="5" spans="1:48" ht="15" hidden="1" outlineLevel="1">
      <c r="A5" s="9" t="s">
        <v>2652</v>
      </c>
      <c r="F5"/>
      <c r="G5"/>
      <c r="H5"/>
      <c r="I5"/>
      <c r="J5"/>
      <c r="K5" s="206"/>
      <c r="Z5" s="226"/>
      <c r="AA5" s="226"/>
    </row>
    <row r="6" spans="1:48" ht="15" hidden="1" outlineLevel="1">
      <c r="A6" s="667">
        <f>(B6/(SUM(B6:C6)))*D6+ (C6/SUM(B6:C6))*E6</f>
        <v>7.0000000000000009</v>
      </c>
      <c r="B6" s="668">
        <f>SUMIFS($T$12:$T$15,$K$12:$K$15, 2024)</f>
        <v>0.3238592492296285</v>
      </c>
      <c r="C6" s="668">
        <f>SUMIFS($T$12:$T$15,$K$12:$K$15, 2025)</f>
        <v>0.34243418146315929</v>
      </c>
      <c r="D6" s="667" cm="1">
        <f t="array" ref="D6">SUMPRODUCT($J$12:$J$15,$T$12:$T$15,--($K$12:$K$15=2024))/SUMIFS($T$12:$T$15,$K$12:$K$15, 2024)</f>
        <v>7</v>
      </c>
      <c r="E6" s="667" cm="1">
        <f t="array" ref="E6">SUMPRODUCT($J$12:$J$15,$T$12:$T$15,--($K$12:$K$15=2025))/SUMIFS($T$12:$T$15,$K$12:$K$15, 2025)</f>
        <v>7.0000000000000009</v>
      </c>
      <c r="F6"/>
      <c r="G6"/>
      <c r="H6"/>
      <c r="I6"/>
      <c r="J6"/>
      <c r="K6" s="206"/>
      <c r="Z6" s="226"/>
      <c r="AA6" s="226"/>
    </row>
    <row r="7" spans="1:48" ht="15" hidden="1" outlineLevel="1">
      <c r="A7" s="667">
        <f>(B7/(SUM(B7:C7)))*D7+ (C7/SUM(B7:C7))*E7</f>
        <v>7</v>
      </c>
      <c r="B7" s="668">
        <f>SUMIFS($T$12:$T$15,$K$12:$K$15, 2026)</f>
        <v>0.36204888615586506</v>
      </c>
      <c r="C7" s="668">
        <f>SUMIFS($T$12:$T$15,$K$12:$K$15, 2027)</f>
        <v>0.38904357258326439</v>
      </c>
      <c r="D7" s="667" cm="1">
        <f t="array" ref="D7">SUMPRODUCT($J$12:$J$15,$T$12:$T$15,--($K$12:$K$15=2026))/SUMIFS($T$12:$T$15,$K$12:$K$15, 2026)</f>
        <v>7.0000000000000009</v>
      </c>
      <c r="E7" s="667" cm="1">
        <f t="array" ref="E7">SUMPRODUCT($J$12:$J$15,$T$12:$T$15,--($K$12:$K$15=2027))/SUMIFS($T$12:$T$15,$K$12:$K$15, 2027)</f>
        <v>7</v>
      </c>
      <c r="F7"/>
      <c r="G7"/>
      <c r="H7"/>
      <c r="I7"/>
      <c r="J7"/>
      <c r="K7" s="206"/>
      <c r="Z7" s="226"/>
      <c r="AA7" s="226"/>
    </row>
    <row r="8" spans="1:48" ht="15" hidden="1" outlineLevel="1">
      <c r="F8"/>
      <c r="G8"/>
      <c r="H8"/>
      <c r="I8"/>
      <c r="J8"/>
      <c r="K8" s="206"/>
      <c r="Z8" s="226"/>
      <c r="AA8" s="226"/>
    </row>
    <row r="9" spans="1:48" hidden="1" outlineLevel="1">
      <c r="F9" s="122"/>
      <c r="K9" s="206"/>
      <c r="Z9" s="226"/>
      <c r="AA9" s="226"/>
    </row>
    <row r="10" spans="1:48" s="47" customFormat="1" ht="15.75" customHeight="1" collapsed="1">
      <c r="A10" s="1809" t="s">
        <v>125</v>
      </c>
      <c r="B10" s="1810"/>
      <c r="C10" s="1810"/>
      <c r="D10" s="1810"/>
      <c r="E10" s="1810"/>
      <c r="F10" s="1720" t="s">
        <v>7</v>
      </c>
      <c r="G10" s="1722"/>
      <c r="H10" s="1722"/>
      <c r="I10" s="1722"/>
      <c r="J10" s="1722"/>
      <c r="K10" s="1816"/>
      <c r="L10" s="1717" t="s">
        <v>122</v>
      </c>
      <c r="M10" s="1718"/>
      <c r="N10" s="1718"/>
      <c r="O10" s="1719"/>
      <c r="P10" s="1802" t="s">
        <v>123</v>
      </c>
      <c r="Q10" s="1803"/>
      <c r="R10" s="1876" t="s">
        <v>124</v>
      </c>
      <c r="S10" s="1877"/>
      <c r="T10" s="1877"/>
      <c r="U10"/>
      <c r="V10"/>
      <c r="W10"/>
      <c r="X10"/>
      <c r="Y10"/>
      <c r="Z10"/>
      <c r="AA10"/>
      <c r="AB10"/>
      <c r="AC10"/>
      <c r="AD10"/>
      <c r="AE10"/>
      <c r="AF10"/>
      <c r="AG10"/>
      <c r="AH10"/>
      <c r="AI10"/>
      <c r="AJ10"/>
      <c r="AK10"/>
      <c r="AL10"/>
      <c r="AM10"/>
      <c r="AN10"/>
      <c r="AO10"/>
      <c r="AP10"/>
      <c r="AQ10"/>
      <c r="AR10"/>
      <c r="AS10"/>
      <c r="AT10"/>
      <c r="AU10"/>
    </row>
    <row r="11" spans="1:48" s="125" customFormat="1" ht="60" customHeight="1" thickBot="1">
      <c r="A11" s="982" t="s">
        <v>0</v>
      </c>
      <c r="B11" s="983" t="s">
        <v>10</v>
      </c>
      <c r="C11" s="983" t="s">
        <v>1</v>
      </c>
      <c r="D11" s="983" t="s">
        <v>2</v>
      </c>
      <c r="E11" s="983" t="s">
        <v>187</v>
      </c>
      <c r="F11" s="998" t="s">
        <v>3</v>
      </c>
      <c r="G11" s="999" t="s">
        <v>4</v>
      </c>
      <c r="H11" s="999" t="s">
        <v>5</v>
      </c>
      <c r="I11" s="999" t="s">
        <v>6</v>
      </c>
      <c r="J11" s="999" t="s">
        <v>834</v>
      </c>
      <c r="K11" s="999" t="s">
        <v>8</v>
      </c>
      <c r="L11" s="984" t="s">
        <v>11</v>
      </c>
      <c r="M11" s="985" t="s">
        <v>12</v>
      </c>
      <c r="N11" s="985" t="s">
        <v>120</v>
      </c>
      <c r="O11" s="986" t="str">
        <f>"Funder Share: "&amp;Selection!A2&amp;" "&amp;Selection!A3</f>
        <v>Funder Share: Puget Sound Energy Washington</v>
      </c>
      <c r="P11" s="987" t="s">
        <v>451</v>
      </c>
      <c r="Q11" s="988" t="s">
        <v>121</v>
      </c>
      <c r="R11" s="715" t="s">
        <v>2683</v>
      </c>
      <c r="S11" s="714" t="s">
        <v>2675</v>
      </c>
      <c r="T11" s="716" t="s">
        <v>2283</v>
      </c>
      <c r="U11"/>
      <c r="V11"/>
      <c r="W11"/>
      <c r="X11"/>
      <c r="Y11"/>
      <c r="Z11"/>
      <c r="AA11"/>
      <c r="AB11"/>
      <c r="AC11"/>
      <c r="AD11"/>
      <c r="AE11"/>
      <c r="AF11"/>
      <c r="AG11"/>
      <c r="AH11"/>
      <c r="AI11"/>
      <c r="AJ11"/>
      <c r="AK11"/>
      <c r="AL11"/>
      <c r="AM11"/>
      <c r="AN11"/>
      <c r="AO11"/>
      <c r="AP11"/>
      <c r="AQ11"/>
      <c r="AR11"/>
      <c r="AS11"/>
      <c r="AT11"/>
      <c r="AU11"/>
      <c r="AV11"/>
    </row>
    <row r="12" spans="1:48" ht="27" thickTop="1">
      <c r="A12" s="12" t="s">
        <v>82</v>
      </c>
      <c r="B12" s="10" t="str">
        <f t="shared" ref="B12:B13" si="0">LEFT(A12,10)</f>
        <v>RES_201403</v>
      </c>
      <c r="C12" s="670" t="str">
        <f>INDEX('AMMO vwFlags'!$C:$C,MATCH($A12&amp;K12,'AMMO vwFlags'!$K:$K,0))</f>
        <v>0</v>
      </c>
      <c r="D12" s="670" t="str">
        <f>INDEX('AMMO vwFlags'!$D:$D,MATCH($A12&amp;$K12,'AMMO vwFlags'!$K:$K,0))</f>
        <v>0</v>
      </c>
      <c r="E12" s="10">
        <f>COUNTIFS($A:$A,$A12,$K:$K,$K12)</f>
        <v>1</v>
      </c>
      <c r="F12" s="948" t="str">
        <f>IF(LEFT(A12,3)="Res","Residential",IF(LEFT(A12,3)="Ind","industrial",IF(LEFT(A12,3)="Com","Commercial",IF(LEFT(A12,3)="AGR","Agriculture",""))))</f>
        <v>Residential</v>
      </c>
      <c r="G12" s="949" t="str">
        <f>INDEX('AMMO Measures'!B:B,MATCH($A12,'AMMO Measures'!$A:$A,0))</f>
        <v>Retail Product Portfolio</v>
      </c>
      <c r="H12" s="949" t="str">
        <f>INDEX('AMMO Measures'!C:C,MATCH($A12,'AMMO Measures'!$A:$A,0))</f>
        <v>UHD Televisions (On Mode Power)</v>
      </c>
      <c r="I12" s="949" t="str">
        <f>INDEX('AMMO Measures'!D:D,MATCH($A12,'AMMO Measures'!$A:$A,0))</f>
        <v>ENERGY STAR v9</v>
      </c>
      <c r="J12" s="950">
        <f>VALUE(INDEX('AMMO Measures'!H:H,MATCH($A12,'AMMO Measures'!A:A,0)))</f>
        <v>7</v>
      </c>
      <c r="K12" s="951">
        <v>2024</v>
      </c>
      <c r="L12" s="952">
        <f>SUMIFS('AMMO Units'!F:F,'AMMO Units'!$A:$A,$K12,'AMMO Units'!$E:$E,$A12)</f>
        <v>776048.27227203001</v>
      </c>
      <c r="M12" s="953">
        <f>SUMIFS('AMMO Units'!G:G,'AMMO Units'!$A:$A,$K12,'AMMO Units'!$E:$E,$A12)</f>
        <v>0</v>
      </c>
      <c r="N12" s="953">
        <f>SUMIFS('AMMO Units'!H:H,'AMMO Units'!$A:$A,$K12,'AMMO Units'!$E:$E,$A12)</f>
        <v>472607.01527471998</v>
      </c>
      <c r="O12" s="943">
        <f>IF(Selection!$A$2="regional",1,IF($J12=0,0,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954">
        <f>SUMIFS('AMMO Savings Rates'!F:F,'AMMO Savings Rates'!$E:$E,$K12,'AMMO Savings Rates'!$D:$D,$A12)</f>
        <v>66.850502989999995</v>
      </c>
      <c r="Q12" s="1175" t="s">
        <v>1975</v>
      </c>
      <c r="R12" s="953">
        <f>(L12)*O12*P12/8760000</f>
        <v>0.82826710286860561</v>
      </c>
      <c r="S12" s="953">
        <f>IFERROR(N12*P12/8760/1000,0)*O12</f>
        <v>0.50440785363897711</v>
      </c>
      <c r="T12" s="955">
        <f>R12-S12</f>
        <v>0.3238592492296285</v>
      </c>
      <c r="U12"/>
      <c r="V12"/>
      <c r="W12"/>
      <c r="X12"/>
      <c r="Y12"/>
      <c r="Z12"/>
      <c r="AA12"/>
      <c r="AB12"/>
      <c r="AC12"/>
      <c r="AD12"/>
      <c r="AE12"/>
      <c r="AF12"/>
      <c r="AG12"/>
      <c r="AH12"/>
      <c r="AI12"/>
      <c r="AJ12"/>
      <c r="AK12"/>
      <c r="AL12"/>
      <c r="AM12"/>
      <c r="AN12"/>
      <c r="AO12"/>
      <c r="AP12"/>
      <c r="AQ12"/>
      <c r="AR12"/>
      <c r="AS12"/>
      <c r="AT12"/>
      <c r="AU12"/>
      <c r="AV12"/>
    </row>
    <row r="13" spans="1:48" ht="26.25">
      <c r="A13" s="12" t="s">
        <v>82</v>
      </c>
      <c r="B13" s="10" t="str">
        <f t="shared" si="0"/>
        <v>RES_201403</v>
      </c>
      <c r="C13" s="670" t="str">
        <f>INDEX('AMMO vwFlags'!$C:$C,MATCH($A13&amp;K13,'AMMO vwFlags'!$K:$K,0))</f>
        <v>0</v>
      </c>
      <c r="D13" s="670" t="str">
        <f>INDEX('AMMO vwFlags'!$D:$D,MATCH($A13&amp;$K13,'AMMO vwFlags'!$K:$K,0))</f>
        <v>0</v>
      </c>
      <c r="E13" s="10">
        <f>COUNTIFS($A:$A,$A13,$K:$K,$K13)</f>
        <v>1</v>
      </c>
      <c r="F13" s="97" t="str">
        <f>IF(LEFT(A13,3)="Res","Residential",IF(LEFT(A13,3)="Ind","industrial",IF(LEFT(A13,3)="Com","Commercial",IF(LEFT(A13,3)="AGR","Agriculture",""))))</f>
        <v>Residential</v>
      </c>
      <c r="G13" s="777" t="str">
        <f>INDEX('AMMO Measures'!B:B,MATCH($A13,'AMMO Measures'!$A:$A,0))</f>
        <v>Retail Product Portfolio</v>
      </c>
      <c r="H13" s="777" t="str">
        <f>INDEX('AMMO Measures'!C:C,MATCH($A13,'AMMO Measures'!$A:$A,0))</f>
        <v>UHD Televisions (On Mode Power)</v>
      </c>
      <c r="I13" s="777" t="str">
        <f>INDEX('AMMO Measures'!D:D,MATCH($A13,'AMMO Measures'!$A:$A,0))</f>
        <v>ENERGY STAR v9</v>
      </c>
      <c r="J13" s="778">
        <f>VALUE(INDEX('AMMO Measures'!H:H,MATCH($A13,'AMMO Measures'!A:A,0)))</f>
        <v>7</v>
      </c>
      <c r="K13" s="492">
        <v>2025</v>
      </c>
      <c r="L13" s="956">
        <f>SUMIFS('AMMO Units'!F:F,'AMMO Units'!$A:$A,$K13,'AMMO Units'!$E:$E,$A13)</f>
        <v>788603.49061218998</v>
      </c>
      <c r="M13" s="234">
        <f>SUMIFS('AMMO Units'!G:G,'AMMO Units'!$A:$A,$K13,'AMMO Units'!$E:$E,$A13)</f>
        <v>0</v>
      </c>
      <c r="N13" s="234">
        <f>SUMIFS('AMMO Units'!H:H,'AMMO Units'!$A:$A,$K13,'AMMO Units'!$E:$E,$A13)</f>
        <v>471646.70398692001</v>
      </c>
      <c r="O13" s="734">
        <f>IF(Selection!$A$2="regional",1,IF($J13=0,0,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957">
        <f>SUMIFS('AMMO Savings Rates'!F:F,'AMMO Savings Rates'!$E:$E,$K13,'AMMO Savings Rates'!$D:$D,$A13)</f>
        <v>67.670604659999995</v>
      </c>
      <c r="Q13" s="1176" t="s">
        <v>1975</v>
      </c>
      <c r="R13" s="234">
        <f>(L13)*O13*P13/8760000</f>
        <v>0.85199245512935706</v>
      </c>
      <c r="S13" s="234">
        <f t="shared" ref="S13" si="1">IFERROR(N13*P13/8760/1000,0)*O13</f>
        <v>0.50955827366619777</v>
      </c>
      <c r="T13" s="99">
        <f t="shared" ref="T13" si="2">R13-S13</f>
        <v>0.34243418146315929</v>
      </c>
      <c r="U13"/>
      <c r="V13"/>
      <c r="W13"/>
      <c r="X13"/>
      <c r="Y13"/>
      <c r="Z13"/>
      <c r="AA13"/>
      <c r="AB13"/>
      <c r="AC13"/>
      <c r="AD13"/>
      <c r="AE13"/>
      <c r="AF13"/>
      <c r="AG13"/>
      <c r="AH13"/>
      <c r="AI13"/>
      <c r="AJ13"/>
      <c r="AK13"/>
      <c r="AL13"/>
      <c r="AM13"/>
      <c r="AN13"/>
      <c r="AO13"/>
      <c r="AP13"/>
      <c r="AQ13"/>
      <c r="AR13"/>
      <c r="AS13"/>
      <c r="AT13"/>
      <c r="AU13"/>
      <c r="AV13"/>
    </row>
    <row r="14" spans="1:48" ht="26.25">
      <c r="A14" s="12" t="s">
        <v>82</v>
      </c>
      <c r="B14" s="10" t="str">
        <f t="shared" ref="B14:B15" si="3">LEFT(A14,10)</f>
        <v>RES_201403</v>
      </c>
      <c r="C14" s="670" t="str">
        <f>INDEX('AMMO vwFlags'!$C:$C,MATCH($A14&amp;K14,'AMMO vwFlags'!$K:$K,0))</f>
        <v>0</v>
      </c>
      <c r="D14" s="670" t="str">
        <f>INDEX('AMMO vwFlags'!$D:$D,MATCH($A14&amp;$K14,'AMMO vwFlags'!$K:$K,0))</f>
        <v>0</v>
      </c>
      <c r="E14" s="10">
        <f>COUNTIFS($A:$A,$A14,$K:$K,$K14)</f>
        <v>1</v>
      </c>
      <c r="F14" s="97" t="str">
        <f>IF(LEFT(A14,3)="Res","Residential",IF(LEFT(A14,3)="Ind","industrial",IF(LEFT(A14,3)="Com","Commercial",IF(LEFT(A14,3)="AGR","Agriculture",""))))</f>
        <v>Residential</v>
      </c>
      <c r="G14" s="777" t="str">
        <f>INDEX('AMMO Measures'!B:B,MATCH($A14,'AMMO Measures'!$A:$A,0))</f>
        <v>Retail Product Portfolio</v>
      </c>
      <c r="H14" s="777" t="str">
        <f>INDEX('AMMO Measures'!C:C,MATCH($A14,'AMMO Measures'!$A:$A,0))</f>
        <v>UHD Televisions (On Mode Power)</v>
      </c>
      <c r="I14" s="777" t="str">
        <f>INDEX('AMMO Measures'!D:D,MATCH($A14,'AMMO Measures'!$A:$A,0))</f>
        <v>ENERGY STAR v9</v>
      </c>
      <c r="J14" s="778">
        <f>VALUE(INDEX('AMMO Measures'!H:H,MATCH($A14,'AMMO Measures'!A:A,0)))</f>
        <v>7</v>
      </c>
      <c r="K14" s="492">
        <v>2026</v>
      </c>
      <c r="L14" s="956">
        <f>SUMIFS('AMMO Units'!F:F,'AMMO Units'!$A:$A,$K14,'AMMO Units'!$E:$E,$A14)</f>
        <v>784409.20284165</v>
      </c>
      <c r="M14" s="234">
        <f>SUMIFS('AMMO Units'!G:G,'AMMO Units'!$A:$A,$K14,'AMMO Units'!$E:$E,$A14)</f>
        <v>0</v>
      </c>
      <c r="N14" s="234">
        <f>SUMIFS('AMMO Units'!H:H,'AMMO Units'!$A:$A,$K14,'AMMO Units'!$E:$E,$A14)</f>
        <v>456181.33651236998</v>
      </c>
      <c r="O14" s="734">
        <f>IF(Selection!$A$2="regional",1,IF($J14=0,0,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957">
        <f>SUMIFS('AMMO Savings Rates'!F:F,'AMMO Savings Rates'!$E:$E,$K14,'AMMO Savings Rates'!$D:$D,$A14)</f>
        <v>69.089932660000002</v>
      </c>
      <c r="Q14" s="1176" t="s">
        <v>1975</v>
      </c>
      <c r="R14" s="234">
        <f>(L14)*O14*P14/8760000</f>
        <v>0.86523573197872428</v>
      </c>
      <c r="S14" s="234">
        <f>IFERROR(N14*P14/8760/1000,0)*O14</f>
        <v>0.50318684582285922</v>
      </c>
      <c r="T14" s="99">
        <f>R14-S14</f>
        <v>0.36204888615586506</v>
      </c>
      <c r="U14"/>
      <c r="V14"/>
      <c r="W14"/>
      <c r="X14"/>
      <c r="Y14"/>
      <c r="Z14"/>
      <c r="AA14"/>
      <c r="AB14"/>
      <c r="AC14"/>
      <c r="AD14"/>
      <c r="AE14"/>
      <c r="AF14"/>
      <c r="AG14"/>
      <c r="AH14"/>
      <c r="AI14"/>
      <c r="AJ14"/>
      <c r="AK14"/>
      <c r="AL14"/>
      <c r="AM14"/>
      <c r="AN14"/>
      <c r="AO14"/>
      <c r="AP14"/>
      <c r="AQ14"/>
      <c r="AR14"/>
      <c r="AS14"/>
      <c r="AT14"/>
      <c r="AU14"/>
      <c r="AV14"/>
    </row>
    <row r="15" spans="1:48" ht="26.25">
      <c r="A15" s="12" t="s">
        <v>82</v>
      </c>
      <c r="B15" s="10" t="str">
        <f t="shared" si="3"/>
        <v>RES_201403</v>
      </c>
      <c r="C15" s="670" t="str">
        <f>INDEX('AMMO vwFlags'!$C:$C,MATCH($A15&amp;K15,'AMMO vwFlags'!$K:$K,0))</f>
        <v>0</v>
      </c>
      <c r="D15" s="670" t="str">
        <f>INDEX('AMMO vwFlags'!$D:$D,MATCH($A15&amp;$K15,'AMMO vwFlags'!$K:$K,0))</f>
        <v>0</v>
      </c>
      <c r="E15" s="10">
        <f>COUNTIFS($A:$A,$A15,$K:$K,$K15)</f>
        <v>1</v>
      </c>
      <c r="F15" s="457" t="str">
        <f>IF(LEFT(A15,3)="Res","Residential",IF(LEFT(A15,3)="Ind","industrial",IF(LEFT(A15,3)="Com","Commercial",IF(LEFT(A15,3)="AGR","Agriculture",""))))</f>
        <v>Residential</v>
      </c>
      <c r="G15" s="779" t="str">
        <f>INDEX('AMMO Measures'!B:B,MATCH($A15,'AMMO Measures'!$A:$A,0))</f>
        <v>Retail Product Portfolio</v>
      </c>
      <c r="H15" s="779" t="str">
        <f>INDEX('AMMO Measures'!C:C,MATCH($A15,'AMMO Measures'!$A:$A,0))</f>
        <v>UHD Televisions (On Mode Power)</v>
      </c>
      <c r="I15" s="779" t="str">
        <f>INDEX('AMMO Measures'!D:D,MATCH($A15,'AMMO Measures'!$A:$A,0))</f>
        <v>ENERGY STAR v9</v>
      </c>
      <c r="J15" s="780">
        <f>VALUE(INDEX('AMMO Measures'!H:H,MATCH($A15,'AMMO Measures'!A:A,0)))</f>
        <v>7</v>
      </c>
      <c r="K15" s="958">
        <v>2027</v>
      </c>
      <c r="L15" s="959">
        <f>SUMIFS('AMMO Units'!F:F,'AMMO Units'!$A:$A,$K15,'AMMO Units'!$E:$E,$A15)</f>
        <v>795969.71594138001</v>
      </c>
      <c r="M15" s="637">
        <f>SUMIFS('AMMO Units'!G:G,'AMMO Units'!$A:$A,$K15,'AMMO Units'!$E:$E,$A15)</f>
        <v>0</v>
      </c>
      <c r="N15" s="637">
        <f>SUMIFS('AMMO Units'!H:H,'AMMO Units'!$A:$A,$K15,'AMMO Units'!$E:$E,$A15)</f>
        <v>450359.64326404</v>
      </c>
      <c r="O15" s="744">
        <f>IF(Selection!$A$2="regional",1,IF($J15=0,0,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960">
        <f>SUMIFS('AMMO Savings Rates'!F:F,'AMMO Savings Rates'!$E:$E,$K15,'AMMO Savings Rates'!$D:$D,$A15)</f>
        <v>70.507425409999996</v>
      </c>
      <c r="Q15" s="1177" t="s">
        <v>1975</v>
      </c>
      <c r="R15" s="637">
        <f t="shared" ref="R15" si="4">(L15)*O15*P15/8760000</f>
        <v>0.89600080101549673</v>
      </c>
      <c r="S15" s="637">
        <f t="shared" ref="S15" si="5">IFERROR(N15*P15/8760/1000,0)*O15</f>
        <v>0.50695722843223234</v>
      </c>
      <c r="T15" s="638">
        <f t="shared" ref="T15" si="6">R15-S15</f>
        <v>0.38904357258326439</v>
      </c>
      <c r="U15"/>
      <c r="V15"/>
      <c r="W15"/>
      <c r="X15"/>
      <c r="Y15"/>
      <c r="Z15"/>
      <c r="AA15"/>
      <c r="AB15"/>
      <c r="AC15"/>
      <c r="AD15"/>
      <c r="AE15"/>
      <c r="AF15"/>
      <c r="AG15"/>
      <c r="AH15"/>
      <c r="AI15"/>
      <c r="AJ15"/>
      <c r="AK15"/>
      <c r="AL15"/>
      <c r="AM15"/>
      <c r="AN15"/>
      <c r="AO15"/>
      <c r="AP15"/>
      <c r="AQ15"/>
      <c r="AR15"/>
      <c r="AS15"/>
      <c r="AT15"/>
      <c r="AU15"/>
      <c r="AV15"/>
    </row>
    <row r="16" spans="1:48" s="47" customFormat="1" ht="15">
      <c r="A16" s="406"/>
      <c r="B16" s="406"/>
      <c r="C16" s="406"/>
      <c r="D16" s="406"/>
      <c r="E16" s="406"/>
      <c r="F16" s="227"/>
      <c r="G16" s="227"/>
      <c r="H16" s="227"/>
      <c r="I16" s="227"/>
      <c r="J16" s="281"/>
      <c r="K16" s="282"/>
      <c r="L16" s="282"/>
      <c r="M16" s="283"/>
      <c r="N16" s="284"/>
      <c r="O16" s="393"/>
      <c r="P16" s="287"/>
      <c r="Q16" s="232"/>
      <c r="R16" s="232"/>
      <c r="S16" s="285"/>
      <c r="T16"/>
      <c r="U16"/>
      <c r="V16"/>
      <c r="W16"/>
      <c r="X16"/>
      <c r="Y16"/>
      <c r="Z16"/>
      <c r="AA16"/>
      <c r="AB16"/>
      <c r="AC16"/>
      <c r="AD16"/>
      <c r="AE16"/>
      <c r="AF16"/>
      <c r="AG16"/>
      <c r="AH16"/>
      <c r="AI16"/>
      <c r="AJ16"/>
      <c r="AK16"/>
      <c r="AL16"/>
      <c r="AM16"/>
      <c r="AN16"/>
      <c r="AO16"/>
      <c r="AP16"/>
      <c r="AQ16"/>
      <c r="AR16"/>
      <c r="AS16"/>
      <c r="AT16"/>
      <c r="AU16"/>
    </row>
    <row r="17" spans="1:10" ht="58.5" customHeight="1">
      <c r="F17" s="127" t="s">
        <v>671</v>
      </c>
      <c r="G17" s="125"/>
      <c r="H17" s="125"/>
      <c r="I17" s="125"/>
      <c r="J17" s="15"/>
    </row>
    <row r="18" spans="1:10" ht="84" customHeight="1">
      <c r="F18" s="1827" t="s">
        <v>2554</v>
      </c>
      <c r="G18" s="1828"/>
      <c r="H18" s="1828"/>
      <c r="I18" s="1828"/>
      <c r="J18" s="1829"/>
    </row>
    <row r="19" spans="1:10" ht="12.75" customHeight="1">
      <c r="F19" s="125"/>
      <c r="G19" s="125"/>
      <c r="H19" s="125"/>
      <c r="I19" s="125"/>
      <c r="J19" s="15"/>
    </row>
    <row r="20" spans="1:10" ht="12.75" customHeight="1">
      <c r="F20" s="125"/>
      <c r="G20" s="125"/>
      <c r="H20" s="125"/>
      <c r="I20" s="125"/>
      <c r="J20" s="15"/>
    </row>
    <row r="21" spans="1:10" s="47" customFormat="1" ht="21" customHeight="1">
      <c r="A21" s="9"/>
      <c r="B21" s="9"/>
      <c r="C21" s="9"/>
      <c r="D21" s="9"/>
      <c r="E21" s="9"/>
      <c r="F21" s="224" t="s">
        <v>186</v>
      </c>
    </row>
    <row r="22" spans="1:10" ht="12.75" customHeight="1">
      <c r="F22" s="132" t="s">
        <v>2520</v>
      </c>
    </row>
    <row r="23" spans="1:10" ht="12.75" customHeight="1">
      <c r="F23" s="26" t="s">
        <v>2519</v>
      </c>
    </row>
  </sheetData>
  <dataConsolidate/>
  <mergeCells count="7">
    <mergeCell ref="G2:T2"/>
    <mergeCell ref="A10:E10"/>
    <mergeCell ref="F18:J18"/>
    <mergeCell ref="F10:K10"/>
    <mergeCell ref="L10:O10"/>
    <mergeCell ref="P10:Q10"/>
    <mergeCell ref="R10:T10"/>
  </mergeCells>
  <hyperlinks>
    <hyperlink ref="F1" location="'2024-2025 Summary'!C1" display="Summary Page" xr:uid="{BF2C5943-B502-4073-9116-790BCF300B20}"/>
    <hyperlink ref="F23" r:id="rId1" xr:uid="{E49C60C3-FD0D-436A-9639-CC77520B4681}"/>
  </hyperlinks>
  <pageMargins left="0.7" right="0.7" top="0.75" bottom="0.75" header="0.3" footer="0.3"/>
  <pageSetup scale="29" orientation="portrait"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E1274-BF6E-4F27-94FE-43E4FC46098C}">
  <sheetPr>
    <tabColor rgb="FF0083CA"/>
    <pageSetUpPr fitToPage="1"/>
  </sheetPr>
  <dimension ref="A1:AV19"/>
  <sheetViews>
    <sheetView showGridLines="0" topLeftCell="L1" zoomScale="90" zoomScaleNormal="90" workbookViewId="0">
      <selection activeCell="R12" sqref="R12"/>
    </sheetView>
  </sheetViews>
  <sheetFormatPr defaultColWidth="18.5703125" defaultRowHeight="12.75" customHeight="1" outlineLevelRow="1" outlineLevelCol="1"/>
  <cols>
    <col min="1" max="1" width="18" style="9" hidden="1" customWidth="1" outlineLevel="1"/>
    <col min="2" max="2" width="12" style="9" hidden="1" customWidth="1" outlineLevel="1"/>
    <col min="3" max="3" width="5.42578125" style="9" hidden="1" customWidth="1" outlineLevel="1"/>
    <col min="4" max="4" width="20.42578125" style="9" hidden="1" customWidth="1" outlineLevel="1"/>
    <col min="5" max="5" width="18.5703125" style="9" hidden="1" customWidth="1" outlineLevel="1"/>
    <col min="6" max="6" width="14.5703125" style="50" customWidth="1" collapsed="1"/>
    <col min="7" max="7" width="26.42578125" style="50" customWidth="1"/>
    <col min="8" max="8" width="17.42578125" style="50" customWidth="1"/>
    <col min="9" max="9" width="18.5703125" style="50" customWidth="1"/>
    <col min="10" max="10" width="14.42578125" style="50" customWidth="1"/>
    <col min="11" max="11" width="14.5703125" style="51" customWidth="1"/>
    <col min="12" max="12" width="12.5703125" style="51" customWidth="1"/>
    <col min="13" max="13" width="14.5703125" style="51" customWidth="1"/>
    <col min="14" max="14" width="14.42578125" style="50" customWidth="1"/>
    <col min="15" max="15" width="11.5703125" style="50" customWidth="1"/>
    <col min="16" max="16" width="14.5703125" style="50" customWidth="1"/>
    <col min="17" max="17" width="11.5703125" style="50" customWidth="1"/>
    <col min="18" max="18" width="10.5703125" style="50" customWidth="1"/>
    <col min="19" max="19" width="12.5703125" style="52" customWidth="1"/>
    <col min="20" max="20" width="18.5703125" style="50"/>
    <col min="21" max="21" width="7.5703125" style="50" bestFit="1" customWidth="1"/>
    <col min="22" max="22" width="7.42578125" style="50" bestFit="1" customWidth="1"/>
    <col min="23" max="23" width="5" style="50" bestFit="1" customWidth="1"/>
    <col min="24" max="24" width="10.42578125" style="50" bestFit="1" customWidth="1"/>
    <col min="25" max="25" width="9.5703125" style="50" customWidth="1"/>
    <col min="26" max="16384" width="18.5703125" style="50"/>
  </cols>
  <sheetData>
    <row r="1" spans="1:48" ht="12.75" customHeight="1">
      <c r="F1" s="26" t="s">
        <v>557</v>
      </c>
    </row>
    <row r="2" spans="1:48" ht="89.85" customHeight="1">
      <c r="E2" s="9" t="str">
        <f>"2019RES_201403_P8T1"</f>
        <v>2019RES_201403_P8T1</v>
      </c>
      <c r="F2" s="966" t="str">
        <f>G13&amp;":"</f>
        <v>Retail Product Portfolio:</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Z2" s="226"/>
      <c r="AA2" s="226" t="s">
        <v>232</v>
      </c>
    </row>
    <row r="3" spans="1:48">
      <c r="E3" s="9" t="s">
        <v>411</v>
      </c>
      <c r="F3" s="122"/>
      <c r="K3" s="206"/>
      <c r="Z3" s="226"/>
      <c r="AA3" s="226" t="s">
        <v>233</v>
      </c>
    </row>
    <row r="4" spans="1:48" hidden="1" outlineLevel="1">
      <c r="F4" s="1881" t="s">
        <v>2487</v>
      </c>
      <c r="G4" s="1881"/>
      <c r="H4" s="1881"/>
      <c r="I4" s="1881"/>
      <c r="J4" s="1881"/>
      <c r="K4" s="206"/>
      <c r="Z4" s="226"/>
      <c r="AA4" s="226"/>
    </row>
    <row r="5" spans="1:48" ht="27.6" hidden="1" customHeight="1" outlineLevel="1">
      <c r="A5" s="9" t="s">
        <v>2652</v>
      </c>
      <c r="F5" s="47"/>
      <c r="G5" s="470">
        <v>2024</v>
      </c>
      <c r="H5" s="470">
        <v>2025</v>
      </c>
      <c r="I5" s="470">
        <v>2026</v>
      </c>
      <c r="J5" s="470">
        <v>2027</v>
      </c>
      <c r="K5" s="206"/>
      <c r="Z5" s="226"/>
      <c r="AA5" s="226"/>
    </row>
    <row r="6" spans="1:48" hidden="1" outlineLevel="1">
      <c r="A6" s="667" t="e">
        <f>(B6/(SUM(B6:C6)))*D6+ (C6/SUM(B6:C6))*E6</f>
        <v>#DIV/0!</v>
      </c>
      <c r="B6" s="668">
        <f>SUMIFS($T$13:$T$16,$K$13:$K$16, 2024)</f>
        <v>0</v>
      </c>
      <c r="C6" s="668">
        <f>SUMIFS($T$13:$T$16,$K$13:$K$16, 2025)</f>
        <v>0</v>
      </c>
      <c r="D6" s="9" t="e" cm="1">
        <f t="array" ref="D6">SUMPRODUCT($J$13:$J$16,$T$13:$T$16,--($K$13:$K$16=2024))/SUMIFS($T$13:$T$16,$K$13:$K$16, 2024)</f>
        <v>#DIV/0!</v>
      </c>
      <c r="E6" s="9" t="e" cm="1">
        <f t="array" ref="E6">SUMPRODUCT($J$13:$J$16,$T$13:$T$16,--($K$13:$K$16=2025))/SUMIFS($T$13:$T$16,$K$13:$K$16, 2025)</f>
        <v>#DIV/0!</v>
      </c>
      <c r="F6" s="474" t="s">
        <v>634</v>
      </c>
      <c r="G6" s="471">
        <f>SUMIFS($T$11:$T$16,$J$11:$J$16,G$5)</f>
        <v>0</v>
      </c>
      <c r="H6" s="471">
        <f>SUMIFS($S$9:$S$16,$J$9:$J$16,H$5)</f>
        <v>0</v>
      </c>
      <c r="I6" s="471">
        <f>SUMIFS($S$9:$S$16,$J$9:$J$16,I$5)</f>
        <v>0</v>
      </c>
      <c r="J6" s="471">
        <f>SUMIFS($S$9:$S$16,$J$9:$J$16,J$5)</f>
        <v>0</v>
      </c>
      <c r="K6" s="206"/>
      <c r="Z6" s="226"/>
      <c r="AA6" s="226"/>
    </row>
    <row r="7" spans="1:48" ht="38.25" hidden="1" outlineLevel="1">
      <c r="A7" s="667" t="e">
        <f>(B7/(SUM(B7:C7)))*D7+ (C7/SUM(B7:C7))*E7</f>
        <v>#DIV/0!</v>
      </c>
      <c r="B7" s="668">
        <f>SUMIFS($T$13:$T$16,$K$13:$K$16, 2026)</f>
        <v>0</v>
      </c>
      <c r="C7" s="668">
        <f>SUMIFS($T$13:$T$16,$K$13:$K$16, 2027)</f>
        <v>0</v>
      </c>
      <c r="D7" s="9" t="e" cm="1">
        <f t="array" ref="D7">SUMPRODUCT($J$13:$J$16,$T$13:$T$16,--($K$13:$K$16=2026))/SUMIFS($T$13:$T$16,$K$13:$K$16, 2026)</f>
        <v>#DIV/0!</v>
      </c>
      <c r="E7" s="9" t="e" cm="1">
        <f t="array" ref="E7">SUMPRODUCT($J$13:$J$16,$T$13:$T$16,--($K$13:$K$16=2027))/SUMIFS($T$13:$T$16,$K$13:$K$16, 2027)</f>
        <v>#DIV/0!</v>
      </c>
      <c r="F7" s="630" t="s">
        <v>2582</v>
      </c>
      <c r="G7" s="472">
        <f>SUMIFS(Estimates!$D:$D,Estimates!$E:$E,G$5,Estimates!$A:$A,Selection!$A$2,Estimates!$C:$C,"Air Cleaners")</f>
        <v>5.5520350933237483E-2</v>
      </c>
      <c r="H7" s="472">
        <f>SUMIFS(Estimates!$D:$D,Estimates!$E:$E,H$5,Estimates!$A:$A,Selection!$A$2,Estimates!$C:$C,"Air Cleaners")</f>
        <v>9.418148930718738E-2</v>
      </c>
      <c r="I7" s="472">
        <f>SUMIFS(Estimates!$D:$D,Estimates!$E:$E,I$5,Estimates!$A:$A,Selection!$A$2,Estimates!$C:$C,"Air Cleaners")</f>
        <v>0</v>
      </c>
      <c r="J7" s="472">
        <f>SUMIFS(Estimates!$D:$D,Estimates!$E:$E,J$5,Estimates!$A:$A,Selection!$A$2,Estimates!$C:$C,"Air Cleaners")</f>
        <v>0</v>
      </c>
      <c r="K7" s="206"/>
      <c r="Z7" s="226"/>
      <c r="AA7" s="226"/>
    </row>
    <row r="8" spans="1:48" hidden="1" outlineLevel="1">
      <c r="F8" s="474" t="s">
        <v>931</v>
      </c>
      <c r="G8" s="473">
        <f>G6-G7</f>
        <v>-5.5520350933237483E-2</v>
      </c>
      <c r="H8" s="473">
        <f>H6-H7</f>
        <v>-9.418148930718738E-2</v>
      </c>
      <c r="I8" s="473">
        <f>I6-I7</f>
        <v>0</v>
      </c>
      <c r="J8" s="473">
        <f>J6-J7</f>
        <v>0</v>
      </c>
      <c r="K8" s="206"/>
      <c r="Z8" s="226"/>
      <c r="AA8" s="226"/>
    </row>
    <row r="9" spans="1:48" ht="86.1" hidden="1" customHeight="1" outlineLevel="1">
      <c r="F9" s="1880"/>
      <c r="G9" s="1880"/>
      <c r="H9" s="1880"/>
      <c r="K9" s="206"/>
      <c r="Z9" s="226"/>
      <c r="AA9" s="226"/>
    </row>
    <row r="10" spans="1:48" ht="27.75" hidden="1" customHeight="1" outlineLevel="1">
      <c r="F10" s="122"/>
      <c r="K10" s="206"/>
      <c r="Z10" s="226"/>
      <c r="AA10" s="226"/>
    </row>
    <row r="11" spans="1:48" s="47" customFormat="1" ht="15.75" customHeight="1" collapsed="1">
      <c r="A11" s="1878" t="s">
        <v>125</v>
      </c>
      <c r="B11" s="1879"/>
      <c r="C11" s="1879"/>
      <c r="D11" s="1879"/>
      <c r="E11" s="1879"/>
      <c r="F11" s="1720" t="s">
        <v>7</v>
      </c>
      <c r="G11" s="1722"/>
      <c r="H11" s="1722"/>
      <c r="I11" s="1722"/>
      <c r="J11" s="1722"/>
      <c r="K11" s="1816"/>
      <c r="L11" s="1717" t="s">
        <v>122</v>
      </c>
      <c r="M11" s="1718"/>
      <c r="N11" s="1718"/>
      <c r="O11" s="1719"/>
      <c r="P11" s="1802" t="s">
        <v>123</v>
      </c>
      <c r="Q11" s="1803"/>
      <c r="R11" s="1862" t="s">
        <v>124</v>
      </c>
      <c r="S11" s="1863"/>
      <c r="T11" s="1864"/>
      <c r="U11"/>
      <c r="V11"/>
      <c r="W11"/>
      <c r="X11"/>
      <c r="Y11"/>
      <c r="Z11"/>
      <c r="AA11"/>
      <c r="AB11"/>
      <c r="AC11"/>
      <c r="AD11"/>
      <c r="AE11"/>
      <c r="AF11"/>
      <c r="AG11"/>
      <c r="AH11"/>
      <c r="AI11"/>
      <c r="AJ11"/>
      <c r="AK11"/>
      <c r="AL11"/>
      <c r="AM11"/>
      <c r="AN11"/>
      <c r="AO11"/>
      <c r="AP11"/>
      <c r="AQ11"/>
      <c r="AR11"/>
      <c r="AS11"/>
      <c r="AT11"/>
      <c r="AU11"/>
    </row>
    <row r="12" spans="1:48" s="125" customFormat="1" ht="75" customHeight="1" thickBot="1">
      <c r="A12" s="11" t="s">
        <v>0</v>
      </c>
      <c r="B12" s="8" t="s">
        <v>10</v>
      </c>
      <c r="C12" s="8" t="s">
        <v>1</v>
      </c>
      <c r="D12" s="8" t="s">
        <v>2</v>
      </c>
      <c r="E12" s="8" t="s">
        <v>187</v>
      </c>
      <c r="F12" s="997" t="s">
        <v>3</v>
      </c>
      <c r="G12" s="997" t="s">
        <v>4</v>
      </c>
      <c r="H12" s="997" t="s">
        <v>5</v>
      </c>
      <c r="I12" s="997" t="s">
        <v>6</v>
      </c>
      <c r="J12" s="997" t="s">
        <v>834</v>
      </c>
      <c r="K12" s="997" t="s">
        <v>8</v>
      </c>
      <c r="L12" s="913" t="s">
        <v>11</v>
      </c>
      <c r="M12" s="980" t="s">
        <v>12</v>
      </c>
      <c r="N12" s="980" t="s">
        <v>120</v>
      </c>
      <c r="O12" s="720" t="str">
        <f>"Funder Share: "&amp;Selection!A2&amp;" "&amp;Selection!A3</f>
        <v>Funder Share: Puget Sound Energy Washington</v>
      </c>
      <c r="P12" s="981" t="s">
        <v>451</v>
      </c>
      <c r="Q12" s="771" t="s">
        <v>121</v>
      </c>
      <c r="R12" s="715" t="s">
        <v>2683</v>
      </c>
      <c r="S12" s="714" t="s">
        <v>2675</v>
      </c>
      <c r="T12" s="716" t="s">
        <v>2283</v>
      </c>
      <c r="U12"/>
      <c r="V12"/>
      <c r="W12"/>
      <c r="X12"/>
      <c r="Y12"/>
      <c r="Z12"/>
      <c r="AA12"/>
      <c r="AB12"/>
      <c r="AC12"/>
      <c r="AD12"/>
      <c r="AE12"/>
      <c r="AF12"/>
      <c r="AG12"/>
      <c r="AH12"/>
      <c r="AI12"/>
      <c r="AJ12"/>
      <c r="AK12"/>
      <c r="AL12"/>
      <c r="AM12"/>
      <c r="AN12"/>
      <c r="AO12"/>
      <c r="AP12"/>
      <c r="AQ12"/>
      <c r="AR12"/>
      <c r="AS12"/>
      <c r="AT12"/>
      <c r="AU12"/>
      <c r="AV12"/>
    </row>
    <row r="13" spans="1:48" s="4" customFormat="1" ht="12.75" customHeight="1" thickTop="1">
      <c r="A13" s="12" t="s">
        <v>334</v>
      </c>
      <c r="B13" s="10" t="str">
        <f t="shared" ref="B13:B14" si="0">LEFT(A13,10)</f>
        <v>RES_201403</v>
      </c>
      <c r="C13" s="670" t="str">
        <f>INDEX('AMMO vwFlags'!$C:$C,MATCH($A13&amp;K13,'AMMO vwFlags'!$K:$K,0))</f>
        <v>0</v>
      </c>
      <c r="D13" s="670" t="str">
        <f>INDEX('AMMO vwFlags'!$D:$D,MATCH($A13&amp;$K13,'AMMO vwFlags'!$K:$K,0))</f>
        <v>0</v>
      </c>
      <c r="E13" s="10">
        <f>COUNTIFS($A:$A,$A13,$K:$K,$K13)</f>
        <v>1</v>
      </c>
      <c r="F13" s="904" t="str">
        <f>IF(LEFT(A13,3)="Res","Residential",IF(LEFT(A13,3)="Ind","industrial",IF(LEFT(A13,3)="Com","Commercial",IF(LEFT(A13,3)="AGR","Agriculture",""))))</f>
        <v>Residential</v>
      </c>
      <c r="G13" s="897" t="str">
        <f>INDEX('AMMO Measures'!B:B,MATCH($A13,'AMMO Measures'!$A:$A,0))</f>
        <v>Retail Product Portfolio</v>
      </c>
      <c r="H13" s="897" t="str">
        <f>INDEX('AMMO Measures'!C:C,MATCH($A13,'AMMO Measures'!$A:$A,0))</f>
        <v>Air Cleaner</v>
      </c>
      <c r="I13" s="897" t="str">
        <f>INDEX('AMMO Measures'!D:D,MATCH($A13,'AMMO Measures'!$A:$A,0))</f>
        <v>ENERGY STAR v2</v>
      </c>
      <c r="J13" s="898">
        <f>VALUE(INDEX('AMMO Measures'!H:H,MATCH($A13,'AMMO Measures'!A:A,0)))</f>
        <v>9</v>
      </c>
      <c r="K13" s="906">
        <v>2024</v>
      </c>
      <c r="L13" s="900">
        <f>SUMIFS('AMMO Units'!F:F,'AMMO Units'!$A:$A,$K13,'AMMO Units'!$E:$E,$A13)</f>
        <v>185468.60914084001</v>
      </c>
      <c r="M13" s="872">
        <f>SUMIFS('AMMO Units'!G:G,'AMMO Units'!$A:$A,$K13,'AMMO Units'!$E:$E,$A13)</f>
        <v>0</v>
      </c>
      <c r="N13" s="920" t="s">
        <v>1971</v>
      </c>
      <c r="O13" s="943">
        <f>IF(Selection!$A$2="regional",1,IF($J13=0,0,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873">
        <f>SUMIFS('AMMO Savings Rates'!F:F,'AMMO Savings Rates'!$E:$E,$K13,'AMMO Savings Rates'!$D:$D,$A13)</f>
        <v>0</v>
      </c>
      <c r="Q13" s="1185" t="s">
        <v>636</v>
      </c>
      <c r="R13" s="1178">
        <f>(L13)*O13*P13/8760000</f>
        <v>0</v>
      </c>
      <c r="S13" s="1179">
        <f>IFERROR((M13-#REF!/L13*M13)*O13*P13/8760/1000,0)</f>
        <v>0</v>
      </c>
      <c r="T13" s="907">
        <f>R13-S13</f>
        <v>0</v>
      </c>
    </row>
    <row r="14" spans="1:48" ht="12.75" customHeight="1">
      <c r="A14" s="12" t="s">
        <v>334</v>
      </c>
      <c r="B14" s="10" t="str">
        <f t="shared" si="0"/>
        <v>RES_201403</v>
      </c>
      <c r="C14" s="670" t="str">
        <f>INDEX('AMMO vwFlags'!$C:$C,MATCH($A14&amp;K14,'AMMO vwFlags'!$K:$K,0))</f>
        <v>0</v>
      </c>
      <c r="D14" s="670" t="str">
        <f>INDEX('AMMO vwFlags'!$D:$D,MATCH($A14&amp;$K14,'AMMO vwFlags'!$K:$K,0))</f>
        <v>0</v>
      </c>
      <c r="E14" s="10">
        <f>COUNTIFS($A:$A,$A14,$K:$K,$K14)</f>
        <v>1</v>
      </c>
      <c r="F14" s="904" t="str">
        <f>IF(LEFT(A14,3)="Res","Residential",IF(LEFT(A14,3)="Ind","industrial",IF(LEFT(A14,3)="Com","Commercial",IF(LEFT(A14,3)="AGR","Agriculture",""))))</f>
        <v>Residential</v>
      </c>
      <c r="G14" s="897" t="str">
        <f>INDEX('AMMO Measures'!B:B,MATCH($A14,'AMMO Measures'!$A:$A,0))</f>
        <v>Retail Product Portfolio</v>
      </c>
      <c r="H14" s="897" t="str">
        <f>INDEX('AMMO Measures'!C:C,MATCH($A14,'AMMO Measures'!$A:$A,0))</f>
        <v>Air Cleaner</v>
      </c>
      <c r="I14" s="897" t="str">
        <f>INDEX('AMMO Measures'!D:D,MATCH($A14,'AMMO Measures'!$A:$A,0))</f>
        <v>ENERGY STAR v2</v>
      </c>
      <c r="J14" s="898">
        <f>VALUE(INDEX('AMMO Measures'!H:H,MATCH($A14,'AMMO Measures'!A:A,0)))</f>
        <v>9</v>
      </c>
      <c r="K14" s="906">
        <v>2025</v>
      </c>
      <c r="L14" s="900">
        <f>SUMIFS('AMMO Units'!F:F,'AMMO Units'!$A:$A,$K14,'AMMO Units'!$E:$E,$A14)</f>
        <v>190289.31323075999</v>
      </c>
      <c r="M14" s="872">
        <f>SUMIFS('AMMO Units'!G:G,'AMMO Units'!$A:$A,$K14,'AMMO Units'!$E:$E,$A14)</f>
        <v>0</v>
      </c>
      <c r="N14" s="920" t="s">
        <v>1971</v>
      </c>
      <c r="O14" s="734">
        <f>IF(Selection!$A$2="regional",1,IF($J14=0,0,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873">
        <f>SUMIFS('AMMO Savings Rates'!F:F,'AMMO Savings Rates'!$E:$E,$K14,'AMMO Savings Rates'!$D:$D,$A14)</f>
        <v>0</v>
      </c>
      <c r="Q14" s="922" t="s">
        <v>1083</v>
      </c>
      <c r="R14" s="1178">
        <f>(L14)*O14*P14/8760000</f>
        <v>0</v>
      </c>
      <c r="S14" s="1179">
        <f>IFERROR((M14-#REF!/L14*M14)*O14*P14/8760/1000,0)</f>
        <v>0</v>
      </c>
      <c r="T14" s="907">
        <f t="shared" ref="T14" si="1">R14-S14</f>
        <v>0</v>
      </c>
      <c r="U14"/>
      <c r="V14"/>
      <c r="W14"/>
      <c r="X14"/>
      <c r="Y14"/>
      <c r="Z14"/>
      <c r="AA14"/>
      <c r="AB14"/>
      <c r="AC14"/>
      <c r="AD14"/>
      <c r="AE14"/>
      <c r="AF14"/>
      <c r="AG14"/>
      <c r="AH14"/>
      <c r="AI14"/>
      <c r="AJ14"/>
      <c r="AK14"/>
      <c r="AL14"/>
      <c r="AM14"/>
      <c r="AN14"/>
      <c r="AO14"/>
      <c r="AP14"/>
      <c r="AQ14"/>
      <c r="AR14"/>
      <c r="AS14"/>
      <c r="AT14"/>
      <c r="AU14"/>
      <c r="AV14"/>
    </row>
    <row r="15" spans="1:48" s="4" customFormat="1" ht="12.75" customHeight="1">
      <c r="A15" s="12" t="s">
        <v>334</v>
      </c>
      <c r="B15" s="10" t="str">
        <f t="shared" ref="B15:B16" si="2">LEFT(A15,10)</f>
        <v>RES_201403</v>
      </c>
      <c r="C15" s="670" t="str">
        <f>INDEX('AMMO vwFlags'!$C:$C,MATCH($A15&amp;K15,'AMMO vwFlags'!$K:$K,0))</f>
        <v>0</v>
      </c>
      <c r="D15" s="670" t="str">
        <f>INDEX('AMMO vwFlags'!$D:$D,MATCH($A15&amp;$K15,'AMMO vwFlags'!$K:$K,0))</f>
        <v>0</v>
      </c>
      <c r="E15" s="10">
        <f>COUNTIFS($A:$A,$A15,$K:$K,$K15)</f>
        <v>1</v>
      </c>
      <c r="F15" s="904" t="str">
        <f>IF(LEFT(A15,3)="Res","Residential",IF(LEFT(A15,3)="Ind","industrial",IF(LEFT(A15,3)="Com","Commercial",IF(LEFT(A15,3)="AGR","Agriculture",""))))</f>
        <v>Residential</v>
      </c>
      <c r="G15" s="897" t="str">
        <f>INDEX('AMMO Measures'!B:B,MATCH($A15,'AMMO Measures'!$A:$A,0))</f>
        <v>Retail Product Portfolio</v>
      </c>
      <c r="H15" s="897" t="str">
        <f>INDEX('AMMO Measures'!C:C,MATCH($A15,'AMMO Measures'!$A:$A,0))</f>
        <v>Air Cleaner</v>
      </c>
      <c r="I15" s="897" t="str">
        <f>INDEX('AMMO Measures'!D:D,MATCH($A15,'AMMO Measures'!$A:$A,0))</f>
        <v>ENERGY STAR v2</v>
      </c>
      <c r="J15" s="898">
        <f>VALUE(INDEX('AMMO Measures'!H:H,MATCH($A15,'AMMO Measures'!A:A,0)))</f>
        <v>9</v>
      </c>
      <c r="K15" s="906">
        <v>2026</v>
      </c>
      <c r="L15" s="900">
        <f>SUMIFS('AMMO Units'!F:F,'AMMO Units'!$A:$A,$K15,'AMMO Units'!$E:$E,$A15)</f>
        <v>193377.85761075001</v>
      </c>
      <c r="M15" s="872">
        <f>SUMIFS('AMMO Units'!G:G,'AMMO Units'!$A:$A,$K15,'AMMO Units'!$E:$E,$A15)</f>
        <v>0</v>
      </c>
      <c r="N15" s="920" t="s">
        <v>1971</v>
      </c>
      <c r="O15" s="734">
        <f>IF(Selection!$A$2="regional",1,IF($J15=0,0,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873">
        <f>SUMIFS('AMMO Savings Rates'!F:F,'AMMO Savings Rates'!$E:$E,$K15,'AMMO Savings Rates'!$D:$D,$A15)</f>
        <v>0</v>
      </c>
      <c r="Q15" s="1185" t="s">
        <v>636</v>
      </c>
      <c r="R15" s="1178">
        <f>(L15)*O15*P15/8760000</f>
        <v>0</v>
      </c>
      <c r="S15" s="1179">
        <f>IFERROR((M15-#REF!/L15*M15)*O15*P15/8760/1000,0)</f>
        <v>0</v>
      </c>
      <c r="T15" s="907">
        <f>R15-S15</f>
        <v>0</v>
      </c>
    </row>
    <row r="16" spans="1:48" ht="12.75" customHeight="1">
      <c r="A16" s="12" t="s">
        <v>334</v>
      </c>
      <c r="B16" s="10" t="str">
        <f t="shared" si="2"/>
        <v>RES_201403</v>
      </c>
      <c r="C16" s="670" t="str">
        <f>INDEX('AMMO vwFlags'!$C:$C,MATCH($A16&amp;K16,'AMMO vwFlags'!$K:$K,0))</f>
        <v>0</v>
      </c>
      <c r="D16" s="670" t="str">
        <f>INDEX('AMMO vwFlags'!$D:$D,MATCH($A16&amp;$K16,'AMMO vwFlags'!$K:$K,0))</f>
        <v>0</v>
      </c>
      <c r="E16" s="10">
        <f>COUNTIFS($A:$A,$A16,$K:$K,$K16)</f>
        <v>1</v>
      </c>
      <c r="F16" s="908" t="str">
        <f>IF(LEFT(A16,3)="Res","Residential",IF(LEFT(A16,3)="Ind","industrial",IF(LEFT(A16,3)="Com","Commercial",IF(LEFT(A16,3)="AGR","Agriculture",""))))</f>
        <v>Residential</v>
      </c>
      <c r="G16" s="909" t="str">
        <f>INDEX('AMMO Measures'!B:B,MATCH($A16,'AMMO Measures'!$A:$A,0))</f>
        <v>Retail Product Portfolio</v>
      </c>
      <c r="H16" s="909" t="str">
        <f>INDEX('AMMO Measures'!C:C,MATCH($A16,'AMMO Measures'!$A:$A,0))</f>
        <v>Air Cleaner</v>
      </c>
      <c r="I16" s="909" t="str">
        <f>INDEX('AMMO Measures'!D:D,MATCH($A16,'AMMO Measures'!$A:$A,0))</f>
        <v>ENERGY STAR v2</v>
      </c>
      <c r="J16" s="910">
        <f>VALUE(INDEX('AMMO Measures'!H:H,MATCH($A16,'AMMO Measures'!A:A,0)))</f>
        <v>9</v>
      </c>
      <c r="K16" s="1180">
        <v>2027</v>
      </c>
      <c r="L16" s="911">
        <f>SUMIFS('AMMO Units'!F:F,'AMMO Units'!$A:$A,$K16,'AMMO Units'!$E:$E,$A16)</f>
        <v>194408.39075774001</v>
      </c>
      <c r="M16" s="877">
        <f>SUMIFS('AMMO Units'!G:G,'AMMO Units'!$A:$A,$K16,'AMMO Units'!$E:$E,$A16)</f>
        <v>0</v>
      </c>
      <c r="N16" s="921" t="s">
        <v>1971</v>
      </c>
      <c r="O16" s="744">
        <f>IF(Selection!$A$2="regional",1,IF($J16=0,0,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878">
        <f>SUMIFS('AMMO Savings Rates'!F:F,'AMMO Savings Rates'!$E:$E,$K16,'AMMO Savings Rates'!$D:$D,$A16)</f>
        <v>0</v>
      </c>
      <c r="Q16" s="1186" t="s">
        <v>1083</v>
      </c>
      <c r="R16" s="1182">
        <f>(L16)*O16*P16/8760000</f>
        <v>0</v>
      </c>
      <c r="S16" s="1183">
        <f>IFERROR((M16-#REF!/L16*M16)*O16*P16/8760/1000,0)</f>
        <v>0</v>
      </c>
      <c r="T16" s="1184">
        <f t="shared" ref="T16" si="3">R16-S16</f>
        <v>0</v>
      </c>
      <c r="U16"/>
      <c r="V16"/>
      <c r="W16"/>
      <c r="X16"/>
      <c r="Y16"/>
      <c r="Z16"/>
      <c r="AA16"/>
      <c r="AB16"/>
      <c r="AC16"/>
      <c r="AD16"/>
      <c r="AE16"/>
      <c r="AF16"/>
      <c r="AG16"/>
      <c r="AH16"/>
      <c r="AI16"/>
      <c r="AJ16"/>
      <c r="AK16"/>
      <c r="AL16"/>
      <c r="AM16"/>
      <c r="AN16"/>
      <c r="AO16"/>
      <c r="AP16"/>
      <c r="AQ16"/>
      <c r="AR16"/>
      <c r="AS16"/>
      <c r="AT16"/>
      <c r="AU16"/>
      <c r="AV16"/>
    </row>
    <row r="17" spans="1:47" s="47" customFormat="1" ht="15" customHeight="1">
      <c r="A17" s="9"/>
      <c r="B17" s="10"/>
      <c r="C17" s="10"/>
      <c r="D17" s="10"/>
      <c r="E17" s="10"/>
      <c r="F17" s="227"/>
      <c r="G17" s="227"/>
      <c r="H17" s="227"/>
      <c r="I17" s="227"/>
      <c r="J17" s="281"/>
      <c r="K17" s="282"/>
      <c r="L17" s="282"/>
      <c r="M17" s="283"/>
      <c r="N17" s="284"/>
      <c r="O17" s="286"/>
      <c r="P17" s="287"/>
      <c r="Q17" s="288"/>
      <c r="R17" s="232"/>
      <c r="S17" s="289"/>
      <c r="T17"/>
      <c r="U17"/>
      <c r="V17"/>
      <c r="W17"/>
      <c r="X17"/>
      <c r="Y17"/>
      <c r="Z17"/>
      <c r="AA17"/>
      <c r="AB17"/>
      <c r="AC17"/>
      <c r="AD17"/>
      <c r="AE17"/>
      <c r="AF17"/>
      <c r="AG17"/>
      <c r="AH17"/>
      <c r="AI17"/>
      <c r="AJ17"/>
      <c r="AK17"/>
      <c r="AL17"/>
      <c r="AM17"/>
      <c r="AN17"/>
      <c r="AO17"/>
      <c r="AP17"/>
      <c r="AQ17"/>
      <c r="AR17"/>
      <c r="AS17"/>
      <c r="AT17"/>
      <c r="AU17"/>
    </row>
    <row r="18" spans="1:47" ht="12.75" customHeight="1">
      <c r="F18" s="127" t="s">
        <v>671</v>
      </c>
      <c r="G18" s="125"/>
      <c r="H18" s="125"/>
      <c r="I18" s="125"/>
      <c r="J18" s="15"/>
    </row>
    <row r="19" spans="1:47" ht="138.75" customHeight="1">
      <c r="F19" s="1827" t="s">
        <v>1084</v>
      </c>
      <c r="G19" s="1828"/>
      <c r="H19" s="1828"/>
      <c r="I19" s="1828"/>
      <c r="J19" s="1829"/>
    </row>
  </sheetData>
  <dataConsolidate/>
  <mergeCells count="9">
    <mergeCell ref="G2:T2"/>
    <mergeCell ref="P11:Q11"/>
    <mergeCell ref="R11:T11"/>
    <mergeCell ref="F19:J19"/>
    <mergeCell ref="A11:E11"/>
    <mergeCell ref="F9:H9"/>
    <mergeCell ref="F4:J4"/>
    <mergeCell ref="F11:K11"/>
    <mergeCell ref="L11:O11"/>
  </mergeCells>
  <phoneticPr fontId="119" type="noConversion"/>
  <hyperlinks>
    <hyperlink ref="F1" location="'2024-2025 Summary'!C1" display="Summary Page" xr:uid="{466EFD74-792F-4E79-B003-AB2EB4FBDBFF}"/>
  </hyperlinks>
  <pageMargins left="0.7" right="0.7" top="0.75" bottom="0.75" header="0.3" footer="0.3"/>
  <pageSetup scale="13"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0083CA"/>
    <pageSetUpPr fitToPage="1"/>
  </sheetPr>
  <dimension ref="A1:AA19"/>
  <sheetViews>
    <sheetView showGridLines="0" topLeftCell="M1" zoomScale="90" zoomScaleNormal="90" workbookViewId="0">
      <selection activeCell="R12" sqref="R12"/>
    </sheetView>
  </sheetViews>
  <sheetFormatPr defaultColWidth="18.5703125" defaultRowHeight="20.100000000000001" customHeight="1" outlineLevelRow="1" outlineLevelCol="1"/>
  <cols>
    <col min="1" max="1" width="26.5703125" style="9" hidden="1" customWidth="1" outlineLevel="1"/>
    <col min="2" max="2" width="15" style="9" hidden="1" customWidth="1" outlineLevel="1"/>
    <col min="3" max="3" width="8.5703125" style="9" hidden="1" customWidth="1" outlineLevel="1"/>
    <col min="4" max="4" width="7.42578125" style="9" hidden="1" customWidth="1" outlineLevel="1"/>
    <col min="5" max="5" width="9.42578125" style="9" hidden="1" customWidth="1" outlineLevel="1"/>
    <col min="6" max="6" width="18.42578125" style="50" customWidth="1" collapsed="1"/>
    <col min="7" max="7" width="24.42578125" style="50" customWidth="1"/>
    <col min="8" max="8" width="14.5703125" style="50" customWidth="1"/>
    <col min="9" max="9" width="29" style="50" customWidth="1"/>
    <col min="10" max="10" width="15.5703125" style="50" customWidth="1"/>
    <col min="11" max="11" width="14.5703125" style="51" customWidth="1"/>
    <col min="12" max="12" width="11.42578125" style="51" customWidth="1"/>
    <col min="13" max="13" width="22" style="51" customWidth="1"/>
    <col min="14" max="14" width="14.42578125" style="50" customWidth="1"/>
    <col min="15" max="15" width="10" style="50" customWidth="1"/>
    <col min="16" max="16" width="14.5703125" style="50" customWidth="1"/>
    <col min="17" max="17" width="18.42578125" style="50" customWidth="1"/>
    <col min="18" max="18" width="12.42578125" style="50" customWidth="1"/>
    <col min="19" max="19" width="12.5703125" style="52" customWidth="1"/>
    <col min="20" max="16384" width="18.5703125" style="50"/>
  </cols>
  <sheetData>
    <row r="1" spans="1:27" ht="20.100000000000001" customHeight="1">
      <c r="F1" s="26" t="s">
        <v>557</v>
      </c>
    </row>
    <row r="2" spans="1:27" ht="100.5" customHeight="1">
      <c r="F2" s="966" t="str">
        <f>G13&amp;":"</f>
        <v>Retail Product Portfolio:</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AA2" s="50" t="s">
        <v>232</v>
      </c>
    </row>
    <row r="3" spans="1:27" ht="43.5" customHeight="1">
      <c r="F3" s="632"/>
      <c r="G3" s="468"/>
      <c r="H3" s="468"/>
      <c r="I3" s="468"/>
      <c r="J3" s="468"/>
      <c r="M3" s="47"/>
      <c r="N3" s="47"/>
      <c r="O3" s="47"/>
    </row>
    <row r="4" spans="1:27" ht="43.5" hidden="1" customHeight="1" outlineLevel="1">
      <c r="F4" s="1881" t="s">
        <v>2487</v>
      </c>
      <c r="G4" s="1881"/>
      <c r="H4" s="1881"/>
      <c r="I4" s="1881"/>
      <c r="J4" s="1881"/>
      <c r="M4" s="47"/>
      <c r="N4" s="47"/>
      <c r="O4" s="47"/>
    </row>
    <row r="5" spans="1:27" ht="43.5" hidden="1" customHeight="1" outlineLevel="1">
      <c r="A5" s="9" t="s">
        <v>2652</v>
      </c>
      <c r="F5" s="47"/>
      <c r="G5" s="470">
        <v>2024</v>
      </c>
      <c r="H5" s="470">
        <v>2025</v>
      </c>
      <c r="I5" s="470">
        <v>2026</v>
      </c>
      <c r="J5" s="470">
        <v>2027</v>
      </c>
      <c r="M5" s="47"/>
      <c r="N5" s="47"/>
      <c r="O5" s="47"/>
    </row>
    <row r="6" spans="1:27" ht="43.5" hidden="1" customHeight="1" outlineLevel="1">
      <c r="A6" s="667" t="e">
        <f>(B6/(SUM(B6:C6)))*D6+ (C6/SUM(B6:C6))*E6</f>
        <v>#DIV/0!</v>
      </c>
      <c r="B6" s="668">
        <f>SUMIFS($T$13:$T$16,$K$13:$K$16, 2024)</f>
        <v>0</v>
      </c>
      <c r="C6" s="668">
        <f>SUMIFS($T$13:$T$16,$K$13:$K$16, 2025)</f>
        <v>0</v>
      </c>
      <c r="D6" s="9" t="e" cm="1">
        <f t="array" ref="D6">SUMPRODUCT($J$13:$J$16,$T$13:$T$16,--($K$13:$K$16=2024))/SUMIFS($T$13:$T$16,$K$13:$K$16, 2024)</f>
        <v>#DIV/0!</v>
      </c>
      <c r="E6" s="9" t="e" cm="1">
        <f t="array" ref="E6">SUMPRODUCT($J$13:$J$16,$T$13:$T$16,--($K$13:$K$16=2025))/SUMIFS($T$13:$T$16,$K$13:$K$16, 2025)</f>
        <v>#DIV/0!</v>
      </c>
      <c r="F6" s="474" t="s">
        <v>634</v>
      </c>
      <c r="G6" s="471">
        <f>SUMIFS($S$11:$S$16,$J$11:$J$16,G$5)</f>
        <v>0</v>
      </c>
      <c r="H6" s="471">
        <f>SUMIFS($S$11:$S$16,$J$11:$J$16,H$5)</f>
        <v>0</v>
      </c>
      <c r="I6" s="471">
        <f>SUMIFS($S$11:$S$16,$J$11:$J$16,I$5)</f>
        <v>0</v>
      </c>
      <c r="J6" s="471">
        <f>SUMIFS($S$11:$S$16,$J$11:$J$16,J$5)</f>
        <v>0</v>
      </c>
      <c r="M6" s="47"/>
      <c r="N6" s="47"/>
      <c r="O6" s="47"/>
    </row>
    <row r="7" spans="1:27" ht="43.5" hidden="1" customHeight="1" outlineLevel="1">
      <c r="A7" s="667" t="e">
        <f>(B7/(SUM(B7:C7)))*D7+ (C7/SUM(B7:C7))*E7</f>
        <v>#DIV/0!</v>
      </c>
      <c r="B7" s="668">
        <f>SUMIFS($T$13:$T$16,$K$13:$K$16, 2026)</f>
        <v>0</v>
      </c>
      <c r="C7" s="668">
        <f>SUMIFS($T$13:$T$16,$K$13:$K$16, 2027)</f>
        <v>0</v>
      </c>
      <c r="D7" s="9" t="e" cm="1">
        <f t="array" ref="D7">SUMPRODUCT($J$13:$J$16,$T$13:$T$16,--($K$13:$K$16=2026))/SUMIFS($T$13:$T$16,$K$13:$K$16, 2026)</f>
        <v>#DIV/0!</v>
      </c>
      <c r="E7" s="9" t="e" cm="1">
        <f t="array" ref="E7">SUMPRODUCT($J$13:$J$16,$T$13:$T$16,--($K$13:$K$16=2027))/SUMIFS($T$13:$T$16,$K$13:$K$16, 2027)</f>
        <v>#DIV/0!</v>
      </c>
      <c r="F7" s="630" t="s">
        <v>2582</v>
      </c>
      <c r="G7" s="472">
        <f>SUMIFS(Estimates!$D:$D,Estimates!$E:$E,G$5,Estimates!$A:$A,Selection!$A$2,Estimates!$C:$C,"Air Cleaners")</f>
        <v>5.5520350933237483E-2</v>
      </c>
      <c r="H7" s="472">
        <f>SUMIFS(Estimates!$D:$D,Estimates!$E:$E,H$5,Estimates!$A:$A,Selection!$A$2,Estimates!$C:$C,"Air Cleaners")</f>
        <v>9.418148930718738E-2</v>
      </c>
      <c r="I7" s="472">
        <f>SUMIFS(Estimates!$D:$D,Estimates!$E:$E,I$5,Estimates!$A:$A,Selection!$A$2,Estimates!$C:$C,"Air Cleaners")</f>
        <v>0</v>
      </c>
      <c r="J7" s="472">
        <f>SUMIFS(Estimates!$D:$D,Estimates!$E:$E,J$5,Estimates!$A:$A,Selection!$A$2,Estimates!$C:$C,"Air Cleaners")</f>
        <v>0</v>
      </c>
      <c r="M7" s="47"/>
      <c r="N7" s="47"/>
      <c r="O7" s="47"/>
    </row>
    <row r="8" spans="1:27" ht="43.5" hidden="1" customHeight="1" outlineLevel="1">
      <c r="F8" s="474" t="s">
        <v>931</v>
      </c>
      <c r="G8" s="473">
        <f>G6-G7</f>
        <v>-5.5520350933237483E-2</v>
      </c>
      <c r="H8" s="473">
        <f>H6-H7</f>
        <v>-9.418148930718738E-2</v>
      </c>
      <c r="I8" s="473">
        <f>I6-I7</f>
        <v>0</v>
      </c>
      <c r="J8" s="473">
        <f>J6-J7</f>
        <v>0</v>
      </c>
      <c r="M8" s="47"/>
      <c r="N8" s="47"/>
      <c r="O8" s="47"/>
    </row>
    <row r="9" spans="1:27" ht="43.5" hidden="1" customHeight="1" outlineLevel="1">
      <c r="F9" s="632"/>
      <c r="G9" s="468"/>
      <c r="H9" s="468"/>
      <c r="I9" s="468"/>
      <c r="J9" s="468"/>
      <c r="M9" s="47"/>
      <c r="N9" s="47"/>
      <c r="O9" s="47"/>
    </row>
    <row r="10" spans="1:27" ht="20.100000000000001" customHeight="1" collapsed="1">
      <c r="E10" s="9" t="s">
        <v>411</v>
      </c>
      <c r="F10" s="122"/>
      <c r="K10" s="206"/>
      <c r="AA10" s="50" t="s">
        <v>233</v>
      </c>
    </row>
    <row r="11" spans="1:27" s="47" customFormat="1" ht="20.100000000000001" customHeight="1">
      <c r="A11" s="1809" t="s">
        <v>125</v>
      </c>
      <c r="B11" s="1810"/>
      <c r="C11" s="1810"/>
      <c r="D11" s="1810"/>
      <c r="E11" s="1810"/>
      <c r="F11" s="1720" t="s">
        <v>7</v>
      </c>
      <c r="G11" s="1722"/>
      <c r="H11" s="1722"/>
      <c r="I11" s="1722"/>
      <c r="J11" s="1722"/>
      <c r="K11" s="1816"/>
      <c r="L11" s="1717" t="s">
        <v>122</v>
      </c>
      <c r="M11" s="1718"/>
      <c r="N11" s="1718"/>
      <c r="O11" s="1719"/>
      <c r="P11" s="1802" t="s">
        <v>123</v>
      </c>
      <c r="Q11" s="1803"/>
      <c r="R11" s="1882" t="s">
        <v>124</v>
      </c>
      <c r="S11" s="1883"/>
      <c r="T11" s="1884"/>
    </row>
    <row r="12" spans="1:27" s="125" customFormat="1" ht="60.6" customHeight="1" thickBot="1">
      <c r="A12" s="1000" t="s">
        <v>0</v>
      </c>
      <c r="B12" s="1001" t="s">
        <v>10</v>
      </c>
      <c r="C12" s="1001" t="s">
        <v>1</v>
      </c>
      <c r="D12" s="1001" t="s">
        <v>2</v>
      </c>
      <c r="E12" s="1001" t="s">
        <v>187</v>
      </c>
      <c r="F12" s="996" t="s">
        <v>3</v>
      </c>
      <c r="G12" s="997" t="s">
        <v>4</v>
      </c>
      <c r="H12" s="997" t="s">
        <v>5</v>
      </c>
      <c r="I12" s="997" t="s">
        <v>6</v>
      </c>
      <c r="J12" s="997" t="s">
        <v>834</v>
      </c>
      <c r="K12" s="997" t="s">
        <v>8</v>
      </c>
      <c r="L12" s="913" t="s">
        <v>11</v>
      </c>
      <c r="M12" s="980" t="s">
        <v>12</v>
      </c>
      <c r="N12" s="980" t="s">
        <v>120</v>
      </c>
      <c r="O12" s="720" t="str">
        <f>"Funder Share: "&amp;Selection!A2&amp;" "&amp;Selection!A3</f>
        <v>Funder Share: Puget Sound Energy Washington</v>
      </c>
      <c r="P12" s="981" t="s">
        <v>451</v>
      </c>
      <c r="Q12" s="771" t="s">
        <v>121</v>
      </c>
      <c r="R12" s="715" t="s">
        <v>2683</v>
      </c>
      <c r="S12" s="714" t="s">
        <v>2675</v>
      </c>
      <c r="T12" s="716" t="s">
        <v>2283</v>
      </c>
    </row>
    <row r="13" spans="1:27" s="4" customFormat="1" ht="50.25" customHeight="1" thickTop="1">
      <c r="A13" s="12" t="s">
        <v>440</v>
      </c>
      <c r="B13" s="10" t="str">
        <f t="shared" ref="B13" si="0">LEFT(A13,10)</f>
        <v>RES_201403</v>
      </c>
      <c r="C13" s="670" t="str">
        <f>INDEX('AMMO vwFlags'!$C:$C,MATCH($A13&amp;K13,'AMMO vwFlags'!$K:$K,0))</f>
        <v>0</v>
      </c>
      <c r="D13" s="670" t="str">
        <f>INDEX('AMMO vwFlags'!$D:$D,MATCH($A13&amp;$K13,'AMMO vwFlags'!$K:$K,0))</f>
        <v>0</v>
      </c>
      <c r="E13" s="10">
        <f>COUNTIFS($A:$A,$A13,$K:$K,$K13)</f>
        <v>1</v>
      </c>
      <c r="F13" s="1008" t="str">
        <f>IF(LEFT(A13,3)="Res","Residential",IF(LEFT(A13,3)="Ind","industrial",IF(LEFT(A13,3)="Com","Commercial",IF(LEFT(A13,3)="AGR","Agriculture",""))))</f>
        <v>Residential</v>
      </c>
      <c r="G13" s="1009" t="s">
        <v>142</v>
      </c>
      <c r="H13" s="1009" t="s">
        <v>249</v>
      </c>
      <c r="I13" s="1009" t="s">
        <v>717</v>
      </c>
      <c r="J13" s="1010">
        <f>VALUE(INDEX('AMMO Measures'!H:H,MATCH($A13,'AMMO Measures'!A:A,0)))</f>
        <v>7</v>
      </c>
      <c r="K13" s="1011">
        <v>2024</v>
      </c>
      <c r="L13" s="1012" t="s">
        <v>286</v>
      </c>
      <c r="M13" s="1013" t="s">
        <v>286</v>
      </c>
      <c r="N13" s="1014" t="s">
        <v>1974</v>
      </c>
      <c r="O13" s="1015" t="str">
        <f>IF($L13="TBD","TBD",(IF(Selection!$A$2="regional",1,IF($L13=0,0,
(INDEX(Allocation!#REF!,MATCH(K13,Allocation!$A:$A,0))*INDEX(#REF!,MATCH($A13&amp;K13,#REF!,0))
+INDEX(Allocation!$B:$B,MATCH(K13,Allocation!$A:$A,0))*INDEX(#REF!,MATCH($A13&amp;K13,#REF!,0))
+INDEX(Allocation!$C:$C,MATCH(K13,Allocation!$A:$A,0))*INDEX(#REF!,MATCH($A13&amp;K13,#REF!,0))
+INDEX(Allocation!$D:$D,MATCH(K13,Allocation!$A:$A,0))*INDEX(#REF!,MATCH($A13&amp;K13,#REF!,0))
+INDEX(Allocation!$E:$E,MATCH(K13,Allocation!$A:$A,0))*INDEX(#REF!,MATCH($A13&amp;K13,#REF!,0)))
))))</f>
        <v>TBD</v>
      </c>
      <c r="P13" s="1016" t="s">
        <v>286</v>
      </c>
      <c r="Q13" s="1017" t="s">
        <v>1972</v>
      </c>
      <c r="R13" s="1016" t="s">
        <v>286</v>
      </c>
      <c r="S13" s="1018">
        <f>IFERROR((M13-#REF!/L13*M13)*O13*P13/8760/1000,0)</f>
        <v>0</v>
      </c>
      <c r="T13" s="1019" t="s">
        <v>286</v>
      </c>
    </row>
    <row r="14" spans="1:27" s="4" customFormat="1" ht="50.25" customHeight="1">
      <c r="A14" s="9" t="s">
        <v>440</v>
      </c>
      <c r="B14" s="10" t="s">
        <v>224</v>
      </c>
      <c r="C14" s="670" t="str">
        <f>INDEX('AMMO vwFlags'!$C:$C,MATCH($A14&amp;K14,'AMMO vwFlags'!$K:$K,0))</f>
        <v>0</v>
      </c>
      <c r="D14" s="670" t="str">
        <f>INDEX('AMMO vwFlags'!$D:$D,MATCH($A14&amp;$K14,'AMMO vwFlags'!$K:$K,0))</f>
        <v>0</v>
      </c>
      <c r="E14" s="10">
        <f>COUNTIFS($A:$A,$A14,$K:$K,$K14)</f>
        <v>1</v>
      </c>
      <c r="F14" s="1020" t="str">
        <f>IF(LEFT(A14,3)="Res","Residential",IF(LEFT(A14,3)="Ind","industrial",IF(LEFT(A14,3)="Com","Commercial",IF(LEFT(A14,3)="AGR","Agriculture",""))))</f>
        <v>Residential</v>
      </c>
      <c r="G14" s="1021" t="s">
        <v>142</v>
      </c>
      <c r="H14" s="1021" t="s">
        <v>249</v>
      </c>
      <c r="I14" s="1021" t="s">
        <v>717</v>
      </c>
      <c r="J14" s="1022">
        <f>VALUE(INDEX('AMMO Measures'!H:H,MATCH($A14,'AMMO Measures'!A:A,0)))</f>
        <v>7</v>
      </c>
      <c r="K14" s="1023">
        <v>2025</v>
      </c>
      <c r="L14" s="1024" t="s">
        <v>286</v>
      </c>
      <c r="M14" s="1025" t="s">
        <v>286</v>
      </c>
      <c r="N14" s="1026" t="s">
        <v>1974</v>
      </c>
      <c r="O14" s="1027" t="str">
        <f>IF($L14="TBD","TBD",(IF(Selection!$A$2="regional",1,IF($L14=0,0,
(INDEX(Allocation!#REF!,MATCH(K14,Allocation!$A:$A,0))*INDEX(#REF!,MATCH($A14&amp;K14,#REF!,0))
+INDEX(Allocation!$B:$B,MATCH(K14,Allocation!$A:$A,0))*INDEX(#REF!,MATCH($A14&amp;K14,#REF!,0))
+INDEX(Allocation!$C:$C,MATCH(K14,Allocation!$A:$A,0))*INDEX(#REF!,MATCH($A14&amp;K14,#REF!,0))
+INDEX(Allocation!$D:$D,MATCH(K14,Allocation!$A:$A,0))*INDEX(#REF!,MATCH($A14&amp;K14,#REF!,0))
+INDEX(Allocation!$E:$E,MATCH(K14,Allocation!$A:$A,0))*INDEX(#REF!,MATCH($A14&amp;K14,#REF!,0)))
))))</f>
        <v>TBD</v>
      </c>
      <c r="P14" s="1028" t="s">
        <v>286</v>
      </c>
      <c r="Q14" s="1029" t="s">
        <v>1972</v>
      </c>
      <c r="R14" s="1028" t="s">
        <v>286</v>
      </c>
      <c r="S14" s="1030">
        <f>IFERROR((M14-#REF!/L14*M14)*O14*P14/8760/1000,0)</f>
        <v>0</v>
      </c>
      <c r="T14" s="1031" t="s">
        <v>286</v>
      </c>
    </row>
    <row r="15" spans="1:27" s="4" customFormat="1" ht="50.25" customHeight="1">
      <c r="A15" s="9" t="s">
        <v>440</v>
      </c>
      <c r="B15" s="10" t="s">
        <v>224</v>
      </c>
      <c r="C15" s="670" t="str">
        <f>INDEX('AMMO vwFlags'!$C:$C,MATCH($A15&amp;K15,'AMMO vwFlags'!$K:$K,0))</f>
        <v>0</v>
      </c>
      <c r="D15" s="670" t="str">
        <f>INDEX('AMMO vwFlags'!$D:$D,MATCH($A15&amp;$K15,'AMMO vwFlags'!$K:$K,0))</f>
        <v>0</v>
      </c>
      <c r="E15" s="10">
        <f>COUNTIFS($A:$A,$A15,$K:$K,$K15)</f>
        <v>1</v>
      </c>
      <c r="F15" s="1020" t="str">
        <f>IF(LEFT(A15,3)="Res","Residential",IF(LEFT(A15,3)="Ind","industrial",IF(LEFT(A15,3)="Com","Commercial",IF(LEFT(A15,3)="AGR","Agriculture",""))))</f>
        <v>Residential</v>
      </c>
      <c r="G15" s="1021" t="s">
        <v>142</v>
      </c>
      <c r="H15" s="1021" t="s">
        <v>249</v>
      </c>
      <c r="I15" s="1021" t="s">
        <v>717</v>
      </c>
      <c r="J15" s="1022">
        <f>VALUE(INDEX('AMMO Measures'!H:H,MATCH($A15,'AMMO Measures'!A:A,0)))</f>
        <v>7</v>
      </c>
      <c r="K15" s="1023">
        <v>2026</v>
      </c>
      <c r="L15" s="1024" t="s">
        <v>286</v>
      </c>
      <c r="M15" s="1025" t="s">
        <v>286</v>
      </c>
      <c r="N15" s="1026" t="s">
        <v>1974</v>
      </c>
      <c r="O15" s="1032" t="str">
        <f>IF($L15="TBD","TBD",(IF(Selection!$A$2="regional",1,IF($L15=0,0,Allocation!$E$12))))</f>
        <v>TBD</v>
      </c>
      <c r="P15" s="1028" t="s">
        <v>286</v>
      </c>
      <c r="Q15" s="1029" t="s">
        <v>1972</v>
      </c>
      <c r="R15" s="1028" t="s">
        <v>286</v>
      </c>
      <c r="S15" s="1030">
        <f>IFERROR((M15-#REF!/L15*M15)*O15*P15/8760/1000,0)</f>
        <v>0</v>
      </c>
      <c r="T15" s="1031" t="s">
        <v>286</v>
      </c>
    </row>
    <row r="16" spans="1:27" s="4" customFormat="1" ht="50.25" customHeight="1">
      <c r="A16" s="9" t="s">
        <v>440</v>
      </c>
      <c r="B16" s="10" t="s">
        <v>224</v>
      </c>
      <c r="C16" s="670" t="str">
        <f>INDEX('AMMO vwFlags'!$C:$C,MATCH($A16&amp;K16,'AMMO vwFlags'!$K:$K,0))</f>
        <v>0</v>
      </c>
      <c r="D16" s="670" t="str">
        <f>INDEX('AMMO vwFlags'!$D:$D,MATCH($A16&amp;$K16,'AMMO vwFlags'!$K:$K,0))</f>
        <v>0</v>
      </c>
      <c r="E16" s="10">
        <f>COUNTIFS($A:$A,$A16,$K:$K,$K16)</f>
        <v>1</v>
      </c>
      <c r="F16" s="1033" t="str">
        <f>IF(LEFT(A16,3)="Res","Residential",IF(LEFT(A16,3)="Ind","industrial",IF(LEFT(A16,3)="Com","Commercial",IF(LEFT(A16,3)="AGR","Agriculture",""))))</f>
        <v>Residential</v>
      </c>
      <c r="G16" s="1034" t="s">
        <v>142</v>
      </c>
      <c r="H16" s="1034" t="s">
        <v>249</v>
      </c>
      <c r="I16" s="1034" t="s">
        <v>717</v>
      </c>
      <c r="J16" s="1035">
        <f>VALUE(INDEX('AMMO Measures'!H:H,MATCH($A16,'AMMO Measures'!A:A,0)))</f>
        <v>7</v>
      </c>
      <c r="K16" s="1036">
        <v>2027</v>
      </c>
      <c r="L16" s="1037" t="s">
        <v>286</v>
      </c>
      <c r="M16" s="1038" t="s">
        <v>286</v>
      </c>
      <c r="N16" s="1039" t="s">
        <v>1974</v>
      </c>
      <c r="O16" s="1040" t="str">
        <f>IF($L16="TBD","TBD",(IF(Selection!$A$2="regional",1,IF($L16=0,0,Allocation!$E$12))))</f>
        <v>TBD</v>
      </c>
      <c r="P16" s="1041" t="s">
        <v>286</v>
      </c>
      <c r="Q16" s="1042" t="s">
        <v>1972</v>
      </c>
      <c r="R16" s="1041" t="s">
        <v>286</v>
      </c>
      <c r="S16" s="1043">
        <f>IFERROR((M16-#REF!/L16*M16)*O16*P16/8760/1000,0)</f>
        <v>0</v>
      </c>
      <c r="T16" s="1044" t="s">
        <v>286</v>
      </c>
    </row>
    <row r="17" spans="1:10" s="119" customFormat="1" ht="20.100000000000001" customHeight="1">
      <c r="A17"/>
      <c r="B17"/>
      <c r="C17"/>
      <c r="D17"/>
      <c r="E17"/>
      <c r="F17" s="127" t="s">
        <v>671</v>
      </c>
    </row>
    <row r="18" spans="1:10" s="47" customFormat="1" ht="73.5" customHeight="1">
      <c r="A18"/>
      <c r="B18"/>
      <c r="C18"/>
      <c r="D18"/>
      <c r="E18"/>
      <c r="F18" s="1827" t="s">
        <v>1973</v>
      </c>
      <c r="G18" s="1828"/>
      <c r="H18" s="1828"/>
      <c r="I18" s="1828"/>
      <c r="J18" s="1829"/>
    </row>
    <row r="19" spans="1:10" s="119" customFormat="1" ht="21" customHeight="1">
      <c r="A19" s="9"/>
      <c r="B19" s="9"/>
      <c r="C19" s="9"/>
      <c r="D19" s="9"/>
      <c r="E19" s="9"/>
    </row>
  </sheetData>
  <dataConsolidate/>
  <mergeCells count="8">
    <mergeCell ref="G2:T2"/>
    <mergeCell ref="R11:T11"/>
    <mergeCell ref="F18:J18"/>
    <mergeCell ref="A11:E11"/>
    <mergeCell ref="F4:J4"/>
    <mergeCell ref="F11:K11"/>
    <mergeCell ref="L11:O11"/>
    <mergeCell ref="P11:Q11"/>
  </mergeCells>
  <hyperlinks>
    <hyperlink ref="F1" location="'2024-2025 Summary'!C1" display="Summary Page" xr:uid="{35314A06-963F-447E-9462-D2CB7256ABDE}"/>
  </hyperlinks>
  <pageMargins left="0.7" right="0.7" top="0.75" bottom="0.75" header="0.3" footer="0.3"/>
  <pageSetup scale="24"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E02D-5718-487D-9A0D-3FEAFF121D80}">
  <sheetPr>
    <tabColor rgb="FF0083CA"/>
    <pageSetUpPr fitToPage="1"/>
  </sheetPr>
  <dimension ref="A1:X60"/>
  <sheetViews>
    <sheetView showGridLines="0" topLeftCell="F1" zoomScale="90" zoomScaleNormal="90" workbookViewId="0">
      <selection activeCell="F2" sqref="F2"/>
    </sheetView>
  </sheetViews>
  <sheetFormatPr defaultColWidth="11.42578125" defaultRowHeight="12.75" customHeight="1" outlineLevelRow="1" outlineLevelCol="1"/>
  <cols>
    <col min="1" max="1" width="22" style="49" hidden="1" customWidth="1" outlineLevel="1"/>
    <col min="2" max="2" width="10.42578125" style="49" hidden="1" customWidth="1" outlineLevel="1"/>
    <col min="3" max="3" width="8.42578125" style="49" hidden="1" customWidth="1" outlineLevel="1"/>
    <col min="4" max="4" width="13.42578125" style="49" hidden="1" customWidth="1" outlineLevel="1"/>
    <col min="5" max="5" width="11.5703125" style="49" hidden="1" customWidth="1" outlineLevel="1"/>
    <col min="6" max="6" width="13.42578125" style="50" customWidth="1" collapsed="1"/>
    <col min="7" max="7" width="19.5703125" style="50" customWidth="1"/>
    <col min="8" max="8" width="20.42578125" style="50" customWidth="1"/>
    <col min="9" max="9" width="63.5703125" style="50" customWidth="1"/>
    <col min="10" max="10" width="11.5703125" style="50" customWidth="1"/>
    <col min="11" max="12" width="16.42578125" style="51" customWidth="1"/>
    <col min="13" max="14" width="12.42578125" style="51" customWidth="1"/>
    <col min="15" max="15" width="32.5703125" style="51" customWidth="1"/>
    <col min="16" max="16" width="25.42578125" style="51" customWidth="1"/>
    <col min="17" max="17" width="11.42578125" style="50" customWidth="1"/>
    <col min="18" max="18" width="21.42578125" style="50" customWidth="1"/>
    <col min="19" max="19" width="20.5703125" style="50" customWidth="1"/>
    <col min="20" max="21" width="11.42578125" style="50"/>
    <col min="22" max="22" width="11.42578125" style="52"/>
    <col min="23" max="16384" width="11.42578125" style="50"/>
  </cols>
  <sheetData>
    <row r="1" spans="1:23" ht="12.75" customHeight="1">
      <c r="F1" s="26" t="s">
        <v>557</v>
      </c>
      <c r="K1" s="204"/>
      <c r="L1" s="204"/>
    </row>
    <row r="2" spans="1:23" ht="95.85" customHeight="1">
      <c r="F2" s="966" t="str">
        <f>G13&amp;":"</f>
        <v>High Performance HVAC:</v>
      </c>
      <c r="G2" s="1817" t="str">
        <f>INDEX('AMMO Measures'!$I:$I,MATCH(LEFT(F2,LEN(F2)-1),'AMMO Measures'!$B:$B,0))</f>
        <v>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v>
      </c>
      <c r="H2" s="1817"/>
      <c r="I2" s="1817"/>
      <c r="J2" s="1817"/>
      <c r="K2" s="1817"/>
      <c r="L2" s="1817"/>
      <c r="M2" s="1817"/>
      <c r="N2" s="1817"/>
      <c r="O2" s="1817"/>
      <c r="P2" s="1817"/>
      <c r="Q2" s="1817"/>
      <c r="R2" s="1817"/>
      <c r="S2" s="1817"/>
      <c r="T2" s="1817"/>
      <c r="U2" s="1817"/>
      <c r="V2" s="1817"/>
    </row>
    <row r="3" spans="1:23" ht="15">
      <c r="F3" s="634"/>
      <c r="G3" s="634"/>
      <c r="H3" s="634"/>
      <c r="I3" s="634"/>
      <c r="J3" s="634"/>
      <c r="K3" s="634"/>
      <c r="L3" s="634"/>
      <c r="M3" s="634"/>
      <c r="N3" s="634"/>
      <c r="O3" s="634"/>
      <c r="P3" s="634"/>
      <c r="Q3" s="634"/>
      <c r="R3" s="634"/>
      <c r="S3" s="634"/>
      <c r="T3" s="634"/>
      <c r="U3" s="634"/>
      <c r="V3" s="50"/>
    </row>
    <row r="4" spans="1:23" hidden="1" outlineLevel="1">
      <c r="F4" s="632"/>
      <c r="G4" s="468"/>
      <c r="H4" s="468"/>
      <c r="I4" s="468"/>
      <c r="J4" s="468"/>
      <c r="P4" s="50"/>
      <c r="V4" s="50"/>
    </row>
    <row r="5" spans="1:23" ht="15" hidden="1" outlineLevel="1">
      <c r="A5" s="9" t="s">
        <v>2652</v>
      </c>
      <c r="F5"/>
      <c r="G5"/>
      <c r="H5"/>
      <c r="I5"/>
      <c r="J5"/>
      <c r="P5" s="50"/>
      <c r="V5" s="50"/>
    </row>
    <row r="6" spans="1:23" ht="15" hidden="1" outlineLevel="1">
      <c r="A6" s="667">
        <f>(B6/(SUM(B6:C6)))*D6+ (C6/SUM(B6:C6))*E6</f>
        <v>20.000000000000004</v>
      </c>
      <c r="B6" s="668">
        <f>SUMIFS($V$13:$V$32,$K$13:$K$32, 2024)</f>
        <v>1.810780933773592E-3</v>
      </c>
      <c r="C6" s="668">
        <f>SUMIFS($V$13:$V$32,$K$13:$K$32, 2025)</f>
        <v>0</v>
      </c>
      <c r="D6" s="669" cm="1">
        <f t="array" ref="D6">SUMPRODUCT($J$13:$J$32,$V$13:$V$32,--($K$13:$K$32=2024))/SUMIFS($V$13:$V$32,$K$13:$K$32, 2024)</f>
        <v>20.000000000000004</v>
      </c>
      <c r="E6" s="9" cm="1">
        <f t="array" ref="E6">IFERROR(SUMPRODUCT($J$13:$J$32,$V$13:$V$32,--($K$13:$K$32=2025),--($V$13:$V$32&lt;&gt;"TBD"))/SUMIFS($V$13:$V$32,$K$13:$K$32, 2025,$V$13:$V$32,"&lt;&gt;""TBD"),J13)</f>
        <v>20</v>
      </c>
      <c r="F6"/>
      <c r="G6"/>
      <c r="H6"/>
      <c r="I6"/>
      <c r="J6"/>
      <c r="P6" s="50"/>
      <c r="V6" s="50"/>
    </row>
    <row r="7" spans="1:23" ht="15" hidden="1" outlineLevel="1">
      <c r="A7" s="667">
        <f>IFERROR((B7/(SUM(B7:C7)))*D7+ (C7/SUM(B7:C7))*E7,J24)</f>
        <v>20</v>
      </c>
      <c r="B7" s="668">
        <f>SUMIFS($V$13:$V$32,$K$13:$K$32, 2026)</f>
        <v>0</v>
      </c>
      <c r="C7" s="668">
        <f>SUMIFS($V$13:$V$32,$K$13:$K$32, 2027)</f>
        <v>0</v>
      </c>
      <c r="D7" s="9" cm="1">
        <f t="array" ref="D7">IFERROR(SUMPRODUCT($J$13:$J$32,$V$13:$V$32,--($K$13:$K$32=2026))/SUMIFS($V$13:$V$32,$K$13:$K$32, 2026),J25)</f>
        <v>20</v>
      </c>
      <c r="E7" s="9" cm="1">
        <f t="array" ref="E7">IFERROR(SUMPRODUCT($J$13:$J$32,$V$13:$V$32,--($K$13:$K$32=2025),--($V$13:$V$32&lt;&gt;"TBD"))/SUMIFS($V$13:$V$32,$K$13:$K$32, 2025,$V$13:$V$32,"&lt;&gt;""TBD"),J19)</f>
        <v>20</v>
      </c>
      <c r="F7"/>
      <c r="G7"/>
      <c r="H7"/>
      <c r="I7"/>
      <c r="J7"/>
      <c r="P7" s="50"/>
      <c r="V7" s="50"/>
    </row>
    <row r="8" spans="1:23" ht="15" hidden="1" outlineLevel="1">
      <c r="F8"/>
      <c r="G8"/>
      <c r="H8"/>
      <c r="I8"/>
      <c r="J8"/>
      <c r="P8" s="50"/>
      <c r="V8" s="50"/>
    </row>
    <row r="9" spans="1:23" ht="15" hidden="1" outlineLevel="1">
      <c r="F9"/>
      <c r="G9"/>
      <c r="H9"/>
      <c r="I9"/>
      <c r="J9"/>
      <c r="K9" s="634"/>
      <c r="L9" s="634"/>
      <c r="M9" s="634"/>
      <c r="N9" s="634"/>
      <c r="O9" s="634"/>
      <c r="P9" s="634"/>
      <c r="Q9" s="634"/>
      <c r="R9" s="634"/>
      <c r="S9" s="634"/>
      <c r="T9" s="634"/>
      <c r="U9" s="634"/>
      <c r="V9" s="50"/>
    </row>
    <row r="10" spans="1:23" ht="16.5" hidden="1" customHeight="1" outlineLevel="1">
      <c r="F10" s="122"/>
      <c r="P10" s="50"/>
      <c r="U10" s="52"/>
      <c r="V10" s="50"/>
    </row>
    <row r="11" spans="1:23" s="47" customFormat="1" ht="15.75" customHeight="1" collapsed="1">
      <c r="A11" s="657" t="s">
        <v>125</v>
      </c>
      <c r="B11" s="658"/>
      <c r="C11" s="658"/>
      <c r="D11" s="658"/>
      <c r="E11" s="658"/>
      <c r="F11" s="1720" t="s">
        <v>7</v>
      </c>
      <c r="G11" s="1722"/>
      <c r="H11" s="1722"/>
      <c r="I11" s="1722"/>
      <c r="J11" s="1722"/>
      <c r="K11" s="1816"/>
      <c r="L11" s="1717" t="s">
        <v>122</v>
      </c>
      <c r="M11" s="1718"/>
      <c r="N11" s="1718"/>
      <c r="O11" s="1718"/>
      <c r="P11" s="1718"/>
      <c r="Q11" s="1719"/>
      <c r="R11" s="1802" t="s">
        <v>123</v>
      </c>
      <c r="S11" s="1803"/>
      <c r="T11" s="1805" t="s">
        <v>124</v>
      </c>
      <c r="U11" s="1805"/>
      <c r="V11" s="1805"/>
    </row>
    <row r="12" spans="1:23" s="125" customFormat="1" ht="65.25" customHeight="1" thickBot="1">
      <c r="A12" s="700" t="s">
        <v>0</v>
      </c>
      <c r="B12" s="701" t="s">
        <v>10</v>
      </c>
      <c r="C12" s="701" t="s">
        <v>1</v>
      </c>
      <c r="D12" s="701" t="s">
        <v>2</v>
      </c>
      <c r="E12" s="701" t="s">
        <v>187</v>
      </c>
      <c r="F12" s="1002" t="s">
        <v>3</v>
      </c>
      <c r="G12" s="1002" t="s">
        <v>4</v>
      </c>
      <c r="H12" s="1065" t="s">
        <v>5</v>
      </c>
      <c r="I12" s="1065" t="s">
        <v>1892</v>
      </c>
      <c r="J12" s="1065" t="s">
        <v>834</v>
      </c>
      <c r="K12" s="1065" t="s">
        <v>8</v>
      </c>
      <c r="L12" s="1066" t="s">
        <v>188</v>
      </c>
      <c r="M12" s="1064" t="s">
        <v>2474</v>
      </c>
      <c r="N12" s="1064" t="s">
        <v>12</v>
      </c>
      <c r="O12" s="1064" t="s">
        <v>2490</v>
      </c>
      <c r="P12" s="1064" t="s">
        <v>120</v>
      </c>
      <c r="Q12" s="1067" t="str">
        <f>"Funder Share: "&amp;Selection!A2&amp;" "&amp;Selection!A3</f>
        <v>Funder Share: Puget Sound Energy Washington</v>
      </c>
      <c r="R12" s="1066" t="s">
        <v>452</v>
      </c>
      <c r="S12" s="1067" t="s">
        <v>2410</v>
      </c>
      <c r="T12" s="1068" t="s">
        <v>2683</v>
      </c>
      <c r="U12" s="1068" t="s">
        <v>2675</v>
      </c>
      <c r="V12" s="716" t="s">
        <v>2283</v>
      </c>
    </row>
    <row r="13" spans="1:23" ht="26.25" thickTop="1">
      <c r="A13" s="81" t="s">
        <v>2351</v>
      </c>
      <c r="B13" s="82" t="str">
        <f t="shared" ref="B13:B22" si="0">LEFT(A13,10)</f>
        <v>COM_202201</v>
      </c>
      <c r="C13" s="670" t="str">
        <f>INDEX('AMMO vwFlags'!$C:$C,MATCH($A13&amp;K13,'AMMO vwFlags'!$K:$K,0))</f>
        <v>1</v>
      </c>
      <c r="D13" s="670" t="str">
        <f>INDEX('AMMO vwFlags'!$D:$D,MATCH($A13&amp;$K13,'AMMO vwFlags'!$K:$K,0))</f>
        <v>0</v>
      </c>
      <c r="E13" s="82">
        <f>COUNTIFS($A:$A,$A13,$K:$K,$K13)</f>
        <v>1</v>
      </c>
      <c r="F13" s="722" t="str">
        <f>IF(LEFT(A13,3)="Res","Residential",IF(LEFT(A13,3)="Ind","industrial",IF(LEFT(A13,3)="Com","Commercial",IF(LEFT(A13,3)="AGR","Agriculture",""))))</f>
        <v>Commercial</v>
      </c>
      <c r="G13" s="675" t="str">
        <f>INDEX('AMMO Units'!B:B,MATCH($A13,'AMMO Units'!$E:$E,0))</f>
        <v>High Performance HVAC</v>
      </c>
      <c r="H13" s="675" t="str">
        <f>INDEX('AMMO Units'!C:C,MATCH($A13,'AMMO Units'!$E:$E,0))</f>
        <v>DOAS- Replacement- Regulated by WSEC</v>
      </c>
      <c r="I13" s="675" t="str">
        <f>INDEX('AMMO Measures'!G:G,MATCH($A13,'AMMO Measures'!$A:$A,0))</f>
        <v>Commercial HVAC system with Dedicated Outside Air System, Installed in Existing Building where DOAS is Required by Washington State Energy Code</v>
      </c>
      <c r="J13" s="676">
        <f>VALUE(INDEX('AMMO Measures'!H:H,MATCH($A13,'AMMO Measures'!A:A,0)))</f>
        <v>20</v>
      </c>
      <c r="K13" s="1045">
        <v>2024</v>
      </c>
      <c r="L13" s="1063">
        <f>SUMIFS('AMMO Units'!F:F,'AMMO Units'!$A:$A,$K13,'AMMO Units'!$E:$E,$A13)</f>
        <v>208800</v>
      </c>
      <c r="M13" s="1903" t="s">
        <v>2475</v>
      </c>
      <c r="N13" s="927">
        <f>SUMIFS('AMMO Units'!G:G,'AMMO Units'!$A:$A,$K13,'AMMO Units'!$E:$E,$A13)</f>
        <v>0</v>
      </c>
      <c r="O13" s="927">
        <f>SUMIFS('AMMO Units'!H:H,'AMMO Units'!$A:$A,$K13,'AMMO Units'!$E:$E,$A13)</f>
        <v>208800</v>
      </c>
      <c r="P13" s="1907" t="s">
        <v>2518</v>
      </c>
      <c r="Q13" s="726">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R13" s="1047">
        <f>SUMIFS('AMMO Savings Rates'!F:F,'AMMO Savings Rates'!$E:$E,$K13,'AMMO Savings Rates'!$D:$D,$A13)</f>
        <v>1.1226593499999999</v>
      </c>
      <c r="S13" s="1911" t="s">
        <v>2488</v>
      </c>
      <c r="T13" s="962">
        <f>(L13-O13)*Q13*R13/8760000</f>
        <v>0</v>
      </c>
      <c r="U13" s="1048">
        <f>IFERROR((N13-O13/L13*N13)*Q13*R13/8760/1000,0)</f>
        <v>0</v>
      </c>
      <c r="V13" s="1049">
        <f t="shared" ref="V13:V17" si="1">T13-U13</f>
        <v>0</v>
      </c>
      <c r="W13" s="91"/>
    </row>
    <row r="14" spans="1:23" ht="38.25">
      <c r="A14" s="49" t="s">
        <v>2438</v>
      </c>
      <c r="B14" s="82" t="str">
        <f t="shared" si="0"/>
        <v>COM_202201</v>
      </c>
      <c r="C14" s="670" t="str">
        <f>INDEX('AMMO vwFlags'!$C:$C,MATCH($A14&amp;K14,'AMMO vwFlags'!$K:$K,0))</f>
        <v>0</v>
      </c>
      <c r="D14" s="670" t="str">
        <f>INDEX('AMMO vwFlags'!$D:$D,MATCH($A14&amp;$K14,'AMMO vwFlags'!$K:$K,0))</f>
        <v>0</v>
      </c>
      <c r="E14" s="82">
        <f t="shared" ref="E14:E15" si="2">COUNTIFS($A:$A,$A14,$K:$K,$K14)</f>
        <v>1</v>
      </c>
      <c r="F14" s="730" t="str">
        <f t="shared" ref="F14:F15" si="3">IF(LEFT(A14,3)="Res","Residential",IF(LEFT(A14,3)="Ind","industrial",IF(LEFT(A14,3)="Com","Commercial",IF(LEFT(A14,3)="AGR","Agriculture",""))))</f>
        <v>Commercial</v>
      </c>
      <c r="G14" s="681" t="str">
        <f>INDEX('AMMO Units'!B:B,MATCH($A14,'AMMO Units'!$E:$E,0))</f>
        <v>High Performance HVAC</v>
      </c>
      <c r="H14" s="681" t="str">
        <f>INDEX('AMMO Units'!C:C,MATCH($A14,'AMMO Units'!$E:$E,0))</f>
        <v>VHE DOAS- Replacement- ID, MT, OR, and WA not Regulated by WSEC</v>
      </c>
      <c r="I14" s="681" t="str">
        <f>INDEX('AMMO Measures'!G:G,MATCH($A14,'AMMO Measures'!$A:$A,0))</f>
        <v>Commerical HVAC system with Partially / Fully Decoupled Ventilation, Right / Oversized ENERGY STAR Heating and Cooling system, Installed in Existing Building</v>
      </c>
      <c r="J14" s="682">
        <f>VALUE(INDEX('AMMO Measures'!H:H,MATCH($A14,'AMMO Measures'!A:A,0)))</f>
        <v>20</v>
      </c>
      <c r="K14" s="712">
        <v>2024</v>
      </c>
      <c r="L14" s="1046">
        <f>SUMIFS('AMMO Units'!F:F,'AMMO Units'!$A:$A,$K14,'AMMO Units'!$E:$E,$A14)</f>
        <v>11672.74035453</v>
      </c>
      <c r="M14" s="1904"/>
      <c r="N14" s="928">
        <f>SUMIFS('AMMO Units'!G:G,'AMMO Units'!$A:$A,$K14,'AMMO Units'!$E:$E,$A14)</f>
        <v>5719.6427737200002</v>
      </c>
      <c r="O14" s="928">
        <f>SUMIFS('AMMO Units'!H:H,'AMMO Units'!$A:$A,$K14,'AMMO Units'!$E:$E,$A14)</f>
        <v>233.45480709</v>
      </c>
      <c r="P14" s="1908"/>
      <c r="Q14" s="734">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R14" s="1050">
        <f>SUMIFS('AMMO Savings Rates'!F:F,'AMMO Savings Rates'!$E:$E,$K14,'AMMO Savings Rates'!$D:$D,$A14)</f>
        <v>1.1226593499999999</v>
      </c>
      <c r="S14" s="1912"/>
      <c r="T14" s="963">
        <f t="shared" ref="T14:T17" si="4">(L14-O14)*Q14*R14/8760000</f>
        <v>2.0503306098118308E-4</v>
      </c>
      <c r="U14" s="1051">
        <f t="shared" ref="U14:U15" si="5">IFERROR((N14-O14/L14*N14)*Q14*R14/8760/1000,0)</f>
        <v>1.0046619988078498E-4</v>
      </c>
      <c r="V14" s="685">
        <f t="shared" si="1"/>
        <v>1.045668611003981E-4</v>
      </c>
      <c r="W14" s="91"/>
    </row>
    <row r="15" spans="1:23" ht="38.25">
      <c r="A15" s="49" t="s">
        <v>2444</v>
      </c>
      <c r="B15" s="82" t="str">
        <f t="shared" si="0"/>
        <v>COM_202201</v>
      </c>
      <c r="C15" s="670" t="str">
        <f>INDEX('AMMO vwFlags'!$C:$C,MATCH($A15&amp;K15,'AMMO vwFlags'!$K:$K,0))</f>
        <v>0</v>
      </c>
      <c r="D15" s="670" t="str">
        <f>INDEX('AMMO vwFlags'!$D:$D,MATCH($A15&amp;$K15,'AMMO vwFlags'!$K:$K,0))</f>
        <v>0</v>
      </c>
      <c r="E15" s="82">
        <f t="shared" si="2"/>
        <v>1</v>
      </c>
      <c r="F15" s="730" t="str">
        <f t="shared" si="3"/>
        <v>Commercial</v>
      </c>
      <c r="G15" s="681" t="str">
        <f>INDEX('AMMO Units'!B:B,MATCH($A15,'AMMO Units'!$E:$E,0))</f>
        <v>High Performance HVAC</v>
      </c>
      <c r="H15" s="681" t="str">
        <f>INDEX('AMMO Units'!C:C,MATCH($A15,'AMMO Units'!$E:$E,0))</f>
        <v>VHE DOAS- Replacement- ID, MT, OR, and WA not Regulated by WSEC</v>
      </c>
      <c r="I15" s="681" t="str">
        <f>INDEX('AMMO Measures'!G:G,MATCH($A15,'AMMO Measures'!$A:$A,0))</f>
        <v>Commerical HVAC system with Partially / Fully Decoupled Ventilation, Right / Oversized ENERGY STAR Heating and Cooling system, Installed in Existing Building</v>
      </c>
      <c r="J15" s="682">
        <f>VALUE(INDEX('AMMO Measures'!H:H,MATCH($A15,'AMMO Measures'!A:A,0)))</f>
        <v>20</v>
      </c>
      <c r="K15" s="712">
        <v>2024</v>
      </c>
      <c r="L15" s="1046">
        <f>SUMIFS('AMMO Units'!F:F,'AMMO Units'!$A:$A,$K15,'AMMO Units'!$E:$E,$A15)</f>
        <v>36817.156299230002</v>
      </c>
      <c r="M15" s="1904"/>
      <c r="N15" s="928">
        <f>SUMIFS('AMMO Units'!G:G,'AMMO Units'!$A:$A,$K15,'AMMO Units'!$E:$E,$A15)</f>
        <v>18408.57814962</v>
      </c>
      <c r="O15" s="928">
        <f>SUMIFS('AMMO Units'!H:H,'AMMO Units'!$A:$A,$K15,'AMMO Units'!$E:$E,$A15)</f>
        <v>0</v>
      </c>
      <c r="P15" s="1908"/>
      <c r="Q15" s="73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R15" s="1050">
        <f>SUMIFS('AMMO Savings Rates'!F:F,'AMMO Savings Rates'!$E:$E,$K15,'AMMO Savings Rates'!$D:$D,$A15)</f>
        <v>1.1226593499999999</v>
      </c>
      <c r="S15" s="1912"/>
      <c r="T15" s="963">
        <f t="shared" si="4"/>
        <v>6.598956046116977E-4</v>
      </c>
      <c r="U15" s="1051">
        <f t="shared" si="5"/>
        <v>3.2994780230593846E-4</v>
      </c>
      <c r="V15" s="685">
        <f t="shared" si="1"/>
        <v>3.2994780230575924E-4</v>
      </c>
      <c r="W15" s="91"/>
    </row>
    <row r="16" spans="1:23" ht="38.25">
      <c r="A16" s="81" t="s">
        <v>2447</v>
      </c>
      <c r="B16" s="82" t="str">
        <f t="shared" si="0"/>
        <v>COM_202201</v>
      </c>
      <c r="C16" s="670" t="str">
        <f>INDEX('AMMO vwFlags'!$C:$C,MATCH($A16&amp;K16,'AMMO vwFlags'!$K:$K,0))</f>
        <v>0</v>
      </c>
      <c r="D16" s="670" t="str">
        <f>INDEX('AMMO vwFlags'!$D:$D,MATCH($A16&amp;$K16,'AMMO vwFlags'!$K:$K,0))</f>
        <v>0</v>
      </c>
      <c r="E16" s="82">
        <f t="shared" ref="E16:E32" si="6">COUNTIFS($A:$A,$A16,$K:$K,$K16)</f>
        <v>1</v>
      </c>
      <c r="F16" s="730" t="str">
        <f>IF(LEFT(A16,3)="Res","Residential",IF(LEFT(A16,3)="Ind","industrial",IF(LEFT(A16,3)="Com","Commercial",IF(LEFT(A16,3)="AGR","Agriculture",""))))</f>
        <v>Commercial</v>
      </c>
      <c r="G16" s="681" t="str">
        <f>INDEX('AMMO Units'!B:B,MATCH($A16,'AMMO Units'!$E:$E,0))</f>
        <v>High Performance HVAC</v>
      </c>
      <c r="H16" s="681" t="str">
        <f>INDEX('AMMO Units'!C:C,MATCH($A16,'AMMO Units'!$E:$E,0))</f>
        <v>VHE DOAS- New- ID, MT, OR, and WA not Regulated by WSEC</v>
      </c>
      <c r="I16" s="681" t="str">
        <f>INDEX('AMMO Measures'!G:G,MATCH($A16,'AMMO Measures'!$A:$A,0))</f>
        <v>Commerical HVAC system with Partially / Fully Decoupled Ventilation, Right / Oversized ENERGY STAR Heating and Cooling system, Installed in New Building</v>
      </c>
      <c r="J16" s="682">
        <f>VALUE(INDEX('AMMO Measures'!H:H,MATCH($A16,'AMMO Measures'!A:A,0)))</f>
        <v>20</v>
      </c>
      <c r="K16" s="704">
        <v>2024</v>
      </c>
      <c r="L16" s="1046">
        <f>SUMIFS('AMMO Units'!F:F,'AMMO Units'!$A:$A,$K16,'AMMO Units'!$E:$E,$A16)</f>
        <v>135369.80730240999</v>
      </c>
      <c r="M16" s="1905"/>
      <c r="N16" s="928">
        <f>SUMIFS('AMMO Units'!G:G,'AMMO Units'!$A:$A,$K16,'AMMO Units'!$E:$E,$A16)</f>
        <v>66331.205578180001</v>
      </c>
      <c r="O16" s="928">
        <f>SUMIFS('AMMO Units'!H:H,'AMMO Units'!$A:$A,$K16,'AMMO Units'!$E:$E,$A16)</f>
        <v>2707.39614605</v>
      </c>
      <c r="P16" s="1909"/>
      <c r="Q16" s="73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R16" s="1050">
        <f>SUMIFS('AMMO Savings Rates'!F:F,'AMMO Savings Rates'!$E:$E,$K16,'AMMO Savings Rates'!$D:$D,$A16)</f>
        <v>1.1226593499999999</v>
      </c>
      <c r="S16" s="1913"/>
      <c r="T16" s="963">
        <f t="shared" si="4"/>
        <v>2.37778663044388E-3</v>
      </c>
      <c r="U16" s="1051">
        <f>IFERROR((N16-O16/L16*N16)*Q16*R16/8760/1000,0)</f>
        <v>1.1651154489174861E-3</v>
      </c>
      <c r="V16" s="685">
        <f>T16-U16</f>
        <v>1.212671181526394E-3</v>
      </c>
      <c r="W16" s="91"/>
    </row>
    <row r="17" spans="1:23" ht="38.25">
      <c r="A17" s="49" t="s">
        <v>2452</v>
      </c>
      <c r="B17" s="82" t="str">
        <f t="shared" si="0"/>
        <v>COM_202201</v>
      </c>
      <c r="C17" s="670" t="str">
        <f>INDEX('AMMO vwFlags'!$C:$C,MATCH($A17&amp;K17,'AMMO vwFlags'!$K:$K,0))</f>
        <v>0</v>
      </c>
      <c r="D17" s="670" t="str">
        <f>INDEX('AMMO vwFlags'!$D:$D,MATCH($A17&amp;$K17,'AMMO vwFlags'!$K:$K,0))</f>
        <v>0</v>
      </c>
      <c r="E17" s="82">
        <f t="shared" si="6"/>
        <v>1</v>
      </c>
      <c r="F17" s="730" t="str">
        <f>IF(LEFT(A17,3)="Res","Residential",IF(LEFT(A17,3)="Ind","industrial",IF(LEFT(A17,3)="Com","Commercial",IF(LEFT(A17,3)="AGR","Agriculture",""))))</f>
        <v>Commercial</v>
      </c>
      <c r="G17" s="681" t="str">
        <f>INDEX('AMMO Units'!B:B,MATCH($A17,'AMMO Units'!$E:$E,0))</f>
        <v>High Performance HVAC</v>
      </c>
      <c r="H17" s="681" t="str">
        <f>INDEX('AMMO Units'!C:C,MATCH($A17,'AMMO Units'!$E:$E,0))</f>
        <v>VHE DOAS- New- ID, MT, OR, and WA not Regulated by WSEC</v>
      </c>
      <c r="I17" s="681" t="str">
        <f>INDEX('AMMO Measures'!G:G,MATCH($A17,'AMMO Measures'!$A:$A,0))</f>
        <v>Commerical HVAC system with Partially / Fully Decoupled Ventilation, Right / Oversized ENERGY STAR Heating and Cooling system, Installed in New Building</v>
      </c>
      <c r="J17" s="682">
        <f>VALUE(INDEX('AMMO Measures'!H:H,MATCH($A17,'AMMO Measures'!A:A,0)))</f>
        <v>20</v>
      </c>
      <c r="K17" s="704">
        <v>2024</v>
      </c>
      <c r="L17" s="1046">
        <f>SUMIFS('AMMO Units'!F:F,'AMMO Units'!$A:$A,$K17,'AMMO Units'!$E:$E,$A17)</f>
        <v>18254.72366707</v>
      </c>
      <c r="M17" s="1905"/>
      <c r="N17" s="928">
        <f>SUMIFS('AMMO Units'!G:G,'AMMO Units'!$A:$A,$K17,'AMMO Units'!$E:$E,$A17)</f>
        <v>9127.3618335400006</v>
      </c>
      <c r="O17" s="928">
        <f>SUMIFS('AMMO Units'!H:H,'AMMO Units'!$A:$A,$K17,'AMMO Units'!$E:$E,$A17)</f>
        <v>0</v>
      </c>
      <c r="P17" s="1909"/>
      <c r="Q17" s="734">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R17" s="1050">
        <f>SUMIFS('AMMO Savings Rates'!F:F,'AMMO Savings Rates'!$E:$E,$K17,'AMMO Savings Rates'!$D:$D,$A17)</f>
        <v>1.1226593499999999</v>
      </c>
      <c r="S17" s="1913"/>
      <c r="T17" s="963">
        <f t="shared" si="4"/>
        <v>3.271901776822606E-4</v>
      </c>
      <c r="U17" s="1051">
        <f t="shared" ref="U17" si="7">IFERROR((N17-O17/L17*N17)*Q17*R17/8760/1000,0)</f>
        <v>1.6359508884121991E-4</v>
      </c>
      <c r="V17" s="685">
        <f t="shared" si="1"/>
        <v>1.6359508884104069E-4</v>
      </c>
      <c r="W17" s="91"/>
    </row>
    <row r="18" spans="1:23" ht="25.5">
      <c r="A18" s="81" t="s">
        <v>2351</v>
      </c>
      <c r="B18" s="82" t="str">
        <f t="shared" si="0"/>
        <v>COM_202201</v>
      </c>
      <c r="C18" s="670" t="str">
        <f>INDEX('AMMO vwFlags'!$C:$C,MATCH($A18&amp;K18,'AMMO vwFlags'!$K:$K,0))</f>
        <v>1</v>
      </c>
      <c r="D18" s="670" t="str">
        <f>INDEX('AMMO vwFlags'!$D:$D,MATCH($A18&amp;$K18,'AMMO vwFlags'!$K:$K,0))</f>
        <v>0</v>
      </c>
      <c r="E18" s="82">
        <f t="shared" si="6"/>
        <v>1</v>
      </c>
      <c r="F18" s="730" t="str">
        <f>IF(LEFT(A18,3)="Res","Residential",IF(LEFT(A18,3)="Ind","industrial",IF(LEFT(A18,3)="Com","Commercial",IF(LEFT(A18,3)="AGR","Agriculture",""))))</f>
        <v>Commercial</v>
      </c>
      <c r="G18" s="681" t="str">
        <f>INDEX('AMMO Units'!B:B,MATCH($A18,'AMMO Units'!$E:$E,0))</f>
        <v>High Performance HVAC</v>
      </c>
      <c r="H18" s="681" t="str">
        <f>INDEX('AMMO Units'!C:C,MATCH($A18,'AMMO Units'!$E:$E,0))</f>
        <v>DOAS- Replacement- Regulated by WSEC</v>
      </c>
      <c r="I18" s="681" t="str">
        <f>INDEX('AMMO Measures'!G:G,MATCH($A18,'AMMO Measures'!$A:$A,0))</f>
        <v>Commercial HVAC system with Dedicated Outside Air System, Installed in Existing Building where DOAS is Required by Washington State Energy Code</v>
      </c>
      <c r="J18" s="681">
        <f>VALUE(INDEX('AMMO Measures'!H:H,MATCH($A18,'AMMO Measures'!A:A,0)))</f>
        <v>20</v>
      </c>
      <c r="K18" s="683">
        <v>2025</v>
      </c>
      <c r="L18" s="1046" t="s">
        <v>286</v>
      </c>
      <c r="M18" s="1905"/>
      <c r="N18" s="928" t="s">
        <v>286</v>
      </c>
      <c r="O18" s="928" t="s">
        <v>286</v>
      </c>
      <c r="P18" s="1909"/>
      <c r="Q18" s="734">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R18" s="1050" t="s">
        <v>286</v>
      </c>
      <c r="S18" s="1913"/>
      <c r="T18" s="1073" t="s">
        <v>286</v>
      </c>
      <c r="U18" s="1056" t="s">
        <v>286</v>
      </c>
      <c r="V18" s="1057" t="s">
        <v>286</v>
      </c>
      <c r="W18" s="91"/>
    </row>
    <row r="19" spans="1:23" ht="38.25">
      <c r="A19" s="49" t="s">
        <v>2438</v>
      </c>
      <c r="B19" s="82" t="str">
        <f t="shared" ref="B19:B20" si="8">LEFT(A19,10)</f>
        <v>COM_202201</v>
      </c>
      <c r="C19" s="670" t="str">
        <f>INDEX('AMMO vwFlags'!$C:$C,MATCH($A19&amp;K19,'AMMO vwFlags'!$K:$K,0))</f>
        <v>0</v>
      </c>
      <c r="D19" s="670" t="str">
        <f>INDEX('AMMO vwFlags'!$D:$D,MATCH($A19&amp;$K19,'AMMO vwFlags'!$K:$K,0))</f>
        <v>0</v>
      </c>
      <c r="E19" s="82">
        <f t="shared" si="6"/>
        <v>1</v>
      </c>
      <c r="F19" s="730" t="str">
        <f t="shared" ref="F19:F20" si="9">IF(LEFT(A19,3)="Res","Residential",IF(LEFT(A19,3)="Ind","industrial",IF(LEFT(A19,3)="Com","Commercial",IF(LEFT(A19,3)="AGR","Agriculture",""))))</f>
        <v>Commercial</v>
      </c>
      <c r="G19" s="681" t="str">
        <f>INDEX('AMMO Units'!B:B,MATCH($A19,'AMMO Units'!$E:$E,0))</f>
        <v>High Performance HVAC</v>
      </c>
      <c r="H19" s="681" t="str">
        <f>INDEX('AMMO Units'!C:C,MATCH($A19,'AMMO Units'!$E:$E,0))</f>
        <v>VHE DOAS- Replacement- ID, MT, OR, and WA not Regulated by WSEC</v>
      </c>
      <c r="I19" s="681" t="str">
        <f>INDEX('AMMO Measures'!G:G,MATCH($A19,'AMMO Measures'!$A:$A,0))</f>
        <v>Commerical HVAC system with Partially / Fully Decoupled Ventilation, Right / Oversized ENERGY STAR Heating and Cooling system, Installed in Existing Building</v>
      </c>
      <c r="J19" s="682">
        <f>VALUE(INDEX('AMMO Measures'!H:H,MATCH($A19,'AMMO Measures'!A:A,0)))</f>
        <v>20</v>
      </c>
      <c r="K19" s="683">
        <v>2025</v>
      </c>
      <c r="L19" s="1046" t="s">
        <v>286</v>
      </c>
      <c r="M19" s="1905"/>
      <c r="N19" s="928" t="s">
        <v>286</v>
      </c>
      <c r="O19" s="928" t="s">
        <v>286</v>
      </c>
      <c r="P19" s="1909"/>
      <c r="Q19" s="73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R19" s="1050" t="s">
        <v>286</v>
      </c>
      <c r="S19" s="1913"/>
      <c r="T19" s="1073" t="s">
        <v>286</v>
      </c>
      <c r="U19" s="1056" t="s">
        <v>286</v>
      </c>
      <c r="V19" s="1057" t="s">
        <v>286</v>
      </c>
      <c r="W19" s="91"/>
    </row>
    <row r="20" spans="1:23" ht="38.25">
      <c r="A20" s="49" t="s">
        <v>2444</v>
      </c>
      <c r="B20" s="82" t="str">
        <f t="shared" si="8"/>
        <v>COM_202201</v>
      </c>
      <c r="C20" s="670" t="str">
        <f>INDEX('AMMO vwFlags'!$C:$C,MATCH($A20&amp;K20,'AMMO vwFlags'!$K:$K,0))</f>
        <v>0</v>
      </c>
      <c r="D20" s="670" t="str">
        <f>INDEX('AMMO vwFlags'!$D:$D,MATCH($A20&amp;$K20,'AMMO vwFlags'!$K:$K,0))</f>
        <v>0</v>
      </c>
      <c r="E20" s="82">
        <f t="shared" si="6"/>
        <v>1</v>
      </c>
      <c r="F20" s="730" t="str">
        <f t="shared" si="9"/>
        <v>Commercial</v>
      </c>
      <c r="G20" s="681" t="str">
        <f>INDEX('AMMO Units'!B:B,MATCH($A20,'AMMO Units'!$E:$E,0))</f>
        <v>High Performance HVAC</v>
      </c>
      <c r="H20" s="681" t="str">
        <f>INDEX('AMMO Units'!C:C,MATCH($A20,'AMMO Units'!$E:$E,0))</f>
        <v>VHE DOAS- Replacement- ID, MT, OR, and WA not Regulated by WSEC</v>
      </c>
      <c r="I20" s="681" t="str">
        <f>INDEX('AMMO Measures'!G:G,MATCH($A20,'AMMO Measures'!$A:$A,0))</f>
        <v>Commerical HVAC system with Partially / Fully Decoupled Ventilation, Right / Oversized ENERGY STAR Heating and Cooling system, Installed in Existing Building</v>
      </c>
      <c r="J20" s="682">
        <f>VALUE(INDEX('AMMO Measures'!H:H,MATCH($A20,'AMMO Measures'!A:A,0)))</f>
        <v>20</v>
      </c>
      <c r="K20" s="683">
        <v>2025</v>
      </c>
      <c r="L20" s="1046" t="s">
        <v>286</v>
      </c>
      <c r="M20" s="1905"/>
      <c r="N20" s="928" t="s">
        <v>286</v>
      </c>
      <c r="O20" s="928" t="s">
        <v>286</v>
      </c>
      <c r="P20" s="1909"/>
      <c r="Q20" s="734">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R20" s="1050" t="s">
        <v>286</v>
      </c>
      <c r="S20" s="1913"/>
      <c r="T20" s="1073" t="s">
        <v>286</v>
      </c>
      <c r="U20" s="1056" t="s">
        <v>286</v>
      </c>
      <c r="V20" s="1057" t="s">
        <v>286</v>
      </c>
      <c r="W20" s="91"/>
    </row>
    <row r="21" spans="1:23" ht="38.25">
      <c r="A21" s="81" t="s">
        <v>2447</v>
      </c>
      <c r="B21" s="82" t="str">
        <f t="shared" si="0"/>
        <v>COM_202201</v>
      </c>
      <c r="C21" s="670" t="str">
        <f>INDEX('AMMO vwFlags'!$C:$C,MATCH($A21&amp;K21,'AMMO vwFlags'!$K:$K,0))</f>
        <v>0</v>
      </c>
      <c r="D21" s="670" t="str">
        <f>INDEX('AMMO vwFlags'!$D:$D,MATCH($A21&amp;$K21,'AMMO vwFlags'!$K:$K,0))</f>
        <v>0</v>
      </c>
      <c r="E21" s="82">
        <f t="shared" si="6"/>
        <v>1</v>
      </c>
      <c r="F21" s="730" t="str">
        <f>IF(LEFT(A21,3)="Res","Residential",IF(LEFT(A21,3)="Ind","industrial",IF(LEFT(A21,3)="Com","Commercial",IF(LEFT(A21,3)="AGR","Agriculture",""))))</f>
        <v>Commercial</v>
      </c>
      <c r="G21" s="681" t="str">
        <f>INDEX('AMMO Units'!B:B,MATCH($A21,'AMMO Units'!$E:$E,0))</f>
        <v>High Performance HVAC</v>
      </c>
      <c r="H21" s="681" t="str">
        <f>INDEX('AMMO Units'!C:C,MATCH($A21,'AMMO Units'!$E:$E,0))</f>
        <v>VHE DOAS- New- ID, MT, OR, and WA not Regulated by WSEC</v>
      </c>
      <c r="I21" s="681" t="str">
        <f>INDEX('AMMO Measures'!G:G,MATCH($A21,'AMMO Measures'!$A:$A,0))</f>
        <v>Commerical HVAC system with Partially / Fully Decoupled Ventilation, Right / Oversized ENERGY STAR Heating and Cooling system, Installed in New Building</v>
      </c>
      <c r="J21" s="682">
        <f>VALUE(INDEX('AMMO Measures'!H:H,MATCH($A21,'AMMO Measures'!A:A,0)))</f>
        <v>20</v>
      </c>
      <c r="K21" s="683">
        <v>2025</v>
      </c>
      <c r="L21" s="1046" t="s">
        <v>286</v>
      </c>
      <c r="M21" s="1905"/>
      <c r="N21" s="928" t="s">
        <v>286</v>
      </c>
      <c r="O21" s="928" t="s">
        <v>286</v>
      </c>
      <c r="P21" s="1909"/>
      <c r="Q21" s="734">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R21" s="1050" t="s">
        <v>286</v>
      </c>
      <c r="S21" s="1913"/>
      <c r="T21" s="1073" t="s">
        <v>286</v>
      </c>
      <c r="U21" s="1056" t="s">
        <v>286</v>
      </c>
      <c r="V21" s="1057" t="s">
        <v>286</v>
      </c>
      <c r="W21" s="91"/>
    </row>
    <row r="22" spans="1:23" ht="38.25">
      <c r="A22" s="49" t="s">
        <v>2452</v>
      </c>
      <c r="B22" s="82" t="str">
        <f t="shared" si="0"/>
        <v>COM_202201</v>
      </c>
      <c r="C22" s="670" t="str">
        <f>INDEX('AMMO vwFlags'!$C:$C,MATCH($A22&amp;K22,'AMMO vwFlags'!$K:$K,0))</f>
        <v>0</v>
      </c>
      <c r="D22" s="670" t="str">
        <f>INDEX('AMMO vwFlags'!$D:$D,MATCH($A22&amp;$K22,'AMMO vwFlags'!$K:$K,0))</f>
        <v>0</v>
      </c>
      <c r="E22" s="82">
        <f t="shared" si="6"/>
        <v>1</v>
      </c>
      <c r="F22" s="740" t="str">
        <f>IF(LEFT(A22,3)="Res","Residential",IF(LEFT(A22,3)="Ind","industrial",IF(LEFT(A22,3)="Com","Commercial",IF(LEFT(A22,3)="AGR","Agriculture",""))))</f>
        <v>Commercial</v>
      </c>
      <c r="G22" s="687" t="str">
        <f>INDEX('AMMO Units'!B:B,MATCH($A22,'AMMO Units'!$E:$E,0))</f>
        <v>High Performance HVAC</v>
      </c>
      <c r="H22" s="687" t="str">
        <f>INDEX('AMMO Units'!C:C,MATCH($A22,'AMMO Units'!$E:$E,0))</f>
        <v>VHE DOAS- New- ID, MT, OR, and WA not Regulated by WSEC</v>
      </c>
      <c r="I22" s="687" t="str">
        <f>INDEX('AMMO Measures'!G:G,MATCH($A22,'AMMO Measures'!$A:$A,0))</f>
        <v>Commerical HVAC system with Partially / Fully Decoupled Ventilation, Right / Oversized ENERGY STAR Heating and Cooling system, Installed in New Building</v>
      </c>
      <c r="J22" s="964">
        <f>VALUE(INDEX('AMMO Measures'!H:H,MATCH($A22,'AMMO Measures'!A:A,0)))</f>
        <v>20</v>
      </c>
      <c r="K22" s="694">
        <v>2025</v>
      </c>
      <c r="L22" s="1058" t="s">
        <v>286</v>
      </c>
      <c r="M22" s="1906"/>
      <c r="N22" s="1059" t="s">
        <v>286</v>
      </c>
      <c r="O22" s="1059" t="s">
        <v>286</v>
      </c>
      <c r="P22" s="1909"/>
      <c r="Q22" s="744">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R22" s="1060" t="s">
        <v>286</v>
      </c>
      <c r="S22" s="1913"/>
      <c r="T22" s="1074" t="s">
        <v>286</v>
      </c>
      <c r="U22" s="1061" t="s">
        <v>286</v>
      </c>
      <c r="V22" s="1062" t="s">
        <v>286</v>
      </c>
      <c r="W22" s="91"/>
    </row>
    <row r="23" spans="1:23" ht="25.5">
      <c r="A23" s="81" t="s">
        <v>2351</v>
      </c>
      <c r="B23" s="82" t="str">
        <f t="shared" ref="B23:B32" si="10">LEFT(A23,10)</f>
        <v>COM_202201</v>
      </c>
      <c r="C23" s="670" t="str">
        <f>INDEX('AMMO vwFlags'!$C:$C,MATCH($A23&amp;K23,'AMMO vwFlags'!$K:$K,0))</f>
        <v>1</v>
      </c>
      <c r="D23" s="670" t="str">
        <f>INDEX('AMMO vwFlags'!$D:$D,MATCH($A23&amp;$K23,'AMMO vwFlags'!$K:$K,0))</f>
        <v>0</v>
      </c>
      <c r="E23" s="82">
        <f t="shared" si="6"/>
        <v>1</v>
      </c>
      <c r="F23" s="749" t="str">
        <f t="shared" ref="F23:F32" si="11">IF(LEFT(A23,3)="Res","Residential",IF(LEFT(A23,3)="Ind","industrial",IF(LEFT(A23,3)="Com","Commercial",IF(LEFT(A23,3)="AGR","Agriculture",""))))</f>
        <v>Commercial</v>
      </c>
      <c r="G23" s="710" t="str">
        <f>INDEX('AMMO Units'!B:B,MATCH($A23,'AMMO Units'!$E:$E,0))</f>
        <v>High Performance HVAC</v>
      </c>
      <c r="H23" s="710" t="str">
        <f>INDEX('AMMO Units'!C:C,MATCH($A23,'AMMO Units'!$E:$E,0))</f>
        <v>DOAS- Replacement- Regulated by WSEC</v>
      </c>
      <c r="I23" s="710" t="str">
        <f>INDEX('AMMO Measures'!G:G,MATCH($A23,'AMMO Measures'!$A:$A,0))</f>
        <v>Commercial HVAC system with Dedicated Outside Air System, Installed in Existing Building where DOAS is Required by Washington State Energy Code</v>
      </c>
      <c r="J23" s="711">
        <f>VALUE(INDEX('AMMO Measures'!H:H,MATCH($A23,'AMMO Measures'!A:A,0)))</f>
        <v>20</v>
      </c>
      <c r="K23" s="751">
        <v>2026</v>
      </c>
      <c r="L23" s="1052" t="s">
        <v>286</v>
      </c>
      <c r="M23" s="1069"/>
      <c r="N23" s="1053" t="s">
        <v>286</v>
      </c>
      <c r="O23" s="1053" t="s">
        <v>286</v>
      </c>
      <c r="P23" s="1909"/>
      <c r="Q23" s="754">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0.13985600000000001</v>
      </c>
      <c r="R23" s="1072" t="s">
        <v>286</v>
      </c>
      <c r="S23" s="1913"/>
      <c r="T23" s="1054" t="s">
        <v>286</v>
      </c>
      <c r="U23" s="1054" t="s">
        <v>286</v>
      </c>
      <c r="V23" s="1055" t="s">
        <v>286</v>
      </c>
      <c r="W23" s="91"/>
    </row>
    <row r="24" spans="1:23" ht="38.25">
      <c r="A24" s="49" t="s">
        <v>2438</v>
      </c>
      <c r="B24" s="82" t="str">
        <f t="shared" si="10"/>
        <v>COM_202201</v>
      </c>
      <c r="C24" s="670" t="str">
        <f>INDEX('AMMO vwFlags'!$C:$C,MATCH($A24&amp;K24,'AMMO vwFlags'!$K:$K,0))</f>
        <v>0</v>
      </c>
      <c r="D24" s="670" t="str">
        <f>INDEX('AMMO vwFlags'!$D:$D,MATCH($A24&amp;$K24,'AMMO vwFlags'!$K:$K,0))</f>
        <v>0</v>
      </c>
      <c r="E24" s="82">
        <f t="shared" si="6"/>
        <v>1</v>
      </c>
      <c r="F24" s="730" t="str">
        <f t="shared" si="11"/>
        <v>Commercial</v>
      </c>
      <c r="G24" s="681" t="str">
        <f>INDEX('AMMO Units'!B:B,MATCH($A24,'AMMO Units'!$E:$E,0))</f>
        <v>High Performance HVAC</v>
      </c>
      <c r="H24" s="681" t="str">
        <f>INDEX('AMMO Units'!C:C,MATCH($A24,'AMMO Units'!$E:$E,0))</f>
        <v>VHE DOAS- Replacement- ID, MT, OR, and WA not Regulated by WSEC</v>
      </c>
      <c r="I24" s="681" t="str">
        <f>INDEX('AMMO Measures'!G:G,MATCH($A24,'AMMO Measures'!$A:$A,0))</f>
        <v>Commerical HVAC system with Partially / Fully Decoupled Ventilation, Right / Oversized ENERGY STAR Heating and Cooling system, Installed in Existing Building</v>
      </c>
      <c r="J24" s="682">
        <f>VALUE(INDEX('AMMO Measures'!H:H,MATCH($A24,'AMMO Measures'!A:A,0)))</f>
        <v>20</v>
      </c>
      <c r="K24" s="683">
        <v>2026</v>
      </c>
      <c r="L24" s="1046" t="s">
        <v>286</v>
      </c>
      <c r="M24" s="1070"/>
      <c r="N24" s="928" t="s">
        <v>286</v>
      </c>
      <c r="O24" s="928" t="s">
        <v>286</v>
      </c>
      <c r="P24" s="1909"/>
      <c r="Q24" s="734">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R24" s="1050" t="s">
        <v>286</v>
      </c>
      <c r="S24" s="1913"/>
      <c r="T24" s="1056" t="s">
        <v>286</v>
      </c>
      <c r="U24" s="1056" t="s">
        <v>286</v>
      </c>
      <c r="V24" s="1057" t="s">
        <v>286</v>
      </c>
      <c r="W24" s="91"/>
    </row>
    <row r="25" spans="1:23" ht="38.25">
      <c r="A25" s="49" t="s">
        <v>2444</v>
      </c>
      <c r="B25" s="82" t="str">
        <f t="shared" si="10"/>
        <v>COM_202201</v>
      </c>
      <c r="C25" s="670" t="str">
        <f>INDEX('AMMO vwFlags'!$C:$C,MATCH($A25&amp;K25,'AMMO vwFlags'!$K:$K,0))</f>
        <v>0</v>
      </c>
      <c r="D25" s="670" t="str">
        <f>INDEX('AMMO vwFlags'!$D:$D,MATCH($A25&amp;$K25,'AMMO vwFlags'!$K:$K,0))</f>
        <v>0</v>
      </c>
      <c r="E25" s="82">
        <f t="shared" si="6"/>
        <v>1</v>
      </c>
      <c r="F25" s="730" t="str">
        <f t="shared" si="11"/>
        <v>Commercial</v>
      </c>
      <c r="G25" s="681" t="str">
        <f>INDEX('AMMO Units'!B:B,MATCH($A25,'AMMO Units'!$E:$E,0))</f>
        <v>High Performance HVAC</v>
      </c>
      <c r="H25" s="681" t="str">
        <f>INDEX('AMMO Units'!C:C,MATCH($A25,'AMMO Units'!$E:$E,0))</f>
        <v>VHE DOAS- Replacement- ID, MT, OR, and WA not Regulated by WSEC</v>
      </c>
      <c r="I25" s="681" t="str">
        <f>INDEX('AMMO Measures'!G:G,MATCH($A25,'AMMO Measures'!$A:$A,0))</f>
        <v>Commerical HVAC system with Partially / Fully Decoupled Ventilation, Right / Oversized ENERGY STAR Heating and Cooling system, Installed in Existing Building</v>
      </c>
      <c r="J25" s="682">
        <f>VALUE(INDEX('AMMO Measures'!H:H,MATCH($A25,'AMMO Measures'!A:A,0)))</f>
        <v>20</v>
      </c>
      <c r="K25" s="683">
        <v>2026</v>
      </c>
      <c r="L25" s="1046" t="s">
        <v>286</v>
      </c>
      <c r="M25" s="1070"/>
      <c r="N25" s="928" t="s">
        <v>286</v>
      </c>
      <c r="O25" s="928" t="s">
        <v>286</v>
      </c>
      <c r="P25" s="1909"/>
      <c r="Q25" s="734">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R25" s="1050" t="s">
        <v>286</v>
      </c>
      <c r="S25" s="1913"/>
      <c r="T25" s="1056" t="s">
        <v>286</v>
      </c>
      <c r="U25" s="1056" t="s">
        <v>286</v>
      </c>
      <c r="V25" s="1057" t="s">
        <v>286</v>
      </c>
      <c r="W25" s="91"/>
    </row>
    <row r="26" spans="1:23" ht="38.25">
      <c r="A26" s="81" t="s">
        <v>2447</v>
      </c>
      <c r="B26" s="82" t="str">
        <f t="shared" si="10"/>
        <v>COM_202201</v>
      </c>
      <c r="C26" s="670" t="str">
        <f>INDEX('AMMO vwFlags'!$C:$C,MATCH($A26&amp;K26,'AMMO vwFlags'!$K:$K,0))</f>
        <v>0</v>
      </c>
      <c r="D26" s="670" t="str">
        <f>INDEX('AMMO vwFlags'!$D:$D,MATCH($A26&amp;$K26,'AMMO vwFlags'!$K:$K,0))</f>
        <v>0</v>
      </c>
      <c r="E26" s="82">
        <f t="shared" si="6"/>
        <v>1</v>
      </c>
      <c r="F26" s="730" t="str">
        <f t="shared" si="11"/>
        <v>Commercial</v>
      </c>
      <c r="G26" s="681" t="str">
        <f>INDEX('AMMO Units'!B:B,MATCH($A26,'AMMO Units'!$E:$E,0))</f>
        <v>High Performance HVAC</v>
      </c>
      <c r="H26" s="681" t="str">
        <f>INDEX('AMMO Units'!C:C,MATCH($A26,'AMMO Units'!$E:$E,0))</f>
        <v>VHE DOAS- New- ID, MT, OR, and WA not Regulated by WSEC</v>
      </c>
      <c r="I26" s="681" t="str">
        <f>INDEX('AMMO Measures'!G:G,MATCH($A26,'AMMO Measures'!$A:$A,0))</f>
        <v>Commerical HVAC system with Partially / Fully Decoupled Ventilation, Right / Oversized ENERGY STAR Heating and Cooling system, Installed in New Building</v>
      </c>
      <c r="J26" s="682">
        <f>VALUE(INDEX('AMMO Measures'!H:H,MATCH($A26,'AMMO Measures'!A:A,0)))</f>
        <v>20</v>
      </c>
      <c r="K26" s="683">
        <v>2026</v>
      </c>
      <c r="L26" s="1046" t="s">
        <v>286</v>
      </c>
      <c r="M26" s="1070"/>
      <c r="N26" s="928" t="s">
        <v>286</v>
      </c>
      <c r="O26" s="928" t="s">
        <v>286</v>
      </c>
      <c r="P26" s="1909"/>
      <c r="Q26" s="734">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0.13985600000000001</v>
      </c>
      <c r="R26" s="1050" t="s">
        <v>286</v>
      </c>
      <c r="S26" s="1913"/>
      <c r="T26" s="1056" t="s">
        <v>286</v>
      </c>
      <c r="U26" s="1056" t="s">
        <v>286</v>
      </c>
      <c r="V26" s="1057" t="s">
        <v>286</v>
      </c>
      <c r="W26" s="91"/>
    </row>
    <row r="27" spans="1:23" ht="38.25">
      <c r="A27" s="49" t="s">
        <v>2452</v>
      </c>
      <c r="B27" s="82" t="str">
        <f t="shared" si="10"/>
        <v>COM_202201</v>
      </c>
      <c r="C27" s="670" t="str">
        <f>INDEX('AMMO vwFlags'!$C:$C,MATCH($A27&amp;K27,'AMMO vwFlags'!$K:$K,0))</f>
        <v>0</v>
      </c>
      <c r="D27" s="670" t="str">
        <f>INDEX('AMMO vwFlags'!$D:$D,MATCH($A27&amp;$K27,'AMMO vwFlags'!$K:$K,0))</f>
        <v>0</v>
      </c>
      <c r="E27" s="82">
        <f t="shared" si="6"/>
        <v>1</v>
      </c>
      <c r="F27" s="730" t="str">
        <f t="shared" si="11"/>
        <v>Commercial</v>
      </c>
      <c r="G27" s="681" t="str">
        <f>INDEX('AMMO Units'!B:B,MATCH($A27,'AMMO Units'!$E:$E,0))</f>
        <v>High Performance HVAC</v>
      </c>
      <c r="H27" s="681" t="str">
        <f>INDEX('AMMO Units'!C:C,MATCH($A27,'AMMO Units'!$E:$E,0))</f>
        <v>VHE DOAS- New- ID, MT, OR, and WA not Regulated by WSEC</v>
      </c>
      <c r="I27" s="681" t="str">
        <f>INDEX('AMMO Measures'!G:G,MATCH($A27,'AMMO Measures'!$A:$A,0))</f>
        <v>Commerical HVAC system with Partially / Fully Decoupled Ventilation, Right / Oversized ENERGY STAR Heating and Cooling system, Installed in New Building</v>
      </c>
      <c r="J27" s="682">
        <f>VALUE(INDEX('AMMO Measures'!H:H,MATCH($A27,'AMMO Measures'!A:A,0)))</f>
        <v>20</v>
      </c>
      <c r="K27" s="683">
        <v>2026</v>
      </c>
      <c r="L27" s="1046" t="s">
        <v>286</v>
      </c>
      <c r="M27" s="1070"/>
      <c r="N27" s="928" t="s">
        <v>286</v>
      </c>
      <c r="O27" s="928" t="s">
        <v>286</v>
      </c>
      <c r="P27" s="1909"/>
      <c r="Q27" s="734">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R27" s="1050" t="s">
        <v>286</v>
      </c>
      <c r="S27" s="1913"/>
      <c r="T27" s="1056" t="s">
        <v>286</v>
      </c>
      <c r="U27" s="1056" t="s">
        <v>286</v>
      </c>
      <c r="V27" s="1057" t="s">
        <v>286</v>
      </c>
      <c r="W27" s="91"/>
    </row>
    <row r="28" spans="1:23" ht="25.5">
      <c r="A28" s="81" t="s">
        <v>2351</v>
      </c>
      <c r="B28" s="82" t="str">
        <f t="shared" si="10"/>
        <v>COM_202201</v>
      </c>
      <c r="C28" s="670" t="str">
        <f>INDEX('AMMO vwFlags'!$C:$C,MATCH($A28&amp;K28,'AMMO vwFlags'!$K:$K,0))</f>
        <v>1</v>
      </c>
      <c r="D28" s="670" t="str">
        <f>INDEX('AMMO vwFlags'!$D:$D,MATCH($A28&amp;$K28,'AMMO vwFlags'!$K:$K,0))</f>
        <v>0</v>
      </c>
      <c r="E28" s="82">
        <f t="shared" si="6"/>
        <v>1</v>
      </c>
      <c r="F28" s="730" t="str">
        <f t="shared" si="11"/>
        <v>Commercial</v>
      </c>
      <c r="G28" s="681" t="str">
        <f>INDEX('AMMO Units'!B:B,MATCH($A28,'AMMO Units'!$E:$E,0))</f>
        <v>High Performance HVAC</v>
      </c>
      <c r="H28" s="681" t="str">
        <f>INDEX('AMMO Units'!C:C,MATCH($A28,'AMMO Units'!$E:$E,0))</f>
        <v>DOAS- Replacement- Regulated by WSEC</v>
      </c>
      <c r="I28" s="681" t="str">
        <f>INDEX('AMMO Measures'!G:G,MATCH($A28,'AMMO Measures'!$A:$A,0))</f>
        <v>Commercial HVAC system with Dedicated Outside Air System, Installed in Existing Building where DOAS is Required by Washington State Energy Code</v>
      </c>
      <c r="J28" s="682">
        <f>VALUE(INDEX('AMMO Measures'!H:H,MATCH($A28,'AMMO Measures'!A:A,0)))</f>
        <v>20</v>
      </c>
      <c r="K28" s="683">
        <v>2027</v>
      </c>
      <c r="L28" s="1046" t="s">
        <v>286</v>
      </c>
      <c r="M28" s="1070"/>
      <c r="N28" s="928" t="s">
        <v>286</v>
      </c>
      <c r="O28" s="928" t="s">
        <v>286</v>
      </c>
      <c r="P28" s="1909"/>
      <c r="Q28" s="734">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0.13985600000000001</v>
      </c>
      <c r="R28" s="1050" t="s">
        <v>286</v>
      </c>
      <c r="S28" s="1913"/>
      <c r="T28" s="1056" t="s">
        <v>286</v>
      </c>
      <c r="U28" s="1056" t="s">
        <v>286</v>
      </c>
      <c r="V28" s="1057" t="s">
        <v>286</v>
      </c>
      <c r="W28" s="91"/>
    </row>
    <row r="29" spans="1:23" ht="38.25">
      <c r="A29" s="49" t="s">
        <v>2438</v>
      </c>
      <c r="B29" s="82" t="str">
        <f t="shared" si="10"/>
        <v>COM_202201</v>
      </c>
      <c r="C29" s="670" t="str">
        <f>INDEX('AMMO vwFlags'!$C:$C,MATCH($A29&amp;K29,'AMMO vwFlags'!$K:$K,0))</f>
        <v>0</v>
      </c>
      <c r="D29" s="670" t="str">
        <f>INDEX('AMMO vwFlags'!$D:$D,MATCH($A29&amp;$K29,'AMMO vwFlags'!$K:$K,0))</f>
        <v>0</v>
      </c>
      <c r="E29" s="82">
        <f t="shared" si="6"/>
        <v>1</v>
      </c>
      <c r="F29" s="730" t="str">
        <f t="shared" si="11"/>
        <v>Commercial</v>
      </c>
      <c r="G29" s="681" t="str">
        <f>INDEX('AMMO Units'!B:B,MATCH($A29,'AMMO Units'!$E:$E,0))</f>
        <v>High Performance HVAC</v>
      </c>
      <c r="H29" s="681" t="str">
        <f>INDEX('AMMO Units'!C:C,MATCH($A29,'AMMO Units'!$E:$E,0))</f>
        <v>VHE DOAS- Replacement- ID, MT, OR, and WA not Regulated by WSEC</v>
      </c>
      <c r="I29" s="681" t="str">
        <f>INDEX('AMMO Measures'!G:G,MATCH($A29,'AMMO Measures'!$A:$A,0))</f>
        <v>Commerical HVAC system with Partially / Fully Decoupled Ventilation, Right / Oversized ENERGY STAR Heating and Cooling system, Installed in Existing Building</v>
      </c>
      <c r="J29" s="682">
        <f>VALUE(INDEX('AMMO Measures'!H:H,MATCH($A29,'AMMO Measures'!A:A,0)))</f>
        <v>20</v>
      </c>
      <c r="K29" s="683">
        <v>2027</v>
      </c>
      <c r="L29" s="1046" t="s">
        <v>286</v>
      </c>
      <c r="M29" s="1070"/>
      <c r="N29" s="928" t="s">
        <v>286</v>
      </c>
      <c r="O29" s="928" t="s">
        <v>286</v>
      </c>
      <c r="P29" s="1909"/>
      <c r="Q29" s="734">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R29" s="1050" t="s">
        <v>286</v>
      </c>
      <c r="S29" s="1913"/>
      <c r="T29" s="1056" t="s">
        <v>286</v>
      </c>
      <c r="U29" s="1056" t="s">
        <v>286</v>
      </c>
      <c r="V29" s="1057" t="s">
        <v>286</v>
      </c>
      <c r="W29" s="91"/>
    </row>
    <row r="30" spans="1:23" ht="38.25">
      <c r="A30" s="49" t="s">
        <v>2444</v>
      </c>
      <c r="B30" s="82" t="str">
        <f t="shared" si="10"/>
        <v>COM_202201</v>
      </c>
      <c r="C30" s="670" t="str">
        <f>INDEX('AMMO vwFlags'!$C:$C,MATCH($A30&amp;K30,'AMMO vwFlags'!$K:$K,0))</f>
        <v>0</v>
      </c>
      <c r="D30" s="670" t="str">
        <f>INDEX('AMMO vwFlags'!$D:$D,MATCH($A30&amp;$K30,'AMMO vwFlags'!$K:$K,0))</f>
        <v>0</v>
      </c>
      <c r="E30" s="82">
        <f t="shared" si="6"/>
        <v>1</v>
      </c>
      <c r="F30" s="730" t="str">
        <f t="shared" si="11"/>
        <v>Commercial</v>
      </c>
      <c r="G30" s="681" t="str">
        <f>INDEX('AMMO Units'!B:B,MATCH($A30,'AMMO Units'!$E:$E,0))</f>
        <v>High Performance HVAC</v>
      </c>
      <c r="H30" s="681" t="str">
        <f>INDEX('AMMO Units'!C:C,MATCH($A30,'AMMO Units'!$E:$E,0))</f>
        <v>VHE DOAS- Replacement- ID, MT, OR, and WA not Regulated by WSEC</v>
      </c>
      <c r="I30" s="681" t="str">
        <f>INDEX('AMMO Measures'!G:G,MATCH($A30,'AMMO Measures'!$A:$A,0))</f>
        <v>Commerical HVAC system with Partially / Fully Decoupled Ventilation, Right / Oversized ENERGY STAR Heating and Cooling system, Installed in Existing Building</v>
      </c>
      <c r="J30" s="682">
        <f>VALUE(INDEX('AMMO Measures'!H:H,MATCH($A30,'AMMO Measures'!A:A,0)))</f>
        <v>20</v>
      </c>
      <c r="K30" s="683">
        <v>2027</v>
      </c>
      <c r="L30" s="1046" t="s">
        <v>286</v>
      </c>
      <c r="M30" s="1070"/>
      <c r="N30" s="928" t="s">
        <v>286</v>
      </c>
      <c r="O30" s="928" t="s">
        <v>286</v>
      </c>
      <c r="P30" s="1909"/>
      <c r="Q30" s="734">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R30" s="1050" t="s">
        <v>286</v>
      </c>
      <c r="S30" s="1913"/>
      <c r="T30" s="1056" t="s">
        <v>286</v>
      </c>
      <c r="U30" s="1056" t="s">
        <v>286</v>
      </c>
      <c r="V30" s="1057" t="s">
        <v>286</v>
      </c>
      <c r="W30" s="91"/>
    </row>
    <row r="31" spans="1:23" ht="38.25">
      <c r="A31" s="81" t="s">
        <v>2447</v>
      </c>
      <c r="B31" s="82" t="str">
        <f t="shared" si="10"/>
        <v>COM_202201</v>
      </c>
      <c r="C31" s="670" t="str">
        <f>INDEX('AMMO vwFlags'!$C:$C,MATCH($A31&amp;K31,'AMMO vwFlags'!$K:$K,0))</f>
        <v>0</v>
      </c>
      <c r="D31" s="670" t="str">
        <f>INDEX('AMMO vwFlags'!$D:$D,MATCH($A31&amp;$K31,'AMMO vwFlags'!$K:$K,0))</f>
        <v>0</v>
      </c>
      <c r="E31" s="82">
        <f t="shared" si="6"/>
        <v>1</v>
      </c>
      <c r="F31" s="730" t="str">
        <f t="shared" si="11"/>
        <v>Commercial</v>
      </c>
      <c r="G31" s="681" t="str">
        <f>INDEX('AMMO Units'!B:B,MATCH($A31,'AMMO Units'!$E:$E,0))</f>
        <v>High Performance HVAC</v>
      </c>
      <c r="H31" s="681" t="str">
        <f>INDEX('AMMO Units'!C:C,MATCH($A31,'AMMO Units'!$E:$E,0))</f>
        <v>VHE DOAS- New- ID, MT, OR, and WA not Regulated by WSEC</v>
      </c>
      <c r="I31" s="681" t="str">
        <f>INDEX('AMMO Measures'!G:G,MATCH($A31,'AMMO Measures'!$A:$A,0))</f>
        <v>Commerical HVAC system with Partially / Fully Decoupled Ventilation, Right / Oversized ENERGY STAR Heating and Cooling system, Installed in New Building</v>
      </c>
      <c r="J31" s="682">
        <f>VALUE(INDEX('AMMO Measures'!H:H,MATCH($A31,'AMMO Measures'!A:A,0)))</f>
        <v>20</v>
      </c>
      <c r="K31" s="683">
        <v>2027</v>
      </c>
      <c r="L31" s="1046" t="s">
        <v>286</v>
      </c>
      <c r="M31" s="1070"/>
      <c r="N31" s="928" t="s">
        <v>286</v>
      </c>
      <c r="O31" s="928" t="s">
        <v>286</v>
      </c>
      <c r="P31" s="1909"/>
      <c r="Q31" s="734">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R31" s="1050" t="s">
        <v>286</v>
      </c>
      <c r="S31" s="1913"/>
      <c r="T31" s="1056" t="s">
        <v>286</v>
      </c>
      <c r="U31" s="1056" t="s">
        <v>286</v>
      </c>
      <c r="V31" s="1057" t="s">
        <v>286</v>
      </c>
      <c r="W31" s="91"/>
    </row>
    <row r="32" spans="1:23" ht="38.25">
      <c r="A32" s="461" t="s">
        <v>2452</v>
      </c>
      <c r="B32" s="462" t="str">
        <f t="shared" si="10"/>
        <v>COM_202201</v>
      </c>
      <c r="C32" s="673" t="str">
        <f>INDEX('AMMO vwFlags'!$C:$C,MATCH($A32&amp;K32,'AMMO vwFlags'!$K:$K,0))</f>
        <v>0</v>
      </c>
      <c r="D32" s="673" t="str">
        <f>INDEX('AMMO vwFlags'!$D:$D,MATCH($A32&amp;$K32,'AMMO vwFlags'!$K:$K,0))</f>
        <v>0</v>
      </c>
      <c r="E32" s="462">
        <f t="shared" si="6"/>
        <v>1</v>
      </c>
      <c r="F32" s="740" t="str">
        <f t="shared" si="11"/>
        <v>Commercial</v>
      </c>
      <c r="G32" s="687" t="str">
        <f>INDEX('AMMO Units'!B:B,MATCH($A32,'AMMO Units'!$E:$E,0))</f>
        <v>High Performance HVAC</v>
      </c>
      <c r="H32" s="687" t="str">
        <f>INDEX('AMMO Units'!C:C,MATCH($A32,'AMMO Units'!$E:$E,0))</f>
        <v>VHE DOAS- New- ID, MT, OR, and WA not Regulated by WSEC</v>
      </c>
      <c r="I32" s="687" t="str">
        <f>INDEX('AMMO Measures'!G:G,MATCH($A32,'AMMO Measures'!$A:$A,0))</f>
        <v>Commerical HVAC system with Partially / Fully Decoupled Ventilation, Right / Oversized ENERGY STAR Heating and Cooling system, Installed in New Building</v>
      </c>
      <c r="J32" s="687">
        <f>VALUE(INDEX('AMMO Measures'!H:H,MATCH($A32,'AMMO Measures'!A:A,0)))</f>
        <v>20</v>
      </c>
      <c r="K32" s="694">
        <v>2027</v>
      </c>
      <c r="L32" s="1058" t="s">
        <v>286</v>
      </c>
      <c r="M32" s="1071"/>
      <c r="N32" s="1059" t="s">
        <v>286</v>
      </c>
      <c r="O32" s="1059" t="s">
        <v>286</v>
      </c>
      <c r="P32" s="1910"/>
      <c r="Q32" s="744">
        <f>IF(Selection!$A$2="regional",1,IF($L32=0,0,
( INDEX(Allocation!$B:$B,MATCH(K32,Allocation!$A:$A,0)) * INDEX(UnitsFunderShareAllocation!$C:$C, MATCH($A32&amp;K32,UnitsFunderShareAllocation!$H:$H,0))
+ INDEX(Allocation!$C:$C,MATCH(K32,Allocation!$A:$A,0)) * INDEX(UnitsFunderShareAllocation!$D:$D, MATCH($A32&amp;K32,UnitsFunderShareAllocation!$H:$H,0))
+ INDEX(Allocation!$D:$D,MATCH(K32,Allocation!$A:$A,0)) * INDEX(UnitsFunderShareAllocation!$E:$E, MATCH($A32&amp;K32,UnitsFunderShareAllocation!$H:$H,0))
+ INDEX(Allocation!$E:$E,MATCH(K32,Allocation!$A:$A,0)) * INDEX(UnitsFunderShareAllocation!$F:$F, MATCH($A32&amp;K32,UnitsFunderShareAllocation!$H:$H,0)))
))</f>
        <v>0.13985600000000001</v>
      </c>
      <c r="R32" s="1060" t="s">
        <v>286</v>
      </c>
      <c r="S32" s="1914"/>
      <c r="T32" s="1061" t="s">
        <v>286</v>
      </c>
      <c r="U32" s="1061" t="s">
        <v>286</v>
      </c>
      <c r="V32" s="1062" t="s">
        <v>286</v>
      </c>
      <c r="W32" s="91"/>
    </row>
    <row r="33" spans="1:24" s="47" customFormat="1">
      <c r="A33" s="390"/>
      <c r="B33" s="390"/>
      <c r="C33" s="390"/>
      <c r="D33" s="390"/>
      <c r="E33" s="390"/>
      <c r="F33" s="227"/>
      <c r="G33" s="227"/>
      <c r="H33" s="227"/>
      <c r="I33" s="227"/>
      <c r="J33" s="281"/>
      <c r="K33" s="282"/>
      <c r="L33" s="282"/>
      <c r="M33" s="282"/>
      <c r="N33" s="282"/>
      <c r="O33" s="391"/>
      <c r="P33" s="284"/>
      <c r="Q33" s="282"/>
      <c r="R33" s="290"/>
      <c r="S33" s="285"/>
      <c r="T33" s="285"/>
      <c r="U33" s="285"/>
      <c r="V33" s="392"/>
    </row>
    <row r="34" spans="1:24" ht="12.75" customHeight="1">
      <c r="F34" s="127" t="s">
        <v>671</v>
      </c>
      <c r="G34" s="125"/>
      <c r="H34" s="125"/>
      <c r="I34" s="125"/>
      <c r="J34" s="15"/>
      <c r="P34" s="50"/>
      <c r="U34" s="52"/>
      <c r="V34" s="50"/>
    </row>
    <row r="35" spans="1:24" ht="57.75" customHeight="1">
      <c r="F35" s="1715" t="s">
        <v>2476</v>
      </c>
      <c r="G35" s="1707"/>
      <c r="H35" s="1707"/>
      <c r="I35" s="1707"/>
      <c r="J35" s="1716"/>
      <c r="K35"/>
      <c r="L35"/>
      <c r="O35"/>
      <c r="P35"/>
      <c r="Q35"/>
      <c r="R35"/>
      <c r="S35"/>
      <c r="T35"/>
      <c r="U35"/>
      <c r="V35"/>
      <c r="W35"/>
      <c r="X35"/>
    </row>
    <row r="36" spans="1:24" ht="12.75" customHeight="1">
      <c r="M36"/>
      <c r="N36"/>
    </row>
    <row r="37" spans="1:24" ht="16.5" customHeight="1" thickBot="1">
      <c r="F37" s="364" t="s">
        <v>9</v>
      </c>
      <c r="G37" s="128"/>
      <c r="H37" s="128"/>
      <c r="I37" s="128"/>
      <c r="J37" s="128"/>
      <c r="K37" s="128"/>
      <c r="L37" s="128"/>
      <c r="M37" s="128"/>
      <c r="N37" s="128"/>
      <c r="O37" s="128"/>
      <c r="P37" s="128"/>
      <c r="Q37" s="128"/>
      <c r="R37" s="128"/>
      <c r="S37" s="128"/>
      <c r="T37" s="128"/>
      <c r="U37" s="128"/>
      <c r="V37" s="128"/>
      <c r="W37" s="128"/>
    </row>
    <row r="38" spans="1:24" ht="12.75" customHeight="1" thickTop="1"/>
    <row r="39" spans="1:24" ht="12.75" customHeight="1">
      <c r="F39" s="1885" t="s">
        <v>2477</v>
      </c>
      <c r="G39" s="1886"/>
      <c r="H39" s="1886"/>
      <c r="I39" s="1886"/>
      <c r="J39" s="1887"/>
      <c r="K39"/>
    </row>
    <row r="40" spans="1:24" ht="12.75" customHeight="1">
      <c r="F40" s="1888"/>
      <c r="G40" s="1889"/>
      <c r="H40" s="1889"/>
      <c r="I40" s="1889"/>
      <c r="J40" s="1890"/>
      <c r="K40"/>
    </row>
    <row r="41" spans="1:24" ht="12.75" customHeight="1">
      <c r="F41" s="1888"/>
      <c r="G41" s="1889"/>
      <c r="H41" s="1889"/>
      <c r="I41" s="1889"/>
      <c r="J41" s="1890"/>
      <c r="K41"/>
    </row>
    <row r="42" spans="1:24" ht="12.75" customHeight="1">
      <c r="F42" s="1888"/>
      <c r="G42" s="1889"/>
      <c r="H42" s="1889"/>
      <c r="I42" s="1889"/>
      <c r="J42" s="1890"/>
      <c r="K42"/>
    </row>
    <row r="43" spans="1:24" ht="12.75" customHeight="1">
      <c r="F43" s="1891"/>
      <c r="G43" s="1892"/>
      <c r="H43" s="1892"/>
      <c r="I43" s="1892"/>
      <c r="J43" s="1893"/>
      <c r="K43"/>
    </row>
    <row r="44" spans="1:24" ht="12.75" customHeight="1">
      <c r="K44"/>
    </row>
    <row r="45" spans="1:24" ht="12.75" customHeight="1">
      <c r="F45" s="1894" t="s">
        <v>2491</v>
      </c>
      <c r="G45" s="1895"/>
      <c r="H45" s="1895"/>
      <c r="I45" s="1895"/>
      <c r="J45" s="1896"/>
      <c r="K45"/>
    </row>
    <row r="46" spans="1:24" ht="12.75" customHeight="1">
      <c r="F46" s="1897"/>
      <c r="G46" s="1898"/>
      <c r="H46" s="1898"/>
      <c r="I46" s="1898"/>
      <c r="J46" s="1899"/>
      <c r="K46"/>
    </row>
    <row r="47" spans="1:24" ht="12.75" customHeight="1">
      <c r="F47" s="1897"/>
      <c r="G47" s="1898"/>
      <c r="H47" s="1898"/>
      <c r="I47" s="1898"/>
      <c r="J47" s="1899"/>
      <c r="K47"/>
    </row>
    <row r="48" spans="1:24" ht="12.75" customHeight="1">
      <c r="F48" s="1897"/>
      <c r="G48" s="1898"/>
      <c r="H48" s="1898"/>
      <c r="I48" s="1898"/>
      <c r="J48" s="1899"/>
    </row>
    <row r="49" spans="6:10" ht="12.75" customHeight="1">
      <c r="F49" s="1897"/>
      <c r="G49" s="1898"/>
      <c r="H49" s="1898"/>
      <c r="I49" s="1898"/>
      <c r="J49" s="1899"/>
    </row>
    <row r="50" spans="6:10" ht="12.75" customHeight="1">
      <c r="F50" s="1897"/>
      <c r="G50" s="1898"/>
      <c r="H50" s="1898"/>
      <c r="I50" s="1898"/>
      <c r="J50" s="1899"/>
    </row>
    <row r="51" spans="6:10" ht="12.75" customHeight="1">
      <c r="F51" s="1897"/>
      <c r="G51" s="1898"/>
      <c r="H51" s="1898"/>
      <c r="I51" s="1898"/>
      <c r="J51" s="1899"/>
    </row>
    <row r="52" spans="6:10" ht="12.75" customHeight="1">
      <c r="F52" s="1897"/>
      <c r="G52" s="1898"/>
      <c r="H52" s="1898"/>
      <c r="I52" s="1898"/>
      <c r="J52" s="1899"/>
    </row>
    <row r="53" spans="6:10" ht="12.75" customHeight="1">
      <c r="F53" s="1897"/>
      <c r="G53" s="1898"/>
      <c r="H53" s="1898"/>
      <c r="I53" s="1898"/>
      <c r="J53" s="1899"/>
    </row>
    <row r="54" spans="6:10" ht="12.75" customHeight="1">
      <c r="F54" s="1897"/>
      <c r="G54" s="1898"/>
      <c r="H54" s="1898"/>
      <c r="I54" s="1898"/>
      <c r="J54" s="1899"/>
    </row>
    <row r="55" spans="6:10" ht="12.75" customHeight="1">
      <c r="F55" s="1897"/>
      <c r="G55" s="1898"/>
      <c r="H55" s="1898"/>
      <c r="I55" s="1898"/>
      <c r="J55" s="1899"/>
    </row>
    <row r="56" spans="6:10" ht="12.75" customHeight="1">
      <c r="F56" s="1897"/>
      <c r="G56" s="1898"/>
      <c r="H56" s="1898"/>
      <c r="I56" s="1898"/>
      <c r="J56" s="1899"/>
    </row>
    <row r="57" spans="6:10" ht="12.75" customHeight="1">
      <c r="F57" s="1897"/>
      <c r="G57" s="1898"/>
      <c r="H57" s="1898"/>
      <c r="I57" s="1898"/>
      <c r="J57" s="1899"/>
    </row>
    <row r="58" spans="6:10" ht="12.75" customHeight="1">
      <c r="F58" s="1897"/>
      <c r="G58" s="1898"/>
      <c r="H58" s="1898"/>
      <c r="I58" s="1898"/>
      <c r="J58" s="1899"/>
    </row>
    <row r="59" spans="6:10" ht="12.75" customHeight="1">
      <c r="F59" s="1897"/>
      <c r="G59" s="1898"/>
      <c r="H59" s="1898"/>
      <c r="I59" s="1898"/>
      <c r="J59" s="1899"/>
    </row>
    <row r="60" spans="6:10" ht="12.75" customHeight="1">
      <c r="F60" s="1900"/>
      <c r="G60" s="1901"/>
      <c r="H60" s="1901"/>
      <c r="I60" s="1901"/>
      <c r="J60" s="1902"/>
    </row>
  </sheetData>
  <autoFilter ref="A12:V12" xr:uid="{497DE02D-5718-487D-9A0D-3FEAFF121D80}"/>
  <dataConsolidate/>
  <mergeCells count="11">
    <mergeCell ref="G2:V2"/>
    <mergeCell ref="F35:J35"/>
    <mergeCell ref="F39:J43"/>
    <mergeCell ref="F45:J60"/>
    <mergeCell ref="T11:V11"/>
    <mergeCell ref="M13:M22"/>
    <mergeCell ref="F11:K11"/>
    <mergeCell ref="L11:Q11"/>
    <mergeCell ref="R11:S11"/>
    <mergeCell ref="P13:P32"/>
    <mergeCell ref="S13:S32"/>
  </mergeCells>
  <hyperlinks>
    <hyperlink ref="F1" location="'2024-2025 Summary'!C1" display="Summary Page" xr:uid="{334DBCFE-9307-4FFF-BE75-EEB13D830F48}"/>
  </hyperlinks>
  <pageMargins left="0.7" right="0.7" top="0.75" bottom="0.75" header="0.3" footer="0.3"/>
  <pageSetup scale="2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tabColor rgb="FF0083CA"/>
    <pageSetUpPr fitToPage="1"/>
  </sheetPr>
  <dimension ref="A1:AW184"/>
  <sheetViews>
    <sheetView showGridLines="0" topLeftCell="F1" zoomScale="90" zoomScaleNormal="90" workbookViewId="0">
      <selection activeCell="F2" sqref="F2"/>
    </sheetView>
  </sheetViews>
  <sheetFormatPr defaultColWidth="18.5703125" defaultRowHeight="12.75" customHeight="1" outlineLevelRow="1" outlineLevelCol="1"/>
  <cols>
    <col min="1" max="1" width="24.5703125" style="49" hidden="1" customWidth="1" outlineLevel="1"/>
    <col min="2" max="2" width="12.42578125" style="49" hidden="1" customWidth="1" outlineLevel="1"/>
    <col min="3" max="4" width="11.5703125" style="49" hidden="1" customWidth="1" outlineLevel="1"/>
    <col min="5" max="5" width="7" style="49" hidden="1" customWidth="1" outlineLevel="1"/>
    <col min="6" max="6" width="16.42578125" style="50" customWidth="1" collapsed="1"/>
    <col min="7" max="7" width="36.42578125" style="50" customWidth="1"/>
    <col min="8" max="8" width="32" style="50" customWidth="1"/>
    <col min="9" max="9" width="8.42578125" style="50" customWidth="1"/>
    <col min="10" max="10" width="13.5703125" style="50" customWidth="1"/>
    <col min="11" max="12" width="14.5703125" style="51" customWidth="1"/>
    <col min="13" max="13" width="19.85546875" style="51" customWidth="1"/>
    <col min="14" max="14" width="12.5703125" style="51" customWidth="1"/>
    <col min="15" max="15" width="13.5703125" style="50" customWidth="1"/>
    <col min="16" max="16" width="20.5703125" style="50" bestFit="1" customWidth="1"/>
    <col min="17" max="17" width="29.85546875" style="50" customWidth="1"/>
    <col min="18" max="18" width="8.5703125" style="50" customWidth="1"/>
    <col min="19" max="19" width="9" style="50" customWidth="1"/>
    <col min="20" max="20" width="12.42578125" style="52" customWidth="1"/>
    <col min="21" max="29" width="18.5703125" style="50"/>
    <col min="30" max="30" width="24.5703125" style="50" customWidth="1"/>
    <col min="31" max="31" width="13" style="50" customWidth="1"/>
    <col min="32" max="16384" width="18.5703125" style="50"/>
  </cols>
  <sheetData>
    <row r="1" spans="1:20" ht="12.75" customHeight="1">
      <c r="F1" s="26" t="s">
        <v>557</v>
      </c>
      <c r="N1" s="50"/>
      <c r="S1" s="52"/>
      <c r="T1" s="50"/>
    </row>
    <row r="2" spans="1:20" ht="57.75" customHeight="1">
      <c r="F2" s="966" t="str">
        <f>G13&amp;":"</f>
        <v>Luminaire Level Lighting Controls:</v>
      </c>
      <c r="G2" s="1915" t="str">
        <f>INDEX('AMMO Measures'!$I:$I,MATCH(LEFT(F2,LEN(F2)-1),'AMMO Measures'!$B:$B,0))</f>
        <v>The Luminaire Level Lighting Controls (LLLC) initiative works to bring clarity to the controls market by specification development, training, utility program support and supply chain intervention so that LLLC systems become standard practice for commercial buildings.</v>
      </c>
      <c r="H2" s="1915"/>
      <c r="I2" s="1915"/>
      <c r="J2" s="1915"/>
      <c r="K2" s="1915"/>
      <c r="L2" s="1915"/>
      <c r="M2" s="1915"/>
      <c r="N2" s="1915"/>
      <c r="O2" s="1915"/>
      <c r="P2" s="1915"/>
      <c r="Q2" s="1915"/>
      <c r="R2" s="1915"/>
      <c r="S2" s="1915"/>
      <c r="T2" s="1915"/>
    </row>
    <row r="3" spans="1:20" ht="42.6" customHeight="1">
      <c r="F3" s="51"/>
      <c r="G3" s="51"/>
      <c r="H3" s="51"/>
      <c r="I3" s="51"/>
      <c r="J3" s="51"/>
      <c r="N3" s="50"/>
      <c r="R3" s="226" t="s">
        <v>847</v>
      </c>
      <c r="S3" s="52"/>
      <c r="T3" s="50"/>
    </row>
    <row r="4" spans="1:20" hidden="1" outlineLevel="1">
      <c r="F4" s="51"/>
      <c r="G4" s="51"/>
      <c r="H4" s="51"/>
      <c r="I4" s="51"/>
      <c r="J4" s="51"/>
      <c r="N4" s="50"/>
      <c r="S4" s="52"/>
      <c r="T4" s="50"/>
    </row>
    <row r="5" spans="1:20" ht="15" hidden="1" outlineLevel="1">
      <c r="A5" s="9" t="s">
        <v>2652</v>
      </c>
      <c r="F5"/>
      <c r="G5"/>
      <c r="H5"/>
      <c r="I5"/>
      <c r="J5"/>
      <c r="N5" s="50"/>
      <c r="S5" s="52"/>
      <c r="T5" s="50"/>
    </row>
    <row r="6" spans="1:20" ht="15" hidden="1" outlineLevel="1">
      <c r="A6" s="667">
        <f>(B6/(SUM(B6:C6)))*D6+ (C6/SUM(B6:C6))*E6</f>
        <v>15.000000000000002</v>
      </c>
      <c r="B6" s="668">
        <f>SUMIFS($T$13:$T$16,$K$13:$K$16, 2024)</f>
        <v>2.7290770618230362E-2</v>
      </c>
      <c r="C6" s="668">
        <f>SUMIFS($T$13:$T$16,$K$13:$K$16, 2025)</f>
        <v>3.0517152909331019E-2</v>
      </c>
      <c r="D6" s="669" cm="1">
        <f t="array" ref="D6">SUMPRODUCT($J$13:$J$16,$T$13:$T$16,--($K$13:$K$16=2024))/SUMIFS($T$13:$T$16,$K$13:$K$16, 2024)</f>
        <v>15</v>
      </c>
      <c r="E6" s="667" cm="1">
        <f t="array" ref="E6">SUMPRODUCT($J$13:$J$16,$T$13:$T$16,--($K$13:$K$16=2025))/SUMIFS($T$13:$T$16,$K$13:$K$16, 2025)</f>
        <v>15.000000000000002</v>
      </c>
      <c r="F6"/>
      <c r="G6"/>
      <c r="H6"/>
      <c r="I6"/>
      <c r="J6"/>
      <c r="N6" s="50"/>
      <c r="S6" s="52"/>
      <c r="T6" s="50"/>
    </row>
    <row r="7" spans="1:20" ht="15" hidden="1" outlineLevel="1">
      <c r="A7" s="667">
        <f>IFERROR((B7/(SUM(B7:C7)))*D7+ (C7/SUM(B7:C7))*E7,J14)</f>
        <v>15.000000000000002</v>
      </c>
      <c r="B7" s="668">
        <f>SUMIFS($T$13:$T$16,$K$13:$K$16, 2026)</f>
        <v>3.4124966081733821E-2</v>
      </c>
      <c r="C7" s="668">
        <f>SUMIFS($T$13:$T$16,$K$13:$K$16, 2027)</f>
        <v>3.8159303836086386E-2</v>
      </c>
      <c r="D7" s="9" cm="1">
        <f t="array" ref="D7">SUMPRODUCT($J$13:$J$16,$T$13:$T$16,--($K$13:$K$16=2026))/SUMIFS($T$13:$T$16,$K$13:$K$16, 2026)</f>
        <v>15.000000000000002</v>
      </c>
      <c r="E7" s="9" cm="1">
        <f t="array" ref="E7">SUMPRODUCT($J$13:$J$16,$T$13:$T$16,--($K$13:$K$16=2027))/SUMIFS($T$13:$T$16,$K$13:$K$16, 2027)</f>
        <v>15.000000000000002</v>
      </c>
      <c r="F7"/>
      <c r="G7"/>
      <c r="H7"/>
      <c r="I7"/>
      <c r="J7"/>
      <c r="N7" s="50"/>
      <c r="S7" s="52"/>
      <c r="T7" s="50"/>
    </row>
    <row r="8" spans="1:20" ht="15" hidden="1" outlineLevel="1">
      <c r="F8"/>
      <c r="G8"/>
      <c r="H8"/>
      <c r="I8"/>
      <c r="J8"/>
      <c r="N8" s="50"/>
      <c r="S8" s="52"/>
      <c r="T8" s="50"/>
    </row>
    <row r="9" spans="1:20" ht="15" hidden="1" outlineLevel="1">
      <c r="F9"/>
      <c r="G9"/>
      <c r="H9"/>
      <c r="I9"/>
      <c r="J9"/>
      <c r="N9" s="50"/>
      <c r="S9" s="52"/>
      <c r="T9" s="50"/>
    </row>
    <row r="10" spans="1:20" ht="27" hidden="1" customHeight="1" outlineLevel="1">
      <c r="F10" s="1880"/>
      <c r="G10" s="1880"/>
      <c r="H10" s="1880"/>
      <c r="I10" s="51"/>
      <c r="J10" s="51"/>
      <c r="N10" s="50"/>
      <c r="S10" s="52"/>
      <c r="T10" s="50"/>
    </row>
    <row r="11" spans="1:20" s="47" customFormat="1" ht="15.75" customHeight="1" collapsed="1">
      <c r="A11" s="1701" t="s">
        <v>125</v>
      </c>
      <c r="B11" s="1702"/>
      <c r="C11" s="1702"/>
      <c r="D11" s="1702"/>
      <c r="E11" s="1702"/>
      <c r="F11" s="1720" t="s">
        <v>7</v>
      </c>
      <c r="G11" s="1722"/>
      <c r="H11" s="1722"/>
      <c r="I11" s="1722"/>
      <c r="J11" s="1722"/>
      <c r="K11" s="1722"/>
      <c r="L11" s="1916" t="s">
        <v>122</v>
      </c>
      <c r="M11" s="1917"/>
      <c r="N11" s="1917"/>
      <c r="O11" s="1918"/>
      <c r="P11" s="1930" t="s">
        <v>123</v>
      </c>
      <c r="Q11" s="1931"/>
      <c r="R11" s="1928" t="s">
        <v>124</v>
      </c>
      <c r="S11" s="1929"/>
      <c r="T11" s="1929"/>
    </row>
    <row r="12" spans="1:20" customFormat="1" ht="61.5" customHeight="1" thickBot="1">
      <c r="A12" s="123" t="s">
        <v>0</v>
      </c>
      <c r="B12" s="124" t="s">
        <v>10</v>
      </c>
      <c r="C12" s="124" t="s">
        <v>1</v>
      </c>
      <c r="D12" s="124" t="s">
        <v>2</v>
      </c>
      <c r="E12" s="124" t="s">
        <v>187</v>
      </c>
      <c r="F12" s="1098" t="s">
        <v>3</v>
      </c>
      <c r="G12" s="1099" t="s">
        <v>4</v>
      </c>
      <c r="H12" s="1099" t="s">
        <v>5</v>
      </c>
      <c r="I12" s="1099" t="s">
        <v>6</v>
      </c>
      <c r="J12" s="1099" t="s">
        <v>834</v>
      </c>
      <c r="K12" s="1099" t="s">
        <v>8</v>
      </c>
      <c r="L12" s="1100" t="s">
        <v>11</v>
      </c>
      <c r="M12" s="1101" t="s">
        <v>12</v>
      </c>
      <c r="N12" s="1101" t="s">
        <v>120</v>
      </c>
      <c r="O12" s="885" t="str">
        <f>"Funder Share: "&amp;Selection!A3&amp;" "&amp;Selection!A4</f>
        <v>Funder Share: Washington Selections below not used</v>
      </c>
      <c r="P12" s="1097" t="s">
        <v>451</v>
      </c>
      <c r="Q12" s="1102" t="s">
        <v>121</v>
      </c>
      <c r="R12" s="715" t="s">
        <v>2683</v>
      </c>
      <c r="S12" s="714" t="s">
        <v>2675</v>
      </c>
      <c r="T12" s="716" t="s">
        <v>2283</v>
      </c>
    </row>
    <row r="13" spans="1:20" s="426" customFormat="1" ht="51.75" thickTop="1">
      <c r="A13" s="81" t="s">
        <v>26</v>
      </c>
      <c r="B13" s="82" t="str">
        <f>LEFT(A13,10)</f>
        <v>COM_201401</v>
      </c>
      <c r="C13" s="670" t="str">
        <f>INDEX('AMMO vwFlags'!$C:$C,MATCH($A13&amp;K13,'AMMO vwFlags'!$K:$K,0))</f>
        <v>0</v>
      </c>
      <c r="D13" s="670" t="str">
        <f>INDEX('AMMO vwFlags'!$D:$D,MATCH($A13&amp;$K13,'AMMO vwFlags'!$K:$K,0))</f>
        <v>0</v>
      </c>
      <c r="E13" s="82">
        <f>COUNTIFS($A:$A,$A13,$K:$K,$K13)</f>
        <v>1</v>
      </c>
      <c r="F13" s="1103" t="str">
        <f>IF(LEFT(A13,3)="Res","Residential",IF(LEFT(A13,3)="Ind","industrial",IF(LEFT(A13,3)="Com","Commercial",IF(LEFT(A13,3)="AGR","Agriculture",""))))</f>
        <v>Commercial</v>
      </c>
      <c r="G13" s="1104" t="str">
        <f>INDEX('AMMO Measures'!B:B,MATCH($A13,'AMMO Measures'!$A:$A,0))</f>
        <v>Luminaire Level Lighting Controls</v>
      </c>
      <c r="H13" s="1090" t="str">
        <f>INDEX('AMMO Measures'!C:C,MATCH($A13,'AMMO Measures'!$A:$A,0))</f>
        <v>Luminaire Level Lighting Controls</v>
      </c>
      <c r="I13" s="1090" t="s">
        <v>898</v>
      </c>
      <c r="J13" s="1091">
        <f>VALUE(INDEX('AMMO Measures'!H:H,MATCH($A13,'AMMO Measures'!A:A,0)))</f>
        <v>15</v>
      </c>
      <c r="K13" s="1092">
        <v>2024</v>
      </c>
      <c r="L13" s="1236">
        <f>0.722721429296335*(1-$G$31)</f>
        <v>0.65044928636670152</v>
      </c>
      <c r="M13" s="1237">
        <f>0.505905000507435*(1-$G$31)</f>
        <v>0.45531450045669153</v>
      </c>
      <c r="N13" s="1561" t="s">
        <v>2700</v>
      </c>
      <c r="O13" s="773">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1093">
        <v>8760000</v>
      </c>
      <c r="Q13" s="1557" t="s">
        <v>1948</v>
      </c>
      <c r="R13" s="1094">
        <f>L13*O13*P13/8760000</f>
        <v>9.0969235394101414E-2</v>
      </c>
      <c r="S13" s="1095">
        <f>IFERROR(M13*O13*P13/8760/1000,0)</f>
        <v>6.3678464775871052E-2</v>
      </c>
      <c r="T13" s="1096">
        <f>R13-S13</f>
        <v>2.7290770618230362E-2</v>
      </c>
    </row>
    <row r="14" spans="1:20" s="497" customFormat="1" ht="51">
      <c r="A14" s="102" t="s">
        <v>26</v>
      </c>
      <c r="B14" s="82" t="str">
        <f t="shared" ref="B14" si="0">LEFT(A14,10)</f>
        <v>COM_201401</v>
      </c>
      <c r="C14" s="670" t="str">
        <f>INDEX('AMMO vwFlags'!$C:$C,MATCH($A14&amp;K14,'AMMO vwFlags'!$K:$K,0))</f>
        <v>0</v>
      </c>
      <c r="D14" s="670" t="str">
        <f>INDEX('AMMO vwFlags'!$D:$D,MATCH($A14&amp;$K14,'AMMO vwFlags'!$K:$K,0))</f>
        <v>0</v>
      </c>
      <c r="E14" s="82">
        <f>COUNTIFS($A:$A,$A14,$K:$K,$K14)</f>
        <v>1</v>
      </c>
      <c r="F14" s="1105" t="str">
        <f>IF(LEFT(A14,3)="Res","Residential",IF(LEFT(A14,3)="Ind","industrial",IF(LEFT(A14,3)="Com","Commercial",IF(LEFT(A14,3)="AGR","Agriculture",""))))</f>
        <v>Commercial</v>
      </c>
      <c r="G14" s="1106" t="str">
        <f>INDEX('AMMO Measures'!B:B,MATCH($A14,'AMMO Measures'!$A:$A,0))</f>
        <v>Luminaire Level Lighting Controls</v>
      </c>
      <c r="H14" s="1075" t="str">
        <f>INDEX('AMMO Measures'!C:C,MATCH($A14,'AMMO Measures'!$A:$A,0))</f>
        <v>Luminaire Level Lighting Controls</v>
      </c>
      <c r="I14" s="1075" t="s">
        <v>898</v>
      </c>
      <c r="J14" s="1076">
        <f>VALUE(INDEX('AMMO Measures'!H:H,MATCH($A14,'AMMO Measures'!A:A,0)))</f>
        <v>15</v>
      </c>
      <c r="K14" s="1077">
        <v>2025</v>
      </c>
      <c r="L14" s="1078">
        <f>0.80816334127089*(1-$G$31)</f>
        <v>0.72734700714380096</v>
      </c>
      <c r="M14" s="1079">
        <f>0.565714338889623*(1-$G$31)</f>
        <v>0.50914290500066073</v>
      </c>
      <c r="N14" s="1562" t="s">
        <v>2700</v>
      </c>
      <c r="O14" s="2">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1080">
        <v>8760000</v>
      </c>
      <c r="Q14" s="1558" t="s">
        <v>1948</v>
      </c>
      <c r="R14" s="1081">
        <f>L14*O14*P14/8760000</f>
        <v>0.10172384303110343</v>
      </c>
      <c r="S14" s="1082">
        <f>IFERROR(M14*O14*P14/8760/1000,0)</f>
        <v>7.1206690121772415E-2</v>
      </c>
      <c r="T14" s="1083">
        <f t="shared" ref="T14" si="1">R14-S14</f>
        <v>3.0517152909331019E-2</v>
      </c>
    </row>
    <row r="15" spans="1:20" s="497" customFormat="1" ht="51">
      <c r="A15" s="81" t="s">
        <v>26</v>
      </c>
      <c r="B15" s="82" t="str">
        <f>LEFT(A15,10)</f>
        <v>COM_201401</v>
      </c>
      <c r="C15" s="670" t="str">
        <f>INDEX('AMMO vwFlags'!$C:$C,MATCH($A15&amp;K15,'AMMO vwFlags'!$K:$K,0))</f>
        <v>0</v>
      </c>
      <c r="D15" s="670" t="str">
        <f>INDEX('AMMO vwFlags'!$D:$D,MATCH($A15&amp;$K15,'AMMO vwFlags'!$K:$K,0))</f>
        <v>0</v>
      </c>
      <c r="E15" s="82">
        <f>COUNTIFS($A:$A,$A15,$K:$K,$K15)</f>
        <v>1</v>
      </c>
      <c r="F15" s="1105" t="str">
        <f>IF(LEFT(A15,3)="Res","Residential",IF(LEFT(A15,3)="Ind","industrial",IF(LEFT(A15,3)="Com","Commercial",IF(LEFT(A15,3)="AGR","Agriculture",""))))</f>
        <v>Commercial</v>
      </c>
      <c r="G15" s="1106" t="str">
        <f>INDEX('AMMO Measures'!B:B,MATCH($A15,'AMMO Measures'!$A:$A,0))</f>
        <v>Luminaire Level Lighting Controls</v>
      </c>
      <c r="H15" s="1075" t="str">
        <f>INDEX('AMMO Measures'!C:C,MATCH($A15,'AMMO Measures'!$A:$A,0))</f>
        <v>Luminaire Level Lighting Controls</v>
      </c>
      <c r="I15" s="1075" t="s">
        <v>898</v>
      </c>
      <c r="J15" s="1076">
        <f>VALUE(INDEX('AMMO Measures'!H:H,MATCH($A15,'AMMO Measures'!A:A,0)))</f>
        <v>15</v>
      </c>
      <c r="K15" s="1077">
        <v>2026</v>
      </c>
      <c r="L15" s="1078">
        <f>0.903706407059266*(1-$G$31)</f>
        <v>0.81333576635333937</v>
      </c>
      <c r="M15" s="1079">
        <f>0.632594484941486*(1-$G$31)</f>
        <v>0.56933503644733741</v>
      </c>
      <c r="N15" s="1563" t="s">
        <v>2700</v>
      </c>
      <c r="O15" s="2">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1234">
        <v>8760000</v>
      </c>
      <c r="Q15" s="1559" t="s">
        <v>1948</v>
      </c>
      <c r="R15" s="1081">
        <f t="shared" ref="R15:R16" si="2">(L15)*O15*P15/8760000</f>
        <v>0.11374988693911264</v>
      </c>
      <c r="S15" s="1082">
        <f t="shared" ref="S15:S16" si="3">IFERROR(M15*O15*P15/8760/1000,0)</f>
        <v>7.9624920857378823E-2</v>
      </c>
      <c r="T15" s="1083">
        <f t="shared" ref="T15:T16" si="4">R15-S15</f>
        <v>3.4124966081733821E-2</v>
      </c>
    </row>
    <row r="16" spans="1:20" s="497" customFormat="1" ht="51">
      <c r="A16" s="102" t="s">
        <v>26</v>
      </c>
      <c r="B16" s="82" t="str">
        <f t="shared" ref="B16" si="5">LEFT(A16,10)</f>
        <v>COM_201401</v>
      </c>
      <c r="C16" s="670" t="str">
        <f>INDEX('AMMO vwFlags'!$C:$C,MATCH($A16&amp;K16,'AMMO vwFlags'!$K:$K,0))</f>
        <v>0</v>
      </c>
      <c r="D16" s="670" t="str">
        <f>INDEX('AMMO vwFlags'!$D:$D,MATCH($A16&amp;$K16,'AMMO vwFlags'!$K:$K,0))</f>
        <v>0</v>
      </c>
      <c r="E16" s="82">
        <f>COUNTIFS($A:$A,$A16,$K:$K,$K16)</f>
        <v>1</v>
      </c>
      <c r="F16" s="1108" t="str">
        <f>IF(LEFT(A16,3)="Res","Residential",IF(LEFT(A16,3)="Ind","industrial",IF(LEFT(A16,3)="Com","Commercial",IF(LEFT(A16,3)="AGR","Agriculture",""))))</f>
        <v>Commercial</v>
      </c>
      <c r="G16" s="1107" t="str">
        <f>INDEX('AMMO Measures'!B:B,MATCH($A16,'AMMO Measures'!$A:$A,0))</f>
        <v>Luminaire Level Lighting Controls</v>
      </c>
      <c r="H16" s="1084" t="str">
        <f>INDEX('AMMO Measures'!C:C,MATCH($A16,'AMMO Measures'!$A:$A,0))</f>
        <v>Luminaire Level Lighting Controls</v>
      </c>
      <c r="I16" s="1084" t="s">
        <v>898</v>
      </c>
      <c r="J16" s="1085">
        <f>VALUE(INDEX('AMMO Measures'!H:H,MATCH($A16,'AMMO Measures'!A:A,0)))</f>
        <v>15</v>
      </c>
      <c r="K16" s="1086">
        <v>2027</v>
      </c>
      <c r="L16" s="1238">
        <f>1.01054481000793*(1-$G$31)</f>
        <v>0.909490329007137</v>
      </c>
      <c r="M16" s="1239">
        <f>0.707381367005553*(1-$G$31)</f>
        <v>0.6366432303049977</v>
      </c>
      <c r="N16" s="1564" t="s">
        <v>2700</v>
      </c>
      <c r="O16" s="77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1235">
        <v>8760000</v>
      </c>
      <c r="Q16" s="1560" t="s">
        <v>1948</v>
      </c>
      <c r="R16" s="1087">
        <f t="shared" si="2"/>
        <v>0.12719767945362215</v>
      </c>
      <c r="S16" s="1088">
        <f t="shared" si="3"/>
        <v>8.9038375617535762E-2</v>
      </c>
      <c r="T16" s="1089">
        <f t="shared" si="4"/>
        <v>3.8159303836086386E-2</v>
      </c>
    </row>
    <row r="17" spans="1:25" customFormat="1" ht="12.75" customHeight="1">
      <c r="A17" s="49"/>
      <c r="B17" s="49"/>
      <c r="C17" s="49"/>
      <c r="D17" s="49"/>
      <c r="E17" s="49"/>
      <c r="F17" s="50"/>
      <c r="G17" s="50"/>
      <c r="H17" s="50"/>
      <c r="I17" s="50"/>
      <c r="J17" s="50"/>
      <c r="K17" s="51"/>
      <c r="L17" s="51"/>
      <c r="M17" s="51"/>
      <c r="N17" s="51"/>
      <c r="O17" s="50"/>
      <c r="P17" s="50"/>
      <c r="Q17" s="50"/>
      <c r="R17" s="50"/>
      <c r="S17" s="50"/>
      <c r="T17" s="52"/>
    </row>
    <row r="18" spans="1:25" customFormat="1" ht="12.75" customHeight="1">
      <c r="A18" s="49"/>
      <c r="B18" s="49"/>
      <c r="C18" s="49"/>
      <c r="D18" s="49"/>
      <c r="E18" s="49"/>
      <c r="F18" s="127" t="s">
        <v>671</v>
      </c>
      <c r="G18" s="50"/>
      <c r="H18" s="50"/>
      <c r="I18" s="50"/>
      <c r="J18" s="50"/>
      <c r="K18" s="50"/>
      <c r="L18" s="51"/>
      <c r="M18" s="51"/>
      <c r="N18" s="51"/>
      <c r="O18" s="50"/>
      <c r="P18" s="50"/>
      <c r="Q18" s="50"/>
      <c r="R18" s="50"/>
      <c r="S18" s="50"/>
      <c r="T18" s="52"/>
    </row>
    <row r="19" spans="1:25" customFormat="1" ht="12.75" customHeight="1">
      <c r="A19" s="49"/>
      <c r="B19" s="49"/>
      <c r="C19" s="49"/>
      <c r="D19" s="49"/>
      <c r="E19" s="49"/>
      <c r="F19" s="209" t="s">
        <v>1012</v>
      </c>
      <c r="G19" s="50"/>
      <c r="H19" s="50"/>
      <c r="I19" s="50"/>
      <c r="J19" s="50"/>
      <c r="K19" s="51"/>
      <c r="L19" s="51"/>
      <c r="M19" s="51"/>
      <c r="N19" s="51"/>
      <c r="O19" s="50"/>
      <c r="P19" s="50"/>
      <c r="Q19" s="50"/>
      <c r="R19" s="50"/>
      <c r="S19" s="50"/>
      <c r="T19" s="52"/>
    </row>
    <row r="20" spans="1:25" ht="12.75" customHeight="1">
      <c r="F20" s="1919" t="s">
        <v>1894</v>
      </c>
      <c r="G20" s="1920"/>
      <c r="H20" s="1920"/>
      <c r="I20" s="1920"/>
      <c r="J20" s="1920"/>
      <c r="K20" s="1921"/>
    </row>
    <row r="21" spans="1:25" ht="12.75" customHeight="1">
      <c r="F21" s="1922"/>
      <c r="G21" s="1923"/>
      <c r="H21" s="1923"/>
      <c r="I21" s="1923"/>
      <c r="J21" s="1923"/>
      <c r="K21" s="1924"/>
    </row>
    <row r="22" spans="1:25" ht="12.75" hidden="1" customHeight="1">
      <c r="F22" s="1922"/>
      <c r="G22" s="1923"/>
      <c r="H22" s="1923"/>
      <c r="I22" s="1923"/>
      <c r="J22" s="1923"/>
      <c r="K22" s="1924"/>
    </row>
    <row r="23" spans="1:25" ht="12.75" customHeight="1">
      <c r="F23" s="1925"/>
      <c r="G23" s="1926"/>
      <c r="H23" s="1926"/>
      <c r="I23" s="1926"/>
      <c r="J23" s="1926"/>
      <c r="K23" s="1927"/>
    </row>
    <row r="24" spans="1:25" ht="12.75" customHeight="1">
      <c r="F24" s="206"/>
      <c r="G24" s="51"/>
      <c r="H24" s="51"/>
      <c r="I24" s="51"/>
      <c r="J24" s="51"/>
    </row>
    <row r="25" spans="1:25" ht="12.75" customHeight="1">
      <c r="F25" s="206"/>
      <c r="G25" s="51"/>
      <c r="H25" s="51"/>
      <c r="I25" s="51"/>
      <c r="J25" s="51"/>
    </row>
    <row r="27" spans="1:25" customFormat="1" ht="15.75">
      <c r="A27" s="49"/>
      <c r="B27" s="49"/>
      <c r="C27" s="49"/>
      <c r="D27" s="49"/>
      <c r="E27" s="49"/>
      <c r="F27" s="386" t="s">
        <v>120</v>
      </c>
      <c r="G27" s="313"/>
      <c r="H27" s="313"/>
      <c r="I27" s="313"/>
      <c r="J27" s="313"/>
      <c r="K27" s="313"/>
      <c r="L27" s="313"/>
      <c r="M27" s="313"/>
      <c r="N27" s="313"/>
      <c r="O27" s="313"/>
      <c r="P27" s="313"/>
      <c r="Q27" s="313"/>
      <c r="R27" s="313"/>
      <c r="S27" s="313"/>
      <c r="T27" s="313"/>
      <c r="U27" s="313"/>
      <c r="V27" s="313"/>
    </row>
    <row r="28" spans="1:25" ht="12.75" customHeight="1" thickBot="1">
      <c r="F28" s="47"/>
      <c r="G28" s="47"/>
      <c r="H28" s="47"/>
      <c r="I28" s="47"/>
      <c r="J28" s="47"/>
      <c r="K28" s="47"/>
      <c r="L28" s="47"/>
      <c r="M28" s="47"/>
      <c r="N28" s="47"/>
      <c r="O28" s="47"/>
      <c r="P28" s="47"/>
      <c r="Q28" s="47"/>
      <c r="R28" s="47"/>
      <c r="S28" s="47"/>
      <c r="T28" s="47"/>
      <c r="U28" s="47"/>
      <c r="V28" s="47"/>
      <c r="W28" s="47"/>
      <c r="X28" s="47"/>
      <c r="Y28" s="47"/>
    </row>
    <row r="29" spans="1:25" ht="12.75" customHeight="1" thickTop="1" thickBot="1">
      <c r="F29" s="47" t="s">
        <v>442</v>
      </c>
      <c r="G29" s="1693" t="s">
        <v>2694</v>
      </c>
      <c r="H29" s="1695"/>
      <c r="I29" s="47"/>
      <c r="J29" s="47"/>
      <c r="K29" s="47"/>
      <c r="L29" s="47"/>
      <c r="M29" s="47"/>
      <c r="N29" s="47"/>
      <c r="O29" s="47"/>
      <c r="P29" s="47"/>
      <c r="Q29" s="47"/>
      <c r="R29" s="47"/>
      <c r="S29" s="47"/>
      <c r="T29" s="47"/>
      <c r="U29" s="47"/>
      <c r="V29" s="47"/>
      <c r="W29" s="47"/>
      <c r="X29" s="47"/>
      <c r="Y29" s="47"/>
    </row>
    <row r="30" spans="1:25" ht="12.75" customHeight="1" thickTop="1">
      <c r="G30" s="47" t="s">
        <v>1895</v>
      </c>
      <c r="H30" s="47"/>
      <c r="I30" s="47"/>
      <c r="J30" s="47"/>
      <c r="K30" s="47"/>
      <c r="L30" s="47"/>
      <c r="M30" s="47"/>
      <c r="N30" s="47"/>
      <c r="O30" s="47"/>
      <c r="P30" s="47"/>
      <c r="Q30" s="47"/>
      <c r="R30" s="47"/>
      <c r="S30" s="47"/>
      <c r="T30" s="47"/>
      <c r="U30" s="47"/>
      <c r="V30" s="47"/>
      <c r="W30" s="47"/>
      <c r="X30" s="47"/>
      <c r="Y30" s="47"/>
    </row>
    <row r="31" spans="1:25" ht="12.75" customHeight="1">
      <c r="F31" s="47"/>
      <c r="G31" s="291">
        <v>0.1</v>
      </c>
      <c r="H31" s="292" t="s">
        <v>1896</v>
      </c>
      <c r="I31" s="47"/>
      <c r="J31" s="47"/>
      <c r="K31" s="47"/>
      <c r="L31" s="47"/>
      <c r="M31" s="47"/>
      <c r="N31" s="47"/>
      <c r="O31" s="47"/>
      <c r="P31" s="47"/>
      <c r="Q31" s="47"/>
      <c r="R31" s="47"/>
      <c r="S31" s="47"/>
      <c r="T31" s="47"/>
      <c r="U31" s="47"/>
      <c r="V31" s="47"/>
      <c r="W31" s="47"/>
      <c r="X31" s="47"/>
      <c r="Y31" s="47"/>
    </row>
    <row r="32" spans="1:25" ht="12.75" customHeight="1">
      <c r="F32" s="47"/>
      <c r="G32" s="47"/>
      <c r="H32" s="292" t="s">
        <v>2572</v>
      </c>
      <c r="I32" s="47"/>
      <c r="J32" s="47"/>
      <c r="K32" s="47"/>
      <c r="L32" s="47"/>
      <c r="M32" s="47"/>
      <c r="N32" s="47"/>
      <c r="O32" s="47"/>
      <c r="P32" s="47"/>
      <c r="Q32" s="47"/>
      <c r="R32" s="47"/>
      <c r="S32" s="47"/>
      <c r="T32" s="47"/>
      <c r="U32" s="47"/>
      <c r="V32" s="47"/>
      <c r="W32" s="47"/>
      <c r="X32" s="47"/>
      <c r="Y32" s="47"/>
    </row>
    <row r="33" spans="1:49" ht="12.75" customHeight="1">
      <c r="K33" s="47"/>
      <c r="L33" s="47"/>
      <c r="M33" s="47"/>
      <c r="N33" s="47"/>
      <c r="O33" s="47"/>
      <c r="P33" s="47"/>
      <c r="Q33" s="47"/>
      <c r="R33" s="47"/>
      <c r="S33" s="47"/>
      <c r="T33" s="47"/>
      <c r="U33" s="47"/>
      <c r="V33" s="47"/>
      <c r="W33" s="47"/>
      <c r="X33" s="47"/>
      <c r="Y33" s="47"/>
    </row>
    <row r="34" spans="1:49" ht="12.75" customHeight="1">
      <c r="K34" s="47"/>
      <c r="L34" s="47"/>
      <c r="M34" s="47"/>
      <c r="N34" s="47"/>
      <c r="O34" s="47"/>
      <c r="P34" s="47"/>
      <c r="Q34" s="47"/>
      <c r="R34" s="47"/>
      <c r="S34" s="47"/>
      <c r="T34" s="47"/>
      <c r="U34" s="47"/>
      <c r="V34" s="47"/>
      <c r="W34" s="47"/>
      <c r="X34" s="47"/>
      <c r="Y34" s="47"/>
    </row>
    <row r="35" spans="1:49" ht="15.75">
      <c r="F35" s="386" t="s">
        <v>2410</v>
      </c>
      <c r="G35" s="313"/>
      <c r="H35" s="313"/>
      <c r="I35" s="313"/>
      <c r="J35" s="313"/>
      <c r="K35" s="313"/>
      <c r="L35" s="313"/>
      <c r="M35" s="313"/>
      <c r="N35" s="313"/>
      <c r="O35" s="313"/>
      <c r="P35" s="313"/>
      <c r="Q35" s="313"/>
      <c r="R35" s="313"/>
      <c r="S35" s="313"/>
      <c r="T35" s="313"/>
      <c r="U35" s="313"/>
      <c r="V35" s="313"/>
      <c r="W35" s="47"/>
      <c r="X35" s="47"/>
      <c r="Y35" s="47"/>
    </row>
    <row r="36" spans="1:49" ht="12.75" customHeight="1">
      <c r="F36" s="47"/>
      <c r="G36" s="47"/>
      <c r="H36" s="47"/>
      <c r="I36" s="47"/>
      <c r="J36" s="47"/>
      <c r="K36" s="47"/>
      <c r="L36" s="47"/>
      <c r="M36" s="47"/>
      <c r="N36" s="47"/>
      <c r="O36" s="47"/>
      <c r="P36" s="47"/>
      <c r="Q36" s="47"/>
      <c r="R36" s="47"/>
      <c r="S36" s="47"/>
      <c r="T36" s="47"/>
      <c r="U36" s="47"/>
      <c r="V36" s="47"/>
      <c r="W36" s="47"/>
      <c r="X36" s="47"/>
      <c r="Y36" s="47"/>
    </row>
    <row r="37" spans="1:49" ht="12.75" customHeight="1">
      <c r="F37" s="47"/>
      <c r="G37" s="121" t="s">
        <v>1897</v>
      </c>
      <c r="H37" s="47"/>
      <c r="I37" s="47"/>
      <c r="J37" s="47"/>
      <c r="K37" s="47"/>
      <c r="L37" s="47"/>
      <c r="M37" s="47"/>
      <c r="N37" s="47"/>
      <c r="O37" s="47"/>
      <c r="P37" s="47"/>
      <c r="Q37" s="47"/>
      <c r="R37" s="47"/>
      <c r="S37" s="47"/>
      <c r="T37" s="47"/>
      <c r="U37" s="47"/>
      <c r="V37" s="47"/>
      <c r="W37" s="47"/>
      <c r="X37" s="47"/>
      <c r="Y37" s="47"/>
    </row>
    <row r="38" spans="1:49" ht="12.75" customHeight="1">
      <c r="F38" s="47"/>
      <c r="G38" s="47" t="s">
        <v>2701</v>
      </c>
      <c r="H38" s="47"/>
      <c r="I38" s="47"/>
      <c r="J38" s="47"/>
      <c r="K38" s="47"/>
      <c r="L38" s="47"/>
      <c r="M38" s="47"/>
      <c r="N38" s="47"/>
      <c r="O38" s="47"/>
      <c r="P38" s="47"/>
      <c r="Q38" s="47"/>
      <c r="R38" s="47"/>
      <c r="S38" s="47"/>
      <c r="T38" s="47"/>
      <c r="U38" s="47"/>
      <c r="V38" s="47"/>
      <c r="W38" s="47"/>
      <c r="X38" s="47"/>
      <c r="Y38" s="47"/>
    </row>
    <row r="39" spans="1:49" ht="12.75" customHeight="1">
      <c r="F39" s="47"/>
      <c r="G39" s="47"/>
      <c r="H39" s="47"/>
      <c r="I39" s="47"/>
      <c r="J39" s="47"/>
      <c r="K39" s="47"/>
      <c r="L39" s="47"/>
      <c r="M39" s="47"/>
      <c r="N39" s="47"/>
      <c r="O39" s="47"/>
      <c r="P39" s="47"/>
      <c r="Q39" s="47"/>
      <c r="R39" s="47"/>
      <c r="S39" s="47"/>
      <c r="T39" s="47"/>
      <c r="U39" s="47"/>
      <c r="V39" s="47"/>
      <c r="W39" s="47"/>
      <c r="X39" s="47"/>
      <c r="Y39" s="47"/>
    </row>
    <row r="40" spans="1:49" ht="12.75" customHeight="1">
      <c r="F40" s="47"/>
      <c r="G40" s="47"/>
      <c r="H40" s="47"/>
      <c r="I40" s="47"/>
      <c r="J40" s="47"/>
      <c r="K40" s="47"/>
      <c r="L40" s="47"/>
      <c r="M40" s="47"/>
      <c r="N40" s="47"/>
      <c r="O40" s="47"/>
      <c r="P40" s="47"/>
      <c r="Q40" s="47"/>
      <c r="R40" s="47"/>
      <c r="S40" s="47"/>
      <c r="T40" s="47"/>
      <c r="U40" s="47"/>
      <c r="V40" s="47"/>
      <c r="W40" s="47"/>
    </row>
    <row r="41" spans="1:49" s="1230" customFormat="1" ht="15.75">
      <c r="A41" s="1228"/>
      <c r="B41" s="1228"/>
      <c r="C41" s="1228"/>
      <c r="D41" s="1228"/>
      <c r="E41" s="1228"/>
      <c r="F41" s="315" t="s">
        <v>2702</v>
      </c>
      <c r="G41" s="316"/>
      <c r="H41" s="316"/>
      <c r="I41" s="316"/>
      <c r="J41" s="316"/>
      <c r="K41" s="316"/>
      <c r="L41" s="316"/>
      <c r="M41" s="1229"/>
      <c r="N41" s="1229"/>
      <c r="O41" s="1229"/>
      <c r="P41" s="1229"/>
      <c r="Q41" s="1229"/>
      <c r="R41" s="1229"/>
      <c r="S41" s="1229"/>
      <c r="T41" s="1229"/>
      <c r="U41" s="1229"/>
      <c r="V41" s="1229"/>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row>
    <row r="42" spans="1:49" ht="12.75" customHeight="1" thickBot="1">
      <c r="F42" s="301"/>
      <c r="G42" s="47"/>
      <c r="H42" s="47"/>
      <c r="I42" s="47"/>
      <c r="J42" s="47"/>
      <c r="K42" s="47"/>
      <c r="L42" s="47"/>
      <c r="M42" s="47"/>
      <c r="N42" s="47"/>
      <c r="O42" s="47"/>
      <c r="P42" s="47"/>
      <c r="Q42" s="47"/>
      <c r="R42" s="47"/>
      <c r="S42" s="47"/>
      <c r="T42" s="47"/>
      <c r="U42" s="47"/>
      <c r="V42" s="47"/>
    </row>
    <row r="43" spans="1:49" ht="12.75" customHeight="1" thickTop="1" thickBot="1">
      <c r="F43" s="47" t="s">
        <v>442</v>
      </c>
      <c r="G43" s="1693" t="s">
        <v>1907</v>
      </c>
      <c r="H43" s="1695"/>
      <c r="I43" s="229" t="s">
        <v>2695</v>
      </c>
      <c r="J43" s="47"/>
      <c r="K43" s="120"/>
      <c r="L43" s="47"/>
      <c r="M43" s="47"/>
      <c r="N43" s="47"/>
      <c r="O43" s="47"/>
      <c r="P43" s="47"/>
      <c r="Q43" s="47"/>
      <c r="R43" s="47"/>
      <c r="S43" s="47"/>
      <c r="T43" s="47"/>
      <c r="U43" s="47"/>
      <c r="V43" s="47"/>
    </row>
    <row r="44" spans="1:49" ht="12.75" customHeight="1" thickTop="1" thickBot="1">
      <c r="F44" s="47"/>
      <c r="G44" s="1693" t="s">
        <v>2692</v>
      </c>
      <c r="H44" s="1695"/>
      <c r="I44" s="229" t="s">
        <v>2696</v>
      </c>
      <c r="J44" s="47"/>
      <c r="K44" s="47"/>
      <c r="L44" s="47"/>
      <c r="M44" s="47"/>
      <c r="N44" s="47"/>
      <c r="O44" s="47"/>
      <c r="P44" s="47"/>
      <c r="Q44" s="47"/>
      <c r="R44" s="47"/>
      <c r="S44" s="47"/>
      <c r="T44" s="47"/>
      <c r="U44" s="47"/>
      <c r="V44" s="47"/>
    </row>
    <row r="45" spans="1:49" ht="12.75" customHeight="1" thickTop="1">
      <c r="F45" s="47"/>
      <c r="K45" s="50"/>
      <c r="L45" s="50"/>
      <c r="M45" s="50"/>
      <c r="N45" s="50"/>
      <c r="P45" s="47"/>
      <c r="T45" s="50"/>
    </row>
    <row r="46" spans="1:49" ht="12.75" customHeight="1">
      <c r="F46" s="47"/>
      <c r="G46" s="1227" t="s">
        <v>786</v>
      </c>
      <c r="H46" s="47"/>
      <c r="I46" s="47"/>
      <c r="J46" s="47"/>
      <c r="K46" s="47" t="s">
        <v>1908</v>
      </c>
      <c r="L46" s="50"/>
      <c r="M46" s="50"/>
      <c r="N46" s="50"/>
      <c r="P46" s="47"/>
      <c r="T46" s="50"/>
    </row>
    <row r="47" spans="1:49" ht="12.75" customHeight="1">
      <c r="F47" s="47"/>
      <c r="G47"/>
      <c r="H47" s="302" t="s">
        <v>1071</v>
      </c>
      <c r="I47"/>
      <c r="K47" s="1231" t="s">
        <v>1911</v>
      </c>
      <c r="M47" s="50"/>
      <c r="N47"/>
      <c r="P47" s="47"/>
      <c r="T47" s="50"/>
    </row>
    <row r="48" spans="1:49" ht="12.75" customHeight="1">
      <c r="F48" s="47"/>
      <c r="G48" s="296" t="s">
        <v>1909</v>
      </c>
      <c r="H48" s="303" t="s">
        <v>1910</v>
      </c>
      <c r="I48" s="304" t="s">
        <v>1052</v>
      </c>
      <c r="K48" s="50" t="s">
        <v>2693</v>
      </c>
      <c r="M48" s="50"/>
      <c r="N48" s="50"/>
      <c r="P48" s="47"/>
      <c r="T48" s="50"/>
    </row>
    <row r="49" spans="6:20" ht="12.75" customHeight="1">
      <c r="F49" s="47"/>
      <c r="G49" t="s">
        <v>1912</v>
      </c>
      <c r="H49" s="305" t="s">
        <v>1053</v>
      </c>
      <c r="I49" s="306">
        <v>3100</v>
      </c>
      <c r="K49" s="50"/>
      <c r="M49" s="50"/>
      <c r="N49" s="50"/>
      <c r="P49" s="47"/>
      <c r="T49" s="50"/>
    </row>
    <row r="50" spans="6:20" ht="12.75" customHeight="1">
      <c r="F50" s="47"/>
      <c r="G50" t="s">
        <v>1913</v>
      </c>
      <c r="H50" s="305" t="s">
        <v>184</v>
      </c>
      <c r="I50" s="306">
        <v>2700</v>
      </c>
      <c r="K50" s="50"/>
      <c r="L50" s="50"/>
      <c r="M50" s="50"/>
      <c r="N50" s="50"/>
      <c r="P50" s="47"/>
      <c r="T50" s="50"/>
    </row>
    <row r="51" spans="6:20" ht="12.75" customHeight="1">
      <c r="F51" s="47"/>
      <c r="G51" t="s">
        <v>1914</v>
      </c>
      <c r="H51" s="305" t="s">
        <v>184</v>
      </c>
      <c r="I51" s="306">
        <v>2700</v>
      </c>
      <c r="K51" s="50"/>
      <c r="L51" s="50"/>
      <c r="M51" s="50"/>
      <c r="N51" s="50"/>
      <c r="P51" s="47"/>
      <c r="T51" s="50"/>
    </row>
    <row r="52" spans="6:20" ht="12.75" customHeight="1">
      <c r="F52" s="47"/>
      <c r="G52" t="s">
        <v>1915</v>
      </c>
      <c r="H52" s="305" t="s">
        <v>180</v>
      </c>
      <c r="I52" s="306">
        <v>4900</v>
      </c>
      <c r="K52" s="50"/>
      <c r="L52" s="50"/>
      <c r="M52" s="50"/>
      <c r="N52" s="50"/>
      <c r="P52" s="47"/>
      <c r="T52" s="50"/>
    </row>
    <row r="53" spans="6:20" ht="12.75" customHeight="1">
      <c r="F53" s="47"/>
      <c r="G53" t="s">
        <v>1916</v>
      </c>
      <c r="H53" s="305" t="s">
        <v>180</v>
      </c>
      <c r="I53" s="306">
        <v>4900</v>
      </c>
      <c r="K53" s="50"/>
      <c r="L53" s="50"/>
      <c r="M53" s="50"/>
      <c r="N53" s="50"/>
      <c r="P53" s="47"/>
      <c r="T53" s="50"/>
    </row>
    <row r="54" spans="6:20" ht="12.75" customHeight="1">
      <c r="F54" s="47"/>
      <c r="G54" t="s">
        <v>1917</v>
      </c>
      <c r="H54" s="305" t="s">
        <v>180</v>
      </c>
      <c r="I54" s="306">
        <v>4900</v>
      </c>
      <c r="K54" s="50"/>
      <c r="L54" s="50"/>
      <c r="M54" s="50"/>
      <c r="N54" s="50"/>
      <c r="P54" s="47"/>
      <c r="T54" s="50"/>
    </row>
    <row r="55" spans="6:20" ht="12.75" customHeight="1">
      <c r="F55" s="47"/>
      <c r="G55" t="s">
        <v>1918</v>
      </c>
      <c r="H55" s="305" t="s">
        <v>181</v>
      </c>
      <c r="I55" s="306">
        <v>3500</v>
      </c>
      <c r="K55" s="50"/>
      <c r="L55" s="50"/>
      <c r="M55" s="50"/>
      <c r="N55" s="50"/>
      <c r="P55" s="47"/>
      <c r="T55" s="50"/>
    </row>
    <row r="56" spans="6:20" ht="12.75" customHeight="1">
      <c r="F56" s="47"/>
      <c r="G56" t="s">
        <v>1919</v>
      </c>
      <c r="H56" s="305" t="s">
        <v>1054</v>
      </c>
      <c r="I56" s="306">
        <v>3900</v>
      </c>
      <c r="K56" s="50"/>
      <c r="L56" s="50"/>
      <c r="M56" s="50"/>
      <c r="N56" s="50"/>
      <c r="P56" s="47"/>
      <c r="T56" s="50"/>
    </row>
    <row r="57" spans="6:20" ht="12.75" customHeight="1">
      <c r="F57" s="47"/>
      <c r="G57" t="s">
        <v>1920</v>
      </c>
      <c r="H57" s="305" t="s">
        <v>1055</v>
      </c>
      <c r="I57" s="306">
        <v>8766</v>
      </c>
      <c r="K57" s="50"/>
      <c r="L57" s="50"/>
      <c r="M57" s="50"/>
      <c r="N57" s="50"/>
      <c r="P57" s="47"/>
      <c r="T57" s="50"/>
    </row>
    <row r="58" spans="6:20" ht="12.75" customHeight="1">
      <c r="F58" s="47"/>
      <c r="G58" t="s">
        <v>1920</v>
      </c>
      <c r="H58" s="305" t="s">
        <v>1056</v>
      </c>
      <c r="I58" s="306">
        <v>4383</v>
      </c>
      <c r="K58" s="50"/>
      <c r="L58" s="50"/>
      <c r="M58" s="50"/>
      <c r="N58" s="50"/>
      <c r="P58" s="47"/>
      <c r="T58" s="50"/>
    </row>
    <row r="59" spans="6:20" ht="12.75" customHeight="1">
      <c r="F59" s="47"/>
      <c r="G59" t="s">
        <v>1921</v>
      </c>
      <c r="H59" s="305" t="s">
        <v>185</v>
      </c>
      <c r="I59" s="306">
        <v>3800</v>
      </c>
      <c r="K59" s="50"/>
      <c r="L59" s="50"/>
      <c r="M59" s="50"/>
      <c r="N59" s="50"/>
      <c r="P59" s="47"/>
      <c r="T59" s="50"/>
    </row>
    <row r="60" spans="6:20" ht="12.75" customHeight="1">
      <c r="F60" s="47"/>
      <c r="G60" t="s">
        <v>1034</v>
      </c>
      <c r="H60" s="305" t="s">
        <v>184</v>
      </c>
      <c r="I60" s="306">
        <v>2700</v>
      </c>
      <c r="K60" s="50"/>
      <c r="L60" s="50"/>
      <c r="M60" s="50"/>
      <c r="N60" s="50"/>
      <c r="P60" s="47"/>
      <c r="T60" s="50"/>
    </row>
    <row r="61" spans="6:20" ht="12.75" customHeight="1">
      <c r="F61" s="47"/>
      <c r="G61" t="s">
        <v>1922</v>
      </c>
      <c r="H61" s="305" t="s">
        <v>1057</v>
      </c>
      <c r="I61" s="306">
        <v>4300</v>
      </c>
      <c r="K61" s="50"/>
      <c r="L61" s="50"/>
      <c r="M61" s="50"/>
      <c r="N61" s="50"/>
      <c r="P61" s="47"/>
      <c r="T61" s="50"/>
    </row>
    <row r="62" spans="6:20" ht="12.75" customHeight="1">
      <c r="F62" s="47"/>
      <c r="G62" t="s">
        <v>182</v>
      </c>
      <c r="H62" s="305" t="s">
        <v>182</v>
      </c>
      <c r="I62" s="306">
        <v>4200</v>
      </c>
      <c r="K62" s="50"/>
      <c r="L62" s="50"/>
      <c r="M62" s="50"/>
      <c r="N62" s="50"/>
      <c r="P62" s="47"/>
      <c r="T62" s="50"/>
    </row>
    <row r="63" spans="6:20" ht="12.75" customHeight="1">
      <c r="F63" s="47"/>
      <c r="G63" t="s">
        <v>1923</v>
      </c>
      <c r="H63" s="305" t="s">
        <v>181</v>
      </c>
      <c r="I63" s="306">
        <v>3500</v>
      </c>
      <c r="K63" s="50"/>
      <c r="L63" s="50"/>
      <c r="M63" s="50"/>
      <c r="N63" s="50"/>
      <c r="P63" s="47"/>
      <c r="T63" s="50"/>
    </row>
    <row r="64" spans="6:20" ht="12.75" customHeight="1">
      <c r="F64" s="47"/>
      <c r="G64" t="s">
        <v>1038</v>
      </c>
      <c r="H64" s="305" t="s">
        <v>1038</v>
      </c>
      <c r="I64" s="306">
        <v>3000</v>
      </c>
      <c r="K64" s="50"/>
      <c r="L64" s="50"/>
      <c r="M64" s="50"/>
      <c r="N64" s="50"/>
      <c r="P64" s="47"/>
      <c r="T64" s="50"/>
    </row>
    <row r="65" spans="6:43" ht="12.75" customHeight="1">
      <c r="F65" s="47"/>
      <c r="G65" s="307" t="s">
        <v>1924</v>
      </c>
      <c r="H65" s="305" t="s">
        <v>1058</v>
      </c>
      <c r="I65" s="306">
        <v>5500</v>
      </c>
      <c r="K65" s="50"/>
      <c r="L65" s="50"/>
      <c r="M65" s="50"/>
      <c r="N65" s="50"/>
      <c r="P65" s="47"/>
      <c r="T65" s="50"/>
    </row>
    <row r="66" spans="6:43" ht="12.75" customHeight="1">
      <c r="F66" s="47"/>
      <c r="G66" s="307" t="s">
        <v>1925</v>
      </c>
      <c r="H66" s="305" t="s">
        <v>1059</v>
      </c>
      <c r="I66" s="306">
        <v>5500</v>
      </c>
      <c r="K66" s="50"/>
      <c r="L66" s="50"/>
      <c r="M66" s="50"/>
      <c r="N66" s="50"/>
      <c r="P66" s="47"/>
      <c r="T66" s="50"/>
    </row>
    <row r="67" spans="6:43" ht="12.75" customHeight="1">
      <c r="F67" s="47"/>
      <c r="G67" s="307" t="s">
        <v>1926</v>
      </c>
      <c r="H67" s="305" t="s">
        <v>1060</v>
      </c>
      <c r="I67" s="306">
        <v>7000</v>
      </c>
      <c r="K67" s="50"/>
      <c r="L67" s="50"/>
      <c r="M67" s="50"/>
      <c r="N67" s="50"/>
      <c r="P67" s="47"/>
      <c r="T67" s="50"/>
    </row>
    <row r="68" spans="6:43" ht="12.75" customHeight="1">
      <c r="F68" s="47"/>
      <c r="G68" t="s">
        <v>1927</v>
      </c>
      <c r="H68" s="305" t="s">
        <v>184</v>
      </c>
      <c r="I68" s="306">
        <v>2700</v>
      </c>
      <c r="K68" s="50"/>
      <c r="L68" s="50"/>
      <c r="M68" s="50"/>
      <c r="N68" s="50"/>
      <c r="P68" s="47"/>
      <c r="T68" s="50"/>
    </row>
    <row r="69" spans="6:43" ht="12.75" customHeight="1">
      <c r="F69" s="47"/>
      <c r="G69" t="s">
        <v>1928</v>
      </c>
      <c r="H69" s="305" t="s">
        <v>181</v>
      </c>
      <c r="I69" s="306">
        <v>3500</v>
      </c>
      <c r="K69" s="50"/>
      <c r="L69" s="50"/>
      <c r="M69" s="50"/>
      <c r="N69" s="50"/>
      <c r="P69" s="47"/>
      <c r="T69" s="50"/>
    </row>
    <row r="70" spans="6:43" ht="12.75" customHeight="1">
      <c r="F70" s="47"/>
      <c r="G70" t="s">
        <v>1929</v>
      </c>
      <c r="H70" s="305" t="s">
        <v>184</v>
      </c>
      <c r="I70" s="306">
        <v>2700</v>
      </c>
      <c r="K70" s="50"/>
      <c r="L70" s="50"/>
      <c r="M70" s="50"/>
      <c r="N70" s="50"/>
      <c r="P70" s="47"/>
      <c r="T70" s="50"/>
    </row>
    <row r="71" spans="6:43" ht="12.75" customHeight="1">
      <c r="F71" s="47"/>
      <c r="G71" t="s">
        <v>1930</v>
      </c>
      <c r="H71" s="305" t="s">
        <v>1061</v>
      </c>
      <c r="I71" s="306">
        <v>2600</v>
      </c>
      <c r="K71" s="50"/>
      <c r="L71" s="50"/>
      <c r="M71" s="50"/>
      <c r="N71" s="50"/>
      <c r="P71" s="47"/>
      <c r="T71" s="50"/>
    </row>
    <row r="72" spans="6:43" ht="12.75" customHeight="1">
      <c r="F72" s="47"/>
      <c r="G72" t="s">
        <v>1931</v>
      </c>
      <c r="H72" s="305" t="s">
        <v>1062</v>
      </c>
      <c r="I72" s="306">
        <v>3300</v>
      </c>
      <c r="K72" s="50"/>
      <c r="L72" s="50"/>
      <c r="M72" s="50"/>
      <c r="N72" s="50"/>
      <c r="P72" s="47"/>
      <c r="T72" s="50"/>
    </row>
    <row r="73" spans="6:43" ht="12.75" customHeight="1">
      <c r="F73" s="47"/>
      <c r="G73" t="s">
        <v>1932</v>
      </c>
      <c r="H73" s="305" t="s">
        <v>1063</v>
      </c>
      <c r="I73" s="306">
        <v>3300</v>
      </c>
      <c r="K73" s="50"/>
      <c r="L73" s="50"/>
      <c r="M73" s="50"/>
      <c r="N73" s="50"/>
      <c r="P73" s="47"/>
      <c r="T73" s="50"/>
    </row>
    <row r="74" spans="6:43" ht="12.75" customHeight="1">
      <c r="F74" s="47"/>
      <c r="G74" t="s">
        <v>185</v>
      </c>
      <c r="H74" s="305" t="s">
        <v>185</v>
      </c>
      <c r="I74" s="306">
        <v>3800</v>
      </c>
      <c r="K74" s="50"/>
      <c r="L74" s="47"/>
      <c r="M74" s="47"/>
      <c r="N74" s="47"/>
      <c r="O74" s="47"/>
      <c r="P74" s="47"/>
      <c r="T74" s="50"/>
    </row>
    <row r="75" spans="6:43" ht="12.75" customHeight="1">
      <c r="F75" s="47"/>
      <c r="G75" t="s">
        <v>1933</v>
      </c>
      <c r="H75" s="305" t="s">
        <v>1042</v>
      </c>
      <c r="I75" s="306">
        <v>6300</v>
      </c>
      <c r="K75" s="50"/>
      <c r="L75" s="47"/>
      <c r="M75" s="47"/>
      <c r="N75" s="47"/>
      <c r="O75" s="47"/>
      <c r="P75" s="47"/>
      <c r="S75" s="47"/>
      <c r="T75" s="47"/>
      <c r="U75" s="47"/>
      <c r="V75" s="47"/>
    </row>
    <row r="76" spans="6:43" ht="12.75" customHeight="1">
      <c r="F76"/>
      <c r="G76" t="s">
        <v>1934</v>
      </c>
      <c r="H76" s="305" t="s">
        <v>185</v>
      </c>
      <c r="I76" s="306">
        <v>3800</v>
      </c>
      <c r="K76" s="50"/>
      <c r="L76"/>
      <c r="M76"/>
      <c r="N76"/>
      <c r="O76"/>
      <c r="P76"/>
      <c r="Q76"/>
      <c r="R76"/>
      <c r="S76"/>
      <c r="T76"/>
      <c r="U76"/>
      <c r="V76"/>
    </row>
    <row r="77" spans="6:43" ht="12.75" customHeight="1">
      <c r="F77"/>
      <c r="G77" t="s">
        <v>1935</v>
      </c>
      <c r="H77" s="305" t="s">
        <v>184</v>
      </c>
      <c r="I77" s="306">
        <v>2700</v>
      </c>
      <c r="K77" s="50"/>
      <c r="L77"/>
      <c r="M77"/>
      <c r="N77"/>
      <c r="O77"/>
      <c r="P77"/>
      <c r="Q77"/>
      <c r="R77"/>
      <c r="S77"/>
      <c r="T77"/>
      <c r="U77"/>
      <c r="V77"/>
    </row>
    <row r="78" spans="6:43" ht="12.75" customHeight="1">
      <c r="F78"/>
      <c r="G78" t="s">
        <v>1936</v>
      </c>
      <c r="H78" s="305" t="s">
        <v>185</v>
      </c>
      <c r="I78" s="306">
        <v>3800</v>
      </c>
      <c r="K78" s="50"/>
      <c r="L78"/>
      <c r="M78"/>
      <c r="N78"/>
      <c r="O78"/>
      <c r="P78"/>
      <c r="Q78"/>
      <c r="R78"/>
      <c r="S78"/>
      <c r="T78"/>
      <c r="U78"/>
      <c r="V78"/>
    </row>
    <row r="79" spans="6:43" ht="12.75" customHeight="1">
      <c r="F79"/>
      <c r="G79" t="s">
        <v>1937</v>
      </c>
      <c r="H79" s="305" t="s">
        <v>1054</v>
      </c>
      <c r="I79" s="306">
        <v>3900</v>
      </c>
      <c r="J79"/>
      <c r="K79"/>
      <c r="L79"/>
      <c r="M79"/>
      <c r="N79"/>
      <c r="O79"/>
      <c r="P79"/>
      <c r="Q79"/>
      <c r="R79"/>
      <c r="S79"/>
      <c r="T79"/>
      <c r="U79"/>
      <c r="V79"/>
    </row>
    <row r="80" spans="6:43" ht="12.75" customHeight="1">
      <c r="F80"/>
      <c r="G80" t="s">
        <v>1938</v>
      </c>
      <c r="H80" s="305" t="s">
        <v>184</v>
      </c>
      <c r="I80" s="306">
        <v>2700</v>
      </c>
      <c r="J80"/>
      <c r="K80"/>
      <c r="L80"/>
      <c r="M80"/>
      <c r="N80"/>
      <c r="O80"/>
      <c r="P80"/>
      <c r="Q80"/>
      <c r="R80"/>
      <c r="S80"/>
      <c r="T80"/>
      <c r="U80"/>
      <c r="V80"/>
    </row>
    <row r="81" spans="6:22" ht="12.75" customHeight="1">
      <c r="F81"/>
      <c r="G81" t="s">
        <v>1939</v>
      </c>
      <c r="H81" s="305" t="s">
        <v>1054</v>
      </c>
      <c r="I81" s="306">
        <v>3900</v>
      </c>
      <c r="J81"/>
      <c r="K81"/>
      <c r="L81"/>
      <c r="M81"/>
      <c r="N81"/>
      <c r="O81"/>
      <c r="P81"/>
      <c r="Q81"/>
      <c r="R81"/>
      <c r="S81"/>
      <c r="T81"/>
      <c r="U81"/>
      <c r="V81"/>
    </row>
    <row r="82" spans="6:22" ht="12.75" customHeight="1">
      <c r="F82"/>
      <c r="G82" t="s">
        <v>1940</v>
      </c>
      <c r="H82" s="305" t="s">
        <v>1064</v>
      </c>
      <c r="I82" s="306">
        <v>4400</v>
      </c>
      <c r="J82"/>
      <c r="K82"/>
      <c r="L82"/>
      <c r="M82"/>
      <c r="N82"/>
      <c r="O82"/>
      <c r="P82"/>
      <c r="Q82"/>
      <c r="R82"/>
      <c r="S82"/>
      <c r="T82"/>
      <c r="U82"/>
      <c r="V82"/>
    </row>
    <row r="83" spans="6:22" ht="12.75" customHeight="1">
      <c r="F83"/>
      <c r="G83" t="s">
        <v>1941</v>
      </c>
      <c r="H83" s="305" t="s">
        <v>1065</v>
      </c>
      <c r="I83" s="306">
        <v>6000</v>
      </c>
      <c r="J83"/>
      <c r="K83"/>
      <c r="L83"/>
      <c r="M83"/>
      <c r="N83"/>
      <c r="O83"/>
      <c r="P83"/>
      <c r="Q83"/>
      <c r="R83"/>
      <c r="S83"/>
      <c r="T83"/>
      <c r="U83"/>
      <c r="V83"/>
    </row>
    <row r="84" spans="6:22" ht="12.75" customHeight="1">
      <c r="F84"/>
      <c r="G84" t="s">
        <v>1942</v>
      </c>
      <c r="H84" s="305" t="s">
        <v>1066</v>
      </c>
      <c r="I84" s="306">
        <v>2500</v>
      </c>
      <c r="J84"/>
      <c r="K84"/>
      <c r="L84"/>
      <c r="M84"/>
      <c r="N84"/>
      <c r="O84"/>
      <c r="P84"/>
      <c r="Q84"/>
      <c r="R84"/>
      <c r="S84"/>
      <c r="T84"/>
      <c r="U84"/>
      <c r="V84"/>
    </row>
    <row r="85" spans="6:22" ht="12.75" customHeight="1">
      <c r="F85"/>
      <c r="G85" t="s">
        <v>1067</v>
      </c>
      <c r="H85" s="305" t="s">
        <v>1067</v>
      </c>
      <c r="I85" s="306">
        <v>7200</v>
      </c>
      <c r="J85"/>
      <c r="K85"/>
      <c r="L85"/>
      <c r="M85"/>
      <c r="N85"/>
      <c r="O85"/>
      <c r="P85"/>
      <c r="Q85"/>
      <c r="R85"/>
      <c r="S85"/>
      <c r="T85"/>
      <c r="U85"/>
      <c r="V85"/>
    </row>
    <row r="86" spans="6:22" ht="12.75" customHeight="1">
      <c r="F86"/>
      <c r="G86" t="s">
        <v>1068</v>
      </c>
      <c r="H86" s="305" t="s">
        <v>1068</v>
      </c>
      <c r="I86" s="306">
        <v>6800</v>
      </c>
      <c r="J86"/>
      <c r="K86"/>
      <c r="L86"/>
      <c r="M86"/>
      <c r="N86"/>
      <c r="O86"/>
      <c r="P86"/>
      <c r="Q86"/>
      <c r="R86"/>
      <c r="S86"/>
      <c r="T86"/>
      <c r="U86"/>
      <c r="V86"/>
    </row>
    <row r="87" spans="6:22" ht="12.75" customHeight="1">
      <c r="F87"/>
      <c r="G87" s="307" t="s">
        <v>175</v>
      </c>
      <c r="H87" s="305" t="s">
        <v>175</v>
      </c>
      <c r="I87" s="306">
        <v>2500</v>
      </c>
      <c r="J87"/>
      <c r="K87"/>
      <c r="L87"/>
      <c r="M87"/>
      <c r="N87"/>
      <c r="O87"/>
      <c r="P87"/>
      <c r="Q87"/>
      <c r="R87"/>
      <c r="S87"/>
      <c r="T87"/>
      <c r="U87"/>
      <c r="V87"/>
    </row>
    <row r="88" spans="6:22" ht="12.75" customHeight="1">
      <c r="F88"/>
      <c r="G88" t="s">
        <v>1943</v>
      </c>
      <c r="H88" s="305" t="s">
        <v>184</v>
      </c>
      <c r="I88" s="306">
        <v>2700</v>
      </c>
      <c r="J88"/>
      <c r="K88"/>
      <c r="L88"/>
      <c r="M88"/>
      <c r="N88"/>
      <c r="O88"/>
      <c r="P88"/>
      <c r="Q88"/>
      <c r="R88"/>
      <c r="S88"/>
      <c r="T88"/>
      <c r="U88"/>
      <c r="V88"/>
    </row>
    <row r="89" spans="6:22" ht="12.75" customHeight="1">
      <c r="F89"/>
      <c r="G89" t="s">
        <v>1944</v>
      </c>
      <c r="H89" s="305" t="s">
        <v>184</v>
      </c>
      <c r="I89" s="306">
        <v>2700</v>
      </c>
      <c r="J89"/>
      <c r="K89"/>
      <c r="L89"/>
      <c r="M89"/>
      <c r="N89"/>
      <c r="O89"/>
      <c r="P89"/>
      <c r="Q89"/>
      <c r="R89"/>
      <c r="S89"/>
      <c r="T89"/>
      <c r="U89"/>
      <c r="V89"/>
    </row>
    <row r="90" spans="6:22" ht="12.75" customHeight="1">
      <c r="F90"/>
      <c r="G90" t="s">
        <v>1945</v>
      </c>
      <c r="H90" s="305" t="s">
        <v>1053</v>
      </c>
      <c r="I90" s="306">
        <v>3100</v>
      </c>
      <c r="J90"/>
      <c r="K90"/>
      <c r="L90"/>
      <c r="M90"/>
      <c r="N90"/>
      <c r="O90"/>
      <c r="P90"/>
      <c r="Q90"/>
      <c r="R90"/>
      <c r="S90"/>
      <c r="T90"/>
      <c r="U90"/>
      <c r="V90"/>
    </row>
    <row r="91" spans="6:22" ht="12.75" customHeight="1">
      <c r="F91"/>
      <c r="G91" s="307" t="s">
        <v>176</v>
      </c>
      <c r="H91" s="305" t="s">
        <v>1069</v>
      </c>
      <c r="I91" s="306">
        <v>2100</v>
      </c>
      <c r="J91"/>
      <c r="K91"/>
      <c r="L91"/>
      <c r="M91"/>
      <c r="N91"/>
      <c r="O91"/>
      <c r="P91"/>
      <c r="Q91"/>
      <c r="R91"/>
      <c r="S91"/>
      <c r="T91"/>
      <c r="U91"/>
      <c r="V91"/>
    </row>
    <row r="92" spans="6:22" ht="12.75" customHeight="1">
      <c r="F92"/>
      <c r="G92" t="s">
        <v>177</v>
      </c>
      <c r="H92" s="305" t="s">
        <v>177</v>
      </c>
      <c r="I92" s="306">
        <v>2600</v>
      </c>
      <c r="J92"/>
      <c r="K92"/>
      <c r="L92"/>
      <c r="M92"/>
      <c r="N92"/>
      <c r="O92"/>
      <c r="P92"/>
      <c r="Q92"/>
      <c r="R92"/>
      <c r="S92"/>
      <c r="T92"/>
      <c r="U92"/>
      <c r="V92"/>
    </row>
    <row r="93" spans="6:22" ht="12.75" customHeight="1">
      <c r="F93"/>
      <c r="G93" t="s">
        <v>1946</v>
      </c>
      <c r="H93" s="305" t="s">
        <v>1070</v>
      </c>
      <c r="I93" s="306">
        <v>5500</v>
      </c>
      <c r="J93"/>
      <c r="K93"/>
      <c r="L93"/>
      <c r="M93"/>
      <c r="N93"/>
      <c r="O93"/>
      <c r="P93"/>
      <c r="Q93"/>
      <c r="R93"/>
      <c r="S93"/>
      <c r="T93"/>
      <c r="U93"/>
      <c r="V93"/>
    </row>
    <row r="94" spans="6:22" ht="12.75" customHeight="1">
      <c r="F94"/>
      <c r="G94"/>
      <c r="H94"/>
      <c r="I94"/>
      <c r="J94"/>
      <c r="K94"/>
      <c r="L94"/>
      <c r="M94"/>
      <c r="N94"/>
      <c r="O94"/>
      <c r="P94"/>
      <c r="Q94"/>
      <c r="R94"/>
      <c r="S94"/>
      <c r="T94"/>
      <c r="U94"/>
      <c r="V94"/>
    </row>
    <row r="95" spans="6:22" ht="12.75" customHeight="1">
      <c r="F95"/>
      <c r="G95"/>
      <c r="H95"/>
      <c r="I95"/>
      <c r="J95"/>
      <c r="K95"/>
      <c r="L95"/>
      <c r="M95"/>
      <c r="N95"/>
      <c r="O95"/>
      <c r="P95"/>
      <c r="Q95"/>
      <c r="R95"/>
      <c r="S95"/>
      <c r="T95"/>
      <c r="U95"/>
      <c r="V95"/>
    </row>
    <row r="96" spans="6:22" ht="12.75" customHeight="1">
      <c r="F96"/>
      <c r="G96"/>
      <c r="H96"/>
      <c r="I96"/>
      <c r="J96"/>
      <c r="K96"/>
      <c r="L96"/>
      <c r="M96"/>
      <c r="N96"/>
      <c r="O96"/>
      <c r="P96"/>
      <c r="Q96"/>
      <c r="R96"/>
      <c r="S96"/>
      <c r="T96"/>
      <c r="U96"/>
      <c r="V96"/>
    </row>
    <row r="97" spans="6:22" ht="12.75" customHeight="1">
      <c r="F97"/>
      <c r="G97" s="1227" t="s">
        <v>1051</v>
      </c>
      <c r="H97" s="47"/>
      <c r="I97" s="47"/>
      <c r="J97" s="47"/>
      <c r="K97" s="47"/>
      <c r="L97" s="47"/>
      <c r="M97" s="47"/>
      <c r="N97" s="47"/>
      <c r="O97" s="47"/>
      <c r="P97"/>
      <c r="Q97"/>
      <c r="R97"/>
      <c r="S97"/>
      <c r="T97"/>
      <c r="U97"/>
      <c r="V97"/>
    </row>
    <row r="98" spans="6:22" ht="12.75" customHeight="1">
      <c r="F98"/>
      <c r="G98" s="1932" t="s">
        <v>1020</v>
      </c>
      <c r="H98" s="1932" t="s">
        <v>1021</v>
      </c>
      <c r="I98" s="1932"/>
      <c r="J98" s="1932"/>
      <c r="K98" s="1932"/>
      <c r="L98" s="1932"/>
      <c r="M98" s="1932"/>
      <c r="N98" s="1932"/>
      <c r="O98" s="1932"/>
      <c r="P98"/>
      <c r="Q98"/>
      <c r="R98"/>
      <c r="S98"/>
      <c r="T98"/>
      <c r="U98"/>
      <c r="V98"/>
    </row>
    <row r="99" spans="6:22" ht="12.75" customHeight="1">
      <c r="F99"/>
      <c r="G99" s="1932"/>
      <c r="H99" s="310" t="s">
        <v>1022</v>
      </c>
      <c r="I99" s="310" t="s">
        <v>1023</v>
      </c>
      <c r="J99" s="310" t="s">
        <v>1024</v>
      </c>
      <c r="K99" s="310" t="s">
        <v>1025</v>
      </c>
      <c r="L99" s="310" t="s">
        <v>1026</v>
      </c>
      <c r="M99" s="310" t="s">
        <v>1027</v>
      </c>
      <c r="N99" s="310" t="s">
        <v>1947</v>
      </c>
      <c r="O99" s="310" t="s">
        <v>1028</v>
      </c>
      <c r="P99"/>
      <c r="Q99"/>
      <c r="R99"/>
      <c r="S99"/>
      <c r="T99"/>
      <c r="U99"/>
      <c r="V99"/>
    </row>
    <row r="100" spans="6:22" ht="12.75" customHeight="1">
      <c r="F100"/>
      <c r="G100" s="311" t="s">
        <v>184</v>
      </c>
      <c r="H100" s="312">
        <v>0</v>
      </c>
      <c r="I100" s="312">
        <v>0.15</v>
      </c>
      <c r="J100" s="312">
        <v>0.1</v>
      </c>
      <c r="K100" s="312">
        <v>0.3</v>
      </c>
      <c r="L100" s="312">
        <v>0.25</v>
      </c>
      <c r="M100" s="312">
        <v>0.33</v>
      </c>
      <c r="N100" s="312">
        <v>0.35</v>
      </c>
      <c r="O100" s="312">
        <v>0.6</v>
      </c>
      <c r="P100"/>
      <c r="Q100"/>
      <c r="R100"/>
      <c r="S100"/>
      <c r="T100"/>
      <c r="U100"/>
      <c r="V100"/>
    </row>
    <row r="101" spans="6:22" ht="12.75" customHeight="1">
      <c r="F101"/>
      <c r="G101" s="311" t="s">
        <v>1029</v>
      </c>
      <c r="H101" s="312">
        <v>0</v>
      </c>
      <c r="I101" s="312">
        <v>0.15</v>
      </c>
      <c r="J101" s="312">
        <v>0.1</v>
      </c>
      <c r="K101" s="312">
        <v>0.3</v>
      </c>
      <c r="L101" s="312">
        <v>0.25</v>
      </c>
      <c r="M101" s="312">
        <v>0.4</v>
      </c>
      <c r="N101" s="312">
        <v>0.35</v>
      </c>
      <c r="O101" s="312">
        <v>0.6</v>
      </c>
      <c r="P101"/>
      <c r="Q101"/>
      <c r="R101"/>
      <c r="S101"/>
      <c r="T101"/>
      <c r="U101"/>
      <c r="V101"/>
    </row>
    <row r="102" spans="6:22" ht="12.75" customHeight="1">
      <c r="F102"/>
      <c r="G102" s="311" t="s">
        <v>1030</v>
      </c>
      <c r="H102" s="312">
        <v>0</v>
      </c>
      <c r="I102" s="312">
        <v>0.1</v>
      </c>
      <c r="J102" s="312">
        <v>0.1</v>
      </c>
      <c r="K102" s="312">
        <v>0.3</v>
      </c>
      <c r="L102" s="312">
        <v>0.15</v>
      </c>
      <c r="M102" s="312">
        <v>0.25</v>
      </c>
      <c r="N102" s="312">
        <v>0.35</v>
      </c>
      <c r="O102" s="312">
        <v>0.6</v>
      </c>
      <c r="P102"/>
      <c r="Q102"/>
      <c r="R102"/>
      <c r="S102"/>
      <c r="T102"/>
      <c r="U102"/>
      <c r="V102"/>
    </row>
    <row r="103" spans="6:22" ht="12.75" customHeight="1">
      <c r="F103"/>
      <c r="G103" s="311" t="s">
        <v>1031</v>
      </c>
      <c r="H103" s="312">
        <v>0</v>
      </c>
      <c r="I103" s="312">
        <v>0.15</v>
      </c>
      <c r="J103" s="312">
        <v>0.1</v>
      </c>
      <c r="K103" s="312">
        <v>0.3</v>
      </c>
      <c r="L103" s="312">
        <v>0.25</v>
      </c>
      <c r="M103" s="312">
        <v>0.4</v>
      </c>
      <c r="N103" s="312">
        <v>0.35</v>
      </c>
      <c r="O103" s="312">
        <v>0.6</v>
      </c>
      <c r="P103"/>
      <c r="Q103"/>
      <c r="R103"/>
      <c r="S103"/>
      <c r="T103"/>
      <c r="U103"/>
      <c r="V103"/>
    </row>
    <row r="104" spans="6:22" ht="12.75" customHeight="1">
      <c r="F104"/>
      <c r="G104" s="311" t="s">
        <v>1032</v>
      </c>
      <c r="H104" s="312">
        <v>0</v>
      </c>
      <c r="I104" s="312">
        <v>0.15</v>
      </c>
      <c r="J104" s="312">
        <v>0.1</v>
      </c>
      <c r="K104" s="312">
        <v>0.3</v>
      </c>
      <c r="L104" s="312">
        <v>0.25</v>
      </c>
      <c r="M104" s="312">
        <v>0.4</v>
      </c>
      <c r="N104" s="312">
        <v>0.35</v>
      </c>
      <c r="O104" s="312">
        <v>0.6</v>
      </c>
      <c r="P104"/>
      <c r="Q104"/>
      <c r="R104"/>
      <c r="S104"/>
      <c r="T104"/>
      <c r="U104"/>
      <c r="V104"/>
    </row>
    <row r="105" spans="6:22" ht="12.75" customHeight="1">
      <c r="F105"/>
      <c r="G105" s="311" t="s">
        <v>1033</v>
      </c>
      <c r="H105" s="312">
        <v>0</v>
      </c>
      <c r="I105" s="312">
        <v>0.15</v>
      </c>
      <c r="J105" s="312">
        <v>0.1</v>
      </c>
      <c r="K105" s="312">
        <v>0.3</v>
      </c>
      <c r="L105" s="312">
        <v>0.15</v>
      </c>
      <c r="M105" s="312">
        <v>0.4</v>
      </c>
      <c r="N105" s="312">
        <v>0.35</v>
      </c>
      <c r="O105" s="312">
        <v>0.6</v>
      </c>
      <c r="P105"/>
      <c r="Q105"/>
      <c r="R105"/>
      <c r="S105"/>
      <c r="T105"/>
      <c r="U105"/>
      <c r="V105"/>
    </row>
    <row r="106" spans="6:22" ht="12.75" customHeight="1">
      <c r="F106"/>
      <c r="G106" s="311" t="s">
        <v>1034</v>
      </c>
      <c r="H106" s="312">
        <v>0</v>
      </c>
      <c r="I106" s="312">
        <v>0.15</v>
      </c>
      <c r="J106" s="312">
        <v>0.1</v>
      </c>
      <c r="K106" s="312">
        <v>0.3</v>
      </c>
      <c r="L106" s="312">
        <v>0.25</v>
      </c>
      <c r="M106" s="312">
        <v>0.4</v>
      </c>
      <c r="N106" s="312">
        <v>0.35</v>
      </c>
      <c r="O106" s="312">
        <v>0.6</v>
      </c>
      <c r="P106"/>
      <c r="Q106"/>
      <c r="R106"/>
      <c r="S106"/>
      <c r="T106"/>
      <c r="U106"/>
      <c r="V106"/>
    </row>
    <row r="107" spans="6:22" ht="12.75" customHeight="1">
      <c r="F107"/>
      <c r="G107" s="311" t="s">
        <v>1035</v>
      </c>
      <c r="H107" s="312">
        <v>0</v>
      </c>
      <c r="I107" s="312">
        <v>0.15</v>
      </c>
      <c r="J107" s="312">
        <v>0.1</v>
      </c>
      <c r="K107" s="312">
        <v>0.3</v>
      </c>
      <c r="L107" s="312">
        <v>0.6</v>
      </c>
      <c r="M107" s="312">
        <v>0.64</v>
      </c>
      <c r="N107" s="312">
        <v>0.35</v>
      </c>
      <c r="O107" s="312">
        <v>0.6</v>
      </c>
      <c r="P107"/>
      <c r="Q107"/>
      <c r="R107"/>
      <c r="S107"/>
      <c r="T107"/>
      <c r="U107"/>
      <c r="V107"/>
    </row>
    <row r="108" spans="6:22" ht="12.75" customHeight="1">
      <c r="F108"/>
      <c r="G108" s="311" t="s">
        <v>1036</v>
      </c>
      <c r="H108" s="312">
        <v>0</v>
      </c>
      <c r="I108" s="312">
        <v>0.15</v>
      </c>
      <c r="J108" s="312">
        <v>0.1</v>
      </c>
      <c r="K108" s="312">
        <v>0.3</v>
      </c>
      <c r="L108" s="312">
        <v>0.25</v>
      </c>
      <c r="M108" s="312">
        <v>0.4</v>
      </c>
      <c r="N108" s="312">
        <v>0.35</v>
      </c>
      <c r="O108" s="312">
        <v>0.6</v>
      </c>
      <c r="P108"/>
      <c r="Q108"/>
      <c r="R108"/>
      <c r="S108"/>
      <c r="T108"/>
      <c r="U108"/>
      <c r="V108"/>
    </row>
    <row r="109" spans="6:22" ht="12.75" customHeight="1">
      <c r="F109"/>
      <c r="G109" s="311" t="s">
        <v>29</v>
      </c>
      <c r="H109" s="312">
        <v>0</v>
      </c>
      <c r="I109" s="312">
        <v>0.15</v>
      </c>
      <c r="J109" s="312">
        <v>0.1</v>
      </c>
      <c r="K109" s="312">
        <v>0.3</v>
      </c>
      <c r="L109" s="312">
        <v>0.25</v>
      </c>
      <c r="M109" s="312">
        <v>0.4</v>
      </c>
      <c r="N109" s="312">
        <v>0.35</v>
      </c>
      <c r="O109" s="312">
        <v>0.6</v>
      </c>
      <c r="P109"/>
      <c r="Q109"/>
      <c r="R109"/>
      <c r="S109"/>
      <c r="T109"/>
      <c r="U109"/>
      <c r="V109"/>
    </row>
    <row r="110" spans="6:22" ht="12.75" customHeight="1">
      <c r="F110"/>
      <c r="G110" s="311" t="s">
        <v>1037</v>
      </c>
      <c r="H110" s="312">
        <v>0</v>
      </c>
      <c r="I110" s="312">
        <v>0.15</v>
      </c>
      <c r="J110" s="312">
        <v>0.1</v>
      </c>
      <c r="K110" s="312">
        <v>0.3</v>
      </c>
      <c r="L110" s="312">
        <v>0.25</v>
      </c>
      <c r="M110" s="312">
        <v>0.4</v>
      </c>
      <c r="N110" s="312">
        <v>0.35</v>
      </c>
      <c r="O110" s="312">
        <v>0.6</v>
      </c>
      <c r="P110"/>
      <c r="Q110"/>
      <c r="R110"/>
      <c r="S110"/>
      <c r="T110"/>
      <c r="U110"/>
      <c r="V110"/>
    </row>
    <row r="111" spans="6:22" ht="12.75" customHeight="1">
      <c r="F111"/>
      <c r="G111" s="311" t="s">
        <v>1038</v>
      </c>
      <c r="H111" s="312">
        <v>0</v>
      </c>
      <c r="I111" s="312">
        <v>0.15</v>
      </c>
      <c r="J111" s="312">
        <v>0.1</v>
      </c>
      <c r="K111" s="312">
        <v>0.3</v>
      </c>
      <c r="L111" s="312">
        <v>0.25</v>
      </c>
      <c r="M111" s="312">
        <v>0.4</v>
      </c>
      <c r="N111" s="312">
        <v>0.35</v>
      </c>
      <c r="O111" s="312">
        <v>0.6</v>
      </c>
      <c r="P111"/>
      <c r="Q111"/>
      <c r="R111"/>
      <c r="S111"/>
      <c r="T111"/>
      <c r="U111"/>
      <c r="V111"/>
    </row>
    <row r="112" spans="6:22" ht="12.75" customHeight="1">
      <c r="F112"/>
      <c r="G112" s="311" t="s">
        <v>1039</v>
      </c>
      <c r="H112" s="312">
        <v>0</v>
      </c>
      <c r="I112" s="312">
        <v>0.15</v>
      </c>
      <c r="J112" s="312">
        <v>0.1</v>
      </c>
      <c r="K112" s="312">
        <v>0.3</v>
      </c>
      <c r="L112" s="312">
        <v>0.25</v>
      </c>
      <c r="M112" s="312">
        <v>0.4</v>
      </c>
      <c r="N112" s="312">
        <v>0.35</v>
      </c>
      <c r="O112" s="312">
        <v>0.6</v>
      </c>
      <c r="P112"/>
      <c r="Q112"/>
      <c r="R112"/>
      <c r="S112"/>
      <c r="T112"/>
      <c r="U112"/>
      <c r="V112"/>
    </row>
    <row r="113" spans="6:22" ht="12.75" customHeight="1">
      <c r="F113"/>
      <c r="G113" s="311" t="s">
        <v>1040</v>
      </c>
      <c r="H113" s="312">
        <v>0</v>
      </c>
      <c r="I113" s="312">
        <v>0.15</v>
      </c>
      <c r="J113" s="312">
        <v>0.1</v>
      </c>
      <c r="K113" s="312">
        <v>0.3</v>
      </c>
      <c r="L113" s="312">
        <v>0.25</v>
      </c>
      <c r="M113" s="312">
        <v>0.4</v>
      </c>
      <c r="N113" s="312">
        <v>0.35</v>
      </c>
      <c r="O113" s="312">
        <v>0.6</v>
      </c>
      <c r="P113"/>
      <c r="Q113"/>
      <c r="R113"/>
      <c r="S113"/>
      <c r="T113"/>
      <c r="U113"/>
      <c r="V113"/>
    </row>
    <row r="114" spans="6:22" ht="12.75" customHeight="1">
      <c r="F114"/>
      <c r="G114" s="311" t="s">
        <v>1041</v>
      </c>
      <c r="H114" s="312">
        <v>0</v>
      </c>
      <c r="I114" s="312">
        <v>0.15</v>
      </c>
      <c r="J114" s="312">
        <v>0.1</v>
      </c>
      <c r="K114" s="312">
        <v>0.3</v>
      </c>
      <c r="L114" s="312">
        <v>0.15</v>
      </c>
      <c r="M114" s="312">
        <v>0.4</v>
      </c>
      <c r="N114" s="312">
        <v>0.35</v>
      </c>
      <c r="O114" s="312">
        <v>0.6</v>
      </c>
      <c r="P114"/>
      <c r="Q114"/>
      <c r="R114"/>
      <c r="S114"/>
      <c r="T114"/>
      <c r="U114"/>
      <c r="V114"/>
    </row>
    <row r="115" spans="6:22" ht="12.75" customHeight="1">
      <c r="F115"/>
      <c r="G115" s="311" t="s">
        <v>1042</v>
      </c>
      <c r="H115" s="312">
        <v>0</v>
      </c>
      <c r="I115" s="312">
        <v>0.15</v>
      </c>
      <c r="J115" s="312">
        <v>0.1</v>
      </c>
      <c r="K115" s="312">
        <v>0.3</v>
      </c>
      <c r="L115" s="312">
        <v>0.25</v>
      </c>
      <c r="M115" s="312">
        <v>0.4</v>
      </c>
      <c r="N115" s="312">
        <v>0.35</v>
      </c>
      <c r="O115" s="312">
        <v>0.6</v>
      </c>
      <c r="P115"/>
      <c r="Q115"/>
      <c r="R115"/>
      <c r="S115"/>
      <c r="T115"/>
      <c r="U115"/>
      <c r="V115"/>
    </row>
    <row r="116" spans="6:22" ht="12.75" customHeight="1">
      <c r="F116"/>
      <c r="G116" s="311" t="s">
        <v>1043</v>
      </c>
      <c r="H116" s="312">
        <v>0</v>
      </c>
      <c r="I116" s="312">
        <v>0.2</v>
      </c>
      <c r="J116" s="312">
        <v>0.1</v>
      </c>
      <c r="K116" s="312">
        <v>0.3</v>
      </c>
      <c r="L116" s="312">
        <v>0.15</v>
      </c>
      <c r="M116" s="312">
        <v>0.4</v>
      </c>
      <c r="N116" s="312">
        <v>0.35</v>
      </c>
      <c r="O116" s="312">
        <v>0.6</v>
      </c>
      <c r="P116"/>
      <c r="Q116"/>
      <c r="R116"/>
      <c r="S116"/>
      <c r="T116"/>
      <c r="U116"/>
      <c r="V116"/>
    </row>
    <row r="117" spans="6:22" ht="12.75" customHeight="1">
      <c r="F117"/>
      <c r="G117" s="311" t="s">
        <v>1044</v>
      </c>
      <c r="H117" s="312">
        <v>0</v>
      </c>
      <c r="I117" s="312">
        <v>0.15</v>
      </c>
      <c r="J117" s="312">
        <v>0.1</v>
      </c>
      <c r="K117" s="312">
        <v>0.3</v>
      </c>
      <c r="L117" s="312">
        <v>0.25</v>
      </c>
      <c r="M117" s="312">
        <v>0.4</v>
      </c>
      <c r="N117" s="312">
        <v>0.35</v>
      </c>
      <c r="O117" s="312">
        <v>0.6</v>
      </c>
      <c r="P117"/>
      <c r="Q117"/>
      <c r="R117"/>
      <c r="S117"/>
      <c r="T117"/>
      <c r="U117"/>
      <c r="V117"/>
    </row>
    <row r="118" spans="6:22" ht="12.75" customHeight="1">
      <c r="F118"/>
      <c r="G118" s="311" t="s">
        <v>1045</v>
      </c>
      <c r="H118" s="312">
        <v>0</v>
      </c>
      <c r="I118" s="312">
        <v>0.15</v>
      </c>
      <c r="J118" s="312">
        <v>0.1</v>
      </c>
      <c r="K118" s="312">
        <v>0.3</v>
      </c>
      <c r="L118" s="312">
        <v>0.25</v>
      </c>
      <c r="M118" s="312">
        <v>0.4</v>
      </c>
      <c r="N118" s="312">
        <v>0.35</v>
      </c>
      <c r="O118" s="312">
        <v>0.6</v>
      </c>
      <c r="P118"/>
      <c r="Q118"/>
      <c r="R118"/>
      <c r="S118"/>
      <c r="T118"/>
      <c r="U118"/>
      <c r="V118"/>
    </row>
    <row r="119" spans="6:22" ht="12.75" customHeight="1">
      <c r="F119"/>
      <c r="G119" s="311" t="s">
        <v>1046</v>
      </c>
      <c r="H119" s="312">
        <v>0</v>
      </c>
      <c r="I119" s="312">
        <v>0.15</v>
      </c>
      <c r="J119" s="312">
        <v>0.1</v>
      </c>
      <c r="K119" s="312">
        <v>0.3</v>
      </c>
      <c r="L119" s="312">
        <v>0.5</v>
      </c>
      <c r="M119" s="312">
        <v>0.55000000000000004</v>
      </c>
      <c r="N119" s="312">
        <v>0.35</v>
      </c>
      <c r="O119" s="312">
        <v>0.6</v>
      </c>
      <c r="P119"/>
      <c r="Q119"/>
      <c r="R119"/>
      <c r="S119"/>
      <c r="T119"/>
      <c r="U119"/>
      <c r="V119"/>
    </row>
    <row r="120" spans="6:22" ht="12.75" customHeight="1">
      <c r="F120"/>
      <c r="G120" s="311" t="s">
        <v>443</v>
      </c>
      <c r="H120" s="312">
        <v>0</v>
      </c>
      <c r="I120" s="312">
        <v>0.15</v>
      </c>
      <c r="J120" s="312">
        <v>0.1</v>
      </c>
      <c r="K120" s="312">
        <v>0.3</v>
      </c>
      <c r="L120" s="312">
        <v>0.25</v>
      </c>
      <c r="M120" s="312">
        <v>0.4</v>
      </c>
      <c r="N120" s="312">
        <v>0.35</v>
      </c>
      <c r="O120" s="312">
        <v>0.6</v>
      </c>
      <c r="P120"/>
      <c r="Q120"/>
      <c r="R120"/>
      <c r="S120"/>
      <c r="T120"/>
      <c r="U120"/>
      <c r="V120"/>
    </row>
    <row r="121" spans="6:22" ht="12.75" customHeight="1">
      <c r="F121"/>
      <c r="G121" s="311" t="s">
        <v>1047</v>
      </c>
      <c r="H121" s="312">
        <v>0</v>
      </c>
      <c r="I121" s="312">
        <v>0.15</v>
      </c>
      <c r="J121" s="312">
        <v>0.1</v>
      </c>
      <c r="K121" s="312">
        <v>0.3</v>
      </c>
      <c r="L121" s="312">
        <v>0.64</v>
      </c>
      <c r="M121" s="312">
        <v>0.68</v>
      </c>
      <c r="N121" s="312">
        <v>0.35</v>
      </c>
      <c r="O121" s="312">
        <v>0.6</v>
      </c>
      <c r="P121"/>
      <c r="Q121"/>
      <c r="R121"/>
      <c r="S121"/>
      <c r="T121"/>
      <c r="U121"/>
      <c r="V121"/>
    </row>
    <row r="122" spans="6:22" ht="12.75" customHeight="1">
      <c r="F122"/>
      <c r="G122" s="311" t="s">
        <v>1048</v>
      </c>
      <c r="H122" s="312">
        <v>0</v>
      </c>
      <c r="I122" s="312">
        <v>0.15</v>
      </c>
      <c r="J122" s="312">
        <v>0.1</v>
      </c>
      <c r="K122" s="312">
        <v>0.3</v>
      </c>
      <c r="L122" s="312">
        <v>0.5</v>
      </c>
      <c r="M122" s="312">
        <v>0.55000000000000004</v>
      </c>
      <c r="N122" s="312">
        <v>0.35</v>
      </c>
      <c r="O122" s="312">
        <v>0.6</v>
      </c>
      <c r="P122"/>
      <c r="Q122"/>
      <c r="R122"/>
      <c r="S122"/>
      <c r="T122"/>
      <c r="U122"/>
      <c r="V122"/>
    </row>
    <row r="123" spans="6:22" ht="12.75" customHeight="1">
      <c r="F123"/>
      <c r="G123" s="311" t="s">
        <v>1049</v>
      </c>
      <c r="H123" s="312">
        <v>0</v>
      </c>
      <c r="I123" s="312">
        <v>0.15</v>
      </c>
      <c r="J123" s="312">
        <v>0.1</v>
      </c>
      <c r="K123" s="312">
        <v>0.3</v>
      </c>
      <c r="L123" s="312">
        <v>0.25</v>
      </c>
      <c r="M123" s="312">
        <v>0.33</v>
      </c>
      <c r="N123" s="312">
        <v>0.35</v>
      </c>
      <c r="O123" s="312">
        <v>0.6</v>
      </c>
      <c r="P123"/>
      <c r="Q123"/>
      <c r="R123"/>
      <c r="S123"/>
      <c r="T123"/>
      <c r="U123"/>
      <c r="V123"/>
    </row>
    <row r="124" spans="6:22" ht="12.75" customHeight="1">
      <c r="F124"/>
      <c r="G124" s="311" t="s">
        <v>1050</v>
      </c>
      <c r="H124" s="312">
        <v>0</v>
      </c>
      <c r="I124" s="312">
        <v>0.15</v>
      </c>
      <c r="J124" s="312">
        <v>0.1</v>
      </c>
      <c r="K124" s="312">
        <v>0.3</v>
      </c>
      <c r="L124" s="312">
        <v>0.5</v>
      </c>
      <c r="M124" s="312">
        <v>0.6</v>
      </c>
      <c r="N124" s="312">
        <v>0.35</v>
      </c>
      <c r="O124" s="312">
        <v>0.7</v>
      </c>
      <c r="P124"/>
      <c r="Q124"/>
      <c r="R124"/>
      <c r="S124"/>
      <c r="T124"/>
      <c r="U124"/>
      <c r="V124"/>
    </row>
    <row r="125" spans="6:22" ht="12.75" customHeight="1">
      <c r="F125"/>
      <c r="G125" s="311" t="s">
        <v>185</v>
      </c>
      <c r="H125" s="312">
        <v>0</v>
      </c>
      <c r="I125" s="312">
        <v>0.15</v>
      </c>
      <c r="J125" s="312">
        <v>0.1</v>
      </c>
      <c r="K125" s="312">
        <v>0.3</v>
      </c>
      <c r="L125" s="312">
        <v>0.25</v>
      </c>
      <c r="M125" s="312">
        <v>0.4</v>
      </c>
      <c r="N125" s="312">
        <v>0.35</v>
      </c>
      <c r="O125" s="312">
        <v>0.6</v>
      </c>
      <c r="P125"/>
      <c r="Q125"/>
      <c r="R125"/>
      <c r="S125"/>
      <c r="T125"/>
      <c r="U125"/>
      <c r="V125"/>
    </row>
    <row r="126" spans="6:22" ht="12.75" customHeight="1">
      <c r="F126"/>
      <c r="G126"/>
      <c r="H126"/>
      <c r="I126"/>
      <c r="J126"/>
      <c r="K126"/>
      <c r="L126"/>
      <c r="M126"/>
      <c r="N126"/>
      <c r="O126"/>
      <c r="P126"/>
      <c r="Q126"/>
      <c r="R126"/>
      <c r="S126"/>
      <c r="T126"/>
      <c r="U126"/>
      <c r="V126"/>
    </row>
    <row r="127" spans="6:22" ht="12.75" customHeight="1">
      <c r="F127"/>
      <c r="K127"/>
      <c r="L127"/>
      <c r="M127"/>
      <c r="N127"/>
      <c r="O127"/>
      <c r="Q127"/>
      <c r="R127"/>
      <c r="S127"/>
      <c r="T127"/>
      <c r="U127"/>
      <c r="V127"/>
    </row>
    <row r="128" spans="6:22" ht="15.75">
      <c r="F128" s="315" t="s">
        <v>2703</v>
      </c>
      <c r="G128" s="316"/>
      <c r="H128" s="316"/>
      <c r="I128" s="316"/>
      <c r="J128" s="316"/>
      <c r="K128" s="316"/>
      <c r="L128" s="316"/>
      <c r="M128"/>
      <c r="N128"/>
      <c r="O128"/>
      <c r="Q128"/>
      <c r="R128"/>
      <c r="S128"/>
      <c r="T128"/>
      <c r="U128"/>
      <c r="V128"/>
    </row>
    <row r="129" spans="6:29" ht="12.75" customHeight="1" thickBot="1">
      <c r="F129"/>
      <c r="I129" s="229"/>
      <c r="K129"/>
      <c r="L129"/>
      <c r="M129"/>
      <c r="N129"/>
      <c r="O129"/>
      <c r="Q129"/>
      <c r="R129"/>
      <c r="S129"/>
      <c r="T129"/>
      <c r="U129"/>
      <c r="V129"/>
    </row>
    <row r="130" spans="6:29" ht="12.75" customHeight="1" thickTop="1" thickBot="1">
      <c r="F130" s="47" t="s">
        <v>442</v>
      </c>
      <c r="G130" s="1693" t="s">
        <v>2694</v>
      </c>
      <c r="H130" s="1695"/>
      <c r="I130" s="229" t="s">
        <v>2699</v>
      </c>
      <c r="K130"/>
      <c r="L130"/>
      <c r="M130"/>
      <c r="N130"/>
      <c r="O130"/>
      <c r="T130" s="50"/>
    </row>
    <row r="131" spans="6:29" ht="12.75" customHeight="1" thickTop="1">
      <c r="F131"/>
      <c r="K131" s="47"/>
      <c r="L131" s="47"/>
      <c r="M131" s="47"/>
      <c r="N131" s="47"/>
      <c r="O131" s="47"/>
      <c r="T131" s="50"/>
    </row>
    <row r="132" spans="6:29" ht="12.75" customHeight="1">
      <c r="F132"/>
      <c r="G132" s="1227" t="s">
        <v>2697</v>
      </c>
      <c r="S132" s="1227" t="s">
        <v>2698</v>
      </c>
      <c r="T132" s="1232"/>
      <c r="U132" s="1232"/>
      <c r="V132" s="1232"/>
      <c r="W132" s="1232"/>
      <c r="X132" s="1232"/>
      <c r="Y132" s="1232"/>
      <c r="Z132" s="1232"/>
      <c r="AA132" s="1232"/>
      <c r="AB132" s="1232"/>
      <c r="AC132" s="1232"/>
    </row>
    <row r="133" spans="6:29" ht="12.75" customHeight="1">
      <c r="F133"/>
      <c r="G133" s="297" t="s">
        <v>1898</v>
      </c>
      <c r="H133" s="297" t="s">
        <v>165</v>
      </c>
      <c r="I133" s="297" t="s">
        <v>166</v>
      </c>
      <c r="J133" s="297" t="s">
        <v>167</v>
      </c>
      <c r="K133" s="297" t="s">
        <v>1899</v>
      </c>
      <c r="L133" s="297" t="s">
        <v>1900</v>
      </c>
      <c r="M133" s="297" t="s">
        <v>1901</v>
      </c>
      <c r="N133" s="297" t="s">
        <v>1902</v>
      </c>
      <c r="O133" s="297" t="s">
        <v>1903</v>
      </c>
      <c r="P133" s="297" t="s">
        <v>1904</v>
      </c>
      <c r="Q133" s="297" t="s">
        <v>1905</v>
      </c>
      <c r="S133" s="293" t="s">
        <v>1898</v>
      </c>
      <c r="T133" s="293" t="s">
        <v>165</v>
      </c>
      <c r="U133" s="293" t="s">
        <v>166</v>
      </c>
      <c r="V133" s="293" t="s">
        <v>167</v>
      </c>
      <c r="W133" s="293" t="s">
        <v>1899</v>
      </c>
      <c r="X133" s="293" t="s">
        <v>1900</v>
      </c>
      <c r="Y133" s="293" t="s">
        <v>1901</v>
      </c>
      <c r="Z133" s="293" t="s">
        <v>1902</v>
      </c>
      <c r="AA133" s="293" t="s">
        <v>1903</v>
      </c>
      <c r="AB133" s="293" t="s">
        <v>1904</v>
      </c>
      <c r="AC133" s="297" t="s">
        <v>1905</v>
      </c>
    </row>
    <row r="134" spans="6:29" ht="12.75" customHeight="1">
      <c r="F134"/>
      <c r="G134" s="295" t="s">
        <v>168</v>
      </c>
      <c r="H134" s="295">
        <v>0.32806211964352278</v>
      </c>
      <c r="I134" s="295">
        <v>0.5899223504455966</v>
      </c>
      <c r="J134" s="295">
        <v>8.2015529910880694E-2</v>
      </c>
      <c r="K134" s="295">
        <v>0.92464156437246825</v>
      </c>
      <c r="L134" s="295">
        <v>1.0878415643724679</v>
      </c>
      <c r="M134" s="295">
        <v>1.02</v>
      </c>
      <c r="N134" s="295">
        <v>1.0287377645946543</v>
      </c>
      <c r="O134" s="298">
        <v>-8.1887999999999996E-3</v>
      </c>
      <c r="P134" s="299">
        <v>-4.8307561433289011E-3</v>
      </c>
      <c r="Q134" s="295">
        <v>0.15261075363619214</v>
      </c>
      <c r="S134" s="294" t="s">
        <v>168</v>
      </c>
      <c r="T134" s="295">
        <v>0.32806211964352278</v>
      </c>
      <c r="U134" s="295">
        <v>0.5899223504455966</v>
      </c>
      <c r="V134" s="295">
        <v>8.2015529910880694E-2</v>
      </c>
      <c r="W134" s="295">
        <v>0.90457835398799891</v>
      </c>
      <c r="X134" s="295">
        <v>1.0677783539879988</v>
      </c>
      <c r="Y134" s="295">
        <v>1.02</v>
      </c>
      <c r="Z134" s="295">
        <v>1.0103200490415807</v>
      </c>
      <c r="AA134" s="299">
        <v>-8.1887999999999996E-3</v>
      </c>
      <c r="AB134" s="300">
        <v>-4.8307561433289011E-3</v>
      </c>
      <c r="AC134" s="295">
        <v>0.11551746847244382</v>
      </c>
    </row>
    <row r="135" spans="6:29" ht="12.75" customHeight="1">
      <c r="F135"/>
      <c r="G135" s="295" t="s">
        <v>169</v>
      </c>
      <c r="H135" s="295">
        <v>0.17192672538311252</v>
      </c>
      <c r="I135" s="295">
        <v>0.65614654923377502</v>
      </c>
      <c r="J135" s="295">
        <v>0.17192672538311252</v>
      </c>
      <c r="K135" s="295">
        <v>0.92743246202832574</v>
      </c>
      <c r="L135" s="295">
        <v>1.0906324620283256</v>
      </c>
      <c r="M135" s="295">
        <v>1.02</v>
      </c>
      <c r="N135" s="295">
        <v>1.0504304125435246</v>
      </c>
      <c r="O135" s="298">
        <v>-8.1887999999999996E-3</v>
      </c>
      <c r="P135" s="299">
        <v>-5.3730528623655363E-3</v>
      </c>
      <c r="Q135" s="295">
        <v>0.12155197952398086</v>
      </c>
      <c r="S135" s="294" t="s">
        <v>169</v>
      </c>
      <c r="T135" s="295">
        <v>0.17192672538311252</v>
      </c>
      <c r="U135" s="295">
        <v>0.65614654923377502</v>
      </c>
      <c r="V135" s="295">
        <v>0.17192672538311252</v>
      </c>
      <c r="W135" s="295">
        <v>0.92072187100138758</v>
      </c>
      <c r="X135" s="295">
        <v>1.0839218710013874</v>
      </c>
      <c r="Y135" s="295">
        <v>1.02</v>
      </c>
      <c r="Z135" s="295">
        <v>1.0448735514572332</v>
      </c>
      <c r="AA135" s="299">
        <v>-8.1887999999999996E-3</v>
      </c>
      <c r="AB135" s="300">
        <v>-5.3730528623655363E-3</v>
      </c>
      <c r="AC135" s="295">
        <v>5.7969270321839267E-2</v>
      </c>
    </row>
    <row r="136" spans="6:29" ht="12.75" customHeight="1">
      <c r="F136"/>
      <c r="G136" s="295" t="s">
        <v>170</v>
      </c>
      <c r="H136" s="295">
        <v>0.29189320846007405</v>
      </c>
      <c r="I136" s="295">
        <v>0.58300970219989423</v>
      </c>
      <c r="J136" s="295">
        <v>0.12509708934003175</v>
      </c>
      <c r="K136" s="295">
        <v>0.70313295749949067</v>
      </c>
      <c r="L136" s="295">
        <v>1.1292662908328239</v>
      </c>
      <c r="M136" s="295">
        <v>0.95500000000000007</v>
      </c>
      <c r="N136" s="295">
        <v>0.98308065918110132</v>
      </c>
      <c r="O136" s="298">
        <v>-2.1381866666666666E-2</v>
      </c>
      <c r="P136" s="299">
        <v>-1.2465835717811178E-2</v>
      </c>
      <c r="Q136" s="295">
        <v>3.1873076735729138E-2</v>
      </c>
      <c r="S136" s="294" t="s">
        <v>170</v>
      </c>
      <c r="T136" s="295">
        <v>0.29189320846007405</v>
      </c>
      <c r="U136" s="295">
        <v>0.58300970219989423</v>
      </c>
      <c r="V136" s="295">
        <v>0.12509708934003175</v>
      </c>
      <c r="W136" s="295">
        <v>0.69260011261534127</v>
      </c>
      <c r="X136" s="295">
        <v>1.1187334459486746</v>
      </c>
      <c r="Y136" s="295">
        <v>0.95500000000000007</v>
      </c>
      <c r="Z136" s="295">
        <v>0.97386544253442908</v>
      </c>
      <c r="AA136" s="299">
        <v>-2.1381866666666666E-2</v>
      </c>
      <c r="AB136" s="300">
        <v>-1.2465835717811178E-2</v>
      </c>
      <c r="AC136" s="295">
        <v>5.5949547036080551E-2</v>
      </c>
    </row>
    <row r="137" spans="6:29" ht="12.75" customHeight="1">
      <c r="F137"/>
      <c r="G137" s="295" t="s">
        <v>171</v>
      </c>
      <c r="H137" s="295">
        <v>6.6404182887950705E-2</v>
      </c>
      <c r="I137" s="295">
        <v>0.90513688158864181</v>
      </c>
      <c r="J137" s="295">
        <v>2.8458935523407444E-2</v>
      </c>
      <c r="K137" s="295">
        <v>0.85735615745151994</v>
      </c>
      <c r="L137" s="295">
        <v>1.15655615745152</v>
      </c>
      <c r="M137" s="295">
        <v>1.0249999999999999</v>
      </c>
      <c r="N137" s="295">
        <v>1.1329440777288251</v>
      </c>
      <c r="O137" s="298">
        <v>-1.50128E-2</v>
      </c>
      <c r="P137" s="299">
        <v>-1.3588638975913961E-2</v>
      </c>
      <c r="Q137" s="295">
        <v>2.7093223866576834E-2</v>
      </c>
      <c r="S137" s="294" t="s">
        <v>171</v>
      </c>
      <c r="T137" s="295">
        <v>6.6404182887950705E-2</v>
      </c>
      <c r="U137" s="295">
        <v>0.90513688158864181</v>
      </c>
      <c r="V137" s="295">
        <v>2.8458935523407444E-2</v>
      </c>
      <c r="W137" s="295">
        <v>0.85080401212348655</v>
      </c>
      <c r="X137" s="295">
        <v>1.1500040121234862</v>
      </c>
      <c r="Y137" s="295">
        <v>1.0249999999999999</v>
      </c>
      <c r="Z137" s="295">
        <v>1.1265783994822218</v>
      </c>
      <c r="AA137" s="299">
        <v>-1.50128E-2</v>
      </c>
      <c r="AB137" s="300">
        <v>-1.3588638975913961E-2</v>
      </c>
      <c r="AC137" s="295">
        <v>4.0663220589019382E-2</v>
      </c>
    </row>
    <row r="138" spans="6:29" ht="12.75" customHeight="1">
      <c r="F138"/>
      <c r="G138" s="295" t="s">
        <v>172</v>
      </c>
      <c r="H138" s="295">
        <v>0</v>
      </c>
      <c r="I138" s="295">
        <v>1</v>
      </c>
      <c r="J138" s="295">
        <v>0</v>
      </c>
      <c r="K138" s="295">
        <v>0.70892672045214944</v>
      </c>
      <c r="L138" s="295">
        <v>1.0987933871188158</v>
      </c>
      <c r="M138" s="295">
        <v>0.96499999999999986</v>
      </c>
      <c r="N138" s="295">
        <v>1.0987933871188158</v>
      </c>
      <c r="O138" s="298">
        <v>-1.9562133333333332E-2</v>
      </c>
      <c r="P138" s="299">
        <v>-1.9562133333333332E-2</v>
      </c>
      <c r="Q138" s="295">
        <v>1.0953779286063153E-2</v>
      </c>
      <c r="S138" s="294" t="s">
        <v>172</v>
      </c>
      <c r="T138" s="295">
        <v>0</v>
      </c>
      <c r="U138" s="295">
        <v>1</v>
      </c>
      <c r="V138" s="295">
        <v>0</v>
      </c>
      <c r="W138" s="295">
        <v>0.74734858139182614</v>
      </c>
      <c r="X138" s="295">
        <v>1.1372152480584925</v>
      </c>
      <c r="Y138" s="295">
        <v>0.96499999999999986</v>
      </c>
      <c r="Z138" s="295">
        <v>1.1372152480584925</v>
      </c>
      <c r="AA138" s="299">
        <v>-1.9562133333333332E-2</v>
      </c>
      <c r="AB138" s="300">
        <v>-1.9562133333333332E-2</v>
      </c>
      <c r="AC138" s="295">
        <v>6.2263497749660286E-2</v>
      </c>
    </row>
    <row r="139" spans="6:29" ht="12.75" customHeight="1">
      <c r="F139"/>
      <c r="G139" s="295" t="s">
        <v>173</v>
      </c>
      <c r="H139" s="295">
        <v>9.6599876327451678E-2</v>
      </c>
      <c r="I139" s="295">
        <v>0.87925015459068545</v>
      </c>
      <c r="J139" s="295">
        <v>2.414996908186292E-2</v>
      </c>
      <c r="K139" s="295">
        <v>0.71863304264352112</v>
      </c>
      <c r="L139" s="295">
        <v>1.0722330426435214</v>
      </c>
      <c r="M139" s="295">
        <v>0.92500000000000004</v>
      </c>
      <c r="N139" s="295">
        <v>1.0345196529464646</v>
      </c>
      <c r="O139" s="298">
        <v>-1.7742399999999998E-2</v>
      </c>
      <c r="P139" s="299">
        <v>-1.5600007942809775E-2</v>
      </c>
      <c r="Q139" s="295">
        <v>4.1294462764491953E-2</v>
      </c>
      <c r="S139" s="294" t="s">
        <v>173</v>
      </c>
      <c r="T139" s="295">
        <v>9.6599876327451678E-2</v>
      </c>
      <c r="U139" s="295">
        <v>0.87925015459068545</v>
      </c>
      <c r="V139" s="295">
        <v>2.414996908186292E-2</v>
      </c>
      <c r="W139" s="295">
        <v>0.68828098220470324</v>
      </c>
      <c r="X139" s="295">
        <v>1.0418809822047033</v>
      </c>
      <c r="Y139" s="295">
        <v>0.92500000000000004</v>
      </c>
      <c r="Z139" s="295">
        <v>1.0049005938288149</v>
      </c>
      <c r="AA139" s="299">
        <v>-1.7742399999999998E-2</v>
      </c>
      <c r="AB139" s="300">
        <v>-1.5600007942809775E-2</v>
      </c>
      <c r="AC139" s="295">
        <v>2.7933058590489612E-2</v>
      </c>
    </row>
    <row r="140" spans="6:29" ht="12.75" customHeight="1">
      <c r="F140"/>
      <c r="G140" s="295" t="s">
        <v>174</v>
      </c>
      <c r="H140" s="295">
        <v>0.19961285968172762</v>
      </c>
      <c r="I140" s="295">
        <v>0.71483877188324629</v>
      </c>
      <c r="J140" s="295">
        <v>8.5548368435026126E-2</v>
      </c>
      <c r="K140" s="295">
        <v>0.75976868046444901</v>
      </c>
      <c r="L140" s="295">
        <v>1.0408353471311158</v>
      </c>
      <c r="M140" s="295">
        <v>0.97499999999999987</v>
      </c>
      <c r="N140" s="295">
        <v>0.97909871950415106</v>
      </c>
      <c r="O140" s="298">
        <v>-1.4102933333333333E-2</v>
      </c>
      <c r="P140" s="299">
        <v>-1.0081323543951297E-2</v>
      </c>
      <c r="Q140" s="295">
        <v>1.3160631160068171E-2</v>
      </c>
      <c r="S140" s="294" t="s">
        <v>174</v>
      </c>
      <c r="T140" s="295">
        <v>0.19961285968172762</v>
      </c>
      <c r="U140" s="295">
        <v>0.71483877188324629</v>
      </c>
      <c r="V140" s="295">
        <v>8.5548368435026126E-2</v>
      </c>
      <c r="W140" s="295">
        <v>0.77581880028359507</v>
      </c>
      <c r="X140" s="295">
        <v>1.0568854669502619</v>
      </c>
      <c r="Y140" s="295">
        <v>0.97499999999999987</v>
      </c>
      <c r="Z140" s="295">
        <v>0.99377577775958248</v>
      </c>
      <c r="AA140" s="299">
        <v>-1.4102933333333333E-2</v>
      </c>
      <c r="AB140" s="300">
        <v>-1.0081323543951297E-2</v>
      </c>
      <c r="AC140" s="295">
        <v>3.2426459954666656E-2</v>
      </c>
    </row>
    <row r="141" spans="6:29" ht="12.75" customHeight="1">
      <c r="F141"/>
      <c r="G141" s="295" t="s">
        <v>175</v>
      </c>
      <c r="H141" s="295">
        <v>0.12966516973255368</v>
      </c>
      <c r="I141" s="295">
        <v>0.80051512348837894</v>
      </c>
      <c r="J141" s="295">
        <v>6.9819706779067361E-2</v>
      </c>
      <c r="K141" s="295">
        <v>0.61612853517840882</v>
      </c>
      <c r="L141" s="295">
        <v>1.051328535178409</v>
      </c>
      <c r="M141" s="295">
        <v>0.8600000000000001</v>
      </c>
      <c r="N141" s="295">
        <v>0.98153975108617653</v>
      </c>
      <c r="O141" s="298">
        <v>-2.18368E-2</v>
      </c>
      <c r="P141" s="299">
        <v>-1.7480688648591033E-2</v>
      </c>
      <c r="Q141" s="295">
        <v>3.533265353502487E-2</v>
      </c>
      <c r="S141" s="294" t="s">
        <v>175</v>
      </c>
      <c r="T141" s="295">
        <v>0.12966516973255368</v>
      </c>
      <c r="U141" s="295">
        <v>0.80051512348837894</v>
      </c>
      <c r="V141" s="295">
        <v>6.9819706779067361E-2</v>
      </c>
      <c r="W141" s="295">
        <v>0.58961830873923127</v>
      </c>
      <c r="X141" s="295">
        <v>1.0248183087392313</v>
      </c>
      <c r="Y141" s="295">
        <v>0.8600000000000001</v>
      </c>
      <c r="Z141" s="295">
        <v>0.95688046088362899</v>
      </c>
      <c r="AA141" s="299">
        <v>-2.18368E-2</v>
      </c>
      <c r="AB141" s="300">
        <v>-1.7480688648591033E-2</v>
      </c>
      <c r="AC141" s="295">
        <v>7.1760105743193692E-2</v>
      </c>
    </row>
    <row r="142" spans="6:29" ht="12.75" customHeight="1">
      <c r="F142"/>
      <c r="G142" s="295" t="s">
        <v>176</v>
      </c>
      <c r="H142" s="295">
        <v>0.17369327253560565</v>
      </c>
      <c r="I142" s="295">
        <v>0.74075630964834982</v>
      </c>
      <c r="J142" s="295">
        <v>8.5550417816044583E-2</v>
      </c>
      <c r="K142" s="295">
        <v>0.6725000000000001</v>
      </c>
      <c r="L142" s="295">
        <v>1.0986333333333334</v>
      </c>
      <c r="M142" s="295">
        <v>0.95500000000000007</v>
      </c>
      <c r="N142" s="295">
        <v>1.0123289484511828</v>
      </c>
      <c r="O142" s="298">
        <v>-2.1381866666666666E-2</v>
      </c>
      <c r="P142" s="299">
        <v>-1.5838752645393063E-2</v>
      </c>
      <c r="Q142" s="295">
        <v>2.5887995364489866E-2</v>
      </c>
      <c r="S142" s="294" t="s">
        <v>176</v>
      </c>
      <c r="T142" s="295">
        <v>0.17369327253560565</v>
      </c>
      <c r="U142" s="295">
        <v>0.74075630964834982</v>
      </c>
      <c r="V142" s="295">
        <v>8.5550417816044583E-2</v>
      </c>
      <c r="W142" s="295">
        <v>0.6725000000000001</v>
      </c>
      <c r="X142" s="295">
        <v>1.0986333333333334</v>
      </c>
      <c r="Y142" s="295">
        <v>0.95500000000000007</v>
      </c>
      <c r="Z142" s="295">
        <v>1.0123289484511828</v>
      </c>
      <c r="AA142" s="299">
        <v>-2.1381866666666666E-2</v>
      </c>
      <c r="AB142" s="300">
        <v>-1.5838752645393063E-2</v>
      </c>
      <c r="AC142" s="295">
        <v>3.6354624903363365E-2</v>
      </c>
    </row>
    <row r="143" spans="6:29" ht="12.75" customHeight="1">
      <c r="F143"/>
      <c r="G143" s="295" t="s">
        <v>177</v>
      </c>
      <c r="H143" s="295">
        <v>9.5513733799715894E-2</v>
      </c>
      <c r="I143" s="295">
        <v>0.87264835493371218</v>
      </c>
      <c r="J143" s="295">
        <v>3.1837911266571962E-2</v>
      </c>
      <c r="K143" s="295">
        <v>0.61</v>
      </c>
      <c r="L143" s="295">
        <v>0.96360000000000001</v>
      </c>
      <c r="M143" s="295">
        <v>0.80499999999999994</v>
      </c>
      <c r="N143" s="295">
        <v>0.92477685100154217</v>
      </c>
      <c r="O143" s="298">
        <v>-1.7742399999999998E-2</v>
      </c>
      <c r="P143" s="299">
        <v>-1.5482876172575894E-2</v>
      </c>
      <c r="Q143" s="295">
        <v>9.1847866620061974E-2</v>
      </c>
      <c r="S143" s="294" t="s">
        <v>177</v>
      </c>
      <c r="T143" s="295">
        <v>9.5513733799715894E-2</v>
      </c>
      <c r="U143" s="295">
        <v>0.87264835493371218</v>
      </c>
      <c r="V143" s="295">
        <v>3.1837911266571962E-2</v>
      </c>
      <c r="W143" s="295">
        <v>0.61</v>
      </c>
      <c r="X143" s="295">
        <v>0.96360000000000012</v>
      </c>
      <c r="Y143" s="295">
        <v>0.80499999999999994</v>
      </c>
      <c r="Z143" s="295">
        <v>0.92477685100154228</v>
      </c>
      <c r="AA143" s="299">
        <v>-1.7742399999999998E-2</v>
      </c>
      <c r="AB143" s="300">
        <v>-1.5482876172575894E-2</v>
      </c>
      <c r="AC143" s="295">
        <v>0.13456188659840437</v>
      </c>
    </row>
    <row r="144" spans="6:29" ht="12.75" customHeight="1">
      <c r="F144"/>
      <c r="G144" s="295" t="s">
        <v>178</v>
      </c>
      <c r="H144" s="295">
        <v>0.11074115403931703</v>
      </c>
      <c r="I144" s="295">
        <v>0.81543140993447161</v>
      </c>
      <c r="J144" s="295">
        <v>7.3827436026211363E-2</v>
      </c>
      <c r="K144" s="295">
        <v>0.85371835595722523</v>
      </c>
      <c r="L144" s="295">
        <v>1.0531850226238919</v>
      </c>
      <c r="M144" s="295">
        <v>0.9700000000000002</v>
      </c>
      <c r="N144" s="295">
        <v>1.0249545168287451</v>
      </c>
      <c r="O144" s="298">
        <v>-1.0008533333333333E-2</v>
      </c>
      <c r="P144" s="299">
        <v>-8.1612724473761576E-3</v>
      </c>
      <c r="Q144" s="295">
        <v>5.8587631754657334E-3</v>
      </c>
      <c r="S144" s="294" t="s">
        <v>178</v>
      </c>
      <c r="T144" s="295">
        <v>0.11074115403931703</v>
      </c>
      <c r="U144" s="295">
        <v>0.81543140993447161</v>
      </c>
      <c r="V144" s="295">
        <v>7.3827436026211363E-2</v>
      </c>
      <c r="W144" s="295">
        <v>0.85155275453545742</v>
      </c>
      <c r="X144" s="295">
        <v>1.051019421202124</v>
      </c>
      <c r="Y144" s="295">
        <v>0.9700000000000002</v>
      </c>
      <c r="Z144" s="295">
        <v>1.0229487962074011</v>
      </c>
      <c r="AA144" s="299">
        <v>-1.0008533333333333E-2</v>
      </c>
      <c r="AB144" s="300">
        <v>-8.1612724473761576E-3</v>
      </c>
      <c r="AC144" s="295">
        <v>1.4557882368086729E-2</v>
      </c>
    </row>
    <row r="145" spans="6:29" ht="12.75" customHeight="1">
      <c r="F145"/>
      <c r="G145" s="295" t="s">
        <v>179</v>
      </c>
      <c r="H145" s="295">
        <v>0.35389507366283218</v>
      </c>
      <c r="I145" s="295">
        <v>0.55763115792145979</v>
      </c>
      <c r="J145" s="295">
        <v>8.8473768415708046E-2</v>
      </c>
      <c r="K145" s="295">
        <v>0.72741659807956105</v>
      </c>
      <c r="L145" s="295">
        <v>1.0810165980795612</v>
      </c>
      <c r="M145" s="295">
        <v>0.94500000000000006</v>
      </c>
      <c r="N145" s="295">
        <v>0.94384539903320019</v>
      </c>
      <c r="O145" s="298">
        <v>-1.7742399999999998E-2</v>
      </c>
      <c r="P145" s="299">
        <v>-9.8937150563057075E-3</v>
      </c>
      <c r="Q145" s="295">
        <v>2.4269428761010299E-3</v>
      </c>
      <c r="S145" s="294" t="s">
        <v>179</v>
      </c>
      <c r="T145" s="295">
        <v>0.35389507366283218</v>
      </c>
      <c r="U145" s="295">
        <v>0.55763115792145979</v>
      </c>
      <c r="V145" s="295">
        <v>8.8473768415708046E-2</v>
      </c>
      <c r="W145" s="295">
        <v>0.73794885515417397</v>
      </c>
      <c r="X145" s="295">
        <v>1.0915488551541741</v>
      </c>
      <c r="Y145" s="295">
        <v>0.94500000000000006</v>
      </c>
      <c r="Z145" s="295">
        <v>0.95344582763449914</v>
      </c>
      <c r="AA145" s="299">
        <v>-1.7742399999999998E-2</v>
      </c>
      <c r="AB145" s="300">
        <v>-9.8937150563057075E-3</v>
      </c>
      <c r="AC145" s="295">
        <v>6.6149190000804768E-3</v>
      </c>
    </row>
    <row r="146" spans="6:29" ht="12.75" customHeight="1">
      <c r="F146"/>
      <c r="G146" s="295" t="s">
        <v>180</v>
      </c>
      <c r="H146" s="295">
        <v>6.8016434199016512E-2</v>
      </c>
      <c r="I146" s="295">
        <v>0.86396713160196703</v>
      </c>
      <c r="J146" s="295">
        <v>6.8016434199016512E-2</v>
      </c>
      <c r="K146" s="295">
        <v>0.42999999950248563</v>
      </c>
      <c r="L146" s="295">
        <v>0.96493333283581861</v>
      </c>
      <c r="M146" s="295">
        <v>0.72500000000000009</v>
      </c>
      <c r="N146" s="295">
        <v>0.91222966522331328</v>
      </c>
      <c r="O146" s="298">
        <v>-2.6841066666666667E-2</v>
      </c>
      <c r="P146" s="299">
        <v>-2.3189799377137169E-2</v>
      </c>
      <c r="Q146" s="295">
        <v>1.2248774935940078E-2</v>
      </c>
      <c r="S146" s="294" t="s">
        <v>180</v>
      </c>
      <c r="T146" s="295">
        <v>6.8016434199016512E-2</v>
      </c>
      <c r="U146" s="295">
        <v>0.86396713160196703</v>
      </c>
      <c r="V146" s="295">
        <v>6.8016434199016512E-2</v>
      </c>
      <c r="W146" s="295">
        <v>0.4291621128262455</v>
      </c>
      <c r="X146" s="295">
        <v>0.96409544615957854</v>
      </c>
      <c r="Y146" s="295">
        <v>0.72500000000000009</v>
      </c>
      <c r="Z146" s="295">
        <v>0.91144876861105384</v>
      </c>
      <c r="AA146" s="299">
        <v>-2.6841066666666667E-2</v>
      </c>
      <c r="AB146" s="300">
        <v>-2.3189799377137169E-2</v>
      </c>
      <c r="AC146" s="295">
        <v>1.5161819667695611E-2</v>
      </c>
    </row>
    <row r="147" spans="6:29" ht="12.75" customHeight="1">
      <c r="F147"/>
      <c r="G147" s="295" t="s">
        <v>181</v>
      </c>
      <c r="H147" s="295">
        <v>0.44685243336518399</v>
      </c>
      <c r="I147" s="295">
        <v>0.36163938090687997</v>
      </c>
      <c r="J147" s="295">
        <v>0.19150818572793601</v>
      </c>
      <c r="K147" s="295">
        <v>0.69443885908037739</v>
      </c>
      <c r="L147" s="295">
        <v>1.0571055257470443</v>
      </c>
      <c r="M147" s="295">
        <v>0.90000000000000013</v>
      </c>
      <c r="N147" s="295">
        <v>0.86496004904295409</v>
      </c>
      <c r="O147" s="298">
        <v>-1.8197333333333333E-2</v>
      </c>
      <c r="P147" s="299">
        <v>-6.5808723608227968E-3</v>
      </c>
      <c r="Q147" s="295">
        <v>2.5805854439286822E-2</v>
      </c>
      <c r="S147" s="294" t="s">
        <v>181</v>
      </c>
      <c r="T147" s="295">
        <v>0.44685243336518399</v>
      </c>
      <c r="U147" s="295">
        <v>0.36163938090687997</v>
      </c>
      <c r="V147" s="295">
        <v>0.19150818572793601</v>
      </c>
      <c r="W147" s="295">
        <v>0.68264459114012044</v>
      </c>
      <c r="X147" s="295">
        <v>1.0453112578067871</v>
      </c>
      <c r="Y147" s="295">
        <v>0.90000000000000013</v>
      </c>
      <c r="Z147" s="295">
        <v>0.85542447995792492</v>
      </c>
      <c r="AA147" s="299">
        <v>-1.8197333333333333E-2</v>
      </c>
      <c r="AB147" s="300">
        <v>-6.5808723608227968E-3</v>
      </c>
      <c r="AC147" s="295">
        <v>5.2307544430137479E-2</v>
      </c>
    </row>
    <row r="148" spans="6:29" ht="12.75" customHeight="1">
      <c r="F148"/>
      <c r="G148" s="295" t="s">
        <v>182</v>
      </c>
      <c r="H148" s="295">
        <v>7.7874496483148356E-2</v>
      </c>
      <c r="I148" s="295">
        <v>0.90265687939606454</v>
      </c>
      <c r="J148" s="295">
        <v>1.9468624120787089E-2</v>
      </c>
      <c r="K148" s="295">
        <v>0.28950000000000004</v>
      </c>
      <c r="L148" s="295">
        <v>0.94230000000000003</v>
      </c>
      <c r="M148" s="295">
        <v>0.64999999999999991</v>
      </c>
      <c r="N148" s="295">
        <v>0.88577284986529481</v>
      </c>
      <c r="O148" s="298">
        <v>-3.2755199999999998E-2</v>
      </c>
      <c r="P148" s="299">
        <v>-2.9566706615993973E-2</v>
      </c>
      <c r="Q148" s="295">
        <v>3.7489958792480564E-2</v>
      </c>
      <c r="S148" s="294" t="s">
        <v>182</v>
      </c>
      <c r="T148" s="295">
        <v>7.7874496483148356E-2</v>
      </c>
      <c r="U148" s="295">
        <v>0.90265687939606454</v>
      </c>
      <c r="V148" s="295">
        <v>1.9468624120787089E-2</v>
      </c>
      <c r="W148" s="295">
        <v>0.28950000000000004</v>
      </c>
      <c r="X148" s="295">
        <v>0.94230000000000003</v>
      </c>
      <c r="Y148" s="295">
        <v>0.64999999999999991</v>
      </c>
      <c r="Z148" s="295">
        <v>0.88577284986529481</v>
      </c>
      <c r="AA148" s="299">
        <v>-3.2755199999999998E-2</v>
      </c>
      <c r="AB148" s="300">
        <v>-2.9566706615993973E-2</v>
      </c>
      <c r="AC148" s="295">
        <v>3.2472805735743446E-2</v>
      </c>
    </row>
    <row r="149" spans="6:29" ht="12.75" customHeight="1">
      <c r="F149"/>
      <c r="G149" s="295" t="s">
        <v>183</v>
      </c>
      <c r="H149" s="295">
        <v>0.18739076199936025</v>
      </c>
      <c r="I149" s="295">
        <v>0.71170652000098422</v>
      </c>
      <c r="J149" s="295">
        <v>0.10090271799965551</v>
      </c>
      <c r="K149" s="295">
        <v>0.68423386600487623</v>
      </c>
      <c r="L149" s="295">
        <v>1.0469005326715428</v>
      </c>
      <c r="M149" s="295">
        <v>0.90000000000000013</v>
      </c>
      <c r="N149" s="295">
        <v>0.96411748663095231</v>
      </c>
      <c r="O149" s="298">
        <v>-1.8197333333333333E-2</v>
      </c>
      <c r="P149" s="299">
        <v>-1.2951160779964577E-2</v>
      </c>
      <c r="Q149" s="295">
        <v>5.2183843380759376E-2</v>
      </c>
      <c r="S149" s="294" t="s">
        <v>183</v>
      </c>
      <c r="T149" s="295">
        <v>0.18739076199936025</v>
      </c>
      <c r="U149" s="295">
        <v>0.71170652000098422</v>
      </c>
      <c r="V149" s="295">
        <v>0.10090271799965551</v>
      </c>
      <c r="W149" s="295">
        <v>0.68264844025809879</v>
      </c>
      <c r="X149" s="295">
        <v>1.0453151069247655</v>
      </c>
      <c r="Y149" s="295">
        <v>0.90000000000000013</v>
      </c>
      <c r="Z149" s="295">
        <v>0.96269203465121145</v>
      </c>
      <c r="AA149" s="299">
        <v>-1.8197333333333333E-2</v>
      </c>
      <c r="AB149" s="300">
        <v>-1.2951160779964577E-2</v>
      </c>
      <c r="AC149" s="295">
        <v>3.9579357234666046E-2</v>
      </c>
    </row>
    <row r="150" spans="6:29" ht="12.75" customHeight="1">
      <c r="F150"/>
      <c r="G150" s="295" t="s">
        <v>184</v>
      </c>
      <c r="H150" s="295">
        <v>0.10094254445660829</v>
      </c>
      <c r="I150" s="295">
        <v>0.83176242590565286</v>
      </c>
      <c r="J150" s="295">
        <v>6.7295029637738854E-2</v>
      </c>
      <c r="K150" s="295">
        <v>0.92029495818919216</v>
      </c>
      <c r="L150" s="295">
        <v>1.0834949581891919</v>
      </c>
      <c r="M150" s="295">
        <v>1.02</v>
      </c>
      <c r="N150" s="295">
        <v>1.0627482398406849</v>
      </c>
      <c r="O150" s="298">
        <v>-8.1887999999999996E-3</v>
      </c>
      <c r="P150" s="299">
        <v>-6.8111361532562096E-3</v>
      </c>
      <c r="Q150" s="295">
        <v>0.10159697295517536</v>
      </c>
      <c r="S150" s="294" t="s">
        <v>184</v>
      </c>
      <c r="T150" s="295">
        <v>0.10094254445660829</v>
      </c>
      <c r="U150" s="295">
        <v>0.83176242590565286</v>
      </c>
      <c r="V150" s="295">
        <v>6.7295029637738854E-2</v>
      </c>
      <c r="W150" s="295">
        <v>0.90490285805758242</v>
      </c>
      <c r="X150" s="295">
        <v>1.0681028580575822</v>
      </c>
      <c r="Y150" s="295">
        <v>1.02</v>
      </c>
      <c r="Z150" s="295">
        <v>1.0483919515436189</v>
      </c>
      <c r="AA150" s="299">
        <v>-8.1887999999999996E-3</v>
      </c>
      <c r="AB150" s="300">
        <v>-6.8111361532562096E-3</v>
      </c>
      <c r="AC150" s="295">
        <v>0.11105155292285358</v>
      </c>
    </row>
    <row r="151" spans="6:29" ht="12.75" customHeight="1">
      <c r="F151"/>
      <c r="G151" s="295" t="s">
        <v>185</v>
      </c>
      <c r="H151" s="295">
        <v>0.16280002997564022</v>
      </c>
      <c r="I151" s="295">
        <v>0.76742852860622823</v>
      </c>
      <c r="J151" s="295">
        <v>6.9771441418131519E-2</v>
      </c>
      <c r="K151" s="295">
        <v>0.91648952677163908</v>
      </c>
      <c r="L151" s="295">
        <v>1.0796895267716389</v>
      </c>
      <c r="M151" s="295">
        <v>1.02</v>
      </c>
      <c r="N151" s="295">
        <v>1.048955937559191</v>
      </c>
      <c r="O151" s="298">
        <v>-8.1887999999999996E-3</v>
      </c>
      <c r="P151" s="299">
        <v>-6.2843187350506815E-3</v>
      </c>
      <c r="Q151" s="295">
        <v>0.21078246695211211</v>
      </c>
      <c r="S151" s="294" t="s">
        <v>185</v>
      </c>
      <c r="T151" s="295">
        <v>0.16280002997564022</v>
      </c>
      <c r="U151" s="295">
        <v>0.76742852860622823</v>
      </c>
      <c r="V151" s="295">
        <v>6.9771441418131519E-2</v>
      </c>
      <c r="W151" s="295">
        <v>0.89844108480853846</v>
      </c>
      <c r="X151" s="295">
        <v>1.0616410848085382</v>
      </c>
      <c r="Y151" s="295">
        <v>1.02</v>
      </c>
      <c r="Z151" s="295">
        <v>1.0321667614072074</v>
      </c>
      <c r="AA151" s="299">
        <v>-8.1887999999999996E-3</v>
      </c>
      <c r="AB151" s="300">
        <v>-6.2843187350506815E-3</v>
      </c>
      <c r="AC151" s="295">
        <v>9.2854978681575745E-2</v>
      </c>
    </row>
    <row r="152" spans="6:29" ht="12.75" customHeight="1">
      <c r="F152"/>
      <c r="G152" s="295" t="s">
        <v>1906</v>
      </c>
      <c r="H152" s="295"/>
      <c r="I152" s="295"/>
      <c r="J152" s="295"/>
      <c r="K152" s="295"/>
      <c r="L152" s="295"/>
      <c r="M152" s="295"/>
      <c r="N152" s="1233">
        <v>1.0145578585678647</v>
      </c>
      <c r="O152" s="299">
        <v>-1.3056223817104643E-2</v>
      </c>
      <c r="P152" s="299">
        <v>-9.9233158498236336E-3</v>
      </c>
      <c r="Q152" s="295">
        <v>1</v>
      </c>
      <c r="S152" s="294" t="s">
        <v>1906</v>
      </c>
      <c r="T152" s="295"/>
      <c r="U152" s="295"/>
      <c r="V152" s="295"/>
      <c r="W152" s="295"/>
      <c r="X152" s="295"/>
      <c r="Y152" s="295"/>
      <c r="Z152" s="1233">
        <v>0.99748473436189333</v>
      </c>
      <c r="AA152" s="299">
        <v>-1.5205655575550136E-2</v>
      </c>
      <c r="AB152" s="300">
        <v>-1.1706537646299819E-2</v>
      </c>
      <c r="AC152" s="295">
        <v>1</v>
      </c>
    </row>
    <row r="153" spans="6:29" ht="12.75" customHeight="1">
      <c r="F153"/>
    </row>
    <row r="154" spans="6:29" ht="12.75" customHeight="1">
      <c r="F154"/>
    </row>
    <row r="155" spans="6:29" ht="12.75" customHeight="1">
      <c r="F155"/>
      <c r="K155" s="50"/>
      <c r="L155" s="50"/>
      <c r="M155" s="50"/>
      <c r="N155" s="50"/>
    </row>
    <row r="156" spans="6:29" ht="12.75" customHeight="1">
      <c r="F156"/>
      <c r="K156" s="50"/>
      <c r="L156" s="50"/>
      <c r="M156" s="50"/>
      <c r="N156" s="50"/>
    </row>
    <row r="157" spans="6:29" ht="12.75" customHeight="1">
      <c r="F157"/>
      <c r="K157" s="50"/>
      <c r="L157" s="50"/>
      <c r="M157" s="50"/>
      <c r="N157" s="50"/>
    </row>
    <row r="158" spans="6:29" ht="12.75" customHeight="1">
      <c r="F158"/>
      <c r="K158" s="50"/>
      <c r="L158" s="50"/>
      <c r="M158" s="50"/>
      <c r="N158" s="50"/>
    </row>
    <row r="159" spans="6:29" ht="12.75" customHeight="1">
      <c r="F159"/>
      <c r="K159" s="50"/>
      <c r="L159" s="50"/>
      <c r="M159" s="50"/>
      <c r="N159" s="50"/>
    </row>
    <row r="160" spans="6:29" ht="12.75" customHeight="1">
      <c r="F160"/>
      <c r="K160" s="50"/>
      <c r="L160" s="50"/>
      <c r="M160" s="50"/>
      <c r="N160" s="50"/>
    </row>
    <row r="161" spans="6:14" ht="12.75" customHeight="1">
      <c r="F161"/>
      <c r="K161" s="50"/>
      <c r="L161" s="50"/>
      <c r="M161" s="50"/>
      <c r="N161" s="50"/>
    </row>
    <row r="162" spans="6:14" ht="12.75" customHeight="1">
      <c r="F162"/>
      <c r="K162" s="50"/>
      <c r="L162" s="50"/>
      <c r="M162" s="50"/>
      <c r="N162" s="50"/>
    </row>
    <row r="163" spans="6:14" ht="12.75" customHeight="1">
      <c r="F163"/>
      <c r="K163" s="50"/>
      <c r="L163" s="50"/>
      <c r="M163" s="50"/>
      <c r="N163" s="50"/>
    </row>
    <row r="164" spans="6:14" ht="12.75" customHeight="1">
      <c r="F164"/>
      <c r="K164" s="50"/>
      <c r="L164" s="50"/>
      <c r="M164" s="50"/>
      <c r="N164" s="50"/>
    </row>
    <row r="165" spans="6:14" ht="12.75" customHeight="1">
      <c r="F165"/>
      <c r="K165" s="50"/>
      <c r="L165" s="50"/>
      <c r="M165" s="50"/>
      <c r="N165" s="50"/>
    </row>
    <row r="166" spans="6:14" ht="12.75" customHeight="1">
      <c r="F166"/>
      <c r="K166" s="50"/>
      <c r="L166" s="50"/>
      <c r="M166" s="50"/>
      <c r="N166" s="50"/>
    </row>
    <row r="167" spans="6:14" ht="12.75" customHeight="1">
      <c r="F167"/>
      <c r="K167" s="50"/>
      <c r="L167" s="50"/>
      <c r="M167" s="50"/>
      <c r="N167" s="50"/>
    </row>
    <row r="168" spans="6:14" ht="12.75" customHeight="1">
      <c r="F168"/>
      <c r="K168" s="50"/>
      <c r="L168" s="50"/>
      <c r="M168" s="50"/>
      <c r="N168" s="50"/>
    </row>
    <row r="169" spans="6:14" ht="12.75" customHeight="1">
      <c r="F169"/>
      <c r="K169" s="50"/>
      <c r="L169" s="50"/>
      <c r="M169" s="50"/>
      <c r="N169" s="50"/>
    </row>
    <row r="170" spans="6:14" ht="12.75" customHeight="1">
      <c r="F170"/>
      <c r="K170" s="50"/>
      <c r="L170" s="50"/>
      <c r="M170" s="50"/>
      <c r="N170" s="50"/>
    </row>
    <row r="171" spans="6:14" ht="12.75" customHeight="1">
      <c r="F171"/>
      <c r="K171" s="50"/>
      <c r="L171" s="50"/>
      <c r="M171" s="50"/>
      <c r="N171" s="50"/>
    </row>
    <row r="172" spans="6:14" ht="12.75" customHeight="1">
      <c r="F172"/>
      <c r="K172" s="50"/>
      <c r="L172" s="50"/>
      <c r="M172" s="50"/>
      <c r="N172" s="50"/>
    </row>
    <row r="173" spans="6:14" ht="12.75" customHeight="1">
      <c r="F173"/>
      <c r="K173" s="50"/>
      <c r="L173" s="50"/>
      <c r="M173" s="50"/>
      <c r="N173" s="50"/>
    </row>
    <row r="174" spans="6:14" ht="12.75" customHeight="1">
      <c r="F174"/>
      <c r="K174" s="50"/>
      <c r="L174" s="50"/>
      <c r="M174" s="50"/>
      <c r="N174" s="50"/>
    </row>
    <row r="175" spans="6:14" ht="12.75" customHeight="1">
      <c r="F175"/>
      <c r="K175" s="50"/>
      <c r="L175" s="50"/>
      <c r="M175" s="50"/>
      <c r="N175" s="50"/>
    </row>
    <row r="176" spans="6:14" ht="12.75" customHeight="1">
      <c r="F176"/>
    </row>
    <row r="177" spans="6:6" ht="12.75" customHeight="1">
      <c r="F177"/>
    </row>
    <row r="178" spans="6:6" ht="12.75" customHeight="1">
      <c r="F178"/>
    </row>
    <row r="179" spans="6:6" ht="12.75" customHeight="1">
      <c r="F179"/>
    </row>
    <row r="180" spans="6:6" ht="12.75" customHeight="1">
      <c r="F180"/>
    </row>
    <row r="181" spans="6:6" ht="12.75" customHeight="1">
      <c r="F181"/>
    </row>
    <row r="182" spans="6:6" ht="12.75" customHeight="1">
      <c r="F182"/>
    </row>
    <row r="183" spans="6:6" ht="12.75" customHeight="1">
      <c r="F183"/>
    </row>
    <row r="184" spans="6:6" ht="12.75" customHeight="1">
      <c r="F184" s="47"/>
    </row>
  </sheetData>
  <autoFilter ref="A12:T12" xr:uid="{00000000-0001-0000-1D00-000000000000}"/>
  <dataConsolidate/>
  <mergeCells count="14">
    <mergeCell ref="G130:H130"/>
    <mergeCell ref="A11:E11"/>
    <mergeCell ref="F10:H10"/>
    <mergeCell ref="G2:T2"/>
    <mergeCell ref="G29:H29"/>
    <mergeCell ref="F11:K11"/>
    <mergeCell ref="L11:O11"/>
    <mergeCell ref="F20:K23"/>
    <mergeCell ref="R11:T11"/>
    <mergeCell ref="P11:Q11"/>
    <mergeCell ref="G43:H43"/>
    <mergeCell ref="G44:H44"/>
    <mergeCell ref="G98:G99"/>
    <mergeCell ref="H98:O98"/>
  </mergeCells>
  <phoneticPr fontId="119" type="noConversion"/>
  <conditionalFormatting sqref="H100:O125">
    <cfRule type="colorScale" priority="1">
      <colorScale>
        <cfvo type="min"/>
        <cfvo type="percentile" val="50"/>
        <cfvo type="max"/>
        <color rgb="FFF8696B"/>
        <color rgb="FFFFEB84"/>
        <color rgb="FF63BE7B"/>
      </colorScale>
    </cfRule>
  </conditionalFormatting>
  <hyperlinks>
    <hyperlink ref="K47" r:id="rId1" xr:uid="{6B2F2AC4-F873-475A-8ADC-B7628FE6D628}"/>
    <hyperlink ref="F1" location="'2024-2025 Summary'!C1" display="Summary Page" xr:uid="{958CC42D-63CA-4F85-832F-D4CAF8E597A4}"/>
  </hyperlinks>
  <pageMargins left="0.7" right="0.7" top="0.75" bottom="0.75" header="0.3" footer="0.3"/>
  <pageSetup scale="28" orientation="portrait" r:id="rId2"/>
  <ignoredErrors>
    <ignoredError sqref="R14" formula="1"/>
  </ignoredErrors>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07F82-E050-443E-8E7B-5F3F08C7C5CD}">
  <sheetPr>
    <tabColor rgb="FF7FCDE8"/>
    <pageSetUpPr fitToPage="1"/>
  </sheetPr>
  <dimension ref="A1:XEZ138"/>
  <sheetViews>
    <sheetView showGridLines="0" topLeftCell="G1" zoomScale="90" zoomScaleNormal="90" zoomScaleSheetLayoutView="90" workbookViewId="0">
      <selection activeCell="G1" sqref="G1"/>
    </sheetView>
  </sheetViews>
  <sheetFormatPr defaultColWidth="18.5703125" defaultRowHeight="12.75" customHeight="1" outlineLevelRow="1" outlineLevelCol="1"/>
  <cols>
    <col min="1" max="1" width="20" style="49" hidden="1" customWidth="1" outlineLevel="1"/>
    <col min="2" max="2" width="16.42578125" style="49" hidden="1" customWidth="1" outlineLevel="1"/>
    <col min="3" max="3" width="19" style="49" hidden="1" customWidth="1" outlineLevel="1"/>
    <col min="4" max="4" width="12.42578125" style="49" hidden="1" customWidth="1" outlineLevel="1"/>
    <col min="5" max="5" width="17.5703125" style="49" hidden="1" customWidth="1" outlineLevel="1"/>
    <col min="6" max="6" width="16.5703125" style="50" hidden="1" customWidth="1" outlineLevel="1"/>
    <col min="7" max="7" width="17.42578125" style="50" customWidth="1" collapsed="1"/>
    <col min="8" max="8" width="16.5703125" style="50" customWidth="1"/>
    <col min="9" max="9" width="24.140625" style="50" customWidth="1"/>
    <col min="10" max="10" width="6" style="50" customWidth="1"/>
    <col min="11" max="11" width="10.42578125" style="50" customWidth="1"/>
    <col min="12" max="13" width="14.5703125" style="51" customWidth="1"/>
    <col min="14" max="14" width="14.42578125" style="50" customWidth="1"/>
    <col min="15" max="15" width="9.42578125" style="50" customWidth="1"/>
    <col min="16" max="16" width="72.5703125" style="50" customWidth="1"/>
    <col min="17" max="17" width="8.5703125" style="50" customWidth="1"/>
    <col min="18" max="18" width="11.42578125" style="52" customWidth="1"/>
    <col min="19" max="19" width="18.5703125" style="122" customWidth="1"/>
    <col min="20" max="16384" width="18.5703125" style="50"/>
  </cols>
  <sheetData>
    <row r="1" spans="1:16380" ht="12.75" customHeight="1">
      <c r="G1" s="26" t="s">
        <v>557</v>
      </c>
      <c r="L1" s="50"/>
      <c r="M1" s="50"/>
    </row>
    <row r="2" spans="1:16380" ht="36.75" customHeight="1">
      <c r="A2" s="9" t="s">
        <v>2652</v>
      </c>
      <c r="G2" s="966" t="s">
        <v>755</v>
      </c>
      <c r="H2" s="1915" t="s">
        <v>162</v>
      </c>
      <c r="I2" s="1915"/>
      <c r="J2" s="1915"/>
      <c r="K2" s="1915"/>
      <c r="L2" s="1915"/>
      <c r="M2" s="1915"/>
      <c r="N2" s="1915"/>
      <c r="O2" s="1915"/>
      <c r="P2" s="1915"/>
      <c r="Q2" s="1915"/>
      <c r="R2" s="1915"/>
    </row>
    <row r="3" spans="1:16380" customFormat="1" ht="15">
      <c r="A3" s="9"/>
      <c r="B3" s="9">
        <v>2024</v>
      </c>
      <c r="C3" s="9">
        <v>2025</v>
      </c>
      <c r="D3" s="9">
        <v>2024</v>
      </c>
      <c r="E3" s="9">
        <v>2025</v>
      </c>
      <c r="S3" s="383"/>
    </row>
    <row r="4" spans="1:16380" ht="15" hidden="1" outlineLevel="1">
      <c r="A4" s="667">
        <f>(B4/(SUM(B4:C4)))*D4+ (C4/SUM(B4:C4))*E4</f>
        <v>45</v>
      </c>
      <c r="B4" s="668">
        <f>SUMIFS($R$12:$R$47,$F$12:$F$47,"Residential",$K$12:$K$47, 2024)</f>
        <v>0.50509857235209221</v>
      </c>
      <c r="C4" s="668">
        <f>SUMIFS($R$12:$R$47,$F$12:$F$47,"Residential",$K$12:$K$47, 2025)</f>
        <v>0.7556272206357586</v>
      </c>
      <c r="D4" s="667" cm="1">
        <f t="array" ref="D4">SUMPRODUCT($J$12:$J$47,$R$12:$R$47,--($F$12:$F$47="Residential"),--($K$12:$K$47=2024))/SUMIFS($R$12:$R$47,$F$12:$F$47,"Residential",$K$12:$K$47, 2024)</f>
        <v>44.999999999999986</v>
      </c>
      <c r="E4" s="667" cm="1">
        <f t="array" ref="E4">SUMPRODUCT($J$12:$J$47,$R$12:$R$47,--($F$12:$F$47="Residential"),--($K$12:$K$47=2025))/SUMIFS($R$12:$R$47,$F$12:$F$47,"Residential",$K$12:$K$47, 2025)</f>
        <v>45.000000000000007</v>
      </c>
      <c r="G4"/>
      <c r="H4"/>
      <c r="I4"/>
      <c r="J4"/>
      <c r="K4"/>
      <c r="L4" s="468"/>
      <c r="M4" s="50"/>
    </row>
    <row r="5" spans="1:16380" customFormat="1" ht="15" hidden="1" outlineLevel="1">
      <c r="A5" s="667">
        <f>(B5/(SUM(B5:C5)))*D5+ (C5/SUM(B5:C5))*E5</f>
        <v>20.000000000000004</v>
      </c>
      <c r="B5" s="668">
        <f>SUMIFS($R$12:$R$47,$F$12:$F$47,"Commercial",$K$12:$K$47, 2024)</f>
        <v>0.29034131511216571</v>
      </c>
      <c r="C5" s="668">
        <f>SUMIFS($R$12:$R$47,$F$12:$F$47,"Commercial",$K$12:$K$47, 2025)</f>
        <v>0.52625674661186617</v>
      </c>
      <c r="D5" s="667" cm="1">
        <f t="array" ref="D5">SUMPRODUCT($J$12:$J$47,$R$12:$R$47,--($F$12:$F$47="Commercial"),--($K$12:$K$47=2024))/SUMIFS($R$12:$R$47,$F$12:$F$47,"Commercial",$K$12:$K$47, 2024)</f>
        <v>20</v>
      </c>
      <c r="E5" s="667" cm="1">
        <f t="array" ref="E5">SUMPRODUCT($J$12:$J$47,$R$12:$R$47,--($F$12:$F$47="Commercial"),--($K$12:$K$47=2025))/SUMIFS($R$12:$R$47,$F$12:$F$47,"Commercial",$K$12:$K$47, 2025)</f>
        <v>20.000000000000004</v>
      </c>
      <c r="L5" s="470"/>
      <c r="M5" s="51"/>
      <c r="N5" s="50"/>
      <c r="O5" s="50"/>
      <c r="S5" s="383"/>
    </row>
    <row r="6" spans="1:16380" customFormat="1" ht="15" hidden="1" outlineLevel="1">
      <c r="A6" s="9"/>
      <c r="B6" s="9">
        <v>2026</v>
      </c>
      <c r="C6" s="9">
        <v>2027</v>
      </c>
      <c r="D6" s="9">
        <v>2026</v>
      </c>
      <c r="E6" s="9">
        <v>2027</v>
      </c>
      <c r="L6" s="471"/>
      <c r="S6" s="383"/>
    </row>
    <row r="7" spans="1:16380" customFormat="1" ht="15" hidden="1" outlineLevel="1">
      <c r="A7" s="9" t="e">
        <f>(B7/(SUM(B7:C7)))*D7+ (C7/SUM(B7:C7))*E7</f>
        <v>#DIV/0!</v>
      </c>
      <c r="B7" s="668">
        <f>SUMIFS($R$12:$R$47,$F$12:$F$47,"Residential",$K$12:$K$47, 2026)</f>
        <v>0</v>
      </c>
      <c r="C7" s="668">
        <f>SUMIFS($R$12:$R$47,$F$12:$F$47,"Residential",$K$12:$K$47, 2027)</f>
        <v>0</v>
      </c>
      <c r="D7" s="667" t="e" cm="1">
        <f t="array" ref="D7">SUMPRODUCT($J$12:$J$47,$R$12:$R$47,--($F$12:$F$47="Residential"),--($K$12:$K$47=2026))/SUMIFS($R$12:$R$47,$F$12:$F$47,"Residential",$K$12:$K$47, 2026)</f>
        <v>#DIV/0!</v>
      </c>
      <c r="E7" s="667" t="e" cm="1">
        <f t="array" ref="E7">SUMPRODUCT($J$12:$J$47,$R$12:$R$47,--($F$12:$F$47="Residential"),--($K$12:$K$47=2027))/SUMIFS($R$12:$R$47,$F$12:$F$47,"Residential",$K$12:$K$47, 2027)</f>
        <v>#DIV/0!</v>
      </c>
      <c r="L7" s="473"/>
      <c r="M7" s="51"/>
      <c r="N7" s="50"/>
      <c r="O7" s="50"/>
      <c r="S7" s="383"/>
    </row>
    <row r="8" spans="1:16380" customFormat="1" ht="15" hidden="1" outlineLevel="1">
      <c r="A8" s="667" t="e">
        <f>(B8/(SUM(B8:C8)))*D8+ (C8/SUM(B8:C8))*E8</f>
        <v>#DIV/0!</v>
      </c>
      <c r="B8" s="668">
        <f>SUMIFS($R$12:$R$47,$F$12:$F$47,"Commercial",$K$12:$K$47, 2026)</f>
        <v>0</v>
      </c>
      <c r="C8" s="668">
        <f>SUMIFS($R$12:$R$47,$F$12:$F$47,"Commercial",$K$12:$K$47, 2027)</f>
        <v>0</v>
      </c>
      <c r="D8" s="667" t="e" cm="1">
        <f t="array" ref="D8">SUMPRODUCT($J$12:$J$47,$R$12:$R$47,--($F$12:$F$47="Commercial"),--($K$12:$K$47=2026))/SUMIFS($R$12:$R$47,$F$12:$F$47,"Commercial",$K$12:$K$47, 2026)</f>
        <v>#DIV/0!</v>
      </c>
      <c r="E8" s="667" t="e" cm="1">
        <f t="array" ref="E8">SUMPRODUCT($J$12:$J$47,$R$12:$R$47,--($F$12:$F$47="Commercial"),--($K$12:$K$47=2027))/SUMIFS($R$12:$R$47,$F$12:$F$47,"Commercial",$K$12:$K$47, 2027)</f>
        <v>#DIV/0!</v>
      </c>
      <c r="L8" s="473"/>
      <c r="M8" s="51"/>
      <c r="N8" s="50"/>
      <c r="O8" s="50"/>
      <c r="S8" s="383"/>
    </row>
    <row r="9" spans="1:16380" ht="47.85" hidden="1" customHeight="1" outlineLevel="1">
      <c r="F9"/>
      <c r="G9"/>
      <c r="H9"/>
      <c r="I9"/>
      <c r="J9"/>
      <c r="K9"/>
      <c r="L9"/>
      <c r="M9"/>
      <c r="N9"/>
      <c r="O9"/>
      <c r="P9"/>
      <c r="Q9"/>
      <c r="R9"/>
    </row>
    <row r="10" spans="1:16380" s="47" customFormat="1" ht="15.75" customHeight="1" collapsed="1">
      <c r="A10" s="1701" t="s">
        <v>125</v>
      </c>
      <c r="B10" s="1702"/>
      <c r="C10" s="1702"/>
      <c r="D10" s="1702"/>
      <c r="E10" s="1702"/>
      <c r="F10" s="1720" t="s">
        <v>7</v>
      </c>
      <c r="G10" s="1722"/>
      <c r="H10" s="1722"/>
      <c r="I10" s="1722"/>
      <c r="J10" s="1722"/>
      <c r="K10" s="1722"/>
      <c r="L10" s="1717" t="s">
        <v>122</v>
      </c>
      <c r="M10" s="1718"/>
      <c r="N10" s="1719"/>
      <c r="O10" s="1802" t="s">
        <v>123</v>
      </c>
      <c r="P10" s="1803"/>
      <c r="Q10" s="1862" t="s">
        <v>124</v>
      </c>
      <c r="R10" s="1864"/>
      <c r="S10" s="120"/>
    </row>
    <row r="11" spans="1:16380" s="125" customFormat="1" ht="43.5" customHeight="1" thickBot="1">
      <c r="A11" s="1004" t="s">
        <v>0</v>
      </c>
      <c r="B11" s="1005" t="s">
        <v>10</v>
      </c>
      <c r="C11" s="1005" t="s">
        <v>1</v>
      </c>
      <c r="D11" s="1005" t="s">
        <v>2</v>
      </c>
      <c r="E11" s="1005" t="s">
        <v>187</v>
      </c>
      <c r="F11" s="1006" t="s">
        <v>3</v>
      </c>
      <c r="G11" s="1007" t="s">
        <v>4</v>
      </c>
      <c r="H11" s="1007" t="s">
        <v>444</v>
      </c>
      <c r="I11" s="1007" t="s">
        <v>2820</v>
      </c>
      <c r="J11" s="1007" t="s">
        <v>834</v>
      </c>
      <c r="K11" s="1007" t="s">
        <v>8</v>
      </c>
      <c r="L11" s="978" t="s">
        <v>2478</v>
      </c>
      <c r="M11" s="977" t="s">
        <v>2474</v>
      </c>
      <c r="N11" s="979" t="str">
        <f>"Funder Share: "&amp;Selection!A2</f>
        <v>Funder Share: Puget Sound Energy</v>
      </c>
      <c r="O11" s="978" t="s">
        <v>451</v>
      </c>
      <c r="P11" s="979" t="s">
        <v>121</v>
      </c>
      <c r="Q11" s="715" t="s">
        <v>2683</v>
      </c>
      <c r="R11" s="716" t="s">
        <v>2283</v>
      </c>
      <c r="S11" s="654"/>
    </row>
    <row r="12" spans="1:16380" ht="12.75" customHeight="1" thickTop="1">
      <c r="A12" s="102" t="s">
        <v>879</v>
      </c>
      <c r="B12" s="82" t="str">
        <f t="shared" ref="B12:B25" si="0">LEFT(A12,10)</f>
        <v>COM_200202</v>
      </c>
      <c r="C12" s="670" t="str">
        <f>INDEX('AMMO vwFlags'!$C:$C,MATCH($A12&amp;K12,'AMMO vwFlags'!$K:$K,0))</f>
        <v>1</v>
      </c>
      <c r="D12" s="670" t="str">
        <f>INDEX('AMMO vwFlags'!$D:$D,MATCH($A12&amp;$K12,'AMMO vwFlags'!$K:$K,0))</f>
        <v>0</v>
      </c>
      <c r="E12" s="82">
        <f t="shared" ref="E12:E47" si="1">COUNTIFS($A:$A,$A12,$K:$K,$K12)</f>
        <v>1</v>
      </c>
      <c r="F12" s="407" t="str">
        <f>IF(LEFT(A12,3)="Res","Residential",IF(LEFT(A12,3)="Ind","industrial",IF(LEFT(A12,3)="Com","Commercial",IF(LEFT(A12,3)="AGR","Agriculture",""))))</f>
        <v>Commercial</v>
      </c>
      <c r="G12" s="2001" t="s">
        <v>2679</v>
      </c>
      <c r="H12" s="2002" t="s">
        <v>581</v>
      </c>
      <c r="I12" s="1109" t="str">
        <f>INDEX('AMMO Units'!$D:$D,MATCH(A12,'AMMO Units'!$E:$E,0))</f>
        <v>ID 2018 IECC</v>
      </c>
      <c r="J12" s="1110">
        <f>VALUE(INDEX('AMMO Measures'!H:H,MATCH($A12,'AMMO Measures'!A:A,0)))</f>
        <v>20</v>
      </c>
      <c r="K12" s="1111">
        <v>2024</v>
      </c>
      <c r="L12" s="1112">
        <f>SUMIFS('AMMO Units'!F:F,'AMMO Units'!$A:$A,$K12,'AMMO Units'!$E:$E,$A12)</f>
        <v>6761939.4663909897</v>
      </c>
      <c r="M12" s="2004" t="s">
        <v>2704</v>
      </c>
      <c r="N12" s="1133">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O12" s="1113">
        <f>SUMIFS('AMMO Savings Rates'!F:F,'AMMO Savings Rates'!$E:$E,$K12,'AMMO Savings Rates'!$D:$D,$A12)</f>
        <v>0.39117078999999999</v>
      </c>
      <c r="P12" s="2007" t="s">
        <v>2705</v>
      </c>
      <c r="Q12" s="1146">
        <f t="shared" ref="Q12:Q43" si="2">L12*N12*O12/8760000</f>
        <v>4.2229378753289477E-2</v>
      </c>
      <c r="R12" s="1153">
        <f>Q12</f>
        <v>4.2229378753289477E-2</v>
      </c>
      <c r="U12"/>
    </row>
    <row r="13" spans="1:16380" ht="12.75" customHeight="1">
      <c r="A13" s="102" t="s">
        <v>879</v>
      </c>
      <c r="B13" s="82" t="str">
        <f t="shared" si="0"/>
        <v>COM_200202</v>
      </c>
      <c r="C13" s="670" t="str">
        <f>INDEX('AMMO vwFlags'!$C:$C,MATCH($A13&amp;K13,'AMMO vwFlags'!$K:$K,0))</f>
        <v>1</v>
      </c>
      <c r="D13" s="670" t="str">
        <f>INDEX('AMMO vwFlags'!$D:$D,MATCH($A13&amp;$K13,'AMMO vwFlags'!$K:$K,0))</f>
        <v>0</v>
      </c>
      <c r="E13" s="82">
        <f t="shared" si="1"/>
        <v>1</v>
      </c>
      <c r="F13" s="92" t="str">
        <f t="shared" ref="F13:F25" si="3">IF(LEFT(A13,3)="Res","Residential",IF(LEFT(A13,3)="Ind","industrial",IF(LEFT(A13,3)="Com","Commercial",IF(LEFT(A13,3)="AGR","Agriculture",""))))</f>
        <v>Commercial</v>
      </c>
      <c r="G13" s="2001"/>
      <c r="H13" s="2003"/>
      <c r="I13" s="1483" t="str">
        <f>INDEX('AMMO Units'!$D:$D,MATCH(A13,'AMMO Units'!$E:$E,0))</f>
        <v>ID 2018 IECC</v>
      </c>
      <c r="J13" s="1414">
        <f>VALUE(INDEX('AMMO Measures'!H:H,MATCH($A13,'AMMO Measures'!A:A,0)))</f>
        <v>20</v>
      </c>
      <c r="K13" s="1484">
        <v>2025</v>
      </c>
      <c r="L13" s="1115">
        <f>SUMIFS('AMMO Units'!F:F,'AMMO Units'!$A:$A,$K13,'AMMO Units'!$E:$E,$A13)</f>
        <v>6694874.7936400399</v>
      </c>
      <c r="M13" s="2005"/>
      <c r="N13" s="1482">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O13" s="1116">
        <f>SUMIFS('AMMO Savings Rates'!F:F,'AMMO Savings Rates'!$E:$E,$K13,'AMMO Savings Rates'!$D:$D,$A13)</f>
        <v>0.38759296999999998</v>
      </c>
      <c r="P13" s="2008"/>
      <c r="Q13" s="1147">
        <f t="shared" si="2"/>
        <v>4.1428131628308759E-2</v>
      </c>
      <c r="R13" s="1154">
        <f t="shared" ref="R13:R44" si="4">Q13</f>
        <v>4.1428131628308759E-2</v>
      </c>
      <c r="U13"/>
    </row>
    <row r="14" spans="1:16380" ht="12.75" customHeight="1">
      <c r="A14" s="466" t="s">
        <v>19</v>
      </c>
      <c r="B14" s="82" t="str">
        <f t="shared" si="0"/>
        <v>COM_200202</v>
      </c>
      <c r="C14" s="670" t="str">
        <f>INDEX('AMMO vwFlags'!$C:$C,MATCH($A14&amp;K14,'AMMO vwFlags'!$K:$K,0))</f>
        <v>1</v>
      </c>
      <c r="D14" s="670" t="str">
        <f>INDEX('AMMO vwFlags'!$D:$D,MATCH($A14&amp;$K14,'AMMO vwFlags'!$K:$K,0))</f>
        <v>0</v>
      </c>
      <c r="E14" s="82">
        <f t="shared" si="1"/>
        <v>1</v>
      </c>
      <c r="F14" s="92" t="str">
        <f t="shared" si="3"/>
        <v>Commercial</v>
      </c>
      <c r="G14" s="2001"/>
      <c r="H14" s="2009" t="s">
        <v>577</v>
      </c>
      <c r="I14" s="1485" t="str">
        <f>INDEX('AMMO Units'!$D:$D,MATCH(A14,'AMMO Units'!$E:$E,0))</f>
        <v>MT 2018 IECC</v>
      </c>
      <c r="J14" s="1486">
        <f>VALUE(INDEX('AMMO Measures'!H:H,MATCH($A14,'AMMO Measures'!A:A,0)))</f>
        <v>20</v>
      </c>
      <c r="K14" s="1485">
        <v>2024</v>
      </c>
      <c r="L14" s="1487">
        <f>SUMIFS('AMMO Units'!F:F,'AMMO Units'!$A:$A,$K14,'AMMO Units'!$E:$E,$A14)</f>
        <v>2769760.74240166</v>
      </c>
      <c r="M14" s="2006"/>
      <c r="N14" s="1492">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O14" s="1118">
        <f>SUMIFS('AMMO Savings Rates'!F:F,'AMMO Savings Rates'!$E:$E,$K14,'AMMO Savings Rates'!$D:$D,$A14)</f>
        <v>1.1665493300000001</v>
      </c>
      <c r="P14" s="2013" t="s">
        <v>2706</v>
      </c>
      <c r="Q14" s="1149">
        <f t="shared" si="2"/>
        <v>5.158487241526688E-2</v>
      </c>
      <c r="R14" s="1156">
        <f t="shared" si="4"/>
        <v>5.158487241526688E-2</v>
      </c>
      <c r="U14"/>
    </row>
    <row r="15" spans="1:16380" ht="12.75" customHeight="1" thickBot="1">
      <c r="A15" s="466" t="s">
        <v>19</v>
      </c>
      <c r="B15" s="82" t="str">
        <f t="shared" si="0"/>
        <v>COM_200202</v>
      </c>
      <c r="C15" s="670" t="str">
        <f>INDEX('AMMO vwFlags'!$C:$C,MATCH($A15&amp;K15,'AMMO vwFlags'!$K:$K,0))</f>
        <v>1</v>
      </c>
      <c r="D15" s="670" t="str">
        <f>INDEX('AMMO vwFlags'!$D:$D,MATCH($A15&amp;$K15,'AMMO vwFlags'!$K:$K,0))</f>
        <v>0</v>
      </c>
      <c r="E15" s="82">
        <f t="shared" si="1"/>
        <v>1</v>
      </c>
      <c r="F15" s="92" t="str">
        <f t="shared" si="3"/>
        <v>Commercial</v>
      </c>
      <c r="G15" s="2001"/>
      <c r="H15" s="2010"/>
      <c r="I15" s="1109" t="str">
        <f>INDEX('AMMO Units'!$D:$D,MATCH(A15,'AMMO Units'!$E:$E,0))</f>
        <v>MT 2018 IECC</v>
      </c>
      <c r="J15" s="1110">
        <f>VALUE(INDEX('AMMO Measures'!H:H,MATCH($A15,'AMMO Measures'!A:A,0)))</f>
        <v>20</v>
      </c>
      <c r="K15" s="1119">
        <v>2025</v>
      </c>
      <c r="L15" s="1120">
        <f>SUMIFS('AMMO Units'!F:F,'AMMO Units'!$A:$A,$K15,'AMMO Units'!$E:$E,$A15)</f>
        <v>3003076.70151973</v>
      </c>
      <c r="M15" s="2006"/>
      <c r="N15" s="113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O15" s="1114">
        <f>SUMIFS('AMMO Savings Rates'!F:F,'AMMO Savings Rates'!$E:$E,$K15,'AMMO Savings Rates'!$D:$D,$A15)</f>
        <v>1.1665493300000001</v>
      </c>
      <c r="P15" s="2014"/>
      <c r="Q15" s="1147">
        <f t="shared" si="2"/>
        <v>5.593022030012252E-2</v>
      </c>
      <c r="R15" s="1154">
        <f t="shared" si="4"/>
        <v>5.593022030012252E-2</v>
      </c>
      <c r="U15"/>
    </row>
    <row r="16" spans="1:16380" s="101" customFormat="1" ht="12.75" customHeight="1">
      <c r="A16" s="102" t="s">
        <v>885</v>
      </c>
      <c r="B16" s="82" t="str">
        <f>LEFT(A16,10)</f>
        <v>COM_200202</v>
      </c>
      <c r="C16" s="670" t="str">
        <f>INDEX('AMMO vwFlags'!$C:$C,MATCH($A16&amp;K16,'AMMO vwFlags'!$K:$K,0))</f>
        <v>1</v>
      </c>
      <c r="D16" s="670" t="str">
        <f>INDEX('AMMO vwFlags'!$D:$D,MATCH($A16&amp;$K16,'AMMO vwFlags'!$K:$K,0))</f>
        <v>0</v>
      </c>
      <c r="E16" s="82">
        <f t="shared" si="1"/>
        <v>1</v>
      </c>
      <c r="F16" s="92" t="str">
        <f t="shared" si="3"/>
        <v>Commercial</v>
      </c>
      <c r="G16" s="2001"/>
      <c r="H16" s="2011"/>
      <c r="I16" s="1122" t="str">
        <f>INDEX('AMMO Units'!$D:$D,MATCH(A16,'AMMO Units'!$E:$E,0))</f>
        <v>MT 2021 IECC</v>
      </c>
      <c r="J16" s="1110">
        <f>VALUE(INDEX('AMMO Measures'!H:H,MATCH($A16,'AMMO Measures'!A:A,0)))</f>
        <v>20</v>
      </c>
      <c r="K16" s="1121">
        <v>2024</v>
      </c>
      <c r="L16" s="1120">
        <f>SUMIFS('AMMO Units'!F:F,'AMMO Units'!$A:$A,$K16,'AMMO Units'!$E:$E,$A16)</f>
        <v>1791450.7554065799</v>
      </c>
      <c r="M16" s="2006"/>
      <c r="N16" s="113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O16" s="1114">
        <f>SUMIFS('AMMO Savings Rates'!F:F,'AMMO Savings Rates'!$E:$E,$K16,'AMMO Savings Rates'!$D:$D,$A16)</f>
        <v>0.71823782999999997</v>
      </c>
      <c r="P16" s="2015" t="s">
        <v>2526</v>
      </c>
      <c r="Q16" s="1147">
        <f t="shared" si="2"/>
        <v>2.0542351073842811E-2</v>
      </c>
      <c r="R16" s="1154">
        <f t="shared" si="4"/>
        <v>2.0542351073842811E-2</v>
      </c>
      <c r="S16" s="122"/>
      <c r="T16" s="50"/>
      <c r="U16"/>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50"/>
      <c r="ZZ16" s="50"/>
      <c r="AAA16" s="50"/>
      <c r="AAB16" s="50"/>
      <c r="AAC16" s="50"/>
      <c r="AAD16" s="50"/>
      <c r="AAE16" s="50"/>
      <c r="AAF16" s="50"/>
      <c r="AAG16" s="50"/>
      <c r="AAH16" s="50"/>
      <c r="AAI16" s="50"/>
      <c r="AAJ16" s="50"/>
      <c r="AAK16" s="50"/>
      <c r="AAL16" s="50"/>
      <c r="AAM16" s="50"/>
      <c r="AAN16" s="50"/>
      <c r="AAO16" s="50"/>
      <c r="AAP16" s="50"/>
      <c r="AAQ16" s="50"/>
      <c r="AAR16" s="50"/>
      <c r="AAS16" s="50"/>
      <c r="AAT16" s="50"/>
      <c r="AAU16" s="50"/>
      <c r="AAV16" s="50"/>
      <c r="AAW16" s="50"/>
      <c r="AAX16" s="50"/>
      <c r="AAY16" s="50"/>
      <c r="AAZ16" s="50"/>
      <c r="ABA16" s="50"/>
      <c r="ABB16" s="50"/>
      <c r="ABC16" s="50"/>
      <c r="ABD16" s="50"/>
      <c r="ABE16" s="50"/>
      <c r="ABF16" s="50"/>
      <c r="ABG16" s="50"/>
      <c r="ABH16" s="50"/>
      <c r="ABI16" s="50"/>
      <c r="ABJ16" s="50"/>
      <c r="ABK16" s="50"/>
      <c r="ABL16" s="50"/>
      <c r="ABM16" s="50"/>
      <c r="ABN16" s="50"/>
      <c r="ABO16" s="50"/>
      <c r="ABP16" s="50"/>
      <c r="ABQ16" s="50"/>
      <c r="ABR16" s="50"/>
      <c r="ABS16" s="50"/>
      <c r="ABT16" s="50"/>
      <c r="ABU16" s="50"/>
      <c r="ABV16" s="50"/>
      <c r="ABW16" s="50"/>
      <c r="ABX16" s="50"/>
      <c r="ABY16" s="50"/>
      <c r="ABZ16" s="50"/>
      <c r="ACA16" s="50"/>
      <c r="ACB16" s="50"/>
      <c r="ACC16" s="50"/>
      <c r="ACD16" s="50"/>
      <c r="ACE16" s="50"/>
      <c r="ACF16" s="50"/>
      <c r="ACG16" s="50"/>
      <c r="ACH16" s="50"/>
      <c r="ACI16" s="50"/>
      <c r="ACJ16" s="50"/>
      <c r="ACK16" s="50"/>
      <c r="ACL16" s="50"/>
      <c r="ACM16" s="50"/>
      <c r="ACN16" s="50"/>
      <c r="ACO16" s="50"/>
      <c r="ACP16" s="50"/>
      <c r="ACQ16" s="50"/>
      <c r="ACR16" s="50"/>
      <c r="ACS16" s="50"/>
      <c r="ACT16" s="50"/>
      <c r="ACU16" s="50"/>
      <c r="ACV16" s="50"/>
      <c r="ACW16" s="50"/>
      <c r="ACX16" s="50"/>
      <c r="ACY16" s="50"/>
      <c r="ACZ16" s="50"/>
      <c r="ADA16" s="50"/>
      <c r="ADB16" s="50"/>
      <c r="ADC16" s="50"/>
      <c r="ADD16" s="50"/>
      <c r="ADE16" s="50"/>
      <c r="ADF16" s="50"/>
      <c r="ADG16" s="50"/>
      <c r="ADH16" s="50"/>
      <c r="ADI16" s="50"/>
      <c r="ADJ16" s="50"/>
      <c r="ADK16" s="50"/>
      <c r="ADL16" s="50"/>
      <c r="ADM16" s="50"/>
      <c r="ADN16" s="50"/>
      <c r="ADO16" s="50"/>
      <c r="ADP16" s="50"/>
      <c r="ADQ16" s="50"/>
      <c r="ADR16" s="50"/>
      <c r="ADS16" s="50"/>
      <c r="ADT16" s="50"/>
      <c r="ADU16" s="50"/>
      <c r="ADV16" s="50"/>
      <c r="ADW16" s="50"/>
      <c r="ADX16" s="50"/>
      <c r="ADY16" s="50"/>
      <c r="ADZ16" s="50"/>
      <c r="AEA16" s="50"/>
      <c r="AEB16" s="50"/>
      <c r="AEC16" s="50"/>
      <c r="AED16" s="50"/>
      <c r="AEE16" s="50"/>
      <c r="AEF16" s="50"/>
      <c r="AEG16" s="50"/>
      <c r="AEH16" s="50"/>
      <c r="AEI16" s="50"/>
      <c r="AEJ16" s="50"/>
      <c r="AEK16" s="50"/>
      <c r="AEL16" s="50"/>
      <c r="AEM16" s="50"/>
      <c r="AEN16" s="50"/>
      <c r="AEO16" s="50"/>
      <c r="AEP16" s="50"/>
      <c r="AEQ16" s="50"/>
      <c r="AER16" s="50"/>
      <c r="AES16" s="50"/>
      <c r="AET16" s="50"/>
      <c r="AEU16" s="50"/>
      <c r="AEV16" s="50"/>
      <c r="AEW16" s="50"/>
      <c r="AEX16" s="50"/>
      <c r="AEY16" s="50"/>
      <c r="AEZ16" s="50"/>
      <c r="AFA16" s="50"/>
      <c r="AFB16" s="50"/>
      <c r="AFC16" s="50"/>
      <c r="AFD16" s="50"/>
      <c r="AFE16" s="50"/>
      <c r="AFF16" s="50"/>
      <c r="AFG16" s="50"/>
      <c r="AFH16" s="50"/>
      <c r="AFI16" s="50"/>
      <c r="AFJ16" s="50"/>
      <c r="AFK16" s="50"/>
      <c r="AFL16" s="50"/>
      <c r="AFM16" s="50"/>
      <c r="AFN16" s="50"/>
      <c r="AFO16" s="50"/>
      <c r="AFP16" s="50"/>
      <c r="AFQ16" s="50"/>
      <c r="AFR16" s="50"/>
      <c r="AFS16" s="50"/>
      <c r="AFT16" s="50"/>
      <c r="AFU16" s="50"/>
      <c r="AFV16" s="50"/>
      <c r="AFW16" s="50"/>
      <c r="AFX16" s="50"/>
      <c r="AFY16" s="50"/>
      <c r="AFZ16" s="50"/>
      <c r="AGA16" s="50"/>
      <c r="AGB16" s="50"/>
      <c r="AGC16" s="50"/>
      <c r="AGD16" s="50"/>
      <c r="AGE16" s="50"/>
      <c r="AGF16" s="50"/>
      <c r="AGG16" s="50"/>
      <c r="AGH16" s="50"/>
      <c r="AGI16" s="50"/>
      <c r="AGJ16" s="50"/>
      <c r="AGK16" s="50"/>
      <c r="AGL16" s="50"/>
      <c r="AGM16" s="50"/>
      <c r="AGN16" s="50"/>
      <c r="AGO16" s="50"/>
      <c r="AGP16" s="50"/>
      <c r="AGQ16" s="50"/>
      <c r="AGR16" s="50"/>
      <c r="AGS16" s="50"/>
      <c r="AGT16" s="50"/>
      <c r="AGU16" s="50"/>
      <c r="AGV16" s="50"/>
      <c r="AGW16" s="50"/>
      <c r="AGX16" s="50"/>
      <c r="AGY16" s="50"/>
      <c r="AGZ16" s="50"/>
      <c r="AHA16" s="50"/>
      <c r="AHB16" s="50"/>
      <c r="AHC16" s="50"/>
      <c r="AHD16" s="50"/>
      <c r="AHE16" s="50"/>
      <c r="AHF16" s="50"/>
      <c r="AHG16" s="50"/>
      <c r="AHH16" s="50"/>
      <c r="AHI16" s="50"/>
      <c r="AHJ16" s="50"/>
      <c r="AHK16" s="50"/>
      <c r="AHL16" s="50"/>
      <c r="AHM16" s="50"/>
      <c r="AHN16" s="50"/>
      <c r="AHO16" s="50"/>
      <c r="AHP16" s="50"/>
      <c r="AHQ16" s="50"/>
      <c r="AHR16" s="50"/>
      <c r="AHS16" s="50"/>
      <c r="AHT16" s="50"/>
      <c r="AHU16" s="50"/>
      <c r="AHV16" s="50"/>
      <c r="AHW16" s="50"/>
      <c r="AHX16" s="50"/>
      <c r="AHY16" s="50"/>
      <c r="AHZ16" s="50"/>
      <c r="AIA16" s="50"/>
      <c r="AIB16" s="50"/>
      <c r="AIC16" s="50"/>
      <c r="AID16" s="50"/>
      <c r="AIE16" s="50"/>
      <c r="AIF16" s="50"/>
      <c r="AIG16" s="50"/>
      <c r="AIH16" s="50"/>
      <c r="AII16" s="50"/>
      <c r="AIJ16" s="50"/>
      <c r="AIK16" s="50"/>
      <c r="AIL16" s="50"/>
      <c r="AIM16" s="50"/>
      <c r="AIN16" s="50"/>
      <c r="AIO16" s="50"/>
      <c r="AIP16" s="50"/>
      <c r="AIQ16" s="50"/>
      <c r="AIR16" s="50"/>
      <c r="AIS16" s="50"/>
      <c r="AIT16" s="50"/>
      <c r="AIU16" s="50"/>
      <c r="AIV16" s="50"/>
      <c r="AIW16" s="50"/>
      <c r="AIX16" s="50"/>
      <c r="AIY16" s="50"/>
      <c r="AIZ16" s="50"/>
      <c r="AJA16" s="50"/>
      <c r="AJB16" s="50"/>
      <c r="AJC16" s="50"/>
      <c r="AJD16" s="50"/>
      <c r="AJE16" s="50"/>
      <c r="AJF16" s="50"/>
      <c r="AJG16" s="50"/>
      <c r="AJH16" s="50"/>
      <c r="AJI16" s="50"/>
      <c r="AJJ16" s="50"/>
      <c r="AJK16" s="50"/>
      <c r="AJL16" s="50"/>
      <c r="AJM16" s="50"/>
      <c r="AJN16" s="50"/>
      <c r="AJO16" s="50"/>
      <c r="AJP16" s="50"/>
      <c r="AJQ16" s="50"/>
      <c r="AJR16" s="50"/>
      <c r="AJS16" s="50"/>
      <c r="AJT16" s="50"/>
      <c r="AJU16" s="50"/>
      <c r="AJV16" s="50"/>
      <c r="AJW16" s="50"/>
      <c r="AJX16" s="50"/>
      <c r="AJY16" s="50"/>
      <c r="AJZ16" s="50"/>
      <c r="AKA16" s="50"/>
      <c r="AKB16" s="50"/>
      <c r="AKC16" s="50"/>
      <c r="AKD16" s="50"/>
      <c r="AKE16" s="50"/>
      <c r="AKF16" s="50"/>
      <c r="AKG16" s="50"/>
      <c r="AKH16" s="50"/>
      <c r="AKI16" s="50"/>
      <c r="AKJ16" s="50"/>
      <c r="AKK16" s="50"/>
      <c r="AKL16" s="50"/>
      <c r="AKM16" s="50"/>
      <c r="AKN16" s="50"/>
      <c r="AKO16" s="50"/>
      <c r="AKP16" s="50"/>
      <c r="AKQ16" s="50"/>
      <c r="AKR16" s="50"/>
      <c r="AKS16" s="50"/>
      <c r="AKT16" s="50"/>
      <c r="AKU16" s="50"/>
      <c r="AKV16" s="50"/>
      <c r="AKW16" s="50"/>
      <c r="AKX16" s="50"/>
      <c r="AKY16" s="50"/>
      <c r="AKZ16" s="50"/>
      <c r="ALA16" s="50"/>
      <c r="ALB16" s="50"/>
      <c r="ALC16" s="50"/>
      <c r="ALD16" s="50"/>
      <c r="ALE16" s="50"/>
      <c r="ALF16" s="50"/>
      <c r="ALG16" s="50"/>
      <c r="ALH16" s="50"/>
      <c r="ALI16" s="50"/>
      <c r="ALJ16" s="50"/>
      <c r="ALK16" s="50"/>
      <c r="ALL16" s="50"/>
      <c r="ALM16" s="50"/>
      <c r="ALN16" s="50"/>
      <c r="ALO16" s="50"/>
      <c r="ALP16" s="50"/>
      <c r="ALQ16" s="50"/>
      <c r="ALR16" s="50"/>
      <c r="ALS16" s="50"/>
      <c r="ALT16" s="50"/>
      <c r="ALU16" s="50"/>
      <c r="ALV16" s="50"/>
      <c r="ALW16" s="50"/>
      <c r="ALX16" s="50"/>
      <c r="ALY16" s="50"/>
      <c r="ALZ16" s="50"/>
      <c r="AMA16" s="50"/>
      <c r="AMB16" s="50"/>
      <c r="AMC16" s="50"/>
      <c r="AMD16" s="50"/>
      <c r="AME16" s="50"/>
      <c r="AMF16" s="50"/>
      <c r="AMG16" s="50"/>
      <c r="AMH16" s="50"/>
      <c r="AMI16" s="50"/>
      <c r="AMJ16" s="50"/>
      <c r="AMK16" s="50"/>
      <c r="AML16" s="50"/>
      <c r="AMM16" s="50"/>
      <c r="AMN16" s="50"/>
      <c r="AMO16" s="50"/>
      <c r="AMP16" s="50"/>
      <c r="AMQ16" s="50"/>
      <c r="AMR16" s="50"/>
      <c r="AMS16" s="50"/>
      <c r="AMT16" s="50"/>
      <c r="AMU16" s="50"/>
      <c r="AMV16" s="50"/>
      <c r="AMW16" s="50"/>
      <c r="AMX16" s="50"/>
      <c r="AMY16" s="50"/>
      <c r="AMZ16" s="50"/>
      <c r="ANA16" s="50"/>
      <c r="ANB16" s="50"/>
      <c r="ANC16" s="50"/>
      <c r="AND16" s="50"/>
      <c r="ANE16" s="50"/>
      <c r="ANF16" s="50"/>
      <c r="ANG16" s="50"/>
      <c r="ANH16" s="50"/>
      <c r="ANI16" s="50"/>
      <c r="ANJ16" s="50"/>
      <c r="ANK16" s="50"/>
      <c r="ANL16" s="50"/>
      <c r="ANM16" s="50"/>
      <c r="ANN16" s="50"/>
      <c r="ANO16" s="50"/>
      <c r="ANP16" s="50"/>
      <c r="ANQ16" s="50"/>
      <c r="ANR16" s="50"/>
      <c r="ANS16" s="50"/>
      <c r="ANT16" s="50"/>
      <c r="ANU16" s="50"/>
      <c r="ANV16" s="50"/>
      <c r="ANW16" s="50"/>
      <c r="ANX16" s="50"/>
      <c r="ANY16" s="50"/>
      <c r="ANZ16" s="50"/>
      <c r="AOA16" s="50"/>
      <c r="AOB16" s="50"/>
      <c r="AOC16" s="50"/>
      <c r="AOD16" s="50"/>
      <c r="AOE16" s="50"/>
      <c r="AOF16" s="50"/>
      <c r="AOG16" s="50"/>
      <c r="AOH16" s="50"/>
      <c r="AOI16" s="50"/>
      <c r="AOJ16" s="50"/>
      <c r="AOK16" s="50"/>
      <c r="AOL16" s="50"/>
      <c r="AOM16" s="50"/>
      <c r="AON16" s="50"/>
      <c r="AOO16" s="50"/>
      <c r="AOP16" s="50"/>
      <c r="AOQ16" s="50"/>
      <c r="AOR16" s="50"/>
      <c r="AOS16" s="50"/>
      <c r="AOT16" s="50"/>
      <c r="AOU16" s="50"/>
      <c r="AOV16" s="50"/>
      <c r="AOW16" s="50"/>
      <c r="AOX16" s="50"/>
      <c r="AOY16" s="50"/>
      <c r="AOZ16" s="50"/>
      <c r="APA16" s="50"/>
      <c r="APB16" s="50"/>
      <c r="APC16" s="50"/>
      <c r="APD16" s="50"/>
      <c r="APE16" s="50"/>
      <c r="APF16" s="50"/>
      <c r="APG16" s="50"/>
      <c r="APH16" s="50"/>
      <c r="API16" s="50"/>
      <c r="APJ16" s="50"/>
      <c r="APK16" s="50"/>
      <c r="APL16" s="50"/>
      <c r="APM16" s="50"/>
      <c r="APN16" s="50"/>
      <c r="APO16" s="50"/>
      <c r="APP16" s="50"/>
      <c r="APQ16" s="50"/>
      <c r="APR16" s="50"/>
      <c r="APS16" s="50"/>
      <c r="APT16" s="50"/>
      <c r="APU16" s="50"/>
      <c r="APV16" s="50"/>
      <c r="APW16" s="50"/>
      <c r="APX16" s="50"/>
      <c r="APY16" s="50"/>
      <c r="APZ16" s="50"/>
      <c r="AQA16" s="50"/>
      <c r="AQB16" s="50"/>
      <c r="AQC16" s="50"/>
      <c r="AQD16" s="50"/>
      <c r="AQE16" s="50"/>
      <c r="AQF16" s="50"/>
      <c r="AQG16" s="50"/>
      <c r="AQH16" s="50"/>
      <c r="AQI16" s="50"/>
      <c r="AQJ16" s="50"/>
      <c r="AQK16" s="50"/>
      <c r="AQL16" s="50"/>
      <c r="AQM16" s="50"/>
      <c r="AQN16" s="50"/>
      <c r="AQO16" s="50"/>
      <c r="AQP16" s="50"/>
      <c r="AQQ16" s="50"/>
      <c r="AQR16" s="50"/>
      <c r="AQS16" s="50"/>
      <c r="AQT16" s="50"/>
      <c r="AQU16" s="50"/>
      <c r="AQV16" s="50"/>
      <c r="AQW16" s="50"/>
      <c r="AQX16" s="50"/>
      <c r="AQY16" s="50"/>
      <c r="AQZ16" s="50"/>
      <c r="ARA16" s="50"/>
      <c r="ARB16" s="50"/>
      <c r="ARC16" s="50"/>
      <c r="ARD16" s="50"/>
      <c r="ARE16" s="50"/>
      <c r="ARF16" s="50"/>
      <c r="ARG16" s="50"/>
      <c r="ARH16" s="50"/>
      <c r="ARI16" s="50"/>
      <c r="ARJ16" s="50"/>
      <c r="ARK16" s="50"/>
      <c r="ARL16" s="50"/>
      <c r="ARM16" s="50"/>
      <c r="ARN16" s="50"/>
      <c r="ARO16" s="50"/>
      <c r="ARP16" s="50"/>
      <c r="ARQ16" s="50"/>
      <c r="ARR16" s="50"/>
      <c r="ARS16" s="50"/>
      <c r="ART16" s="50"/>
      <c r="ARU16" s="50"/>
      <c r="ARV16" s="50"/>
      <c r="ARW16" s="50"/>
      <c r="ARX16" s="50"/>
      <c r="ARY16" s="50"/>
      <c r="ARZ16" s="50"/>
      <c r="ASA16" s="50"/>
      <c r="ASB16" s="50"/>
      <c r="ASC16" s="50"/>
      <c r="ASD16" s="50"/>
      <c r="ASE16" s="50"/>
      <c r="ASF16" s="50"/>
      <c r="ASG16" s="50"/>
      <c r="ASH16" s="50"/>
      <c r="ASI16" s="50"/>
      <c r="ASJ16" s="50"/>
      <c r="ASK16" s="50"/>
      <c r="ASL16" s="50"/>
      <c r="ASM16" s="50"/>
      <c r="ASN16" s="50"/>
      <c r="ASO16" s="50"/>
      <c r="ASP16" s="50"/>
      <c r="ASQ16" s="50"/>
      <c r="ASR16" s="50"/>
      <c r="ASS16" s="50"/>
      <c r="AST16" s="50"/>
      <c r="ASU16" s="50"/>
      <c r="ASV16" s="50"/>
      <c r="ASW16" s="50"/>
      <c r="ASX16" s="50"/>
      <c r="ASY16" s="50"/>
      <c r="ASZ16" s="50"/>
      <c r="ATA16" s="50"/>
      <c r="ATB16" s="50"/>
      <c r="ATC16" s="50"/>
      <c r="ATD16" s="50"/>
      <c r="ATE16" s="50"/>
      <c r="ATF16" s="50"/>
      <c r="ATG16" s="50"/>
      <c r="ATH16" s="50"/>
      <c r="ATI16" s="50"/>
      <c r="ATJ16" s="50"/>
      <c r="ATK16" s="50"/>
      <c r="ATL16" s="50"/>
      <c r="ATM16" s="50"/>
      <c r="ATN16" s="50"/>
      <c r="ATO16" s="50"/>
      <c r="ATP16" s="50"/>
      <c r="ATQ16" s="50"/>
      <c r="ATR16" s="50"/>
      <c r="ATS16" s="50"/>
      <c r="ATT16" s="50"/>
      <c r="ATU16" s="50"/>
      <c r="ATV16" s="50"/>
      <c r="ATW16" s="50"/>
      <c r="ATX16" s="50"/>
      <c r="ATY16" s="50"/>
      <c r="ATZ16" s="50"/>
      <c r="AUA16" s="50"/>
      <c r="AUB16" s="50"/>
      <c r="AUC16" s="50"/>
      <c r="AUD16" s="50"/>
      <c r="AUE16" s="50"/>
      <c r="AUF16" s="50"/>
      <c r="AUG16" s="50"/>
      <c r="AUH16" s="50"/>
      <c r="AUI16" s="50"/>
      <c r="AUJ16" s="50"/>
      <c r="AUK16" s="50"/>
      <c r="AUL16" s="50"/>
      <c r="AUM16" s="50"/>
      <c r="AUN16" s="50"/>
      <c r="AUO16" s="50"/>
      <c r="AUP16" s="50"/>
      <c r="AUQ16" s="50"/>
      <c r="AUR16" s="50"/>
      <c r="AUS16" s="50"/>
      <c r="AUT16" s="50"/>
      <c r="AUU16" s="50"/>
      <c r="AUV16" s="50"/>
      <c r="AUW16" s="50"/>
      <c r="AUX16" s="50"/>
      <c r="AUY16" s="50"/>
      <c r="AUZ16" s="50"/>
      <c r="AVA16" s="50"/>
      <c r="AVB16" s="50"/>
      <c r="AVC16" s="50"/>
      <c r="AVD16" s="50"/>
      <c r="AVE16" s="50"/>
      <c r="AVF16" s="50"/>
      <c r="AVG16" s="50"/>
      <c r="AVH16" s="50"/>
      <c r="AVI16" s="50"/>
      <c r="AVJ16" s="50"/>
      <c r="AVK16" s="50"/>
      <c r="AVL16" s="50"/>
      <c r="AVM16" s="50"/>
      <c r="AVN16" s="50"/>
      <c r="AVO16" s="50"/>
      <c r="AVP16" s="50"/>
      <c r="AVQ16" s="50"/>
      <c r="AVR16" s="50"/>
      <c r="AVS16" s="50"/>
      <c r="AVT16" s="50"/>
      <c r="AVU16" s="50"/>
      <c r="AVV16" s="50"/>
      <c r="AVW16" s="50"/>
      <c r="AVX16" s="50"/>
      <c r="AVY16" s="50"/>
      <c r="AVZ16" s="50"/>
      <c r="AWA16" s="50"/>
      <c r="AWB16" s="50"/>
      <c r="AWC16" s="50"/>
      <c r="AWD16" s="50"/>
      <c r="AWE16" s="50"/>
      <c r="AWF16" s="50"/>
      <c r="AWG16" s="50"/>
      <c r="AWH16" s="50"/>
      <c r="AWI16" s="50"/>
      <c r="AWJ16" s="50"/>
      <c r="AWK16" s="50"/>
      <c r="AWL16" s="50"/>
      <c r="AWM16" s="50"/>
      <c r="AWN16" s="50"/>
      <c r="AWO16" s="50"/>
      <c r="AWP16" s="50"/>
      <c r="AWQ16" s="50"/>
      <c r="AWR16" s="50"/>
      <c r="AWS16" s="50"/>
      <c r="AWT16" s="50"/>
      <c r="AWU16" s="50"/>
      <c r="AWV16" s="50"/>
      <c r="AWW16" s="50"/>
      <c r="AWX16" s="50"/>
      <c r="AWY16" s="50"/>
      <c r="AWZ16" s="50"/>
      <c r="AXA16" s="50"/>
      <c r="AXB16" s="50"/>
      <c r="AXC16" s="50"/>
      <c r="AXD16" s="50"/>
      <c r="AXE16" s="50"/>
      <c r="AXF16" s="50"/>
      <c r="AXG16" s="50"/>
      <c r="AXH16" s="50"/>
      <c r="AXI16" s="50"/>
      <c r="AXJ16" s="50"/>
      <c r="AXK16" s="50"/>
      <c r="AXL16" s="50"/>
      <c r="AXM16" s="50"/>
      <c r="AXN16" s="50"/>
      <c r="AXO16" s="50"/>
      <c r="AXP16" s="50"/>
      <c r="AXQ16" s="50"/>
      <c r="AXR16" s="50"/>
      <c r="AXS16" s="50"/>
      <c r="AXT16" s="50"/>
      <c r="AXU16" s="50"/>
      <c r="AXV16" s="50"/>
      <c r="AXW16" s="50"/>
      <c r="AXX16" s="50"/>
      <c r="AXY16" s="50"/>
      <c r="AXZ16" s="50"/>
      <c r="AYA16" s="50"/>
      <c r="AYB16" s="50"/>
      <c r="AYC16" s="50"/>
      <c r="AYD16" s="50"/>
      <c r="AYE16" s="50"/>
      <c r="AYF16" s="50"/>
      <c r="AYG16" s="50"/>
      <c r="AYH16" s="50"/>
      <c r="AYI16" s="50"/>
      <c r="AYJ16" s="50"/>
      <c r="AYK16" s="50"/>
      <c r="AYL16" s="50"/>
      <c r="AYM16" s="50"/>
      <c r="AYN16" s="50"/>
      <c r="AYO16" s="50"/>
      <c r="AYP16" s="50"/>
      <c r="AYQ16" s="50"/>
      <c r="AYR16" s="50"/>
      <c r="AYS16" s="50"/>
      <c r="AYT16" s="50"/>
      <c r="AYU16" s="50"/>
      <c r="AYV16" s="50"/>
      <c r="AYW16" s="50"/>
      <c r="AYX16" s="50"/>
      <c r="AYY16" s="50"/>
      <c r="AYZ16" s="50"/>
      <c r="AZA16" s="50"/>
      <c r="AZB16" s="50"/>
      <c r="AZC16" s="50"/>
      <c r="AZD16" s="50"/>
      <c r="AZE16" s="50"/>
      <c r="AZF16" s="50"/>
      <c r="AZG16" s="50"/>
      <c r="AZH16" s="50"/>
      <c r="AZI16" s="50"/>
      <c r="AZJ16" s="50"/>
      <c r="AZK16" s="50"/>
      <c r="AZL16" s="50"/>
      <c r="AZM16" s="50"/>
      <c r="AZN16" s="50"/>
      <c r="AZO16" s="50"/>
      <c r="AZP16" s="50"/>
      <c r="AZQ16" s="50"/>
      <c r="AZR16" s="50"/>
      <c r="AZS16" s="50"/>
      <c r="AZT16" s="50"/>
      <c r="AZU16" s="50"/>
      <c r="AZV16" s="50"/>
      <c r="AZW16" s="50"/>
      <c r="AZX16" s="50"/>
      <c r="AZY16" s="50"/>
      <c r="AZZ16" s="50"/>
      <c r="BAA16" s="50"/>
      <c r="BAB16" s="50"/>
      <c r="BAC16" s="50"/>
      <c r="BAD16" s="50"/>
      <c r="BAE16" s="50"/>
      <c r="BAF16" s="50"/>
      <c r="BAG16" s="50"/>
      <c r="BAH16" s="50"/>
      <c r="BAI16" s="50"/>
      <c r="BAJ16" s="50"/>
      <c r="BAK16" s="50"/>
      <c r="BAL16" s="50"/>
      <c r="BAM16" s="50"/>
      <c r="BAN16" s="50"/>
      <c r="BAO16" s="50"/>
      <c r="BAP16" s="50"/>
      <c r="BAQ16" s="50"/>
      <c r="BAR16" s="50"/>
      <c r="BAS16" s="50"/>
      <c r="BAT16" s="50"/>
      <c r="BAU16" s="50"/>
      <c r="BAV16" s="50"/>
      <c r="BAW16" s="50"/>
      <c r="BAX16" s="50"/>
      <c r="BAY16" s="50"/>
      <c r="BAZ16" s="50"/>
      <c r="BBA16" s="50"/>
      <c r="BBB16" s="50"/>
      <c r="BBC16" s="50"/>
      <c r="BBD16" s="50"/>
      <c r="BBE16" s="50"/>
      <c r="BBF16" s="50"/>
      <c r="BBG16" s="50"/>
      <c r="BBH16" s="50"/>
      <c r="BBI16" s="50"/>
      <c r="BBJ16" s="50"/>
      <c r="BBK16" s="50"/>
      <c r="BBL16" s="50"/>
      <c r="BBM16" s="50"/>
      <c r="BBN16" s="50"/>
      <c r="BBO16" s="50"/>
      <c r="BBP16" s="50"/>
      <c r="BBQ16" s="50"/>
      <c r="BBR16" s="50"/>
      <c r="BBS16" s="50"/>
      <c r="BBT16" s="50"/>
      <c r="BBU16" s="50"/>
      <c r="BBV16" s="50"/>
      <c r="BBW16" s="50"/>
      <c r="BBX16" s="50"/>
      <c r="BBY16" s="50"/>
      <c r="BBZ16" s="50"/>
      <c r="BCA16" s="50"/>
      <c r="BCB16" s="50"/>
      <c r="BCC16" s="50"/>
      <c r="BCD16" s="50"/>
      <c r="BCE16" s="50"/>
      <c r="BCF16" s="50"/>
      <c r="BCG16" s="50"/>
      <c r="BCH16" s="50"/>
      <c r="BCI16" s="50"/>
      <c r="BCJ16" s="50"/>
      <c r="BCK16" s="50"/>
      <c r="BCL16" s="50"/>
      <c r="BCM16" s="50"/>
      <c r="BCN16" s="50"/>
      <c r="BCO16" s="50"/>
      <c r="BCP16" s="50"/>
      <c r="BCQ16" s="50"/>
      <c r="BCR16" s="50"/>
      <c r="BCS16" s="50"/>
      <c r="BCT16" s="50"/>
      <c r="BCU16" s="50"/>
      <c r="BCV16" s="50"/>
      <c r="BCW16" s="50"/>
      <c r="BCX16" s="50"/>
      <c r="BCY16" s="50"/>
      <c r="BCZ16" s="50"/>
      <c r="BDA16" s="50"/>
      <c r="BDB16" s="50"/>
      <c r="BDC16" s="50"/>
      <c r="BDD16" s="50"/>
      <c r="BDE16" s="50"/>
      <c r="BDF16" s="50"/>
      <c r="BDG16" s="50"/>
      <c r="BDH16" s="50"/>
      <c r="BDI16" s="50"/>
      <c r="BDJ16" s="50"/>
      <c r="BDK16" s="50"/>
      <c r="BDL16" s="50"/>
      <c r="BDM16" s="50"/>
      <c r="BDN16" s="50"/>
      <c r="BDO16" s="50"/>
      <c r="BDP16" s="50"/>
      <c r="BDQ16" s="50"/>
      <c r="BDR16" s="50"/>
      <c r="BDS16" s="50"/>
      <c r="BDT16" s="50"/>
      <c r="BDU16" s="50"/>
      <c r="BDV16" s="50"/>
      <c r="BDW16" s="50"/>
      <c r="BDX16" s="50"/>
      <c r="BDY16" s="50"/>
      <c r="BDZ16" s="50"/>
      <c r="BEA16" s="50"/>
      <c r="BEB16" s="50"/>
      <c r="BEC16" s="50"/>
      <c r="BED16" s="50"/>
      <c r="BEE16" s="50"/>
      <c r="BEF16" s="50"/>
      <c r="BEG16" s="50"/>
      <c r="BEH16" s="50"/>
      <c r="BEI16" s="50"/>
      <c r="BEJ16" s="50"/>
      <c r="BEK16" s="50"/>
      <c r="BEL16" s="50"/>
      <c r="BEM16" s="50"/>
      <c r="BEN16" s="50"/>
      <c r="BEO16" s="50"/>
      <c r="BEP16" s="50"/>
      <c r="BEQ16" s="50"/>
      <c r="BER16" s="50"/>
      <c r="BES16" s="50"/>
      <c r="BET16" s="50"/>
      <c r="BEU16" s="50"/>
      <c r="BEV16" s="50"/>
      <c r="BEW16" s="50"/>
      <c r="BEX16" s="50"/>
      <c r="BEY16" s="50"/>
      <c r="BEZ16" s="50"/>
      <c r="BFA16" s="50"/>
      <c r="BFB16" s="50"/>
      <c r="BFC16" s="50"/>
      <c r="BFD16" s="50"/>
      <c r="BFE16" s="50"/>
      <c r="BFF16" s="50"/>
      <c r="BFG16" s="50"/>
      <c r="BFH16" s="50"/>
      <c r="BFI16" s="50"/>
      <c r="BFJ16" s="50"/>
      <c r="BFK16" s="50"/>
      <c r="BFL16" s="50"/>
      <c r="BFM16" s="50"/>
      <c r="BFN16" s="50"/>
      <c r="BFO16" s="50"/>
      <c r="BFP16" s="50"/>
      <c r="BFQ16" s="50"/>
      <c r="BFR16" s="50"/>
      <c r="BFS16" s="50"/>
      <c r="BFT16" s="50"/>
      <c r="BFU16" s="50"/>
      <c r="BFV16" s="50"/>
      <c r="BFW16" s="50"/>
      <c r="BFX16" s="50"/>
      <c r="BFY16" s="50"/>
      <c r="BFZ16" s="50"/>
      <c r="BGA16" s="50"/>
      <c r="BGB16" s="50"/>
      <c r="BGC16" s="50"/>
      <c r="BGD16" s="50"/>
      <c r="BGE16" s="50"/>
      <c r="BGF16" s="50"/>
      <c r="BGG16" s="50"/>
      <c r="BGH16" s="50"/>
      <c r="BGI16" s="50"/>
      <c r="BGJ16" s="50"/>
      <c r="BGK16" s="50"/>
      <c r="BGL16" s="50"/>
      <c r="BGM16" s="50"/>
      <c r="BGN16" s="50"/>
      <c r="BGO16" s="50"/>
      <c r="BGP16" s="50"/>
      <c r="BGQ16" s="50"/>
      <c r="BGR16" s="50"/>
      <c r="BGS16" s="50"/>
      <c r="BGT16" s="50"/>
      <c r="BGU16" s="50"/>
      <c r="BGV16" s="50"/>
      <c r="BGW16" s="50"/>
      <c r="BGX16" s="50"/>
      <c r="BGY16" s="50"/>
      <c r="BGZ16" s="50"/>
      <c r="BHA16" s="50"/>
      <c r="BHB16" s="50"/>
      <c r="BHC16" s="50"/>
      <c r="BHD16" s="50"/>
      <c r="BHE16" s="50"/>
      <c r="BHF16" s="50"/>
      <c r="BHG16" s="50"/>
      <c r="BHH16" s="50"/>
      <c r="BHI16" s="50"/>
      <c r="BHJ16" s="50"/>
      <c r="BHK16" s="50"/>
      <c r="BHL16" s="50"/>
      <c r="BHM16" s="50"/>
      <c r="BHN16" s="50"/>
      <c r="BHO16" s="50"/>
      <c r="BHP16" s="50"/>
      <c r="BHQ16" s="50"/>
      <c r="BHR16" s="50"/>
      <c r="BHS16" s="50"/>
      <c r="BHT16" s="50"/>
      <c r="BHU16" s="50"/>
      <c r="BHV16" s="50"/>
      <c r="BHW16" s="50"/>
      <c r="BHX16" s="50"/>
      <c r="BHY16" s="50"/>
      <c r="BHZ16" s="50"/>
      <c r="BIA16" s="50"/>
      <c r="BIB16" s="50"/>
      <c r="BIC16" s="50"/>
      <c r="BID16" s="50"/>
      <c r="BIE16" s="50"/>
      <c r="BIF16" s="50"/>
      <c r="BIG16" s="50"/>
      <c r="BIH16" s="50"/>
      <c r="BII16" s="50"/>
      <c r="BIJ16" s="50"/>
      <c r="BIK16" s="50"/>
      <c r="BIL16" s="50"/>
      <c r="BIM16" s="50"/>
      <c r="BIN16" s="50"/>
      <c r="BIO16" s="50"/>
      <c r="BIP16" s="50"/>
      <c r="BIQ16" s="50"/>
      <c r="BIR16" s="50"/>
      <c r="BIS16" s="50"/>
      <c r="BIT16" s="50"/>
      <c r="BIU16" s="50"/>
      <c r="BIV16" s="50"/>
      <c r="BIW16" s="50"/>
      <c r="BIX16" s="50"/>
      <c r="BIY16" s="50"/>
      <c r="BIZ16" s="50"/>
      <c r="BJA16" s="50"/>
      <c r="BJB16" s="50"/>
      <c r="BJC16" s="50"/>
      <c r="BJD16" s="50"/>
      <c r="BJE16" s="50"/>
      <c r="BJF16" s="50"/>
      <c r="BJG16" s="50"/>
      <c r="BJH16" s="50"/>
      <c r="BJI16" s="50"/>
      <c r="BJJ16" s="50"/>
      <c r="BJK16" s="50"/>
      <c r="BJL16" s="50"/>
      <c r="BJM16" s="50"/>
      <c r="BJN16" s="50"/>
      <c r="BJO16" s="50"/>
      <c r="BJP16" s="50"/>
      <c r="BJQ16" s="50"/>
      <c r="BJR16" s="50"/>
      <c r="BJS16" s="50"/>
      <c r="BJT16" s="50"/>
      <c r="BJU16" s="50"/>
      <c r="BJV16" s="50"/>
      <c r="BJW16" s="50"/>
      <c r="BJX16" s="50"/>
      <c r="BJY16" s="50"/>
      <c r="BJZ16" s="50"/>
      <c r="BKA16" s="50"/>
      <c r="BKB16" s="50"/>
      <c r="BKC16" s="50"/>
      <c r="BKD16" s="50"/>
      <c r="BKE16" s="50"/>
      <c r="BKF16" s="50"/>
      <c r="BKG16" s="50"/>
      <c r="BKH16" s="50"/>
      <c r="BKI16" s="50"/>
      <c r="BKJ16" s="50"/>
      <c r="BKK16" s="50"/>
      <c r="BKL16" s="50"/>
      <c r="BKM16" s="50"/>
      <c r="BKN16" s="50"/>
      <c r="BKO16" s="50"/>
      <c r="BKP16" s="50"/>
      <c r="BKQ16" s="50"/>
      <c r="BKR16" s="50"/>
      <c r="BKS16" s="50"/>
      <c r="BKT16" s="50"/>
      <c r="BKU16" s="50"/>
      <c r="BKV16" s="50"/>
      <c r="BKW16" s="50"/>
      <c r="BKX16" s="50"/>
      <c r="BKY16" s="50"/>
      <c r="BKZ16" s="50"/>
      <c r="BLA16" s="50"/>
      <c r="BLB16" s="50"/>
      <c r="BLC16" s="50"/>
      <c r="BLD16" s="50"/>
      <c r="BLE16" s="50"/>
      <c r="BLF16" s="50"/>
      <c r="BLG16" s="50"/>
      <c r="BLH16" s="50"/>
      <c r="BLI16" s="50"/>
      <c r="BLJ16" s="50"/>
      <c r="BLK16" s="50"/>
      <c r="BLL16" s="50"/>
      <c r="BLM16" s="50"/>
      <c r="BLN16" s="50"/>
      <c r="BLO16" s="50"/>
      <c r="BLP16" s="50"/>
      <c r="BLQ16" s="50"/>
      <c r="BLR16" s="50"/>
      <c r="BLS16" s="50"/>
      <c r="BLT16" s="50"/>
      <c r="BLU16" s="50"/>
      <c r="BLV16" s="50"/>
      <c r="BLW16" s="50"/>
      <c r="BLX16" s="50"/>
      <c r="BLY16" s="50"/>
      <c r="BLZ16" s="50"/>
      <c r="BMA16" s="50"/>
      <c r="BMB16" s="50"/>
      <c r="BMC16" s="50"/>
      <c r="BMD16" s="50"/>
      <c r="BME16" s="50"/>
      <c r="BMF16" s="50"/>
      <c r="BMG16" s="50"/>
      <c r="BMH16" s="50"/>
      <c r="BMI16" s="50"/>
      <c r="BMJ16" s="50"/>
      <c r="BMK16" s="50"/>
      <c r="BML16" s="50"/>
      <c r="BMM16" s="50"/>
      <c r="BMN16" s="50"/>
      <c r="BMO16" s="50"/>
      <c r="BMP16" s="50"/>
      <c r="BMQ16" s="50"/>
      <c r="BMR16" s="50"/>
      <c r="BMS16" s="50"/>
      <c r="BMT16" s="50"/>
      <c r="BMU16" s="50"/>
      <c r="BMV16" s="50"/>
      <c r="BMW16" s="50"/>
      <c r="BMX16" s="50"/>
      <c r="BMY16" s="50"/>
      <c r="BMZ16" s="50"/>
      <c r="BNA16" s="50"/>
      <c r="BNB16" s="50"/>
      <c r="BNC16" s="50"/>
      <c r="BND16" s="50"/>
      <c r="BNE16" s="50"/>
      <c r="BNF16" s="50"/>
      <c r="BNG16" s="50"/>
      <c r="BNH16" s="50"/>
      <c r="BNI16" s="50"/>
      <c r="BNJ16" s="50"/>
      <c r="BNK16" s="50"/>
      <c r="BNL16" s="50"/>
      <c r="BNM16" s="50"/>
      <c r="BNN16" s="50"/>
      <c r="BNO16" s="50"/>
      <c r="BNP16" s="50"/>
      <c r="BNQ16" s="50"/>
      <c r="BNR16" s="50"/>
      <c r="BNS16" s="50"/>
      <c r="BNT16" s="50"/>
      <c r="BNU16" s="50"/>
      <c r="BNV16" s="50"/>
      <c r="BNW16" s="50"/>
      <c r="BNX16" s="50"/>
      <c r="BNY16" s="50"/>
      <c r="BNZ16" s="50"/>
      <c r="BOA16" s="50"/>
      <c r="BOB16" s="50"/>
      <c r="BOC16" s="50"/>
      <c r="BOD16" s="50"/>
      <c r="BOE16" s="50"/>
      <c r="BOF16" s="50"/>
      <c r="BOG16" s="50"/>
      <c r="BOH16" s="50"/>
      <c r="BOI16" s="50"/>
      <c r="BOJ16" s="50"/>
      <c r="BOK16" s="50"/>
      <c r="BOL16" s="50"/>
      <c r="BOM16" s="50"/>
      <c r="BON16" s="50"/>
      <c r="BOO16" s="50"/>
      <c r="BOP16" s="50"/>
      <c r="BOQ16" s="50"/>
      <c r="BOR16" s="50"/>
      <c r="BOS16" s="50"/>
      <c r="BOT16" s="50"/>
      <c r="BOU16" s="50"/>
      <c r="BOV16" s="50"/>
      <c r="BOW16" s="50"/>
      <c r="BOX16" s="50"/>
      <c r="BOY16" s="50"/>
      <c r="BOZ16" s="50"/>
      <c r="BPA16" s="50"/>
      <c r="BPB16" s="50"/>
      <c r="BPC16" s="50"/>
      <c r="BPD16" s="50"/>
      <c r="BPE16" s="50"/>
      <c r="BPF16" s="50"/>
      <c r="BPG16" s="50"/>
      <c r="BPH16" s="50"/>
      <c r="BPI16" s="50"/>
      <c r="BPJ16" s="50"/>
      <c r="BPK16" s="50"/>
      <c r="BPL16" s="50"/>
      <c r="BPM16" s="50"/>
      <c r="BPN16" s="50"/>
      <c r="BPO16" s="50"/>
      <c r="BPP16" s="50"/>
      <c r="BPQ16" s="50"/>
      <c r="BPR16" s="50"/>
      <c r="BPS16" s="50"/>
      <c r="BPT16" s="50"/>
      <c r="BPU16" s="50"/>
      <c r="BPV16" s="50"/>
      <c r="BPW16" s="50"/>
      <c r="BPX16" s="50"/>
      <c r="BPY16" s="50"/>
      <c r="BPZ16" s="50"/>
      <c r="BQA16" s="50"/>
      <c r="BQB16" s="50"/>
      <c r="BQC16" s="50"/>
      <c r="BQD16" s="50"/>
      <c r="BQE16" s="50"/>
      <c r="BQF16" s="50"/>
      <c r="BQG16" s="50"/>
      <c r="BQH16" s="50"/>
      <c r="BQI16" s="50"/>
      <c r="BQJ16" s="50"/>
      <c r="BQK16" s="50"/>
      <c r="BQL16" s="50"/>
      <c r="BQM16" s="50"/>
      <c r="BQN16" s="50"/>
      <c r="BQO16" s="50"/>
      <c r="BQP16" s="50"/>
      <c r="BQQ16" s="50"/>
      <c r="BQR16" s="50"/>
      <c r="BQS16" s="50"/>
      <c r="BQT16" s="50"/>
      <c r="BQU16" s="50"/>
      <c r="BQV16" s="50"/>
      <c r="BQW16" s="50"/>
      <c r="BQX16" s="50"/>
      <c r="BQY16" s="50"/>
      <c r="BQZ16" s="50"/>
      <c r="BRA16" s="50"/>
      <c r="BRB16" s="50"/>
      <c r="BRC16" s="50"/>
      <c r="BRD16" s="50"/>
      <c r="BRE16" s="50"/>
      <c r="BRF16" s="50"/>
      <c r="BRG16" s="50"/>
      <c r="BRH16" s="50"/>
      <c r="BRI16" s="50"/>
      <c r="BRJ16" s="50"/>
      <c r="BRK16" s="50"/>
      <c r="BRL16" s="50"/>
      <c r="BRM16" s="50"/>
      <c r="BRN16" s="50"/>
      <c r="BRO16" s="50"/>
      <c r="BRP16" s="50"/>
      <c r="BRQ16" s="50"/>
      <c r="BRR16" s="50"/>
      <c r="BRS16" s="50"/>
      <c r="BRT16" s="50"/>
      <c r="BRU16" s="50"/>
      <c r="BRV16" s="50"/>
      <c r="BRW16" s="50"/>
      <c r="BRX16" s="50"/>
      <c r="BRY16" s="50"/>
      <c r="BRZ16" s="50"/>
      <c r="BSA16" s="50"/>
      <c r="BSB16" s="50"/>
      <c r="BSC16" s="50"/>
      <c r="BSD16" s="50"/>
      <c r="BSE16" s="50"/>
      <c r="BSF16" s="50"/>
      <c r="BSG16" s="50"/>
      <c r="BSH16" s="50"/>
      <c r="BSI16" s="50"/>
      <c r="BSJ16" s="50"/>
      <c r="BSK16" s="50"/>
      <c r="BSL16" s="50"/>
      <c r="BSM16" s="50"/>
      <c r="BSN16" s="50"/>
      <c r="BSO16" s="50"/>
      <c r="BSP16" s="50"/>
      <c r="BSQ16" s="50"/>
      <c r="BSR16" s="50"/>
      <c r="BSS16" s="50"/>
      <c r="BST16" s="50"/>
      <c r="BSU16" s="50"/>
      <c r="BSV16" s="50"/>
      <c r="BSW16" s="50"/>
      <c r="BSX16" s="50"/>
      <c r="BSY16" s="50"/>
      <c r="BSZ16" s="50"/>
      <c r="BTA16" s="50"/>
      <c r="BTB16" s="50"/>
      <c r="BTC16" s="50"/>
      <c r="BTD16" s="50"/>
      <c r="BTE16" s="50"/>
      <c r="BTF16" s="50"/>
      <c r="BTG16" s="50"/>
      <c r="BTH16" s="50"/>
      <c r="BTI16" s="50"/>
      <c r="BTJ16" s="50"/>
      <c r="BTK16" s="50"/>
      <c r="BTL16" s="50"/>
      <c r="BTM16" s="50"/>
      <c r="BTN16" s="50"/>
      <c r="BTO16" s="50"/>
      <c r="BTP16" s="50"/>
      <c r="BTQ16" s="50"/>
      <c r="BTR16" s="50"/>
      <c r="BTS16" s="50"/>
      <c r="BTT16" s="50"/>
      <c r="BTU16" s="50"/>
      <c r="BTV16" s="50"/>
      <c r="BTW16" s="50"/>
      <c r="BTX16" s="50"/>
      <c r="BTY16" s="50"/>
      <c r="BTZ16" s="50"/>
      <c r="BUA16" s="50"/>
      <c r="BUB16" s="50"/>
      <c r="BUC16" s="50"/>
      <c r="BUD16" s="50"/>
      <c r="BUE16" s="50"/>
      <c r="BUF16" s="50"/>
      <c r="BUG16" s="50"/>
      <c r="BUH16" s="50"/>
      <c r="BUI16" s="50"/>
      <c r="BUJ16" s="50"/>
      <c r="BUK16" s="50"/>
      <c r="BUL16" s="50"/>
      <c r="BUM16" s="50"/>
      <c r="BUN16" s="50"/>
      <c r="BUO16" s="50"/>
      <c r="BUP16" s="50"/>
      <c r="BUQ16" s="50"/>
      <c r="BUR16" s="50"/>
      <c r="BUS16" s="50"/>
      <c r="BUT16" s="50"/>
      <c r="BUU16" s="50"/>
      <c r="BUV16" s="50"/>
      <c r="BUW16" s="50"/>
      <c r="BUX16" s="50"/>
      <c r="BUY16" s="50"/>
      <c r="BUZ16" s="50"/>
      <c r="BVA16" s="50"/>
      <c r="BVB16" s="50"/>
      <c r="BVC16" s="50"/>
      <c r="BVD16" s="50"/>
      <c r="BVE16" s="50"/>
      <c r="BVF16" s="50"/>
      <c r="BVG16" s="50"/>
      <c r="BVH16" s="50"/>
      <c r="BVI16" s="50"/>
      <c r="BVJ16" s="50"/>
      <c r="BVK16" s="50"/>
      <c r="BVL16" s="50"/>
      <c r="BVM16" s="50"/>
      <c r="BVN16" s="50"/>
      <c r="BVO16" s="50"/>
      <c r="BVP16" s="50"/>
      <c r="BVQ16" s="50"/>
      <c r="BVR16" s="50"/>
      <c r="BVS16" s="50"/>
      <c r="BVT16" s="50"/>
      <c r="BVU16" s="50"/>
      <c r="BVV16" s="50"/>
      <c r="BVW16" s="50"/>
      <c r="BVX16" s="50"/>
      <c r="BVY16" s="50"/>
      <c r="BVZ16" s="50"/>
      <c r="BWA16" s="50"/>
      <c r="BWB16" s="50"/>
      <c r="BWC16" s="50"/>
      <c r="BWD16" s="50"/>
      <c r="BWE16" s="50"/>
      <c r="BWF16" s="50"/>
      <c r="BWG16" s="50"/>
      <c r="BWH16" s="50"/>
      <c r="BWI16" s="50"/>
      <c r="BWJ16" s="50"/>
      <c r="BWK16" s="50"/>
      <c r="BWL16" s="50"/>
      <c r="BWM16" s="50"/>
      <c r="BWN16" s="50"/>
      <c r="BWO16" s="50"/>
      <c r="BWP16" s="50"/>
      <c r="BWQ16" s="50"/>
      <c r="BWR16" s="50"/>
      <c r="BWS16" s="50"/>
      <c r="BWT16" s="50"/>
      <c r="BWU16" s="50"/>
      <c r="BWV16" s="50"/>
      <c r="BWW16" s="50"/>
      <c r="BWX16" s="50"/>
      <c r="BWY16" s="50"/>
      <c r="BWZ16" s="50"/>
      <c r="BXA16" s="50"/>
      <c r="BXB16" s="50"/>
      <c r="BXC16" s="50"/>
      <c r="BXD16" s="50"/>
      <c r="BXE16" s="50"/>
      <c r="BXF16" s="50"/>
      <c r="BXG16" s="50"/>
      <c r="BXH16" s="50"/>
      <c r="BXI16" s="50"/>
      <c r="BXJ16" s="50"/>
      <c r="BXK16" s="50"/>
      <c r="BXL16" s="50"/>
      <c r="BXM16" s="50"/>
      <c r="BXN16" s="50"/>
      <c r="BXO16" s="50"/>
      <c r="BXP16" s="50"/>
      <c r="BXQ16" s="50"/>
      <c r="BXR16" s="50"/>
      <c r="BXS16" s="50"/>
      <c r="BXT16" s="50"/>
      <c r="BXU16" s="50"/>
      <c r="BXV16" s="50"/>
      <c r="BXW16" s="50"/>
      <c r="BXX16" s="50"/>
      <c r="BXY16" s="50"/>
      <c r="BXZ16" s="50"/>
      <c r="BYA16" s="50"/>
      <c r="BYB16" s="50"/>
      <c r="BYC16" s="50"/>
      <c r="BYD16" s="50"/>
      <c r="BYE16" s="50"/>
      <c r="BYF16" s="50"/>
      <c r="BYG16" s="50"/>
      <c r="BYH16" s="50"/>
      <c r="BYI16" s="50"/>
      <c r="BYJ16" s="50"/>
      <c r="BYK16" s="50"/>
      <c r="BYL16" s="50"/>
      <c r="BYM16" s="50"/>
      <c r="BYN16" s="50"/>
      <c r="BYO16" s="50"/>
      <c r="BYP16" s="50"/>
      <c r="BYQ16" s="50"/>
      <c r="BYR16" s="50"/>
      <c r="BYS16" s="50"/>
      <c r="BYT16" s="50"/>
      <c r="BYU16" s="50"/>
      <c r="BYV16" s="50"/>
      <c r="BYW16" s="50"/>
      <c r="BYX16" s="50"/>
      <c r="BYY16" s="50"/>
      <c r="BYZ16" s="50"/>
      <c r="BZA16" s="50"/>
      <c r="BZB16" s="50"/>
      <c r="BZC16" s="50"/>
      <c r="BZD16" s="50"/>
      <c r="BZE16" s="50"/>
      <c r="BZF16" s="50"/>
      <c r="BZG16" s="50"/>
      <c r="BZH16" s="50"/>
      <c r="BZI16" s="50"/>
      <c r="BZJ16" s="50"/>
      <c r="BZK16" s="50"/>
      <c r="BZL16" s="50"/>
      <c r="BZM16" s="50"/>
      <c r="BZN16" s="50"/>
      <c r="BZO16" s="50"/>
      <c r="BZP16" s="50"/>
      <c r="BZQ16" s="50"/>
      <c r="BZR16" s="50"/>
      <c r="BZS16" s="50"/>
      <c r="BZT16" s="50"/>
      <c r="BZU16" s="50"/>
      <c r="BZV16" s="50"/>
      <c r="BZW16" s="50"/>
      <c r="BZX16" s="50"/>
      <c r="BZY16" s="50"/>
      <c r="BZZ16" s="50"/>
      <c r="CAA16" s="50"/>
      <c r="CAB16" s="50"/>
      <c r="CAC16" s="50"/>
      <c r="CAD16" s="50"/>
      <c r="CAE16" s="50"/>
      <c r="CAF16" s="50"/>
      <c r="CAG16" s="50"/>
      <c r="CAH16" s="50"/>
      <c r="CAI16" s="50"/>
      <c r="CAJ16" s="50"/>
      <c r="CAK16" s="50"/>
      <c r="CAL16" s="50"/>
      <c r="CAM16" s="50"/>
      <c r="CAN16" s="50"/>
      <c r="CAO16" s="50"/>
      <c r="CAP16" s="50"/>
      <c r="CAQ16" s="50"/>
      <c r="CAR16" s="50"/>
      <c r="CAS16" s="50"/>
      <c r="CAT16" s="50"/>
      <c r="CAU16" s="50"/>
      <c r="CAV16" s="50"/>
      <c r="CAW16" s="50"/>
      <c r="CAX16" s="50"/>
      <c r="CAY16" s="50"/>
      <c r="CAZ16" s="50"/>
      <c r="CBA16" s="50"/>
      <c r="CBB16" s="50"/>
      <c r="CBC16" s="50"/>
      <c r="CBD16" s="50"/>
      <c r="CBE16" s="50"/>
      <c r="CBF16" s="50"/>
      <c r="CBG16" s="50"/>
      <c r="CBH16" s="50"/>
      <c r="CBI16" s="50"/>
      <c r="CBJ16" s="50"/>
      <c r="CBK16" s="50"/>
      <c r="CBL16" s="50"/>
      <c r="CBM16" s="50"/>
      <c r="CBN16" s="50"/>
      <c r="CBO16" s="50"/>
      <c r="CBP16" s="50"/>
      <c r="CBQ16" s="50"/>
      <c r="CBR16" s="50"/>
      <c r="CBS16" s="50"/>
      <c r="CBT16" s="50"/>
      <c r="CBU16" s="50"/>
      <c r="CBV16" s="50"/>
      <c r="CBW16" s="50"/>
      <c r="CBX16" s="50"/>
      <c r="CBY16" s="50"/>
      <c r="CBZ16" s="50"/>
      <c r="CCA16" s="50"/>
      <c r="CCB16" s="50"/>
      <c r="CCC16" s="50"/>
      <c r="CCD16" s="50"/>
      <c r="CCE16" s="50"/>
      <c r="CCF16" s="50"/>
      <c r="CCG16" s="50"/>
      <c r="CCH16" s="50"/>
      <c r="CCI16" s="50"/>
      <c r="CCJ16" s="50"/>
      <c r="CCK16" s="50"/>
      <c r="CCL16" s="50"/>
      <c r="CCM16" s="50"/>
      <c r="CCN16" s="50"/>
      <c r="CCO16" s="50"/>
      <c r="CCP16" s="50"/>
      <c r="CCQ16" s="50"/>
      <c r="CCR16" s="50"/>
      <c r="CCS16" s="50"/>
      <c r="CCT16" s="50"/>
      <c r="CCU16" s="50"/>
      <c r="CCV16" s="50"/>
      <c r="CCW16" s="50"/>
      <c r="CCX16" s="50"/>
      <c r="CCY16" s="50"/>
      <c r="CCZ16" s="50"/>
      <c r="CDA16" s="50"/>
      <c r="CDB16" s="50"/>
      <c r="CDC16" s="50"/>
      <c r="CDD16" s="50"/>
      <c r="CDE16" s="50"/>
      <c r="CDF16" s="50"/>
      <c r="CDG16" s="50"/>
      <c r="CDH16" s="50"/>
      <c r="CDI16" s="50"/>
      <c r="CDJ16" s="50"/>
      <c r="CDK16" s="50"/>
      <c r="CDL16" s="50"/>
      <c r="CDM16" s="50"/>
      <c r="CDN16" s="50"/>
      <c r="CDO16" s="50"/>
      <c r="CDP16" s="50"/>
      <c r="CDQ16" s="50"/>
      <c r="CDR16" s="50"/>
      <c r="CDS16" s="50"/>
      <c r="CDT16" s="50"/>
      <c r="CDU16" s="50"/>
      <c r="CDV16" s="50"/>
      <c r="CDW16" s="50"/>
      <c r="CDX16" s="50"/>
      <c r="CDY16" s="50"/>
      <c r="CDZ16" s="50"/>
      <c r="CEA16" s="50"/>
      <c r="CEB16" s="50"/>
      <c r="CEC16" s="50"/>
      <c r="CED16" s="50"/>
      <c r="CEE16" s="50"/>
      <c r="CEF16" s="50"/>
      <c r="CEG16" s="50"/>
      <c r="CEH16" s="50"/>
      <c r="CEI16" s="50"/>
      <c r="CEJ16" s="50"/>
      <c r="CEK16" s="50"/>
      <c r="CEL16" s="50"/>
      <c r="CEM16" s="50"/>
      <c r="CEN16" s="50"/>
      <c r="CEO16" s="50"/>
      <c r="CEP16" s="50"/>
      <c r="CEQ16" s="50"/>
      <c r="CER16" s="50"/>
      <c r="CES16" s="50"/>
      <c r="CET16" s="50"/>
      <c r="CEU16" s="50"/>
      <c r="CEV16" s="50"/>
      <c r="CEW16" s="50"/>
      <c r="CEX16" s="50"/>
      <c r="CEY16" s="50"/>
      <c r="CEZ16" s="50"/>
      <c r="CFA16" s="50"/>
      <c r="CFB16" s="50"/>
      <c r="CFC16" s="50"/>
      <c r="CFD16" s="50"/>
      <c r="CFE16" s="50"/>
      <c r="CFF16" s="50"/>
      <c r="CFG16" s="50"/>
      <c r="CFH16" s="50"/>
      <c r="CFI16" s="50"/>
      <c r="CFJ16" s="50"/>
      <c r="CFK16" s="50"/>
      <c r="CFL16" s="50"/>
      <c r="CFM16" s="50"/>
      <c r="CFN16" s="50"/>
      <c r="CFO16" s="50"/>
      <c r="CFP16" s="50"/>
      <c r="CFQ16" s="50"/>
      <c r="CFR16" s="50"/>
      <c r="CFS16" s="50"/>
      <c r="CFT16" s="50"/>
      <c r="CFU16" s="50"/>
      <c r="CFV16" s="50"/>
      <c r="CFW16" s="50"/>
      <c r="CFX16" s="50"/>
      <c r="CFY16" s="50"/>
      <c r="CFZ16" s="50"/>
      <c r="CGA16" s="50"/>
      <c r="CGB16" s="50"/>
      <c r="CGC16" s="50"/>
      <c r="CGD16" s="50"/>
      <c r="CGE16" s="50"/>
      <c r="CGF16" s="50"/>
      <c r="CGG16" s="50"/>
      <c r="CGH16" s="50"/>
      <c r="CGI16" s="50"/>
      <c r="CGJ16" s="50"/>
      <c r="CGK16" s="50"/>
      <c r="CGL16" s="50"/>
      <c r="CGM16" s="50"/>
      <c r="CGN16" s="50"/>
      <c r="CGO16" s="50"/>
      <c r="CGP16" s="50"/>
      <c r="CGQ16" s="50"/>
      <c r="CGR16" s="50"/>
      <c r="CGS16" s="50"/>
      <c r="CGT16" s="50"/>
      <c r="CGU16" s="50"/>
      <c r="CGV16" s="50"/>
      <c r="CGW16" s="50"/>
      <c r="CGX16" s="50"/>
      <c r="CGY16" s="50"/>
      <c r="CGZ16" s="50"/>
      <c r="CHA16" s="50"/>
      <c r="CHB16" s="50"/>
      <c r="CHC16" s="50"/>
      <c r="CHD16" s="50"/>
      <c r="CHE16" s="50"/>
      <c r="CHF16" s="50"/>
      <c r="CHG16" s="50"/>
      <c r="CHH16" s="50"/>
      <c r="CHI16" s="50"/>
      <c r="CHJ16" s="50"/>
      <c r="CHK16" s="50"/>
      <c r="CHL16" s="50"/>
      <c r="CHM16" s="50"/>
      <c r="CHN16" s="50"/>
      <c r="CHO16" s="50"/>
      <c r="CHP16" s="50"/>
      <c r="CHQ16" s="50"/>
      <c r="CHR16" s="50"/>
      <c r="CHS16" s="50"/>
      <c r="CHT16" s="50"/>
      <c r="CHU16" s="50"/>
      <c r="CHV16" s="50"/>
      <c r="CHW16" s="50"/>
      <c r="CHX16" s="50"/>
      <c r="CHY16" s="50"/>
      <c r="CHZ16" s="50"/>
      <c r="CIA16" s="50"/>
      <c r="CIB16" s="50"/>
      <c r="CIC16" s="50"/>
      <c r="CID16" s="50"/>
      <c r="CIE16" s="50"/>
      <c r="CIF16" s="50"/>
      <c r="CIG16" s="50"/>
      <c r="CIH16" s="50"/>
      <c r="CII16" s="50"/>
      <c r="CIJ16" s="50"/>
      <c r="CIK16" s="50"/>
      <c r="CIL16" s="50"/>
      <c r="CIM16" s="50"/>
      <c r="CIN16" s="50"/>
      <c r="CIO16" s="50"/>
      <c r="CIP16" s="50"/>
      <c r="CIQ16" s="50"/>
      <c r="CIR16" s="50"/>
      <c r="CIS16" s="50"/>
      <c r="CIT16" s="50"/>
      <c r="CIU16" s="50"/>
      <c r="CIV16" s="50"/>
      <c r="CIW16" s="50"/>
      <c r="CIX16" s="50"/>
      <c r="CIY16" s="50"/>
      <c r="CIZ16" s="50"/>
      <c r="CJA16" s="50"/>
      <c r="CJB16" s="50"/>
      <c r="CJC16" s="50"/>
      <c r="CJD16" s="50"/>
      <c r="CJE16" s="50"/>
      <c r="CJF16" s="50"/>
      <c r="CJG16" s="50"/>
      <c r="CJH16" s="50"/>
      <c r="CJI16" s="50"/>
      <c r="CJJ16" s="50"/>
      <c r="CJK16" s="50"/>
      <c r="CJL16" s="50"/>
      <c r="CJM16" s="50"/>
      <c r="CJN16" s="50"/>
      <c r="CJO16" s="50"/>
      <c r="CJP16" s="50"/>
      <c r="CJQ16" s="50"/>
      <c r="CJR16" s="50"/>
      <c r="CJS16" s="50"/>
      <c r="CJT16" s="50"/>
      <c r="CJU16" s="50"/>
      <c r="CJV16" s="50"/>
      <c r="CJW16" s="50"/>
      <c r="CJX16" s="50"/>
      <c r="CJY16" s="50"/>
      <c r="CJZ16" s="50"/>
      <c r="CKA16" s="50"/>
      <c r="CKB16" s="50"/>
      <c r="CKC16" s="50"/>
      <c r="CKD16" s="50"/>
      <c r="CKE16" s="50"/>
      <c r="CKF16" s="50"/>
      <c r="CKG16" s="50"/>
      <c r="CKH16" s="50"/>
      <c r="CKI16" s="50"/>
      <c r="CKJ16" s="50"/>
      <c r="CKK16" s="50"/>
      <c r="CKL16" s="50"/>
      <c r="CKM16" s="50"/>
      <c r="CKN16" s="50"/>
      <c r="CKO16" s="50"/>
      <c r="CKP16" s="50"/>
      <c r="CKQ16" s="50"/>
      <c r="CKR16" s="50"/>
      <c r="CKS16" s="50"/>
      <c r="CKT16" s="50"/>
      <c r="CKU16" s="50"/>
      <c r="CKV16" s="50"/>
      <c r="CKW16" s="50"/>
      <c r="CKX16" s="50"/>
      <c r="CKY16" s="50"/>
      <c r="CKZ16" s="50"/>
      <c r="CLA16" s="50"/>
      <c r="CLB16" s="50"/>
      <c r="CLC16" s="50"/>
      <c r="CLD16" s="50"/>
      <c r="CLE16" s="50"/>
      <c r="CLF16" s="50"/>
      <c r="CLG16" s="50"/>
      <c r="CLH16" s="50"/>
      <c r="CLI16" s="50"/>
      <c r="CLJ16" s="50"/>
      <c r="CLK16" s="50"/>
      <c r="CLL16" s="50"/>
      <c r="CLM16" s="50"/>
      <c r="CLN16" s="50"/>
      <c r="CLO16" s="50"/>
      <c r="CLP16" s="50"/>
      <c r="CLQ16" s="50"/>
      <c r="CLR16" s="50"/>
      <c r="CLS16" s="50"/>
      <c r="CLT16" s="50"/>
      <c r="CLU16" s="50"/>
      <c r="CLV16" s="50"/>
      <c r="CLW16" s="50"/>
      <c r="CLX16" s="50"/>
      <c r="CLY16" s="50"/>
      <c r="CLZ16" s="50"/>
      <c r="CMA16" s="50"/>
      <c r="CMB16" s="50"/>
      <c r="CMC16" s="50"/>
      <c r="CMD16" s="50"/>
      <c r="CME16" s="50"/>
      <c r="CMF16" s="50"/>
      <c r="CMG16" s="50"/>
      <c r="CMH16" s="50"/>
      <c r="CMI16" s="50"/>
      <c r="CMJ16" s="50"/>
      <c r="CMK16" s="50"/>
      <c r="CML16" s="50"/>
      <c r="CMM16" s="50"/>
      <c r="CMN16" s="50"/>
      <c r="CMO16" s="50"/>
      <c r="CMP16" s="50"/>
      <c r="CMQ16" s="50"/>
      <c r="CMR16" s="50"/>
      <c r="CMS16" s="50"/>
      <c r="CMT16" s="50"/>
      <c r="CMU16" s="50"/>
      <c r="CMV16" s="50"/>
      <c r="CMW16" s="50"/>
      <c r="CMX16" s="50"/>
      <c r="CMY16" s="50"/>
      <c r="CMZ16" s="50"/>
      <c r="CNA16" s="50"/>
      <c r="CNB16" s="50"/>
      <c r="CNC16" s="50"/>
      <c r="CND16" s="50"/>
      <c r="CNE16" s="50"/>
      <c r="CNF16" s="50"/>
      <c r="CNG16" s="50"/>
      <c r="CNH16" s="50"/>
      <c r="CNI16" s="50"/>
      <c r="CNJ16" s="50"/>
      <c r="CNK16" s="50"/>
      <c r="CNL16" s="50"/>
      <c r="CNM16" s="50"/>
      <c r="CNN16" s="50"/>
      <c r="CNO16" s="50"/>
      <c r="CNP16" s="50"/>
      <c r="CNQ16" s="50"/>
      <c r="CNR16" s="50"/>
      <c r="CNS16" s="50"/>
      <c r="CNT16" s="50"/>
      <c r="CNU16" s="50"/>
      <c r="CNV16" s="50"/>
      <c r="CNW16" s="50"/>
      <c r="CNX16" s="50"/>
      <c r="CNY16" s="50"/>
      <c r="CNZ16" s="50"/>
      <c r="COA16" s="50"/>
      <c r="COB16" s="50"/>
      <c r="COC16" s="50"/>
      <c r="COD16" s="50"/>
      <c r="COE16" s="50"/>
      <c r="COF16" s="50"/>
      <c r="COG16" s="50"/>
      <c r="COH16" s="50"/>
      <c r="COI16" s="50"/>
      <c r="COJ16" s="50"/>
      <c r="COK16" s="50"/>
      <c r="COL16" s="50"/>
      <c r="COM16" s="50"/>
      <c r="CON16" s="50"/>
      <c r="COO16" s="50"/>
      <c r="COP16" s="50"/>
      <c r="COQ16" s="50"/>
      <c r="COR16" s="50"/>
      <c r="COS16" s="50"/>
      <c r="COT16" s="50"/>
      <c r="COU16" s="50"/>
      <c r="COV16" s="50"/>
      <c r="COW16" s="50"/>
      <c r="COX16" s="50"/>
      <c r="COY16" s="50"/>
      <c r="COZ16" s="50"/>
      <c r="CPA16" s="50"/>
      <c r="CPB16" s="50"/>
      <c r="CPC16" s="50"/>
      <c r="CPD16" s="50"/>
      <c r="CPE16" s="50"/>
      <c r="CPF16" s="50"/>
      <c r="CPG16" s="50"/>
      <c r="CPH16" s="50"/>
      <c r="CPI16" s="50"/>
      <c r="CPJ16" s="50"/>
      <c r="CPK16" s="50"/>
      <c r="CPL16" s="50"/>
      <c r="CPM16" s="50"/>
      <c r="CPN16" s="50"/>
      <c r="CPO16" s="50"/>
      <c r="CPP16" s="50"/>
      <c r="CPQ16" s="50"/>
      <c r="CPR16" s="50"/>
      <c r="CPS16" s="50"/>
      <c r="CPT16" s="50"/>
      <c r="CPU16" s="50"/>
      <c r="CPV16" s="50"/>
      <c r="CPW16" s="50"/>
      <c r="CPX16" s="50"/>
      <c r="CPY16" s="50"/>
      <c r="CPZ16" s="50"/>
      <c r="CQA16" s="50"/>
      <c r="CQB16" s="50"/>
      <c r="CQC16" s="50"/>
      <c r="CQD16" s="50"/>
      <c r="CQE16" s="50"/>
      <c r="CQF16" s="50"/>
      <c r="CQG16" s="50"/>
      <c r="CQH16" s="50"/>
      <c r="CQI16" s="50"/>
      <c r="CQJ16" s="50"/>
      <c r="CQK16" s="50"/>
      <c r="CQL16" s="50"/>
      <c r="CQM16" s="50"/>
      <c r="CQN16" s="50"/>
      <c r="CQO16" s="50"/>
      <c r="CQP16" s="50"/>
      <c r="CQQ16" s="50"/>
      <c r="CQR16" s="50"/>
      <c r="CQS16" s="50"/>
      <c r="CQT16" s="50"/>
      <c r="CQU16" s="50"/>
      <c r="CQV16" s="50"/>
      <c r="CQW16" s="50"/>
      <c r="CQX16" s="50"/>
      <c r="CQY16" s="50"/>
      <c r="CQZ16" s="50"/>
      <c r="CRA16" s="50"/>
      <c r="CRB16" s="50"/>
      <c r="CRC16" s="50"/>
      <c r="CRD16" s="50"/>
      <c r="CRE16" s="50"/>
      <c r="CRF16" s="50"/>
      <c r="CRG16" s="50"/>
      <c r="CRH16" s="50"/>
      <c r="CRI16" s="50"/>
      <c r="CRJ16" s="50"/>
      <c r="CRK16" s="50"/>
      <c r="CRL16" s="50"/>
      <c r="CRM16" s="50"/>
      <c r="CRN16" s="50"/>
      <c r="CRO16" s="50"/>
      <c r="CRP16" s="50"/>
      <c r="CRQ16" s="50"/>
      <c r="CRR16" s="50"/>
      <c r="CRS16" s="50"/>
      <c r="CRT16" s="50"/>
      <c r="CRU16" s="50"/>
      <c r="CRV16" s="50"/>
      <c r="CRW16" s="50"/>
      <c r="CRX16" s="50"/>
      <c r="CRY16" s="50"/>
      <c r="CRZ16" s="50"/>
      <c r="CSA16" s="50"/>
      <c r="CSB16" s="50"/>
      <c r="CSC16" s="50"/>
      <c r="CSD16" s="50"/>
      <c r="CSE16" s="50"/>
      <c r="CSF16" s="50"/>
      <c r="CSG16" s="50"/>
      <c r="CSH16" s="50"/>
      <c r="CSI16" s="50"/>
      <c r="CSJ16" s="50"/>
      <c r="CSK16" s="50"/>
      <c r="CSL16" s="50"/>
      <c r="CSM16" s="50"/>
      <c r="CSN16" s="50"/>
      <c r="CSO16" s="50"/>
      <c r="CSP16" s="50"/>
      <c r="CSQ16" s="50"/>
      <c r="CSR16" s="50"/>
      <c r="CSS16" s="50"/>
      <c r="CST16" s="50"/>
      <c r="CSU16" s="50"/>
      <c r="CSV16" s="50"/>
      <c r="CSW16" s="50"/>
      <c r="CSX16" s="50"/>
      <c r="CSY16" s="50"/>
      <c r="CSZ16" s="50"/>
      <c r="CTA16" s="50"/>
      <c r="CTB16" s="50"/>
      <c r="CTC16" s="50"/>
      <c r="CTD16" s="50"/>
      <c r="CTE16" s="50"/>
      <c r="CTF16" s="50"/>
      <c r="CTG16" s="50"/>
      <c r="CTH16" s="50"/>
      <c r="CTI16" s="50"/>
      <c r="CTJ16" s="50"/>
      <c r="CTK16" s="50"/>
      <c r="CTL16" s="50"/>
      <c r="CTM16" s="50"/>
      <c r="CTN16" s="50"/>
      <c r="CTO16" s="50"/>
      <c r="CTP16" s="50"/>
      <c r="CTQ16" s="50"/>
      <c r="CTR16" s="50"/>
      <c r="CTS16" s="50"/>
      <c r="CTT16" s="50"/>
      <c r="CTU16" s="50"/>
      <c r="CTV16" s="50"/>
      <c r="CTW16" s="50"/>
      <c r="CTX16" s="50"/>
      <c r="CTY16" s="50"/>
      <c r="CTZ16" s="50"/>
      <c r="CUA16" s="50"/>
      <c r="CUB16" s="50"/>
      <c r="CUC16" s="50"/>
      <c r="CUD16" s="50"/>
      <c r="CUE16" s="50"/>
      <c r="CUF16" s="50"/>
      <c r="CUG16" s="50"/>
      <c r="CUH16" s="50"/>
      <c r="CUI16" s="50"/>
      <c r="CUJ16" s="50"/>
      <c r="CUK16" s="50"/>
      <c r="CUL16" s="50"/>
      <c r="CUM16" s="50"/>
      <c r="CUN16" s="50"/>
      <c r="CUO16" s="50"/>
      <c r="CUP16" s="50"/>
      <c r="CUQ16" s="50"/>
      <c r="CUR16" s="50"/>
      <c r="CUS16" s="50"/>
      <c r="CUT16" s="50"/>
      <c r="CUU16" s="50"/>
      <c r="CUV16" s="50"/>
      <c r="CUW16" s="50"/>
      <c r="CUX16" s="50"/>
      <c r="CUY16" s="50"/>
      <c r="CUZ16" s="50"/>
      <c r="CVA16" s="50"/>
      <c r="CVB16" s="50"/>
      <c r="CVC16" s="50"/>
      <c r="CVD16" s="50"/>
      <c r="CVE16" s="50"/>
      <c r="CVF16" s="50"/>
      <c r="CVG16" s="50"/>
      <c r="CVH16" s="50"/>
      <c r="CVI16" s="50"/>
      <c r="CVJ16" s="50"/>
      <c r="CVK16" s="50"/>
      <c r="CVL16" s="50"/>
      <c r="CVM16" s="50"/>
      <c r="CVN16" s="50"/>
      <c r="CVO16" s="50"/>
      <c r="CVP16" s="50"/>
      <c r="CVQ16" s="50"/>
      <c r="CVR16" s="50"/>
      <c r="CVS16" s="50"/>
      <c r="CVT16" s="50"/>
      <c r="CVU16" s="50"/>
      <c r="CVV16" s="50"/>
      <c r="CVW16" s="50"/>
      <c r="CVX16" s="50"/>
      <c r="CVY16" s="50"/>
      <c r="CVZ16" s="50"/>
      <c r="CWA16" s="50"/>
      <c r="CWB16" s="50"/>
      <c r="CWC16" s="50"/>
      <c r="CWD16" s="50"/>
      <c r="CWE16" s="50"/>
      <c r="CWF16" s="50"/>
      <c r="CWG16" s="50"/>
      <c r="CWH16" s="50"/>
      <c r="CWI16" s="50"/>
      <c r="CWJ16" s="50"/>
      <c r="CWK16" s="50"/>
      <c r="CWL16" s="50"/>
      <c r="CWM16" s="50"/>
      <c r="CWN16" s="50"/>
      <c r="CWO16" s="50"/>
      <c r="CWP16" s="50"/>
      <c r="CWQ16" s="50"/>
      <c r="CWR16" s="50"/>
      <c r="CWS16" s="50"/>
      <c r="CWT16" s="50"/>
      <c r="CWU16" s="50"/>
      <c r="CWV16" s="50"/>
      <c r="CWW16" s="50"/>
      <c r="CWX16" s="50"/>
      <c r="CWY16" s="50"/>
      <c r="CWZ16" s="50"/>
      <c r="CXA16" s="50"/>
      <c r="CXB16" s="50"/>
      <c r="CXC16" s="50"/>
      <c r="CXD16" s="50"/>
      <c r="CXE16" s="50"/>
      <c r="CXF16" s="50"/>
      <c r="CXG16" s="50"/>
      <c r="CXH16" s="50"/>
      <c r="CXI16" s="50"/>
      <c r="CXJ16" s="50"/>
      <c r="CXK16" s="50"/>
      <c r="CXL16" s="50"/>
      <c r="CXM16" s="50"/>
      <c r="CXN16" s="50"/>
      <c r="CXO16" s="50"/>
      <c r="CXP16" s="50"/>
      <c r="CXQ16" s="50"/>
      <c r="CXR16" s="50"/>
      <c r="CXS16" s="50"/>
      <c r="CXT16" s="50"/>
      <c r="CXU16" s="50"/>
      <c r="CXV16" s="50"/>
      <c r="CXW16" s="50"/>
      <c r="CXX16" s="50"/>
      <c r="CXY16" s="50"/>
      <c r="CXZ16" s="50"/>
      <c r="CYA16" s="50"/>
      <c r="CYB16" s="50"/>
      <c r="CYC16" s="50"/>
      <c r="CYD16" s="50"/>
      <c r="CYE16" s="50"/>
      <c r="CYF16" s="50"/>
      <c r="CYG16" s="50"/>
      <c r="CYH16" s="50"/>
      <c r="CYI16" s="50"/>
      <c r="CYJ16" s="50"/>
      <c r="CYK16" s="50"/>
      <c r="CYL16" s="50"/>
      <c r="CYM16" s="50"/>
      <c r="CYN16" s="50"/>
      <c r="CYO16" s="50"/>
      <c r="CYP16" s="50"/>
      <c r="CYQ16" s="50"/>
      <c r="CYR16" s="50"/>
      <c r="CYS16" s="50"/>
      <c r="CYT16" s="50"/>
      <c r="CYU16" s="50"/>
      <c r="CYV16" s="50"/>
      <c r="CYW16" s="50"/>
      <c r="CYX16" s="50"/>
      <c r="CYY16" s="50"/>
      <c r="CYZ16" s="50"/>
      <c r="CZA16" s="50"/>
      <c r="CZB16" s="50"/>
      <c r="CZC16" s="50"/>
      <c r="CZD16" s="50"/>
      <c r="CZE16" s="50"/>
      <c r="CZF16" s="50"/>
      <c r="CZG16" s="50"/>
      <c r="CZH16" s="50"/>
      <c r="CZI16" s="50"/>
      <c r="CZJ16" s="50"/>
      <c r="CZK16" s="50"/>
      <c r="CZL16" s="50"/>
      <c r="CZM16" s="50"/>
      <c r="CZN16" s="50"/>
      <c r="CZO16" s="50"/>
      <c r="CZP16" s="50"/>
      <c r="CZQ16" s="50"/>
      <c r="CZR16" s="50"/>
      <c r="CZS16" s="50"/>
      <c r="CZT16" s="50"/>
      <c r="CZU16" s="50"/>
      <c r="CZV16" s="50"/>
      <c r="CZW16" s="50"/>
      <c r="CZX16" s="50"/>
      <c r="CZY16" s="50"/>
      <c r="CZZ16" s="50"/>
      <c r="DAA16" s="50"/>
      <c r="DAB16" s="50"/>
      <c r="DAC16" s="50"/>
      <c r="DAD16" s="50"/>
      <c r="DAE16" s="50"/>
      <c r="DAF16" s="50"/>
      <c r="DAG16" s="50"/>
      <c r="DAH16" s="50"/>
      <c r="DAI16" s="50"/>
      <c r="DAJ16" s="50"/>
      <c r="DAK16" s="50"/>
      <c r="DAL16" s="50"/>
      <c r="DAM16" s="50"/>
      <c r="DAN16" s="50"/>
      <c r="DAO16" s="50"/>
      <c r="DAP16" s="50"/>
      <c r="DAQ16" s="50"/>
      <c r="DAR16" s="50"/>
      <c r="DAS16" s="50"/>
      <c r="DAT16" s="50"/>
      <c r="DAU16" s="50"/>
      <c r="DAV16" s="50"/>
      <c r="DAW16" s="50"/>
      <c r="DAX16" s="50"/>
      <c r="DAY16" s="50"/>
      <c r="DAZ16" s="50"/>
      <c r="DBA16" s="50"/>
      <c r="DBB16" s="50"/>
      <c r="DBC16" s="50"/>
      <c r="DBD16" s="50"/>
      <c r="DBE16" s="50"/>
      <c r="DBF16" s="50"/>
      <c r="DBG16" s="50"/>
      <c r="DBH16" s="50"/>
      <c r="DBI16" s="50"/>
      <c r="DBJ16" s="50"/>
      <c r="DBK16" s="50"/>
      <c r="DBL16" s="50"/>
      <c r="DBM16" s="50"/>
      <c r="DBN16" s="50"/>
      <c r="DBO16" s="50"/>
      <c r="DBP16" s="50"/>
      <c r="DBQ16" s="50"/>
      <c r="DBR16" s="50"/>
      <c r="DBS16" s="50"/>
      <c r="DBT16" s="50"/>
      <c r="DBU16" s="50"/>
      <c r="DBV16" s="50"/>
      <c r="DBW16" s="50"/>
      <c r="DBX16" s="50"/>
      <c r="DBY16" s="50"/>
      <c r="DBZ16" s="50"/>
      <c r="DCA16" s="50"/>
      <c r="DCB16" s="50"/>
      <c r="DCC16" s="50"/>
      <c r="DCD16" s="50"/>
      <c r="DCE16" s="50"/>
      <c r="DCF16" s="50"/>
      <c r="DCG16" s="50"/>
      <c r="DCH16" s="50"/>
      <c r="DCI16" s="50"/>
      <c r="DCJ16" s="50"/>
      <c r="DCK16" s="50"/>
      <c r="DCL16" s="50"/>
      <c r="DCM16" s="50"/>
      <c r="DCN16" s="50"/>
      <c r="DCO16" s="50"/>
      <c r="DCP16" s="50"/>
      <c r="DCQ16" s="50"/>
      <c r="DCR16" s="50"/>
      <c r="DCS16" s="50"/>
      <c r="DCT16" s="50"/>
      <c r="DCU16" s="50"/>
      <c r="DCV16" s="50"/>
      <c r="DCW16" s="50"/>
      <c r="DCX16" s="50"/>
      <c r="DCY16" s="50"/>
      <c r="DCZ16" s="50"/>
      <c r="DDA16" s="50"/>
      <c r="DDB16" s="50"/>
      <c r="DDC16" s="50"/>
      <c r="DDD16" s="50"/>
      <c r="DDE16" s="50"/>
      <c r="DDF16" s="50"/>
      <c r="DDG16" s="50"/>
      <c r="DDH16" s="50"/>
      <c r="DDI16" s="50"/>
      <c r="DDJ16" s="50"/>
      <c r="DDK16" s="50"/>
      <c r="DDL16" s="50"/>
      <c r="DDM16" s="50"/>
      <c r="DDN16" s="50"/>
      <c r="DDO16" s="50"/>
      <c r="DDP16" s="50"/>
      <c r="DDQ16" s="50"/>
      <c r="DDR16" s="50"/>
      <c r="DDS16" s="50"/>
      <c r="DDT16" s="50"/>
      <c r="DDU16" s="50"/>
      <c r="DDV16" s="50"/>
      <c r="DDW16" s="50"/>
      <c r="DDX16" s="50"/>
      <c r="DDY16" s="50"/>
      <c r="DDZ16" s="50"/>
      <c r="DEA16" s="50"/>
      <c r="DEB16" s="50"/>
      <c r="DEC16" s="50"/>
      <c r="DED16" s="50"/>
      <c r="DEE16" s="50"/>
      <c r="DEF16" s="50"/>
      <c r="DEG16" s="50"/>
      <c r="DEH16" s="50"/>
      <c r="DEI16" s="50"/>
      <c r="DEJ16" s="50"/>
      <c r="DEK16" s="50"/>
      <c r="DEL16" s="50"/>
      <c r="DEM16" s="50"/>
      <c r="DEN16" s="50"/>
      <c r="DEO16" s="50"/>
      <c r="DEP16" s="50"/>
      <c r="DEQ16" s="50"/>
      <c r="DER16" s="50"/>
      <c r="DES16" s="50"/>
      <c r="DET16" s="50"/>
      <c r="DEU16" s="50"/>
      <c r="DEV16" s="50"/>
      <c r="DEW16" s="50"/>
      <c r="DEX16" s="50"/>
      <c r="DEY16" s="50"/>
      <c r="DEZ16" s="50"/>
      <c r="DFA16" s="50"/>
      <c r="DFB16" s="50"/>
      <c r="DFC16" s="50"/>
      <c r="DFD16" s="50"/>
      <c r="DFE16" s="50"/>
      <c r="DFF16" s="50"/>
      <c r="DFG16" s="50"/>
      <c r="DFH16" s="50"/>
      <c r="DFI16" s="50"/>
      <c r="DFJ16" s="50"/>
      <c r="DFK16" s="50"/>
      <c r="DFL16" s="50"/>
      <c r="DFM16" s="50"/>
      <c r="DFN16" s="50"/>
      <c r="DFO16" s="50"/>
      <c r="DFP16" s="50"/>
      <c r="DFQ16" s="50"/>
      <c r="DFR16" s="50"/>
      <c r="DFS16" s="50"/>
      <c r="DFT16" s="50"/>
      <c r="DFU16" s="50"/>
      <c r="DFV16" s="50"/>
      <c r="DFW16" s="50"/>
      <c r="DFX16" s="50"/>
      <c r="DFY16" s="50"/>
      <c r="DFZ16" s="50"/>
      <c r="DGA16" s="50"/>
      <c r="DGB16" s="50"/>
      <c r="DGC16" s="50"/>
      <c r="DGD16" s="50"/>
      <c r="DGE16" s="50"/>
      <c r="DGF16" s="50"/>
      <c r="DGG16" s="50"/>
      <c r="DGH16" s="50"/>
      <c r="DGI16" s="50"/>
      <c r="DGJ16" s="50"/>
      <c r="DGK16" s="50"/>
      <c r="DGL16" s="50"/>
      <c r="DGM16" s="50"/>
      <c r="DGN16" s="50"/>
      <c r="DGO16" s="50"/>
      <c r="DGP16" s="50"/>
      <c r="DGQ16" s="50"/>
      <c r="DGR16" s="50"/>
      <c r="DGS16" s="50"/>
      <c r="DGT16" s="50"/>
      <c r="DGU16" s="50"/>
      <c r="DGV16" s="50"/>
      <c r="DGW16" s="50"/>
      <c r="DGX16" s="50"/>
      <c r="DGY16" s="50"/>
      <c r="DGZ16" s="50"/>
      <c r="DHA16" s="50"/>
      <c r="DHB16" s="50"/>
      <c r="DHC16" s="50"/>
      <c r="DHD16" s="50"/>
      <c r="DHE16" s="50"/>
      <c r="DHF16" s="50"/>
      <c r="DHG16" s="50"/>
      <c r="DHH16" s="50"/>
      <c r="DHI16" s="50"/>
      <c r="DHJ16" s="50"/>
      <c r="DHK16" s="50"/>
      <c r="DHL16" s="50"/>
      <c r="DHM16" s="50"/>
      <c r="DHN16" s="50"/>
      <c r="DHO16" s="50"/>
      <c r="DHP16" s="50"/>
      <c r="DHQ16" s="50"/>
      <c r="DHR16" s="50"/>
      <c r="DHS16" s="50"/>
      <c r="DHT16" s="50"/>
      <c r="DHU16" s="50"/>
      <c r="DHV16" s="50"/>
      <c r="DHW16" s="50"/>
      <c r="DHX16" s="50"/>
      <c r="DHY16" s="50"/>
      <c r="DHZ16" s="50"/>
      <c r="DIA16" s="50"/>
      <c r="DIB16" s="50"/>
      <c r="DIC16" s="50"/>
      <c r="DID16" s="50"/>
      <c r="DIE16" s="50"/>
      <c r="DIF16" s="50"/>
      <c r="DIG16" s="50"/>
      <c r="DIH16" s="50"/>
      <c r="DII16" s="50"/>
      <c r="DIJ16" s="50"/>
      <c r="DIK16" s="50"/>
      <c r="DIL16" s="50"/>
      <c r="DIM16" s="50"/>
      <c r="DIN16" s="50"/>
      <c r="DIO16" s="50"/>
      <c r="DIP16" s="50"/>
      <c r="DIQ16" s="50"/>
      <c r="DIR16" s="50"/>
      <c r="DIS16" s="50"/>
      <c r="DIT16" s="50"/>
      <c r="DIU16" s="50"/>
      <c r="DIV16" s="50"/>
      <c r="DIW16" s="50"/>
      <c r="DIX16" s="50"/>
      <c r="DIY16" s="50"/>
      <c r="DIZ16" s="50"/>
      <c r="DJA16" s="50"/>
      <c r="DJB16" s="50"/>
      <c r="DJC16" s="50"/>
      <c r="DJD16" s="50"/>
      <c r="DJE16" s="50"/>
      <c r="DJF16" s="50"/>
      <c r="DJG16" s="50"/>
      <c r="DJH16" s="50"/>
      <c r="DJI16" s="50"/>
      <c r="DJJ16" s="50"/>
      <c r="DJK16" s="50"/>
      <c r="DJL16" s="50"/>
      <c r="DJM16" s="50"/>
      <c r="DJN16" s="50"/>
      <c r="DJO16" s="50"/>
      <c r="DJP16" s="50"/>
      <c r="DJQ16" s="50"/>
      <c r="DJR16" s="50"/>
      <c r="DJS16" s="50"/>
      <c r="DJT16" s="50"/>
      <c r="DJU16" s="50"/>
      <c r="DJV16" s="50"/>
      <c r="DJW16" s="50"/>
      <c r="DJX16" s="50"/>
      <c r="DJY16" s="50"/>
      <c r="DJZ16" s="50"/>
      <c r="DKA16" s="50"/>
      <c r="DKB16" s="50"/>
      <c r="DKC16" s="50"/>
      <c r="DKD16" s="50"/>
      <c r="DKE16" s="50"/>
      <c r="DKF16" s="50"/>
      <c r="DKG16" s="50"/>
      <c r="DKH16" s="50"/>
      <c r="DKI16" s="50"/>
      <c r="DKJ16" s="50"/>
      <c r="DKK16" s="50"/>
      <c r="DKL16" s="50"/>
      <c r="DKM16" s="50"/>
      <c r="DKN16" s="50"/>
      <c r="DKO16" s="50"/>
      <c r="DKP16" s="50"/>
      <c r="DKQ16" s="50"/>
      <c r="DKR16" s="50"/>
      <c r="DKS16" s="50"/>
      <c r="DKT16" s="50"/>
      <c r="DKU16" s="50"/>
      <c r="DKV16" s="50"/>
      <c r="DKW16" s="50"/>
      <c r="DKX16" s="50"/>
      <c r="DKY16" s="50"/>
      <c r="DKZ16" s="50"/>
      <c r="DLA16" s="50"/>
      <c r="DLB16" s="50"/>
      <c r="DLC16" s="50"/>
      <c r="DLD16" s="50"/>
      <c r="DLE16" s="50"/>
      <c r="DLF16" s="50"/>
      <c r="DLG16" s="50"/>
      <c r="DLH16" s="50"/>
      <c r="DLI16" s="50"/>
      <c r="DLJ16" s="50"/>
      <c r="DLK16" s="50"/>
      <c r="DLL16" s="50"/>
      <c r="DLM16" s="50"/>
      <c r="DLN16" s="50"/>
      <c r="DLO16" s="50"/>
      <c r="DLP16" s="50"/>
      <c r="DLQ16" s="50"/>
      <c r="DLR16" s="50"/>
      <c r="DLS16" s="50"/>
      <c r="DLT16" s="50"/>
      <c r="DLU16" s="50"/>
      <c r="DLV16" s="50"/>
      <c r="DLW16" s="50"/>
      <c r="DLX16" s="50"/>
      <c r="DLY16" s="50"/>
      <c r="DLZ16" s="50"/>
      <c r="DMA16" s="50"/>
      <c r="DMB16" s="50"/>
      <c r="DMC16" s="50"/>
      <c r="DMD16" s="50"/>
      <c r="DME16" s="50"/>
      <c r="DMF16" s="50"/>
      <c r="DMG16" s="50"/>
      <c r="DMH16" s="50"/>
      <c r="DMI16" s="50"/>
      <c r="DMJ16" s="50"/>
      <c r="DMK16" s="50"/>
      <c r="DML16" s="50"/>
      <c r="DMM16" s="50"/>
      <c r="DMN16" s="50"/>
      <c r="DMO16" s="50"/>
      <c r="DMP16" s="50"/>
      <c r="DMQ16" s="50"/>
      <c r="DMR16" s="50"/>
      <c r="DMS16" s="50"/>
      <c r="DMT16" s="50"/>
      <c r="DMU16" s="50"/>
      <c r="DMV16" s="50"/>
      <c r="DMW16" s="50"/>
      <c r="DMX16" s="50"/>
      <c r="DMY16" s="50"/>
      <c r="DMZ16" s="50"/>
      <c r="DNA16" s="50"/>
      <c r="DNB16" s="50"/>
      <c r="DNC16" s="50"/>
      <c r="DND16" s="50"/>
      <c r="DNE16" s="50"/>
      <c r="DNF16" s="50"/>
      <c r="DNG16" s="50"/>
      <c r="DNH16" s="50"/>
      <c r="DNI16" s="50"/>
      <c r="DNJ16" s="50"/>
      <c r="DNK16" s="50"/>
      <c r="DNL16" s="50"/>
      <c r="DNM16" s="50"/>
      <c r="DNN16" s="50"/>
      <c r="DNO16" s="50"/>
      <c r="DNP16" s="50"/>
      <c r="DNQ16" s="50"/>
      <c r="DNR16" s="50"/>
      <c r="DNS16" s="50"/>
      <c r="DNT16" s="50"/>
      <c r="DNU16" s="50"/>
      <c r="DNV16" s="50"/>
      <c r="DNW16" s="50"/>
      <c r="DNX16" s="50"/>
      <c r="DNY16" s="50"/>
      <c r="DNZ16" s="50"/>
      <c r="DOA16" s="50"/>
      <c r="DOB16" s="50"/>
      <c r="DOC16" s="50"/>
      <c r="DOD16" s="50"/>
      <c r="DOE16" s="50"/>
      <c r="DOF16" s="50"/>
      <c r="DOG16" s="50"/>
      <c r="DOH16" s="50"/>
      <c r="DOI16" s="50"/>
      <c r="DOJ16" s="50"/>
      <c r="DOK16" s="50"/>
      <c r="DOL16" s="50"/>
      <c r="DOM16" s="50"/>
      <c r="DON16" s="50"/>
      <c r="DOO16" s="50"/>
      <c r="DOP16" s="50"/>
      <c r="DOQ16" s="50"/>
      <c r="DOR16" s="50"/>
      <c r="DOS16" s="50"/>
      <c r="DOT16" s="50"/>
      <c r="DOU16" s="50"/>
      <c r="DOV16" s="50"/>
      <c r="DOW16" s="50"/>
      <c r="DOX16" s="50"/>
      <c r="DOY16" s="50"/>
      <c r="DOZ16" s="50"/>
      <c r="DPA16" s="50"/>
      <c r="DPB16" s="50"/>
      <c r="DPC16" s="50"/>
      <c r="DPD16" s="50"/>
      <c r="DPE16" s="50"/>
      <c r="DPF16" s="50"/>
      <c r="DPG16" s="50"/>
      <c r="DPH16" s="50"/>
      <c r="DPI16" s="50"/>
      <c r="DPJ16" s="50"/>
      <c r="DPK16" s="50"/>
      <c r="DPL16" s="50"/>
      <c r="DPM16" s="50"/>
      <c r="DPN16" s="50"/>
      <c r="DPO16" s="50"/>
      <c r="DPP16" s="50"/>
      <c r="DPQ16" s="50"/>
      <c r="DPR16" s="50"/>
      <c r="DPS16" s="50"/>
      <c r="DPT16" s="50"/>
      <c r="DPU16" s="50"/>
      <c r="DPV16" s="50"/>
      <c r="DPW16" s="50"/>
      <c r="DPX16" s="50"/>
      <c r="DPY16" s="50"/>
      <c r="DPZ16" s="50"/>
      <c r="DQA16" s="50"/>
      <c r="DQB16" s="50"/>
      <c r="DQC16" s="50"/>
      <c r="DQD16" s="50"/>
      <c r="DQE16" s="50"/>
      <c r="DQF16" s="50"/>
      <c r="DQG16" s="50"/>
      <c r="DQH16" s="50"/>
      <c r="DQI16" s="50"/>
      <c r="DQJ16" s="50"/>
      <c r="DQK16" s="50"/>
      <c r="DQL16" s="50"/>
      <c r="DQM16" s="50"/>
      <c r="DQN16" s="50"/>
      <c r="DQO16" s="50"/>
      <c r="DQP16" s="50"/>
      <c r="DQQ16" s="50"/>
      <c r="DQR16" s="50"/>
      <c r="DQS16" s="50"/>
      <c r="DQT16" s="50"/>
      <c r="DQU16" s="50"/>
      <c r="DQV16" s="50"/>
      <c r="DQW16" s="50"/>
      <c r="DQX16" s="50"/>
      <c r="DQY16" s="50"/>
      <c r="DQZ16" s="50"/>
      <c r="DRA16" s="50"/>
      <c r="DRB16" s="50"/>
      <c r="DRC16" s="50"/>
      <c r="DRD16" s="50"/>
      <c r="DRE16" s="50"/>
      <c r="DRF16" s="50"/>
      <c r="DRG16" s="50"/>
      <c r="DRH16" s="50"/>
      <c r="DRI16" s="50"/>
      <c r="DRJ16" s="50"/>
      <c r="DRK16" s="50"/>
      <c r="DRL16" s="50"/>
      <c r="DRM16" s="50"/>
      <c r="DRN16" s="50"/>
      <c r="DRO16" s="50"/>
      <c r="DRP16" s="50"/>
      <c r="DRQ16" s="50"/>
      <c r="DRR16" s="50"/>
      <c r="DRS16" s="50"/>
      <c r="DRT16" s="50"/>
      <c r="DRU16" s="50"/>
      <c r="DRV16" s="50"/>
      <c r="DRW16" s="50"/>
      <c r="DRX16" s="50"/>
      <c r="DRY16" s="50"/>
      <c r="DRZ16" s="50"/>
      <c r="DSA16" s="50"/>
      <c r="DSB16" s="50"/>
      <c r="DSC16" s="50"/>
      <c r="DSD16" s="50"/>
      <c r="DSE16" s="50"/>
      <c r="DSF16" s="50"/>
      <c r="DSG16" s="50"/>
      <c r="DSH16" s="50"/>
      <c r="DSI16" s="50"/>
      <c r="DSJ16" s="50"/>
      <c r="DSK16" s="50"/>
      <c r="DSL16" s="50"/>
      <c r="DSM16" s="50"/>
      <c r="DSN16" s="50"/>
      <c r="DSO16" s="50"/>
      <c r="DSP16" s="50"/>
      <c r="DSQ16" s="50"/>
      <c r="DSR16" s="50"/>
      <c r="DSS16" s="50"/>
      <c r="DST16" s="50"/>
      <c r="DSU16" s="50"/>
      <c r="DSV16" s="50"/>
      <c r="DSW16" s="50"/>
      <c r="DSX16" s="50"/>
      <c r="DSY16" s="50"/>
      <c r="DSZ16" s="50"/>
      <c r="DTA16" s="50"/>
      <c r="DTB16" s="50"/>
      <c r="DTC16" s="50"/>
      <c r="DTD16" s="50"/>
      <c r="DTE16" s="50"/>
      <c r="DTF16" s="50"/>
      <c r="DTG16" s="50"/>
      <c r="DTH16" s="50"/>
      <c r="DTI16" s="50"/>
      <c r="DTJ16" s="50"/>
      <c r="DTK16" s="50"/>
      <c r="DTL16" s="50"/>
      <c r="DTM16" s="50"/>
      <c r="DTN16" s="50"/>
      <c r="DTO16" s="50"/>
      <c r="DTP16" s="50"/>
      <c r="DTQ16" s="50"/>
      <c r="DTR16" s="50"/>
      <c r="DTS16" s="50"/>
      <c r="DTT16" s="50"/>
      <c r="DTU16" s="50"/>
      <c r="DTV16" s="50"/>
      <c r="DTW16" s="50"/>
      <c r="DTX16" s="50"/>
      <c r="DTY16" s="50"/>
      <c r="DTZ16" s="50"/>
      <c r="DUA16" s="50"/>
      <c r="DUB16" s="50"/>
      <c r="DUC16" s="50"/>
      <c r="DUD16" s="50"/>
      <c r="DUE16" s="50"/>
      <c r="DUF16" s="50"/>
      <c r="DUG16" s="50"/>
      <c r="DUH16" s="50"/>
      <c r="DUI16" s="50"/>
      <c r="DUJ16" s="50"/>
      <c r="DUK16" s="50"/>
      <c r="DUL16" s="50"/>
      <c r="DUM16" s="50"/>
      <c r="DUN16" s="50"/>
      <c r="DUO16" s="50"/>
      <c r="DUP16" s="50"/>
      <c r="DUQ16" s="50"/>
      <c r="DUR16" s="50"/>
      <c r="DUS16" s="50"/>
      <c r="DUT16" s="50"/>
      <c r="DUU16" s="50"/>
      <c r="DUV16" s="50"/>
      <c r="DUW16" s="50"/>
      <c r="DUX16" s="50"/>
      <c r="DUY16" s="50"/>
      <c r="DUZ16" s="50"/>
      <c r="DVA16" s="50"/>
      <c r="DVB16" s="50"/>
      <c r="DVC16" s="50"/>
      <c r="DVD16" s="50"/>
      <c r="DVE16" s="50"/>
      <c r="DVF16" s="50"/>
      <c r="DVG16" s="50"/>
      <c r="DVH16" s="50"/>
      <c r="DVI16" s="50"/>
      <c r="DVJ16" s="50"/>
      <c r="DVK16" s="50"/>
      <c r="DVL16" s="50"/>
      <c r="DVM16" s="50"/>
      <c r="DVN16" s="50"/>
      <c r="DVO16" s="50"/>
      <c r="DVP16" s="50"/>
      <c r="DVQ16" s="50"/>
      <c r="DVR16" s="50"/>
      <c r="DVS16" s="50"/>
      <c r="DVT16" s="50"/>
      <c r="DVU16" s="50"/>
      <c r="DVV16" s="50"/>
      <c r="DVW16" s="50"/>
      <c r="DVX16" s="50"/>
      <c r="DVY16" s="50"/>
      <c r="DVZ16" s="50"/>
      <c r="DWA16" s="50"/>
      <c r="DWB16" s="50"/>
      <c r="DWC16" s="50"/>
      <c r="DWD16" s="50"/>
      <c r="DWE16" s="50"/>
      <c r="DWF16" s="50"/>
      <c r="DWG16" s="50"/>
      <c r="DWH16" s="50"/>
      <c r="DWI16" s="50"/>
      <c r="DWJ16" s="50"/>
      <c r="DWK16" s="50"/>
      <c r="DWL16" s="50"/>
      <c r="DWM16" s="50"/>
      <c r="DWN16" s="50"/>
      <c r="DWO16" s="50"/>
      <c r="DWP16" s="50"/>
      <c r="DWQ16" s="50"/>
      <c r="DWR16" s="50"/>
      <c r="DWS16" s="50"/>
      <c r="DWT16" s="50"/>
      <c r="DWU16" s="50"/>
      <c r="DWV16" s="50"/>
      <c r="DWW16" s="50"/>
      <c r="DWX16" s="50"/>
      <c r="DWY16" s="50"/>
      <c r="DWZ16" s="50"/>
      <c r="DXA16" s="50"/>
      <c r="DXB16" s="50"/>
      <c r="DXC16" s="50"/>
      <c r="DXD16" s="50"/>
      <c r="DXE16" s="50"/>
      <c r="DXF16" s="50"/>
      <c r="DXG16" s="50"/>
      <c r="DXH16" s="50"/>
      <c r="DXI16" s="50"/>
      <c r="DXJ16" s="50"/>
      <c r="DXK16" s="50"/>
      <c r="DXL16" s="50"/>
      <c r="DXM16" s="50"/>
      <c r="DXN16" s="50"/>
      <c r="DXO16" s="50"/>
      <c r="DXP16" s="50"/>
      <c r="DXQ16" s="50"/>
      <c r="DXR16" s="50"/>
      <c r="DXS16" s="50"/>
      <c r="DXT16" s="50"/>
      <c r="DXU16" s="50"/>
      <c r="DXV16" s="50"/>
      <c r="DXW16" s="50"/>
      <c r="DXX16" s="50"/>
      <c r="DXY16" s="50"/>
      <c r="DXZ16" s="50"/>
      <c r="DYA16" s="50"/>
      <c r="DYB16" s="50"/>
      <c r="DYC16" s="50"/>
      <c r="DYD16" s="50"/>
      <c r="DYE16" s="50"/>
      <c r="DYF16" s="50"/>
      <c r="DYG16" s="50"/>
      <c r="DYH16" s="50"/>
      <c r="DYI16" s="50"/>
      <c r="DYJ16" s="50"/>
      <c r="DYK16" s="50"/>
      <c r="DYL16" s="50"/>
      <c r="DYM16" s="50"/>
      <c r="DYN16" s="50"/>
      <c r="DYO16" s="50"/>
      <c r="DYP16" s="50"/>
      <c r="DYQ16" s="50"/>
      <c r="DYR16" s="50"/>
      <c r="DYS16" s="50"/>
      <c r="DYT16" s="50"/>
      <c r="DYU16" s="50"/>
      <c r="DYV16" s="50"/>
      <c r="DYW16" s="50"/>
      <c r="DYX16" s="50"/>
      <c r="DYY16" s="50"/>
      <c r="DYZ16" s="50"/>
      <c r="DZA16" s="50"/>
      <c r="DZB16" s="50"/>
      <c r="DZC16" s="50"/>
      <c r="DZD16" s="50"/>
      <c r="DZE16" s="50"/>
      <c r="DZF16" s="50"/>
      <c r="DZG16" s="50"/>
      <c r="DZH16" s="50"/>
      <c r="DZI16" s="50"/>
      <c r="DZJ16" s="50"/>
      <c r="DZK16" s="50"/>
      <c r="DZL16" s="50"/>
      <c r="DZM16" s="50"/>
      <c r="DZN16" s="50"/>
      <c r="DZO16" s="50"/>
      <c r="DZP16" s="50"/>
      <c r="DZQ16" s="50"/>
      <c r="DZR16" s="50"/>
      <c r="DZS16" s="50"/>
      <c r="DZT16" s="50"/>
      <c r="DZU16" s="50"/>
      <c r="DZV16" s="50"/>
      <c r="DZW16" s="50"/>
      <c r="DZX16" s="50"/>
      <c r="DZY16" s="50"/>
      <c r="DZZ16" s="50"/>
      <c r="EAA16" s="50"/>
      <c r="EAB16" s="50"/>
      <c r="EAC16" s="50"/>
      <c r="EAD16" s="50"/>
      <c r="EAE16" s="50"/>
      <c r="EAF16" s="50"/>
      <c r="EAG16" s="50"/>
      <c r="EAH16" s="50"/>
      <c r="EAI16" s="50"/>
      <c r="EAJ16" s="50"/>
      <c r="EAK16" s="50"/>
      <c r="EAL16" s="50"/>
      <c r="EAM16" s="50"/>
      <c r="EAN16" s="50"/>
      <c r="EAO16" s="50"/>
      <c r="EAP16" s="50"/>
      <c r="EAQ16" s="50"/>
      <c r="EAR16" s="50"/>
      <c r="EAS16" s="50"/>
      <c r="EAT16" s="50"/>
      <c r="EAU16" s="50"/>
      <c r="EAV16" s="50"/>
      <c r="EAW16" s="50"/>
      <c r="EAX16" s="50"/>
      <c r="EAY16" s="50"/>
      <c r="EAZ16" s="50"/>
      <c r="EBA16" s="50"/>
      <c r="EBB16" s="50"/>
      <c r="EBC16" s="50"/>
      <c r="EBD16" s="50"/>
      <c r="EBE16" s="50"/>
      <c r="EBF16" s="50"/>
      <c r="EBG16" s="50"/>
      <c r="EBH16" s="50"/>
      <c r="EBI16" s="50"/>
      <c r="EBJ16" s="50"/>
      <c r="EBK16" s="50"/>
      <c r="EBL16" s="50"/>
      <c r="EBM16" s="50"/>
      <c r="EBN16" s="50"/>
      <c r="EBO16" s="50"/>
      <c r="EBP16" s="50"/>
      <c r="EBQ16" s="50"/>
      <c r="EBR16" s="50"/>
      <c r="EBS16" s="50"/>
      <c r="EBT16" s="50"/>
      <c r="EBU16" s="50"/>
      <c r="EBV16" s="50"/>
      <c r="EBW16" s="50"/>
      <c r="EBX16" s="50"/>
      <c r="EBY16" s="50"/>
      <c r="EBZ16" s="50"/>
      <c r="ECA16" s="50"/>
      <c r="ECB16" s="50"/>
      <c r="ECC16" s="50"/>
      <c r="ECD16" s="50"/>
      <c r="ECE16" s="50"/>
      <c r="ECF16" s="50"/>
      <c r="ECG16" s="50"/>
      <c r="ECH16" s="50"/>
      <c r="ECI16" s="50"/>
      <c r="ECJ16" s="50"/>
      <c r="ECK16" s="50"/>
      <c r="ECL16" s="50"/>
      <c r="ECM16" s="50"/>
      <c r="ECN16" s="50"/>
      <c r="ECO16" s="50"/>
      <c r="ECP16" s="50"/>
      <c r="ECQ16" s="50"/>
      <c r="ECR16" s="50"/>
      <c r="ECS16" s="50"/>
      <c r="ECT16" s="50"/>
      <c r="ECU16" s="50"/>
      <c r="ECV16" s="50"/>
      <c r="ECW16" s="50"/>
      <c r="ECX16" s="50"/>
      <c r="ECY16" s="50"/>
      <c r="ECZ16" s="50"/>
      <c r="EDA16" s="50"/>
      <c r="EDB16" s="50"/>
      <c r="EDC16" s="50"/>
      <c r="EDD16" s="50"/>
      <c r="EDE16" s="50"/>
      <c r="EDF16" s="50"/>
      <c r="EDG16" s="50"/>
      <c r="EDH16" s="50"/>
      <c r="EDI16" s="50"/>
      <c r="EDJ16" s="50"/>
      <c r="EDK16" s="50"/>
      <c r="EDL16" s="50"/>
      <c r="EDM16" s="50"/>
      <c r="EDN16" s="50"/>
      <c r="EDO16" s="50"/>
      <c r="EDP16" s="50"/>
      <c r="EDQ16" s="50"/>
      <c r="EDR16" s="50"/>
      <c r="EDS16" s="50"/>
      <c r="EDT16" s="50"/>
      <c r="EDU16" s="50"/>
      <c r="EDV16" s="50"/>
      <c r="EDW16" s="50"/>
      <c r="EDX16" s="50"/>
      <c r="EDY16" s="50"/>
      <c r="EDZ16" s="50"/>
      <c r="EEA16" s="50"/>
      <c r="EEB16" s="50"/>
      <c r="EEC16" s="50"/>
      <c r="EED16" s="50"/>
      <c r="EEE16" s="50"/>
      <c r="EEF16" s="50"/>
      <c r="EEG16" s="50"/>
      <c r="EEH16" s="50"/>
      <c r="EEI16" s="50"/>
      <c r="EEJ16" s="50"/>
      <c r="EEK16" s="50"/>
      <c r="EEL16" s="50"/>
      <c r="EEM16" s="50"/>
      <c r="EEN16" s="50"/>
      <c r="EEO16" s="50"/>
      <c r="EEP16" s="50"/>
      <c r="EEQ16" s="50"/>
      <c r="EER16" s="50"/>
      <c r="EES16" s="50"/>
      <c r="EET16" s="50"/>
      <c r="EEU16" s="50"/>
      <c r="EEV16" s="50"/>
      <c r="EEW16" s="50"/>
      <c r="EEX16" s="50"/>
      <c r="EEY16" s="50"/>
      <c r="EEZ16" s="50"/>
      <c r="EFA16" s="50"/>
      <c r="EFB16" s="50"/>
      <c r="EFC16" s="50"/>
      <c r="EFD16" s="50"/>
      <c r="EFE16" s="50"/>
      <c r="EFF16" s="50"/>
      <c r="EFG16" s="50"/>
      <c r="EFH16" s="50"/>
      <c r="EFI16" s="50"/>
      <c r="EFJ16" s="50"/>
      <c r="EFK16" s="50"/>
      <c r="EFL16" s="50"/>
      <c r="EFM16" s="50"/>
      <c r="EFN16" s="50"/>
      <c r="EFO16" s="50"/>
      <c r="EFP16" s="50"/>
      <c r="EFQ16" s="50"/>
      <c r="EFR16" s="50"/>
      <c r="EFS16" s="50"/>
      <c r="EFT16" s="50"/>
      <c r="EFU16" s="50"/>
      <c r="EFV16" s="50"/>
      <c r="EFW16" s="50"/>
      <c r="EFX16" s="50"/>
      <c r="EFY16" s="50"/>
      <c r="EFZ16" s="50"/>
      <c r="EGA16" s="50"/>
      <c r="EGB16" s="50"/>
      <c r="EGC16" s="50"/>
      <c r="EGD16" s="50"/>
      <c r="EGE16" s="50"/>
      <c r="EGF16" s="50"/>
      <c r="EGG16" s="50"/>
      <c r="EGH16" s="50"/>
      <c r="EGI16" s="50"/>
      <c r="EGJ16" s="50"/>
      <c r="EGK16" s="50"/>
      <c r="EGL16" s="50"/>
      <c r="EGM16" s="50"/>
      <c r="EGN16" s="50"/>
      <c r="EGO16" s="50"/>
      <c r="EGP16" s="50"/>
      <c r="EGQ16" s="50"/>
      <c r="EGR16" s="50"/>
      <c r="EGS16" s="50"/>
      <c r="EGT16" s="50"/>
      <c r="EGU16" s="50"/>
      <c r="EGV16" s="50"/>
      <c r="EGW16" s="50"/>
      <c r="EGX16" s="50"/>
      <c r="EGY16" s="50"/>
      <c r="EGZ16" s="50"/>
      <c r="EHA16" s="50"/>
      <c r="EHB16" s="50"/>
      <c r="EHC16" s="50"/>
      <c r="EHD16" s="50"/>
      <c r="EHE16" s="50"/>
      <c r="EHF16" s="50"/>
      <c r="EHG16" s="50"/>
      <c r="EHH16" s="50"/>
      <c r="EHI16" s="50"/>
      <c r="EHJ16" s="50"/>
      <c r="EHK16" s="50"/>
      <c r="EHL16" s="50"/>
      <c r="EHM16" s="50"/>
      <c r="EHN16" s="50"/>
      <c r="EHO16" s="50"/>
      <c r="EHP16" s="50"/>
      <c r="EHQ16" s="50"/>
      <c r="EHR16" s="50"/>
      <c r="EHS16" s="50"/>
      <c r="EHT16" s="50"/>
      <c r="EHU16" s="50"/>
      <c r="EHV16" s="50"/>
      <c r="EHW16" s="50"/>
      <c r="EHX16" s="50"/>
      <c r="EHY16" s="50"/>
      <c r="EHZ16" s="50"/>
      <c r="EIA16" s="50"/>
      <c r="EIB16" s="50"/>
      <c r="EIC16" s="50"/>
      <c r="EID16" s="50"/>
      <c r="EIE16" s="50"/>
      <c r="EIF16" s="50"/>
      <c r="EIG16" s="50"/>
      <c r="EIH16" s="50"/>
      <c r="EII16" s="50"/>
      <c r="EIJ16" s="50"/>
      <c r="EIK16" s="50"/>
      <c r="EIL16" s="50"/>
      <c r="EIM16" s="50"/>
      <c r="EIN16" s="50"/>
      <c r="EIO16" s="50"/>
      <c r="EIP16" s="50"/>
      <c r="EIQ16" s="50"/>
      <c r="EIR16" s="50"/>
      <c r="EIS16" s="50"/>
      <c r="EIT16" s="50"/>
      <c r="EIU16" s="50"/>
      <c r="EIV16" s="50"/>
      <c r="EIW16" s="50"/>
      <c r="EIX16" s="50"/>
      <c r="EIY16" s="50"/>
      <c r="EIZ16" s="50"/>
      <c r="EJA16" s="50"/>
      <c r="EJB16" s="50"/>
      <c r="EJC16" s="50"/>
      <c r="EJD16" s="50"/>
      <c r="EJE16" s="50"/>
      <c r="EJF16" s="50"/>
      <c r="EJG16" s="50"/>
      <c r="EJH16" s="50"/>
      <c r="EJI16" s="50"/>
      <c r="EJJ16" s="50"/>
      <c r="EJK16" s="50"/>
      <c r="EJL16" s="50"/>
      <c r="EJM16" s="50"/>
      <c r="EJN16" s="50"/>
      <c r="EJO16" s="50"/>
      <c r="EJP16" s="50"/>
      <c r="EJQ16" s="50"/>
      <c r="EJR16" s="50"/>
      <c r="EJS16" s="50"/>
      <c r="EJT16" s="50"/>
      <c r="EJU16" s="50"/>
      <c r="EJV16" s="50"/>
      <c r="EJW16" s="50"/>
      <c r="EJX16" s="50"/>
      <c r="EJY16" s="50"/>
      <c r="EJZ16" s="50"/>
      <c r="EKA16" s="50"/>
      <c r="EKB16" s="50"/>
      <c r="EKC16" s="50"/>
      <c r="EKD16" s="50"/>
      <c r="EKE16" s="50"/>
      <c r="EKF16" s="50"/>
      <c r="EKG16" s="50"/>
      <c r="EKH16" s="50"/>
      <c r="EKI16" s="50"/>
      <c r="EKJ16" s="50"/>
      <c r="EKK16" s="50"/>
      <c r="EKL16" s="50"/>
      <c r="EKM16" s="50"/>
      <c r="EKN16" s="50"/>
      <c r="EKO16" s="50"/>
      <c r="EKP16" s="50"/>
      <c r="EKQ16" s="50"/>
      <c r="EKR16" s="50"/>
      <c r="EKS16" s="50"/>
      <c r="EKT16" s="50"/>
      <c r="EKU16" s="50"/>
      <c r="EKV16" s="50"/>
      <c r="EKW16" s="50"/>
      <c r="EKX16" s="50"/>
      <c r="EKY16" s="50"/>
      <c r="EKZ16" s="50"/>
      <c r="ELA16" s="50"/>
      <c r="ELB16" s="50"/>
      <c r="ELC16" s="50"/>
      <c r="ELD16" s="50"/>
      <c r="ELE16" s="50"/>
      <c r="ELF16" s="50"/>
      <c r="ELG16" s="50"/>
      <c r="ELH16" s="50"/>
      <c r="ELI16" s="50"/>
      <c r="ELJ16" s="50"/>
      <c r="ELK16" s="50"/>
      <c r="ELL16" s="50"/>
      <c r="ELM16" s="50"/>
      <c r="ELN16" s="50"/>
      <c r="ELO16" s="50"/>
      <c r="ELP16" s="50"/>
      <c r="ELQ16" s="50"/>
      <c r="ELR16" s="50"/>
      <c r="ELS16" s="50"/>
      <c r="ELT16" s="50"/>
      <c r="ELU16" s="50"/>
      <c r="ELV16" s="50"/>
      <c r="ELW16" s="50"/>
      <c r="ELX16" s="50"/>
      <c r="ELY16" s="50"/>
      <c r="ELZ16" s="50"/>
      <c r="EMA16" s="50"/>
      <c r="EMB16" s="50"/>
      <c r="EMC16" s="50"/>
      <c r="EMD16" s="50"/>
      <c r="EME16" s="50"/>
      <c r="EMF16" s="50"/>
      <c r="EMG16" s="50"/>
      <c r="EMH16" s="50"/>
      <c r="EMI16" s="50"/>
      <c r="EMJ16" s="50"/>
      <c r="EMK16" s="50"/>
      <c r="EML16" s="50"/>
      <c r="EMM16" s="50"/>
      <c r="EMN16" s="50"/>
      <c r="EMO16" s="50"/>
      <c r="EMP16" s="50"/>
      <c r="EMQ16" s="50"/>
      <c r="EMR16" s="50"/>
      <c r="EMS16" s="50"/>
      <c r="EMT16" s="50"/>
      <c r="EMU16" s="50"/>
      <c r="EMV16" s="50"/>
      <c r="EMW16" s="50"/>
      <c r="EMX16" s="50"/>
      <c r="EMY16" s="50"/>
      <c r="EMZ16" s="50"/>
      <c r="ENA16" s="50"/>
      <c r="ENB16" s="50"/>
      <c r="ENC16" s="50"/>
      <c r="END16" s="50"/>
      <c r="ENE16" s="50"/>
      <c r="ENF16" s="50"/>
      <c r="ENG16" s="50"/>
      <c r="ENH16" s="50"/>
      <c r="ENI16" s="50"/>
      <c r="ENJ16" s="50"/>
      <c r="ENK16" s="50"/>
      <c r="ENL16" s="50"/>
      <c r="ENM16" s="50"/>
      <c r="ENN16" s="50"/>
      <c r="ENO16" s="50"/>
      <c r="ENP16" s="50"/>
      <c r="ENQ16" s="50"/>
      <c r="ENR16" s="50"/>
      <c r="ENS16" s="50"/>
      <c r="ENT16" s="50"/>
      <c r="ENU16" s="50"/>
      <c r="ENV16" s="50"/>
      <c r="ENW16" s="50"/>
      <c r="ENX16" s="50"/>
      <c r="ENY16" s="50"/>
      <c r="ENZ16" s="50"/>
      <c r="EOA16" s="50"/>
      <c r="EOB16" s="50"/>
      <c r="EOC16" s="50"/>
      <c r="EOD16" s="50"/>
      <c r="EOE16" s="50"/>
      <c r="EOF16" s="50"/>
      <c r="EOG16" s="50"/>
      <c r="EOH16" s="50"/>
      <c r="EOI16" s="50"/>
      <c r="EOJ16" s="50"/>
      <c r="EOK16" s="50"/>
      <c r="EOL16" s="50"/>
      <c r="EOM16" s="50"/>
      <c r="EON16" s="50"/>
      <c r="EOO16" s="50"/>
      <c r="EOP16" s="50"/>
      <c r="EOQ16" s="50"/>
      <c r="EOR16" s="50"/>
      <c r="EOS16" s="50"/>
      <c r="EOT16" s="50"/>
      <c r="EOU16" s="50"/>
      <c r="EOV16" s="50"/>
      <c r="EOW16" s="50"/>
      <c r="EOX16" s="50"/>
      <c r="EOY16" s="50"/>
      <c r="EOZ16" s="50"/>
      <c r="EPA16" s="50"/>
      <c r="EPB16" s="50"/>
      <c r="EPC16" s="50"/>
      <c r="EPD16" s="50"/>
      <c r="EPE16" s="50"/>
      <c r="EPF16" s="50"/>
      <c r="EPG16" s="50"/>
      <c r="EPH16" s="50"/>
      <c r="EPI16" s="50"/>
      <c r="EPJ16" s="50"/>
      <c r="EPK16" s="50"/>
      <c r="EPL16" s="50"/>
      <c r="EPM16" s="50"/>
      <c r="EPN16" s="50"/>
      <c r="EPO16" s="50"/>
      <c r="EPP16" s="50"/>
      <c r="EPQ16" s="50"/>
      <c r="EPR16" s="50"/>
      <c r="EPS16" s="50"/>
      <c r="EPT16" s="50"/>
      <c r="EPU16" s="50"/>
      <c r="EPV16" s="50"/>
      <c r="EPW16" s="50"/>
      <c r="EPX16" s="50"/>
      <c r="EPY16" s="50"/>
      <c r="EPZ16" s="50"/>
      <c r="EQA16" s="50"/>
      <c r="EQB16" s="50"/>
      <c r="EQC16" s="50"/>
      <c r="EQD16" s="50"/>
      <c r="EQE16" s="50"/>
      <c r="EQF16" s="50"/>
      <c r="EQG16" s="50"/>
      <c r="EQH16" s="50"/>
      <c r="EQI16" s="50"/>
      <c r="EQJ16" s="50"/>
      <c r="EQK16" s="50"/>
      <c r="EQL16" s="50"/>
      <c r="EQM16" s="50"/>
      <c r="EQN16" s="50"/>
      <c r="EQO16" s="50"/>
      <c r="EQP16" s="50"/>
      <c r="EQQ16" s="50"/>
      <c r="EQR16" s="50"/>
      <c r="EQS16" s="50"/>
      <c r="EQT16" s="50"/>
      <c r="EQU16" s="50"/>
      <c r="EQV16" s="50"/>
      <c r="EQW16" s="50"/>
      <c r="EQX16" s="50"/>
      <c r="EQY16" s="50"/>
      <c r="EQZ16" s="50"/>
      <c r="ERA16" s="50"/>
      <c r="ERB16" s="50"/>
      <c r="ERC16" s="50"/>
      <c r="ERD16" s="50"/>
      <c r="ERE16" s="50"/>
      <c r="ERF16" s="50"/>
      <c r="ERG16" s="50"/>
      <c r="ERH16" s="50"/>
      <c r="ERI16" s="50"/>
      <c r="ERJ16" s="50"/>
      <c r="ERK16" s="50"/>
      <c r="ERL16" s="50"/>
      <c r="ERM16" s="50"/>
      <c r="ERN16" s="50"/>
      <c r="ERO16" s="50"/>
      <c r="ERP16" s="50"/>
      <c r="ERQ16" s="50"/>
      <c r="ERR16" s="50"/>
      <c r="ERS16" s="50"/>
      <c r="ERT16" s="50"/>
      <c r="ERU16" s="50"/>
      <c r="ERV16" s="50"/>
      <c r="ERW16" s="50"/>
      <c r="ERX16" s="50"/>
      <c r="ERY16" s="50"/>
      <c r="ERZ16" s="50"/>
      <c r="ESA16" s="50"/>
      <c r="ESB16" s="50"/>
      <c r="ESC16" s="50"/>
      <c r="ESD16" s="50"/>
      <c r="ESE16" s="50"/>
      <c r="ESF16" s="50"/>
      <c r="ESG16" s="50"/>
      <c r="ESH16" s="50"/>
      <c r="ESI16" s="50"/>
      <c r="ESJ16" s="50"/>
      <c r="ESK16" s="50"/>
      <c r="ESL16" s="50"/>
      <c r="ESM16" s="50"/>
      <c r="ESN16" s="50"/>
      <c r="ESO16" s="50"/>
      <c r="ESP16" s="50"/>
      <c r="ESQ16" s="50"/>
      <c r="ESR16" s="50"/>
      <c r="ESS16" s="50"/>
      <c r="EST16" s="50"/>
      <c r="ESU16" s="50"/>
      <c r="ESV16" s="50"/>
      <c r="ESW16" s="50"/>
      <c r="ESX16" s="50"/>
      <c r="ESY16" s="50"/>
      <c r="ESZ16" s="50"/>
      <c r="ETA16" s="50"/>
      <c r="ETB16" s="50"/>
      <c r="ETC16" s="50"/>
      <c r="ETD16" s="50"/>
      <c r="ETE16" s="50"/>
      <c r="ETF16" s="50"/>
      <c r="ETG16" s="50"/>
      <c r="ETH16" s="50"/>
      <c r="ETI16" s="50"/>
      <c r="ETJ16" s="50"/>
      <c r="ETK16" s="50"/>
      <c r="ETL16" s="50"/>
      <c r="ETM16" s="50"/>
      <c r="ETN16" s="50"/>
      <c r="ETO16" s="50"/>
      <c r="ETP16" s="50"/>
      <c r="ETQ16" s="50"/>
      <c r="ETR16" s="50"/>
      <c r="ETS16" s="50"/>
      <c r="ETT16" s="50"/>
      <c r="ETU16" s="50"/>
      <c r="ETV16" s="50"/>
      <c r="ETW16" s="50"/>
      <c r="ETX16" s="50"/>
      <c r="ETY16" s="50"/>
      <c r="ETZ16" s="50"/>
      <c r="EUA16" s="50"/>
      <c r="EUB16" s="50"/>
      <c r="EUC16" s="50"/>
      <c r="EUD16" s="50"/>
      <c r="EUE16" s="50"/>
      <c r="EUF16" s="50"/>
      <c r="EUG16" s="50"/>
      <c r="EUH16" s="50"/>
      <c r="EUI16" s="50"/>
      <c r="EUJ16" s="50"/>
      <c r="EUK16" s="50"/>
      <c r="EUL16" s="50"/>
      <c r="EUM16" s="50"/>
      <c r="EUN16" s="50"/>
      <c r="EUO16" s="50"/>
      <c r="EUP16" s="50"/>
      <c r="EUQ16" s="50"/>
      <c r="EUR16" s="50"/>
      <c r="EUS16" s="50"/>
      <c r="EUT16" s="50"/>
      <c r="EUU16" s="50"/>
      <c r="EUV16" s="50"/>
      <c r="EUW16" s="50"/>
      <c r="EUX16" s="50"/>
      <c r="EUY16" s="50"/>
      <c r="EUZ16" s="50"/>
      <c r="EVA16" s="50"/>
      <c r="EVB16" s="50"/>
      <c r="EVC16" s="50"/>
      <c r="EVD16" s="50"/>
      <c r="EVE16" s="50"/>
      <c r="EVF16" s="50"/>
      <c r="EVG16" s="50"/>
      <c r="EVH16" s="50"/>
      <c r="EVI16" s="50"/>
      <c r="EVJ16" s="50"/>
      <c r="EVK16" s="50"/>
      <c r="EVL16" s="50"/>
      <c r="EVM16" s="50"/>
      <c r="EVN16" s="50"/>
      <c r="EVO16" s="50"/>
      <c r="EVP16" s="50"/>
      <c r="EVQ16" s="50"/>
      <c r="EVR16" s="50"/>
      <c r="EVS16" s="50"/>
      <c r="EVT16" s="50"/>
      <c r="EVU16" s="50"/>
      <c r="EVV16" s="50"/>
      <c r="EVW16" s="50"/>
      <c r="EVX16" s="50"/>
      <c r="EVY16" s="50"/>
      <c r="EVZ16" s="50"/>
      <c r="EWA16" s="50"/>
      <c r="EWB16" s="50"/>
      <c r="EWC16" s="50"/>
      <c r="EWD16" s="50"/>
      <c r="EWE16" s="50"/>
      <c r="EWF16" s="50"/>
      <c r="EWG16" s="50"/>
      <c r="EWH16" s="50"/>
      <c r="EWI16" s="50"/>
      <c r="EWJ16" s="50"/>
      <c r="EWK16" s="50"/>
      <c r="EWL16" s="50"/>
      <c r="EWM16" s="50"/>
      <c r="EWN16" s="50"/>
      <c r="EWO16" s="50"/>
      <c r="EWP16" s="50"/>
      <c r="EWQ16" s="50"/>
      <c r="EWR16" s="50"/>
      <c r="EWS16" s="50"/>
      <c r="EWT16" s="50"/>
      <c r="EWU16" s="50"/>
      <c r="EWV16" s="50"/>
      <c r="EWW16" s="50"/>
      <c r="EWX16" s="50"/>
      <c r="EWY16" s="50"/>
      <c r="EWZ16" s="50"/>
      <c r="EXA16" s="50"/>
      <c r="EXB16" s="50"/>
      <c r="EXC16" s="50"/>
      <c r="EXD16" s="50"/>
      <c r="EXE16" s="50"/>
      <c r="EXF16" s="50"/>
      <c r="EXG16" s="50"/>
      <c r="EXH16" s="50"/>
      <c r="EXI16" s="50"/>
      <c r="EXJ16" s="50"/>
      <c r="EXK16" s="50"/>
      <c r="EXL16" s="50"/>
      <c r="EXM16" s="50"/>
      <c r="EXN16" s="50"/>
      <c r="EXO16" s="50"/>
      <c r="EXP16" s="50"/>
      <c r="EXQ16" s="50"/>
      <c r="EXR16" s="50"/>
      <c r="EXS16" s="50"/>
      <c r="EXT16" s="50"/>
      <c r="EXU16" s="50"/>
      <c r="EXV16" s="50"/>
      <c r="EXW16" s="50"/>
      <c r="EXX16" s="50"/>
      <c r="EXY16" s="50"/>
      <c r="EXZ16" s="50"/>
      <c r="EYA16" s="50"/>
      <c r="EYB16" s="50"/>
      <c r="EYC16" s="50"/>
      <c r="EYD16" s="50"/>
      <c r="EYE16" s="50"/>
      <c r="EYF16" s="50"/>
      <c r="EYG16" s="50"/>
      <c r="EYH16" s="50"/>
      <c r="EYI16" s="50"/>
      <c r="EYJ16" s="50"/>
      <c r="EYK16" s="50"/>
      <c r="EYL16" s="50"/>
      <c r="EYM16" s="50"/>
      <c r="EYN16" s="50"/>
      <c r="EYO16" s="50"/>
      <c r="EYP16" s="50"/>
      <c r="EYQ16" s="50"/>
      <c r="EYR16" s="50"/>
      <c r="EYS16" s="50"/>
      <c r="EYT16" s="50"/>
      <c r="EYU16" s="50"/>
      <c r="EYV16" s="50"/>
      <c r="EYW16" s="50"/>
      <c r="EYX16" s="50"/>
      <c r="EYY16" s="50"/>
      <c r="EYZ16" s="50"/>
      <c r="EZA16" s="50"/>
      <c r="EZB16" s="50"/>
      <c r="EZC16" s="50"/>
      <c r="EZD16" s="50"/>
      <c r="EZE16" s="50"/>
      <c r="EZF16" s="50"/>
      <c r="EZG16" s="50"/>
      <c r="EZH16" s="50"/>
      <c r="EZI16" s="50"/>
      <c r="EZJ16" s="50"/>
      <c r="EZK16" s="50"/>
      <c r="EZL16" s="50"/>
      <c r="EZM16" s="50"/>
      <c r="EZN16" s="50"/>
      <c r="EZO16" s="50"/>
      <c r="EZP16" s="50"/>
      <c r="EZQ16" s="50"/>
      <c r="EZR16" s="50"/>
      <c r="EZS16" s="50"/>
      <c r="EZT16" s="50"/>
      <c r="EZU16" s="50"/>
      <c r="EZV16" s="50"/>
      <c r="EZW16" s="50"/>
      <c r="EZX16" s="50"/>
      <c r="EZY16" s="50"/>
      <c r="EZZ16" s="50"/>
      <c r="FAA16" s="50"/>
      <c r="FAB16" s="50"/>
      <c r="FAC16" s="50"/>
      <c r="FAD16" s="50"/>
      <c r="FAE16" s="50"/>
      <c r="FAF16" s="50"/>
      <c r="FAG16" s="50"/>
      <c r="FAH16" s="50"/>
      <c r="FAI16" s="50"/>
      <c r="FAJ16" s="50"/>
      <c r="FAK16" s="50"/>
      <c r="FAL16" s="50"/>
      <c r="FAM16" s="50"/>
      <c r="FAN16" s="50"/>
      <c r="FAO16" s="50"/>
      <c r="FAP16" s="50"/>
      <c r="FAQ16" s="50"/>
      <c r="FAR16" s="50"/>
      <c r="FAS16" s="50"/>
      <c r="FAT16" s="50"/>
      <c r="FAU16" s="50"/>
      <c r="FAV16" s="50"/>
      <c r="FAW16" s="50"/>
      <c r="FAX16" s="50"/>
      <c r="FAY16" s="50"/>
      <c r="FAZ16" s="50"/>
      <c r="FBA16" s="50"/>
      <c r="FBB16" s="50"/>
      <c r="FBC16" s="50"/>
      <c r="FBD16" s="50"/>
      <c r="FBE16" s="50"/>
      <c r="FBF16" s="50"/>
      <c r="FBG16" s="50"/>
      <c r="FBH16" s="50"/>
      <c r="FBI16" s="50"/>
      <c r="FBJ16" s="50"/>
      <c r="FBK16" s="50"/>
      <c r="FBL16" s="50"/>
      <c r="FBM16" s="50"/>
      <c r="FBN16" s="50"/>
      <c r="FBO16" s="50"/>
      <c r="FBP16" s="50"/>
      <c r="FBQ16" s="50"/>
      <c r="FBR16" s="50"/>
      <c r="FBS16" s="50"/>
      <c r="FBT16" s="50"/>
      <c r="FBU16" s="50"/>
      <c r="FBV16" s="50"/>
      <c r="FBW16" s="50"/>
      <c r="FBX16" s="50"/>
      <c r="FBY16" s="50"/>
      <c r="FBZ16" s="50"/>
      <c r="FCA16" s="50"/>
      <c r="FCB16" s="50"/>
      <c r="FCC16" s="50"/>
      <c r="FCD16" s="50"/>
      <c r="FCE16" s="50"/>
      <c r="FCF16" s="50"/>
      <c r="FCG16" s="50"/>
      <c r="FCH16" s="50"/>
      <c r="FCI16" s="50"/>
      <c r="FCJ16" s="50"/>
      <c r="FCK16" s="50"/>
      <c r="FCL16" s="50"/>
      <c r="FCM16" s="50"/>
      <c r="FCN16" s="50"/>
      <c r="FCO16" s="50"/>
      <c r="FCP16" s="50"/>
      <c r="FCQ16" s="50"/>
      <c r="FCR16" s="50"/>
      <c r="FCS16" s="50"/>
      <c r="FCT16" s="50"/>
      <c r="FCU16" s="50"/>
      <c r="FCV16" s="50"/>
      <c r="FCW16" s="50"/>
      <c r="FCX16" s="50"/>
      <c r="FCY16" s="50"/>
      <c r="FCZ16" s="50"/>
      <c r="FDA16" s="50"/>
      <c r="FDB16" s="50"/>
      <c r="FDC16" s="50"/>
      <c r="FDD16" s="50"/>
      <c r="FDE16" s="50"/>
      <c r="FDF16" s="50"/>
      <c r="FDG16" s="50"/>
      <c r="FDH16" s="50"/>
      <c r="FDI16" s="50"/>
      <c r="FDJ16" s="50"/>
      <c r="FDK16" s="50"/>
      <c r="FDL16" s="50"/>
      <c r="FDM16" s="50"/>
      <c r="FDN16" s="50"/>
      <c r="FDO16" s="50"/>
      <c r="FDP16" s="50"/>
      <c r="FDQ16" s="50"/>
      <c r="FDR16" s="50"/>
      <c r="FDS16" s="50"/>
      <c r="FDT16" s="50"/>
      <c r="FDU16" s="50"/>
      <c r="FDV16" s="50"/>
      <c r="FDW16" s="50"/>
      <c r="FDX16" s="50"/>
      <c r="FDY16" s="50"/>
      <c r="FDZ16" s="50"/>
      <c r="FEA16" s="50"/>
      <c r="FEB16" s="50"/>
      <c r="FEC16" s="50"/>
      <c r="FED16" s="50"/>
      <c r="FEE16" s="50"/>
      <c r="FEF16" s="50"/>
      <c r="FEG16" s="50"/>
      <c r="FEH16" s="50"/>
      <c r="FEI16" s="50"/>
      <c r="FEJ16" s="50"/>
      <c r="FEK16" s="50"/>
      <c r="FEL16" s="50"/>
      <c r="FEM16" s="50"/>
      <c r="FEN16" s="50"/>
      <c r="FEO16" s="50"/>
      <c r="FEP16" s="50"/>
      <c r="FEQ16" s="50"/>
      <c r="FER16" s="50"/>
      <c r="FES16" s="50"/>
      <c r="FET16" s="50"/>
      <c r="FEU16" s="50"/>
      <c r="FEV16" s="50"/>
      <c r="FEW16" s="50"/>
      <c r="FEX16" s="50"/>
      <c r="FEY16" s="50"/>
      <c r="FEZ16" s="50"/>
      <c r="FFA16" s="50"/>
      <c r="FFB16" s="50"/>
      <c r="FFC16" s="50"/>
      <c r="FFD16" s="50"/>
      <c r="FFE16" s="50"/>
      <c r="FFF16" s="50"/>
      <c r="FFG16" s="50"/>
      <c r="FFH16" s="50"/>
      <c r="FFI16" s="50"/>
      <c r="FFJ16" s="50"/>
      <c r="FFK16" s="50"/>
      <c r="FFL16" s="50"/>
      <c r="FFM16" s="50"/>
      <c r="FFN16" s="50"/>
      <c r="FFO16" s="50"/>
      <c r="FFP16" s="50"/>
      <c r="FFQ16" s="50"/>
      <c r="FFR16" s="50"/>
      <c r="FFS16" s="50"/>
      <c r="FFT16" s="50"/>
      <c r="FFU16" s="50"/>
      <c r="FFV16" s="50"/>
      <c r="FFW16" s="50"/>
      <c r="FFX16" s="50"/>
      <c r="FFY16" s="50"/>
      <c r="FFZ16" s="50"/>
      <c r="FGA16" s="50"/>
      <c r="FGB16" s="50"/>
      <c r="FGC16" s="50"/>
      <c r="FGD16" s="50"/>
      <c r="FGE16" s="50"/>
      <c r="FGF16" s="50"/>
      <c r="FGG16" s="50"/>
      <c r="FGH16" s="50"/>
      <c r="FGI16" s="50"/>
      <c r="FGJ16" s="50"/>
      <c r="FGK16" s="50"/>
      <c r="FGL16" s="50"/>
      <c r="FGM16" s="50"/>
      <c r="FGN16" s="50"/>
      <c r="FGO16" s="50"/>
      <c r="FGP16" s="50"/>
      <c r="FGQ16" s="50"/>
      <c r="FGR16" s="50"/>
      <c r="FGS16" s="50"/>
      <c r="FGT16" s="50"/>
      <c r="FGU16" s="50"/>
      <c r="FGV16" s="50"/>
      <c r="FGW16" s="50"/>
      <c r="FGX16" s="50"/>
      <c r="FGY16" s="50"/>
      <c r="FGZ16" s="50"/>
      <c r="FHA16" s="50"/>
      <c r="FHB16" s="50"/>
      <c r="FHC16" s="50"/>
      <c r="FHD16" s="50"/>
      <c r="FHE16" s="50"/>
      <c r="FHF16" s="50"/>
      <c r="FHG16" s="50"/>
      <c r="FHH16" s="50"/>
      <c r="FHI16" s="50"/>
      <c r="FHJ16" s="50"/>
      <c r="FHK16" s="50"/>
      <c r="FHL16" s="50"/>
      <c r="FHM16" s="50"/>
      <c r="FHN16" s="50"/>
      <c r="FHO16" s="50"/>
      <c r="FHP16" s="50"/>
      <c r="FHQ16" s="50"/>
      <c r="FHR16" s="50"/>
      <c r="FHS16" s="50"/>
      <c r="FHT16" s="50"/>
      <c r="FHU16" s="50"/>
      <c r="FHV16" s="50"/>
      <c r="FHW16" s="50"/>
      <c r="FHX16" s="50"/>
      <c r="FHY16" s="50"/>
      <c r="FHZ16" s="50"/>
      <c r="FIA16" s="50"/>
      <c r="FIB16" s="50"/>
      <c r="FIC16" s="50"/>
      <c r="FID16" s="50"/>
      <c r="FIE16" s="50"/>
      <c r="FIF16" s="50"/>
      <c r="FIG16" s="50"/>
      <c r="FIH16" s="50"/>
      <c r="FII16" s="50"/>
      <c r="FIJ16" s="50"/>
      <c r="FIK16" s="50"/>
      <c r="FIL16" s="50"/>
      <c r="FIM16" s="50"/>
      <c r="FIN16" s="50"/>
      <c r="FIO16" s="50"/>
      <c r="FIP16" s="50"/>
      <c r="FIQ16" s="50"/>
      <c r="FIR16" s="50"/>
      <c r="FIS16" s="50"/>
      <c r="FIT16" s="50"/>
      <c r="FIU16" s="50"/>
      <c r="FIV16" s="50"/>
      <c r="FIW16" s="50"/>
      <c r="FIX16" s="50"/>
      <c r="FIY16" s="50"/>
      <c r="FIZ16" s="50"/>
      <c r="FJA16" s="50"/>
      <c r="FJB16" s="50"/>
      <c r="FJC16" s="50"/>
      <c r="FJD16" s="50"/>
      <c r="FJE16" s="50"/>
      <c r="FJF16" s="50"/>
      <c r="FJG16" s="50"/>
      <c r="FJH16" s="50"/>
      <c r="FJI16" s="50"/>
      <c r="FJJ16" s="50"/>
      <c r="FJK16" s="50"/>
      <c r="FJL16" s="50"/>
      <c r="FJM16" s="50"/>
      <c r="FJN16" s="50"/>
      <c r="FJO16" s="50"/>
      <c r="FJP16" s="50"/>
      <c r="FJQ16" s="50"/>
      <c r="FJR16" s="50"/>
      <c r="FJS16" s="50"/>
      <c r="FJT16" s="50"/>
      <c r="FJU16" s="50"/>
      <c r="FJV16" s="50"/>
      <c r="FJW16" s="50"/>
      <c r="FJX16" s="50"/>
      <c r="FJY16" s="50"/>
      <c r="FJZ16" s="50"/>
      <c r="FKA16" s="50"/>
      <c r="FKB16" s="50"/>
      <c r="FKC16" s="50"/>
      <c r="FKD16" s="50"/>
      <c r="FKE16" s="50"/>
      <c r="FKF16" s="50"/>
      <c r="FKG16" s="50"/>
      <c r="FKH16" s="50"/>
      <c r="FKI16" s="50"/>
      <c r="FKJ16" s="50"/>
      <c r="FKK16" s="50"/>
      <c r="FKL16" s="50"/>
      <c r="FKM16" s="50"/>
      <c r="FKN16" s="50"/>
      <c r="FKO16" s="50"/>
      <c r="FKP16" s="50"/>
      <c r="FKQ16" s="50"/>
      <c r="FKR16" s="50"/>
      <c r="FKS16" s="50"/>
      <c r="FKT16" s="50"/>
      <c r="FKU16" s="50"/>
      <c r="FKV16" s="50"/>
      <c r="FKW16" s="50"/>
      <c r="FKX16" s="50"/>
      <c r="FKY16" s="50"/>
      <c r="FKZ16" s="50"/>
      <c r="FLA16" s="50"/>
      <c r="FLB16" s="50"/>
      <c r="FLC16" s="50"/>
      <c r="FLD16" s="50"/>
      <c r="FLE16" s="50"/>
      <c r="FLF16" s="50"/>
      <c r="FLG16" s="50"/>
      <c r="FLH16" s="50"/>
      <c r="FLI16" s="50"/>
      <c r="FLJ16" s="50"/>
      <c r="FLK16" s="50"/>
      <c r="FLL16" s="50"/>
      <c r="FLM16" s="50"/>
      <c r="FLN16" s="50"/>
      <c r="FLO16" s="50"/>
      <c r="FLP16" s="50"/>
      <c r="FLQ16" s="50"/>
      <c r="FLR16" s="50"/>
      <c r="FLS16" s="50"/>
      <c r="FLT16" s="50"/>
      <c r="FLU16" s="50"/>
      <c r="FLV16" s="50"/>
      <c r="FLW16" s="50"/>
      <c r="FLX16" s="50"/>
      <c r="FLY16" s="50"/>
      <c r="FLZ16" s="50"/>
      <c r="FMA16" s="50"/>
      <c r="FMB16" s="50"/>
      <c r="FMC16" s="50"/>
      <c r="FMD16" s="50"/>
      <c r="FME16" s="50"/>
      <c r="FMF16" s="50"/>
      <c r="FMG16" s="50"/>
      <c r="FMH16" s="50"/>
      <c r="FMI16" s="50"/>
      <c r="FMJ16" s="50"/>
      <c r="FMK16" s="50"/>
      <c r="FML16" s="50"/>
      <c r="FMM16" s="50"/>
      <c r="FMN16" s="50"/>
      <c r="FMO16" s="50"/>
      <c r="FMP16" s="50"/>
      <c r="FMQ16" s="50"/>
      <c r="FMR16" s="50"/>
      <c r="FMS16" s="50"/>
      <c r="FMT16" s="50"/>
      <c r="FMU16" s="50"/>
      <c r="FMV16" s="50"/>
      <c r="FMW16" s="50"/>
      <c r="FMX16" s="50"/>
      <c r="FMY16" s="50"/>
      <c r="FMZ16" s="50"/>
      <c r="FNA16" s="50"/>
      <c r="FNB16" s="50"/>
      <c r="FNC16" s="50"/>
      <c r="FND16" s="50"/>
      <c r="FNE16" s="50"/>
      <c r="FNF16" s="50"/>
      <c r="FNG16" s="50"/>
      <c r="FNH16" s="50"/>
      <c r="FNI16" s="50"/>
      <c r="FNJ16" s="50"/>
      <c r="FNK16" s="50"/>
      <c r="FNL16" s="50"/>
      <c r="FNM16" s="50"/>
      <c r="FNN16" s="50"/>
      <c r="FNO16" s="50"/>
      <c r="FNP16" s="50"/>
      <c r="FNQ16" s="50"/>
      <c r="FNR16" s="50"/>
      <c r="FNS16" s="50"/>
      <c r="FNT16" s="50"/>
      <c r="FNU16" s="50"/>
      <c r="FNV16" s="50"/>
      <c r="FNW16" s="50"/>
      <c r="FNX16" s="50"/>
      <c r="FNY16" s="50"/>
      <c r="FNZ16" s="50"/>
      <c r="FOA16" s="50"/>
      <c r="FOB16" s="50"/>
      <c r="FOC16" s="50"/>
      <c r="FOD16" s="50"/>
      <c r="FOE16" s="50"/>
      <c r="FOF16" s="50"/>
      <c r="FOG16" s="50"/>
      <c r="FOH16" s="50"/>
      <c r="FOI16" s="50"/>
      <c r="FOJ16" s="50"/>
      <c r="FOK16" s="50"/>
      <c r="FOL16" s="50"/>
      <c r="FOM16" s="50"/>
      <c r="FON16" s="50"/>
      <c r="FOO16" s="50"/>
      <c r="FOP16" s="50"/>
      <c r="FOQ16" s="50"/>
      <c r="FOR16" s="50"/>
      <c r="FOS16" s="50"/>
      <c r="FOT16" s="50"/>
      <c r="FOU16" s="50"/>
      <c r="FOV16" s="50"/>
      <c r="FOW16" s="50"/>
      <c r="FOX16" s="50"/>
      <c r="FOY16" s="50"/>
      <c r="FOZ16" s="50"/>
      <c r="FPA16" s="50"/>
      <c r="FPB16" s="50"/>
      <c r="FPC16" s="50"/>
      <c r="FPD16" s="50"/>
      <c r="FPE16" s="50"/>
      <c r="FPF16" s="50"/>
      <c r="FPG16" s="50"/>
      <c r="FPH16" s="50"/>
      <c r="FPI16" s="50"/>
      <c r="FPJ16" s="50"/>
      <c r="FPK16" s="50"/>
      <c r="FPL16" s="50"/>
      <c r="FPM16" s="50"/>
      <c r="FPN16" s="50"/>
      <c r="FPO16" s="50"/>
      <c r="FPP16" s="50"/>
      <c r="FPQ16" s="50"/>
      <c r="FPR16" s="50"/>
      <c r="FPS16" s="50"/>
      <c r="FPT16" s="50"/>
      <c r="FPU16" s="50"/>
      <c r="FPV16" s="50"/>
      <c r="FPW16" s="50"/>
      <c r="FPX16" s="50"/>
      <c r="FPY16" s="50"/>
      <c r="FPZ16" s="50"/>
      <c r="FQA16" s="50"/>
      <c r="FQB16" s="50"/>
      <c r="FQC16" s="50"/>
      <c r="FQD16" s="50"/>
      <c r="FQE16" s="50"/>
      <c r="FQF16" s="50"/>
      <c r="FQG16" s="50"/>
      <c r="FQH16" s="50"/>
      <c r="FQI16" s="50"/>
      <c r="FQJ16" s="50"/>
      <c r="FQK16" s="50"/>
      <c r="FQL16" s="50"/>
      <c r="FQM16" s="50"/>
      <c r="FQN16" s="50"/>
      <c r="FQO16" s="50"/>
      <c r="FQP16" s="50"/>
      <c r="FQQ16" s="50"/>
      <c r="FQR16" s="50"/>
      <c r="FQS16" s="50"/>
      <c r="FQT16" s="50"/>
      <c r="FQU16" s="50"/>
      <c r="FQV16" s="50"/>
      <c r="FQW16" s="50"/>
      <c r="FQX16" s="50"/>
      <c r="FQY16" s="50"/>
      <c r="FQZ16" s="50"/>
      <c r="FRA16" s="50"/>
      <c r="FRB16" s="50"/>
      <c r="FRC16" s="50"/>
      <c r="FRD16" s="50"/>
      <c r="FRE16" s="50"/>
      <c r="FRF16" s="50"/>
      <c r="FRG16" s="50"/>
      <c r="FRH16" s="50"/>
      <c r="FRI16" s="50"/>
      <c r="FRJ16" s="50"/>
      <c r="FRK16" s="50"/>
      <c r="FRL16" s="50"/>
      <c r="FRM16" s="50"/>
      <c r="FRN16" s="50"/>
      <c r="FRO16" s="50"/>
      <c r="FRP16" s="50"/>
      <c r="FRQ16" s="50"/>
      <c r="FRR16" s="50"/>
      <c r="FRS16" s="50"/>
      <c r="FRT16" s="50"/>
      <c r="FRU16" s="50"/>
      <c r="FRV16" s="50"/>
      <c r="FRW16" s="50"/>
      <c r="FRX16" s="50"/>
      <c r="FRY16" s="50"/>
      <c r="FRZ16" s="50"/>
      <c r="FSA16" s="50"/>
      <c r="FSB16" s="50"/>
      <c r="FSC16" s="50"/>
      <c r="FSD16" s="50"/>
      <c r="FSE16" s="50"/>
      <c r="FSF16" s="50"/>
      <c r="FSG16" s="50"/>
      <c r="FSH16" s="50"/>
      <c r="FSI16" s="50"/>
      <c r="FSJ16" s="50"/>
      <c r="FSK16" s="50"/>
      <c r="FSL16" s="50"/>
      <c r="FSM16" s="50"/>
      <c r="FSN16" s="50"/>
      <c r="FSO16" s="50"/>
      <c r="FSP16" s="50"/>
      <c r="FSQ16" s="50"/>
      <c r="FSR16" s="50"/>
      <c r="FSS16" s="50"/>
      <c r="FST16" s="50"/>
      <c r="FSU16" s="50"/>
      <c r="FSV16" s="50"/>
      <c r="FSW16" s="50"/>
      <c r="FSX16" s="50"/>
      <c r="FSY16" s="50"/>
      <c r="FSZ16" s="50"/>
      <c r="FTA16" s="50"/>
      <c r="FTB16" s="50"/>
      <c r="FTC16" s="50"/>
      <c r="FTD16" s="50"/>
      <c r="FTE16" s="50"/>
      <c r="FTF16" s="50"/>
      <c r="FTG16" s="50"/>
      <c r="FTH16" s="50"/>
      <c r="FTI16" s="50"/>
      <c r="FTJ16" s="50"/>
      <c r="FTK16" s="50"/>
      <c r="FTL16" s="50"/>
      <c r="FTM16" s="50"/>
      <c r="FTN16" s="50"/>
      <c r="FTO16" s="50"/>
      <c r="FTP16" s="50"/>
      <c r="FTQ16" s="50"/>
      <c r="FTR16" s="50"/>
      <c r="FTS16" s="50"/>
      <c r="FTT16" s="50"/>
      <c r="FTU16" s="50"/>
      <c r="FTV16" s="50"/>
      <c r="FTW16" s="50"/>
      <c r="FTX16" s="50"/>
      <c r="FTY16" s="50"/>
      <c r="FTZ16" s="50"/>
      <c r="FUA16" s="50"/>
      <c r="FUB16" s="50"/>
      <c r="FUC16" s="50"/>
      <c r="FUD16" s="50"/>
      <c r="FUE16" s="50"/>
      <c r="FUF16" s="50"/>
      <c r="FUG16" s="50"/>
      <c r="FUH16" s="50"/>
      <c r="FUI16" s="50"/>
      <c r="FUJ16" s="50"/>
      <c r="FUK16" s="50"/>
      <c r="FUL16" s="50"/>
      <c r="FUM16" s="50"/>
      <c r="FUN16" s="50"/>
      <c r="FUO16" s="50"/>
      <c r="FUP16" s="50"/>
      <c r="FUQ16" s="50"/>
      <c r="FUR16" s="50"/>
      <c r="FUS16" s="50"/>
      <c r="FUT16" s="50"/>
      <c r="FUU16" s="50"/>
      <c r="FUV16" s="50"/>
      <c r="FUW16" s="50"/>
      <c r="FUX16" s="50"/>
      <c r="FUY16" s="50"/>
      <c r="FUZ16" s="50"/>
      <c r="FVA16" s="50"/>
      <c r="FVB16" s="50"/>
      <c r="FVC16" s="50"/>
      <c r="FVD16" s="50"/>
      <c r="FVE16" s="50"/>
      <c r="FVF16" s="50"/>
      <c r="FVG16" s="50"/>
      <c r="FVH16" s="50"/>
      <c r="FVI16" s="50"/>
      <c r="FVJ16" s="50"/>
      <c r="FVK16" s="50"/>
      <c r="FVL16" s="50"/>
      <c r="FVM16" s="50"/>
      <c r="FVN16" s="50"/>
      <c r="FVO16" s="50"/>
      <c r="FVP16" s="50"/>
      <c r="FVQ16" s="50"/>
      <c r="FVR16" s="50"/>
      <c r="FVS16" s="50"/>
      <c r="FVT16" s="50"/>
      <c r="FVU16" s="50"/>
      <c r="FVV16" s="50"/>
      <c r="FVW16" s="50"/>
      <c r="FVX16" s="50"/>
      <c r="FVY16" s="50"/>
      <c r="FVZ16" s="50"/>
      <c r="FWA16" s="50"/>
      <c r="FWB16" s="50"/>
      <c r="FWC16" s="50"/>
      <c r="FWD16" s="50"/>
      <c r="FWE16" s="50"/>
      <c r="FWF16" s="50"/>
      <c r="FWG16" s="50"/>
      <c r="FWH16" s="50"/>
      <c r="FWI16" s="50"/>
      <c r="FWJ16" s="50"/>
      <c r="FWK16" s="50"/>
      <c r="FWL16" s="50"/>
      <c r="FWM16" s="50"/>
      <c r="FWN16" s="50"/>
      <c r="FWO16" s="50"/>
      <c r="FWP16" s="50"/>
      <c r="FWQ16" s="50"/>
      <c r="FWR16" s="50"/>
      <c r="FWS16" s="50"/>
      <c r="FWT16" s="50"/>
      <c r="FWU16" s="50"/>
      <c r="FWV16" s="50"/>
      <c r="FWW16" s="50"/>
      <c r="FWX16" s="50"/>
      <c r="FWY16" s="50"/>
      <c r="FWZ16" s="50"/>
      <c r="FXA16" s="50"/>
      <c r="FXB16" s="50"/>
      <c r="FXC16" s="50"/>
      <c r="FXD16" s="50"/>
      <c r="FXE16" s="50"/>
      <c r="FXF16" s="50"/>
      <c r="FXG16" s="50"/>
      <c r="FXH16" s="50"/>
      <c r="FXI16" s="50"/>
      <c r="FXJ16" s="50"/>
      <c r="FXK16" s="50"/>
      <c r="FXL16" s="50"/>
      <c r="FXM16" s="50"/>
      <c r="FXN16" s="50"/>
      <c r="FXO16" s="50"/>
      <c r="FXP16" s="50"/>
      <c r="FXQ16" s="50"/>
      <c r="FXR16" s="50"/>
      <c r="FXS16" s="50"/>
      <c r="FXT16" s="50"/>
      <c r="FXU16" s="50"/>
      <c r="FXV16" s="50"/>
      <c r="FXW16" s="50"/>
      <c r="FXX16" s="50"/>
      <c r="FXY16" s="50"/>
      <c r="FXZ16" s="50"/>
      <c r="FYA16" s="50"/>
      <c r="FYB16" s="50"/>
      <c r="FYC16" s="50"/>
      <c r="FYD16" s="50"/>
      <c r="FYE16" s="50"/>
      <c r="FYF16" s="50"/>
      <c r="FYG16" s="50"/>
      <c r="FYH16" s="50"/>
      <c r="FYI16" s="50"/>
      <c r="FYJ16" s="50"/>
      <c r="FYK16" s="50"/>
      <c r="FYL16" s="50"/>
      <c r="FYM16" s="50"/>
      <c r="FYN16" s="50"/>
      <c r="FYO16" s="50"/>
      <c r="FYP16" s="50"/>
      <c r="FYQ16" s="50"/>
      <c r="FYR16" s="50"/>
      <c r="FYS16" s="50"/>
      <c r="FYT16" s="50"/>
      <c r="FYU16" s="50"/>
      <c r="FYV16" s="50"/>
      <c r="FYW16" s="50"/>
      <c r="FYX16" s="50"/>
      <c r="FYY16" s="50"/>
      <c r="FYZ16" s="50"/>
      <c r="FZA16" s="50"/>
      <c r="FZB16" s="50"/>
      <c r="FZC16" s="50"/>
      <c r="FZD16" s="50"/>
      <c r="FZE16" s="50"/>
      <c r="FZF16" s="50"/>
      <c r="FZG16" s="50"/>
      <c r="FZH16" s="50"/>
      <c r="FZI16" s="50"/>
      <c r="FZJ16" s="50"/>
      <c r="FZK16" s="50"/>
      <c r="FZL16" s="50"/>
      <c r="FZM16" s="50"/>
      <c r="FZN16" s="50"/>
      <c r="FZO16" s="50"/>
      <c r="FZP16" s="50"/>
      <c r="FZQ16" s="50"/>
      <c r="FZR16" s="50"/>
      <c r="FZS16" s="50"/>
      <c r="FZT16" s="50"/>
      <c r="FZU16" s="50"/>
      <c r="FZV16" s="50"/>
      <c r="FZW16" s="50"/>
      <c r="FZX16" s="50"/>
      <c r="FZY16" s="50"/>
      <c r="FZZ16" s="50"/>
      <c r="GAA16" s="50"/>
      <c r="GAB16" s="50"/>
      <c r="GAC16" s="50"/>
      <c r="GAD16" s="50"/>
      <c r="GAE16" s="50"/>
      <c r="GAF16" s="50"/>
      <c r="GAG16" s="50"/>
      <c r="GAH16" s="50"/>
      <c r="GAI16" s="50"/>
      <c r="GAJ16" s="50"/>
      <c r="GAK16" s="50"/>
      <c r="GAL16" s="50"/>
      <c r="GAM16" s="50"/>
      <c r="GAN16" s="50"/>
      <c r="GAO16" s="50"/>
      <c r="GAP16" s="50"/>
      <c r="GAQ16" s="50"/>
      <c r="GAR16" s="50"/>
      <c r="GAS16" s="50"/>
      <c r="GAT16" s="50"/>
      <c r="GAU16" s="50"/>
      <c r="GAV16" s="50"/>
      <c r="GAW16" s="50"/>
      <c r="GAX16" s="50"/>
      <c r="GAY16" s="50"/>
      <c r="GAZ16" s="50"/>
      <c r="GBA16" s="50"/>
      <c r="GBB16" s="50"/>
      <c r="GBC16" s="50"/>
      <c r="GBD16" s="50"/>
      <c r="GBE16" s="50"/>
      <c r="GBF16" s="50"/>
      <c r="GBG16" s="50"/>
      <c r="GBH16" s="50"/>
      <c r="GBI16" s="50"/>
      <c r="GBJ16" s="50"/>
      <c r="GBK16" s="50"/>
      <c r="GBL16" s="50"/>
      <c r="GBM16" s="50"/>
      <c r="GBN16" s="50"/>
      <c r="GBO16" s="50"/>
      <c r="GBP16" s="50"/>
      <c r="GBQ16" s="50"/>
      <c r="GBR16" s="50"/>
      <c r="GBS16" s="50"/>
      <c r="GBT16" s="50"/>
      <c r="GBU16" s="50"/>
      <c r="GBV16" s="50"/>
      <c r="GBW16" s="50"/>
      <c r="GBX16" s="50"/>
      <c r="GBY16" s="50"/>
      <c r="GBZ16" s="50"/>
      <c r="GCA16" s="50"/>
      <c r="GCB16" s="50"/>
      <c r="GCC16" s="50"/>
      <c r="GCD16" s="50"/>
      <c r="GCE16" s="50"/>
      <c r="GCF16" s="50"/>
      <c r="GCG16" s="50"/>
      <c r="GCH16" s="50"/>
      <c r="GCI16" s="50"/>
      <c r="GCJ16" s="50"/>
      <c r="GCK16" s="50"/>
      <c r="GCL16" s="50"/>
      <c r="GCM16" s="50"/>
      <c r="GCN16" s="50"/>
      <c r="GCO16" s="50"/>
      <c r="GCP16" s="50"/>
      <c r="GCQ16" s="50"/>
      <c r="GCR16" s="50"/>
      <c r="GCS16" s="50"/>
      <c r="GCT16" s="50"/>
      <c r="GCU16" s="50"/>
      <c r="GCV16" s="50"/>
      <c r="GCW16" s="50"/>
      <c r="GCX16" s="50"/>
      <c r="GCY16" s="50"/>
      <c r="GCZ16" s="50"/>
      <c r="GDA16" s="50"/>
      <c r="GDB16" s="50"/>
      <c r="GDC16" s="50"/>
      <c r="GDD16" s="50"/>
      <c r="GDE16" s="50"/>
      <c r="GDF16" s="50"/>
      <c r="GDG16" s="50"/>
      <c r="GDH16" s="50"/>
      <c r="GDI16" s="50"/>
      <c r="GDJ16" s="50"/>
      <c r="GDK16" s="50"/>
      <c r="GDL16" s="50"/>
      <c r="GDM16" s="50"/>
      <c r="GDN16" s="50"/>
      <c r="GDO16" s="50"/>
      <c r="GDP16" s="50"/>
      <c r="GDQ16" s="50"/>
      <c r="GDR16" s="50"/>
      <c r="GDS16" s="50"/>
      <c r="GDT16" s="50"/>
      <c r="GDU16" s="50"/>
      <c r="GDV16" s="50"/>
      <c r="GDW16" s="50"/>
      <c r="GDX16" s="50"/>
      <c r="GDY16" s="50"/>
      <c r="GDZ16" s="50"/>
      <c r="GEA16" s="50"/>
      <c r="GEB16" s="50"/>
      <c r="GEC16" s="50"/>
      <c r="GED16" s="50"/>
      <c r="GEE16" s="50"/>
      <c r="GEF16" s="50"/>
      <c r="GEG16" s="50"/>
      <c r="GEH16" s="50"/>
      <c r="GEI16" s="50"/>
      <c r="GEJ16" s="50"/>
      <c r="GEK16" s="50"/>
      <c r="GEL16" s="50"/>
      <c r="GEM16" s="50"/>
      <c r="GEN16" s="50"/>
      <c r="GEO16" s="50"/>
      <c r="GEP16" s="50"/>
      <c r="GEQ16" s="50"/>
      <c r="GER16" s="50"/>
      <c r="GES16" s="50"/>
      <c r="GET16" s="50"/>
      <c r="GEU16" s="50"/>
      <c r="GEV16" s="50"/>
      <c r="GEW16" s="50"/>
      <c r="GEX16" s="50"/>
      <c r="GEY16" s="50"/>
      <c r="GEZ16" s="50"/>
      <c r="GFA16" s="50"/>
      <c r="GFB16" s="50"/>
      <c r="GFC16" s="50"/>
      <c r="GFD16" s="50"/>
      <c r="GFE16" s="50"/>
      <c r="GFF16" s="50"/>
      <c r="GFG16" s="50"/>
      <c r="GFH16" s="50"/>
      <c r="GFI16" s="50"/>
      <c r="GFJ16" s="50"/>
      <c r="GFK16" s="50"/>
      <c r="GFL16" s="50"/>
      <c r="GFM16" s="50"/>
      <c r="GFN16" s="50"/>
      <c r="GFO16" s="50"/>
      <c r="GFP16" s="50"/>
      <c r="GFQ16" s="50"/>
      <c r="GFR16" s="50"/>
      <c r="GFS16" s="50"/>
      <c r="GFT16" s="50"/>
      <c r="GFU16" s="50"/>
      <c r="GFV16" s="50"/>
      <c r="GFW16" s="50"/>
      <c r="GFX16" s="50"/>
      <c r="GFY16" s="50"/>
      <c r="GFZ16" s="50"/>
      <c r="GGA16" s="50"/>
      <c r="GGB16" s="50"/>
      <c r="GGC16" s="50"/>
      <c r="GGD16" s="50"/>
      <c r="GGE16" s="50"/>
      <c r="GGF16" s="50"/>
      <c r="GGG16" s="50"/>
      <c r="GGH16" s="50"/>
      <c r="GGI16" s="50"/>
      <c r="GGJ16" s="50"/>
      <c r="GGK16" s="50"/>
      <c r="GGL16" s="50"/>
      <c r="GGM16" s="50"/>
      <c r="GGN16" s="50"/>
      <c r="GGO16" s="50"/>
      <c r="GGP16" s="50"/>
      <c r="GGQ16" s="50"/>
      <c r="GGR16" s="50"/>
      <c r="GGS16" s="50"/>
      <c r="GGT16" s="50"/>
      <c r="GGU16" s="50"/>
      <c r="GGV16" s="50"/>
      <c r="GGW16" s="50"/>
      <c r="GGX16" s="50"/>
      <c r="GGY16" s="50"/>
      <c r="GGZ16" s="50"/>
      <c r="GHA16" s="50"/>
      <c r="GHB16" s="50"/>
      <c r="GHC16" s="50"/>
      <c r="GHD16" s="50"/>
      <c r="GHE16" s="50"/>
      <c r="GHF16" s="50"/>
      <c r="GHG16" s="50"/>
      <c r="GHH16" s="50"/>
      <c r="GHI16" s="50"/>
      <c r="GHJ16" s="50"/>
      <c r="GHK16" s="50"/>
      <c r="GHL16" s="50"/>
      <c r="GHM16" s="50"/>
      <c r="GHN16" s="50"/>
      <c r="GHO16" s="50"/>
      <c r="GHP16" s="50"/>
      <c r="GHQ16" s="50"/>
      <c r="GHR16" s="50"/>
      <c r="GHS16" s="50"/>
      <c r="GHT16" s="50"/>
      <c r="GHU16" s="50"/>
      <c r="GHV16" s="50"/>
      <c r="GHW16" s="50"/>
      <c r="GHX16" s="50"/>
      <c r="GHY16" s="50"/>
      <c r="GHZ16" s="50"/>
      <c r="GIA16" s="50"/>
      <c r="GIB16" s="50"/>
      <c r="GIC16" s="50"/>
      <c r="GID16" s="50"/>
      <c r="GIE16" s="50"/>
      <c r="GIF16" s="50"/>
      <c r="GIG16" s="50"/>
      <c r="GIH16" s="50"/>
      <c r="GII16" s="50"/>
      <c r="GIJ16" s="50"/>
      <c r="GIK16" s="50"/>
      <c r="GIL16" s="50"/>
      <c r="GIM16" s="50"/>
      <c r="GIN16" s="50"/>
      <c r="GIO16" s="50"/>
      <c r="GIP16" s="50"/>
      <c r="GIQ16" s="50"/>
      <c r="GIR16" s="50"/>
      <c r="GIS16" s="50"/>
      <c r="GIT16" s="50"/>
      <c r="GIU16" s="50"/>
      <c r="GIV16" s="50"/>
      <c r="GIW16" s="50"/>
      <c r="GIX16" s="50"/>
      <c r="GIY16" s="50"/>
      <c r="GIZ16" s="50"/>
      <c r="GJA16" s="50"/>
      <c r="GJB16" s="50"/>
      <c r="GJC16" s="50"/>
      <c r="GJD16" s="50"/>
      <c r="GJE16" s="50"/>
      <c r="GJF16" s="50"/>
      <c r="GJG16" s="50"/>
      <c r="GJH16" s="50"/>
      <c r="GJI16" s="50"/>
      <c r="GJJ16" s="50"/>
      <c r="GJK16" s="50"/>
      <c r="GJL16" s="50"/>
      <c r="GJM16" s="50"/>
      <c r="GJN16" s="50"/>
      <c r="GJO16" s="50"/>
      <c r="GJP16" s="50"/>
      <c r="GJQ16" s="50"/>
      <c r="GJR16" s="50"/>
      <c r="GJS16" s="50"/>
      <c r="GJT16" s="50"/>
      <c r="GJU16" s="50"/>
      <c r="GJV16" s="50"/>
      <c r="GJW16" s="50"/>
      <c r="GJX16" s="50"/>
      <c r="GJY16" s="50"/>
      <c r="GJZ16" s="50"/>
      <c r="GKA16" s="50"/>
      <c r="GKB16" s="50"/>
      <c r="GKC16" s="50"/>
      <c r="GKD16" s="50"/>
      <c r="GKE16" s="50"/>
      <c r="GKF16" s="50"/>
      <c r="GKG16" s="50"/>
      <c r="GKH16" s="50"/>
      <c r="GKI16" s="50"/>
      <c r="GKJ16" s="50"/>
      <c r="GKK16" s="50"/>
      <c r="GKL16" s="50"/>
      <c r="GKM16" s="50"/>
      <c r="GKN16" s="50"/>
      <c r="GKO16" s="50"/>
      <c r="GKP16" s="50"/>
      <c r="GKQ16" s="50"/>
      <c r="GKR16" s="50"/>
      <c r="GKS16" s="50"/>
      <c r="GKT16" s="50"/>
      <c r="GKU16" s="50"/>
      <c r="GKV16" s="50"/>
      <c r="GKW16" s="50"/>
      <c r="GKX16" s="50"/>
      <c r="GKY16" s="50"/>
      <c r="GKZ16" s="50"/>
      <c r="GLA16" s="50"/>
      <c r="GLB16" s="50"/>
      <c r="GLC16" s="50"/>
      <c r="GLD16" s="50"/>
      <c r="GLE16" s="50"/>
      <c r="GLF16" s="50"/>
      <c r="GLG16" s="50"/>
      <c r="GLH16" s="50"/>
      <c r="GLI16" s="50"/>
      <c r="GLJ16" s="50"/>
      <c r="GLK16" s="50"/>
      <c r="GLL16" s="50"/>
      <c r="GLM16" s="50"/>
      <c r="GLN16" s="50"/>
      <c r="GLO16" s="50"/>
      <c r="GLP16" s="50"/>
      <c r="GLQ16" s="50"/>
      <c r="GLR16" s="50"/>
      <c r="GLS16" s="50"/>
      <c r="GLT16" s="50"/>
      <c r="GLU16" s="50"/>
      <c r="GLV16" s="50"/>
      <c r="GLW16" s="50"/>
      <c r="GLX16" s="50"/>
      <c r="GLY16" s="50"/>
      <c r="GLZ16" s="50"/>
      <c r="GMA16" s="50"/>
      <c r="GMB16" s="50"/>
      <c r="GMC16" s="50"/>
      <c r="GMD16" s="50"/>
      <c r="GME16" s="50"/>
      <c r="GMF16" s="50"/>
      <c r="GMG16" s="50"/>
      <c r="GMH16" s="50"/>
      <c r="GMI16" s="50"/>
      <c r="GMJ16" s="50"/>
      <c r="GMK16" s="50"/>
      <c r="GML16" s="50"/>
      <c r="GMM16" s="50"/>
      <c r="GMN16" s="50"/>
      <c r="GMO16" s="50"/>
      <c r="GMP16" s="50"/>
      <c r="GMQ16" s="50"/>
      <c r="GMR16" s="50"/>
      <c r="GMS16" s="50"/>
      <c r="GMT16" s="50"/>
      <c r="GMU16" s="50"/>
      <c r="GMV16" s="50"/>
      <c r="GMW16" s="50"/>
      <c r="GMX16" s="50"/>
      <c r="GMY16" s="50"/>
      <c r="GMZ16" s="50"/>
      <c r="GNA16" s="50"/>
      <c r="GNB16" s="50"/>
      <c r="GNC16" s="50"/>
      <c r="GND16" s="50"/>
      <c r="GNE16" s="50"/>
      <c r="GNF16" s="50"/>
      <c r="GNG16" s="50"/>
      <c r="GNH16" s="50"/>
      <c r="GNI16" s="50"/>
      <c r="GNJ16" s="50"/>
      <c r="GNK16" s="50"/>
      <c r="GNL16" s="50"/>
      <c r="GNM16" s="50"/>
      <c r="GNN16" s="50"/>
      <c r="GNO16" s="50"/>
      <c r="GNP16" s="50"/>
      <c r="GNQ16" s="50"/>
      <c r="GNR16" s="50"/>
      <c r="GNS16" s="50"/>
      <c r="GNT16" s="50"/>
      <c r="GNU16" s="50"/>
      <c r="GNV16" s="50"/>
      <c r="GNW16" s="50"/>
      <c r="GNX16" s="50"/>
      <c r="GNY16" s="50"/>
      <c r="GNZ16" s="50"/>
      <c r="GOA16" s="50"/>
      <c r="GOB16" s="50"/>
      <c r="GOC16" s="50"/>
      <c r="GOD16" s="50"/>
      <c r="GOE16" s="50"/>
      <c r="GOF16" s="50"/>
      <c r="GOG16" s="50"/>
      <c r="GOH16" s="50"/>
      <c r="GOI16" s="50"/>
      <c r="GOJ16" s="50"/>
      <c r="GOK16" s="50"/>
      <c r="GOL16" s="50"/>
      <c r="GOM16" s="50"/>
      <c r="GON16" s="50"/>
      <c r="GOO16" s="50"/>
      <c r="GOP16" s="50"/>
      <c r="GOQ16" s="50"/>
      <c r="GOR16" s="50"/>
      <c r="GOS16" s="50"/>
      <c r="GOT16" s="50"/>
      <c r="GOU16" s="50"/>
      <c r="GOV16" s="50"/>
      <c r="GOW16" s="50"/>
      <c r="GOX16" s="50"/>
      <c r="GOY16" s="50"/>
      <c r="GOZ16" s="50"/>
      <c r="GPA16" s="50"/>
      <c r="GPB16" s="50"/>
      <c r="GPC16" s="50"/>
      <c r="GPD16" s="50"/>
      <c r="GPE16" s="50"/>
      <c r="GPF16" s="50"/>
      <c r="GPG16" s="50"/>
      <c r="GPH16" s="50"/>
      <c r="GPI16" s="50"/>
      <c r="GPJ16" s="50"/>
      <c r="GPK16" s="50"/>
      <c r="GPL16" s="50"/>
      <c r="GPM16" s="50"/>
      <c r="GPN16" s="50"/>
      <c r="GPO16" s="50"/>
      <c r="GPP16" s="50"/>
      <c r="GPQ16" s="50"/>
      <c r="GPR16" s="50"/>
      <c r="GPS16" s="50"/>
      <c r="GPT16" s="50"/>
      <c r="GPU16" s="50"/>
      <c r="GPV16" s="50"/>
      <c r="GPW16" s="50"/>
      <c r="GPX16" s="50"/>
      <c r="GPY16" s="50"/>
      <c r="GPZ16" s="50"/>
      <c r="GQA16" s="50"/>
      <c r="GQB16" s="50"/>
      <c r="GQC16" s="50"/>
      <c r="GQD16" s="50"/>
      <c r="GQE16" s="50"/>
      <c r="GQF16" s="50"/>
      <c r="GQG16" s="50"/>
      <c r="GQH16" s="50"/>
      <c r="GQI16" s="50"/>
      <c r="GQJ16" s="50"/>
      <c r="GQK16" s="50"/>
      <c r="GQL16" s="50"/>
      <c r="GQM16" s="50"/>
      <c r="GQN16" s="50"/>
      <c r="GQO16" s="50"/>
      <c r="GQP16" s="50"/>
      <c r="GQQ16" s="50"/>
      <c r="GQR16" s="50"/>
      <c r="GQS16" s="50"/>
      <c r="GQT16" s="50"/>
      <c r="GQU16" s="50"/>
      <c r="GQV16" s="50"/>
      <c r="GQW16" s="50"/>
      <c r="GQX16" s="50"/>
      <c r="GQY16" s="50"/>
      <c r="GQZ16" s="50"/>
      <c r="GRA16" s="50"/>
      <c r="GRB16" s="50"/>
      <c r="GRC16" s="50"/>
      <c r="GRD16" s="50"/>
      <c r="GRE16" s="50"/>
      <c r="GRF16" s="50"/>
      <c r="GRG16" s="50"/>
      <c r="GRH16" s="50"/>
      <c r="GRI16" s="50"/>
      <c r="GRJ16" s="50"/>
      <c r="GRK16" s="50"/>
      <c r="GRL16" s="50"/>
      <c r="GRM16" s="50"/>
      <c r="GRN16" s="50"/>
      <c r="GRO16" s="50"/>
      <c r="GRP16" s="50"/>
      <c r="GRQ16" s="50"/>
      <c r="GRR16" s="50"/>
      <c r="GRS16" s="50"/>
      <c r="GRT16" s="50"/>
      <c r="GRU16" s="50"/>
      <c r="GRV16" s="50"/>
      <c r="GRW16" s="50"/>
      <c r="GRX16" s="50"/>
      <c r="GRY16" s="50"/>
      <c r="GRZ16" s="50"/>
      <c r="GSA16" s="50"/>
      <c r="GSB16" s="50"/>
      <c r="GSC16" s="50"/>
      <c r="GSD16" s="50"/>
      <c r="GSE16" s="50"/>
      <c r="GSF16" s="50"/>
      <c r="GSG16" s="50"/>
      <c r="GSH16" s="50"/>
      <c r="GSI16" s="50"/>
      <c r="GSJ16" s="50"/>
      <c r="GSK16" s="50"/>
      <c r="GSL16" s="50"/>
      <c r="GSM16" s="50"/>
      <c r="GSN16" s="50"/>
      <c r="GSO16" s="50"/>
      <c r="GSP16" s="50"/>
      <c r="GSQ16" s="50"/>
      <c r="GSR16" s="50"/>
      <c r="GSS16" s="50"/>
      <c r="GST16" s="50"/>
      <c r="GSU16" s="50"/>
      <c r="GSV16" s="50"/>
      <c r="GSW16" s="50"/>
      <c r="GSX16" s="50"/>
      <c r="GSY16" s="50"/>
      <c r="GSZ16" s="50"/>
      <c r="GTA16" s="50"/>
      <c r="GTB16" s="50"/>
      <c r="GTC16" s="50"/>
      <c r="GTD16" s="50"/>
      <c r="GTE16" s="50"/>
      <c r="GTF16" s="50"/>
      <c r="GTG16" s="50"/>
      <c r="GTH16" s="50"/>
      <c r="GTI16" s="50"/>
      <c r="GTJ16" s="50"/>
      <c r="GTK16" s="50"/>
      <c r="GTL16" s="50"/>
      <c r="GTM16" s="50"/>
      <c r="GTN16" s="50"/>
      <c r="GTO16" s="50"/>
      <c r="GTP16" s="50"/>
      <c r="GTQ16" s="50"/>
      <c r="GTR16" s="50"/>
      <c r="GTS16" s="50"/>
      <c r="GTT16" s="50"/>
      <c r="GTU16" s="50"/>
      <c r="GTV16" s="50"/>
      <c r="GTW16" s="50"/>
      <c r="GTX16" s="50"/>
      <c r="GTY16" s="50"/>
      <c r="GTZ16" s="50"/>
      <c r="GUA16" s="50"/>
      <c r="GUB16" s="50"/>
      <c r="GUC16" s="50"/>
      <c r="GUD16" s="50"/>
      <c r="GUE16" s="50"/>
      <c r="GUF16" s="50"/>
      <c r="GUG16" s="50"/>
      <c r="GUH16" s="50"/>
      <c r="GUI16" s="50"/>
      <c r="GUJ16" s="50"/>
      <c r="GUK16" s="50"/>
      <c r="GUL16" s="50"/>
      <c r="GUM16" s="50"/>
      <c r="GUN16" s="50"/>
      <c r="GUO16" s="50"/>
      <c r="GUP16" s="50"/>
      <c r="GUQ16" s="50"/>
      <c r="GUR16" s="50"/>
      <c r="GUS16" s="50"/>
      <c r="GUT16" s="50"/>
      <c r="GUU16" s="50"/>
      <c r="GUV16" s="50"/>
      <c r="GUW16" s="50"/>
      <c r="GUX16" s="50"/>
      <c r="GUY16" s="50"/>
      <c r="GUZ16" s="50"/>
      <c r="GVA16" s="50"/>
      <c r="GVB16" s="50"/>
      <c r="GVC16" s="50"/>
      <c r="GVD16" s="50"/>
      <c r="GVE16" s="50"/>
      <c r="GVF16" s="50"/>
      <c r="GVG16" s="50"/>
      <c r="GVH16" s="50"/>
      <c r="GVI16" s="50"/>
      <c r="GVJ16" s="50"/>
      <c r="GVK16" s="50"/>
      <c r="GVL16" s="50"/>
      <c r="GVM16" s="50"/>
      <c r="GVN16" s="50"/>
      <c r="GVO16" s="50"/>
      <c r="GVP16" s="50"/>
      <c r="GVQ16" s="50"/>
      <c r="GVR16" s="50"/>
      <c r="GVS16" s="50"/>
      <c r="GVT16" s="50"/>
      <c r="GVU16" s="50"/>
      <c r="GVV16" s="50"/>
      <c r="GVW16" s="50"/>
      <c r="GVX16" s="50"/>
      <c r="GVY16" s="50"/>
      <c r="GVZ16" s="50"/>
      <c r="GWA16" s="50"/>
      <c r="GWB16" s="50"/>
      <c r="GWC16" s="50"/>
      <c r="GWD16" s="50"/>
      <c r="GWE16" s="50"/>
      <c r="GWF16" s="50"/>
      <c r="GWG16" s="50"/>
      <c r="GWH16" s="50"/>
      <c r="GWI16" s="50"/>
      <c r="GWJ16" s="50"/>
      <c r="GWK16" s="50"/>
      <c r="GWL16" s="50"/>
      <c r="GWM16" s="50"/>
      <c r="GWN16" s="50"/>
      <c r="GWO16" s="50"/>
      <c r="GWP16" s="50"/>
      <c r="GWQ16" s="50"/>
      <c r="GWR16" s="50"/>
      <c r="GWS16" s="50"/>
      <c r="GWT16" s="50"/>
      <c r="GWU16" s="50"/>
      <c r="GWV16" s="50"/>
      <c r="GWW16" s="50"/>
      <c r="GWX16" s="50"/>
      <c r="GWY16" s="50"/>
      <c r="GWZ16" s="50"/>
      <c r="GXA16" s="50"/>
      <c r="GXB16" s="50"/>
      <c r="GXC16" s="50"/>
      <c r="GXD16" s="50"/>
      <c r="GXE16" s="50"/>
      <c r="GXF16" s="50"/>
      <c r="GXG16" s="50"/>
      <c r="GXH16" s="50"/>
      <c r="GXI16" s="50"/>
      <c r="GXJ16" s="50"/>
      <c r="GXK16" s="50"/>
      <c r="GXL16" s="50"/>
      <c r="GXM16" s="50"/>
      <c r="GXN16" s="50"/>
      <c r="GXO16" s="50"/>
      <c r="GXP16" s="50"/>
      <c r="GXQ16" s="50"/>
      <c r="GXR16" s="50"/>
      <c r="GXS16" s="50"/>
      <c r="GXT16" s="50"/>
      <c r="GXU16" s="50"/>
      <c r="GXV16" s="50"/>
      <c r="GXW16" s="50"/>
      <c r="GXX16" s="50"/>
      <c r="GXY16" s="50"/>
      <c r="GXZ16" s="50"/>
      <c r="GYA16" s="50"/>
      <c r="GYB16" s="50"/>
      <c r="GYC16" s="50"/>
      <c r="GYD16" s="50"/>
      <c r="GYE16" s="50"/>
      <c r="GYF16" s="50"/>
      <c r="GYG16" s="50"/>
      <c r="GYH16" s="50"/>
      <c r="GYI16" s="50"/>
      <c r="GYJ16" s="50"/>
      <c r="GYK16" s="50"/>
      <c r="GYL16" s="50"/>
      <c r="GYM16" s="50"/>
      <c r="GYN16" s="50"/>
      <c r="GYO16" s="50"/>
      <c r="GYP16" s="50"/>
      <c r="GYQ16" s="50"/>
      <c r="GYR16" s="50"/>
      <c r="GYS16" s="50"/>
      <c r="GYT16" s="50"/>
      <c r="GYU16" s="50"/>
      <c r="GYV16" s="50"/>
      <c r="GYW16" s="50"/>
      <c r="GYX16" s="50"/>
      <c r="GYY16" s="50"/>
      <c r="GYZ16" s="50"/>
      <c r="GZA16" s="50"/>
      <c r="GZB16" s="50"/>
      <c r="GZC16" s="50"/>
      <c r="GZD16" s="50"/>
      <c r="GZE16" s="50"/>
      <c r="GZF16" s="50"/>
      <c r="GZG16" s="50"/>
      <c r="GZH16" s="50"/>
      <c r="GZI16" s="50"/>
      <c r="GZJ16" s="50"/>
      <c r="GZK16" s="50"/>
      <c r="GZL16" s="50"/>
      <c r="GZM16" s="50"/>
      <c r="GZN16" s="50"/>
      <c r="GZO16" s="50"/>
      <c r="GZP16" s="50"/>
      <c r="GZQ16" s="50"/>
      <c r="GZR16" s="50"/>
      <c r="GZS16" s="50"/>
      <c r="GZT16" s="50"/>
      <c r="GZU16" s="50"/>
      <c r="GZV16" s="50"/>
      <c r="GZW16" s="50"/>
      <c r="GZX16" s="50"/>
      <c r="GZY16" s="50"/>
      <c r="GZZ16" s="50"/>
      <c r="HAA16" s="50"/>
      <c r="HAB16" s="50"/>
      <c r="HAC16" s="50"/>
      <c r="HAD16" s="50"/>
      <c r="HAE16" s="50"/>
      <c r="HAF16" s="50"/>
      <c r="HAG16" s="50"/>
      <c r="HAH16" s="50"/>
      <c r="HAI16" s="50"/>
      <c r="HAJ16" s="50"/>
      <c r="HAK16" s="50"/>
      <c r="HAL16" s="50"/>
      <c r="HAM16" s="50"/>
      <c r="HAN16" s="50"/>
      <c r="HAO16" s="50"/>
      <c r="HAP16" s="50"/>
      <c r="HAQ16" s="50"/>
      <c r="HAR16" s="50"/>
      <c r="HAS16" s="50"/>
      <c r="HAT16" s="50"/>
      <c r="HAU16" s="50"/>
      <c r="HAV16" s="50"/>
      <c r="HAW16" s="50"/>
      <c r="HAX16" s="50"/>
      <c r="HAY16" s="50"/>
      <c r="HAZ16" s="50"/>
      <c r="HBA16" s="50"/>
      <c r="HBB16" s="50"/>
      <c r="HBC16" s="50"/>
      <c r="HBD16" s="50"/>
      <c r="HBE16" s="50"/>
      <c r="HBF16" s="50"/>
      <c r="HBG16" s="50"/>
      <c r="HBH16" s="50"/>
      <c r="HBI16" s="50"/>
      <c r="HBJ16" s="50"/>
      <c r="HBK16" s="50"/>
      <c r="HBL16" s="50"/>
      <c r="HBM16" s="50"/>
      <c r="HBN16" s="50"/>
      <c r="HBO16" s="50"/>
      <c r="HBP16" s="50"/>
      <c r="HBQ16" s="50"/>
      <c r="HBR16" s="50"/>
      <c r="HBS16" s="50"/>
      <c r="HBT16" s="50"/>
      <c r="HBU16" s="50"/>
      <c r="HBV16" s="50"/>
      <c r="HBW16" s="50"/>
      <c r="HBX16" s="50"/>
      <c r="HBY16" s="50"/>
      <c r="HBZ16" s="50"/>
      <c r="HCA16" s="50"/>
      <c r="HCB16" s="50"/>
      <c r="HCC16" s="50"/>
      <c r="HCD16" s="50"/>
      <c r="HCE16" s="50"/>
      <c r="HCF16" s="50"/>
      <c r="HCG16" s="50"/>
      <c r="HCH16" s="50"/>
      <c r="HCI16" s="50"/>
      <c r="HCJ16" s="50"/>
      <c r="HCK16" s="50"/>
      <c r="HCL16" s="50"/>
      <c r="HCM16" s="50"/>
      <c r="HCN16" s="50"/>
      <c r="HCO16" s="50"/>
      <c r="HCP16" s="50"/>
      <c r="HCQ16" s="50"/>
      <c r="HCR16" s="50"/>
      <c r="HCS16" s="50"/>
      <c r="HCT16" s="50"/>
      <c r="HCU16" s="50"/>
      <c r="HCV16" s="50"/>
      <c r="HCW16" s="50"/>
      <c r="HCX16" s="50"/>
      <c r="HCY16" s="50"/>
      <c r="HCZ16" s="50"/>
      <c r="HDA16" s="50"/>
      <c r="HDB16" s="50"/>
      <c r="HDC16" s="50"/>
      <c r="HDD16" s="50"/>
      <c r="HDE16" s="50"/>
      <c r="HDF16" s="50"/>
      <c r="HDG16" s="50"/>
      <c r="HDH16" s="50"/>
      <c r="HDI16" s="50"/>
      <c r="HDJ16" s="50"/>
      <c r="HDK16" s="50"/>
      <c r="HDL16" s="50"/>
      <c r="HDM16" s="50"/>
      <c r="HDN16" s="50"/>
      <c r="HDO16" s="50"/>
      <c r="HDP16" s="50"/>
      <c r="HDQ16" s="50"/>
      <c r="HDR16" s="50"/>
      <c r="HDS16" s="50"/>
      <c r="HDT16" s="50"/>
      <c r="HDU16" s="50"/>
      <c r="HDV16" s="50"/>
      <c r="HDW16" s="50"/>
      <c r="HDX16" s="50"/>
      <c r="HDY16" s="50"/>
      <c r="HDZ16" s="50"/>
      <c r="HEA16" s="50"/>
      <c r="HEB16" s="50"/>
      <c r="HEC16" s="50"/>
      <c r="HED16" s="50"/>
      <c r="HEE16" s="50"/>
      <c r="HEF16" s="50"/>
      <c r="HEG16" s="50"/>
      <c r="HEH16" s="50"/>
      <c r="HEI16" s="50"/>
      <c r="HEJ16" s="50"/>
      <c r="HEK16" s="50"/>
      <c r="HEL16" s="50"/>
      <c r="HEM16" s="50"/>
      <c r="HEN16" s="50"/>
      <c r="HEO16" s="50"/>
      <c r="HEP16" s="50"/>
      <c r="HEQ16" s="50"/>
      <c r="HER16" s="50"/>
      <c r="HES16" s="50"/>
      <c r="HET16" s="50"/>
      <c r="HEU16" s="50"/>
      <c r="HEV16" s="50"/>
      <c r="HEW16" s="50"/>
      <c r="HEX16" s="50"/>
      <c r="HEY16" s="50"/>
      <c r="HEZ16" s="50"/>
      <c r="HFA16" s="50"/>
      <c r="HFB16" s="50"/>
      <c r="HFC16" s="50"/>
      <c r="HFD16" s="50"/>
      <c r="HFE16" s="50"/>
      <c r="HFF16" s="50"/>
      <c r="HFG16" s="50"/>
      <c r="HFH16" s="50"/>
      <c r="HFI16" s="50"/>
      <c r="HFJ16" s="50"/>
      <c r="HFK16" s="50"/>
      <c r="HFL16" s="50"/>
      <c r="HFM16" s="50"/>
      <c r="HFN16" s="50"/>
      <c r="HFO16" s="50"/>
      <c r="HFP16" s="50"/>
      <c r="HFQ16" s="50"/>
      <c r="HFR16" s="50"/>
      <c r="HFS16" s="50"/>
      <c r="HFT16" s="50"/>
      <c r="HFU16" s="50"/>
      <c r="HFV16" s="50"/>
      <c r="HFW16" s="50"/>
      <c r="HFX16" s="50"/>
      <c r="HFY16" s="50"/>
      <c r="HFZ16" s="50"/>
      <c r="HGA16" s="50"/>
      <c r="HGB16" s="50"/>
      <c r="HGC16" s="50"/>
      <c r="HGD16" s="50"/>
      <c r="HGE16" s="50"/>
      <c r="HGF16" s="50"/>
      <c r="HGG16" s="50"/>
      <c r="HGH16" s="50"/>
      <c r="HGI16" s="50"/>
      <c r="HGJ16" s="50"/>
      <c r="HGK16" s="50"/>
      <c r="HGL16" s="50"/>
      <c r="HGM16" s="50"/>
      <c r="HGN16" s="50"/>
      <c r="HGO16" s="50"/>
      <c r="HGP16" s="50"/>
      <c r="HGQ16" s="50"/>
      <c r="HGR16" s="50"/>
      <c r="HGS16" s="50"/>
      <c r="HGT16" s="50"/>
      <c r="HGU16" s="50"/>
      <c r="HGV16" s="50"/>
      <c r="HGW16" s="50"/>
      <c r="HGX16" s="50"/>
      <c r="HGY16" s="50"/>
      <c r="HGZ16" s="50"/>
      <c r="HHA16" s="50"/>
      <c r="HHB16" s="50"/>
      <c r="HHC16" s="50"/>
      <c r="HHD16" s="50"/>
      <c r="HHE16" s="50"/>
      <c r="HHF16" s="50"/>
      <c r="HHG16" s="50"/>
      <c r="HHH16" s="50"/>
      <c r="HHI16" s="50"/>
      <c r="HHJ16" s="50"/>
      <c r="HHK16" s="50"/>
      <c r="HHL16" s="50"/>
      <c r="HHM16" s="50"/>
      <c r="HHN16" s="50"/>
      <c r="HHO16" s="50"/>
      <c r="HHP16" s="50"/>
      <c r="HHQ16" s="50"/>
      <c r="HHR16" s="50"/>
      <c r="HHS16" s="50"/>
      <c r="HHT16" s="50"/>
      <c r="HHU16" s="50"/>
      <c r="HHV16" s="50"/>
      <c r="HHW16" s="50"/>
      <c r="HHX16" s="50"/>
      <c r="HHY16" s="50"/>
      <c r="HHZ16" s="50"/>
      <c r="HIA16" s="50"/>
      <c r="HIB16" s="50"/>
      <c r="HIC16" s="50"/>
      <c r="HID16" s="50"/>
      <c r="HIE16" s="50"/>
      <c r="HIF16" s="50"/>
      <c r="HIG16" s="50"/>
      <c r="HIH16" s="50"/>
      <c r="HII16" s="50"/>
      <c r="HIJ16" s="50"/>
      <c r="HIK16" s="50"/>
      <c r="HIL16" s="50"/>
      <c r="HIM16" s="50"/>
      <c r="HIN16" s="50"/>
      <c r="HIO16" s="50"/>
      <c r="HIP16" s="50"/>
      <c r="HIQ16" s="50"/>
      <c r="HIR16" s="50"/>
      <c r="HIS16" s="50"/>
      <c r="HIT16" s="50"/>
      <c r="HIU16" s="50"/>
      <c r="HIV16" s="50"/>
      <c r="HIW16" s="50"/>
      <c r="HIX16" s="50"/>
      <c r="HIY16" s="50"/>
      <c r="HIZ16" s="50"/>
      <c r="HJA16" s="50"/>
      <c r="HJB16" s="50"/>
      <c r="HJC16" s="50"/>
      <c r="HJD16" s="50"/>
      <c r="HJE16" s="50"/>
      <c r="HJF16" s="50"/>
      <c r="HJG16" s="50"/>
      <c r="HJH16" s="50"/>
      <c r="HJI16" s="50"/>
      <c r="HJJ16" s="50"/>
      <c r="HJK16" s="50"/>
      <c r="HJL16" s="50"/>
      <c r="HJM16" s="50"/>
      <c r="HJN16" s="50"/>
      <c r="HJO16" s="50"/>
      <c r="HJP16" s="50"/>
      <c r="HJQ16" s="50"/>
      <c r="HJR16" s="50"/>
      <c r="HJS16" s="50"/>
      <c r="HJT16" s="50"/>
      <c r="HJU16" s="50"/>
      <c r="HJV16" s="50"/>
      <c r="HJW16" s="50"/>
      <c r="HJX16" s="50"/>
      <c r="HJY16" s="50"/>
      <c r="HJZ16" s="50"/>
      <c r="HKA16" s="50"/>
      <c r="HKB16" s="50"/>
      <c r="HKC16" s="50"/>
      <c r="HKD16" s="50"/>
      <c r="HKE16" s="50"/>
      <c r="HKF16" s="50"/>
      <c r="HKG16" s="50"/>
      <c r="HKH16" s="50"/>
      <c r="HKI16" s="50"/>
      <c r="HKJ16" s="50"/>
      <c r="HKK16" s="50"/>
      <c r="HKL16" s="50"/>
      <c r="HKM16" s="50"/>
      <c r="HKN16" s="50"/>
      <c r="HKO16" s="50"/>
      <c r="HKP16" s="50"/>
      <c r="HKQ16" s="50"/>
      <c r="HKR16" s="50"/>
      <c r="HKS16" s="50"/>
      <c r="HKT16" s="50"/>
      <c r="HKU16" s="50"/>
      <c r="HKV16" s="50"/>
      <c r="HKW16" s="50"/>
      <c r="HKX16" s="50"/>
      <c r="HKY16" s="50"/>
      <c r="HKZ16" s="50"/>
      <c r="HLA16" s="50"/>
      <c r="HLB16" s="50"/>
      <c r="HLC16" s="50"/>
      <c r="HLD16" s="50"/>
      <c r="HLE16" s="50"/>
      <c r="HLF16" s="50"/>
      <c r="HLG16" s="50"/>
      <c r="HLH16" s="50"/>
      <c r="HLI16" s="50"/>
      <c r="HLJ16" s="50"/>
      <c r="HLK16" s="50"/>
      <c r="HLL16" s="50"/>
      <c r="HLM16" s="50"/>
      <c r="HLN16" s="50"/>
      <c r="HLO16" s="50"/>
      <c r="HLP16" s="50"/>
      <c r="HLQ16" s="50"/>
      <c r="HLR16" s="50"/>
      <c r="HLS16" s="50"/>
      <c r="HLT16" s="50"/>
      <c r="HLU16" s="50"/>
      <c r="HLV16" s="50"/>
      <c r="HLW16" s="50"/>
      <c r="HLX16" s="50"/>
      <c r="HLY16" s="50"/>
      <c r="HLZ16" s="50"/>
      <c r="HMA16" s="50"/>
      <c r="HMB16" s="50"/>
      <c r="HMC16" s="50"/>
      <c r="HMD16" s="50"/>
      <c r="HME16" s="50"/>
      <c r="HMF16" s="50"/>
      <c r="HMG16" s="50"/>
      <c r="HMH16" s="50"/>
      <c r="HMI16" s="50"/>
      <c r="HMJ16" s="50"/>
      <c r="HMK16" s="50"/>
      <c r="HML16" s="50"/>
      <c r="HMM16" s="50"/>
      <c r="HMN16" s="50"/>
      <c r="HMO16" s="50"/>
      <c r="HMP16" s="50"/>
      <c r="HMQ16" s="50"/>
      <c r="HMR16" s="50"/>
      <c r="HMS16" s="50"/>
      <c r="HMT16" s="50"/>
      <c r="HMU16" s="50"/>
      <c r="HMV16" s="50"/>
      <c r="HMW16" s="50"/>
      <c r="HMX16" s="50"/>
      <c r="HMY16" s="50"/>
      <c r="HMZ16" s="50"/>
      <c r="HNA16" s="50"/>
      <c r="HNB16" s="50"/>
      <c r="HNC16" s="50"/>
      <c r="HND16" s="50"/>
      <c r="HNE16" s="50"/>
      <c r="HNF16" s="50"/>
      <c r="HNG16" s="50"/>
      <c r="HNH16" s="50"/>
      <c r="HNI16" s="50"/>
      <c r="HNJ16" s="50"/>
      <c r="HNK16" s="50"/>
      <c r="HNL16" s="50"/>
      <c r="HNM16" s="50"/>
      <c r="HNN16" s="50"/>
      <c r="HNO16" s="50"/>
      <c r="HNP16" s="50"/>
      <c r="HNQ16" s="50"/>
      <c r="HNR16" s="50"/>
      <c r="HNS16" s="50"/>
      <c r="HNT16" s="50"/>
      <c r="HNU16" s="50"/>
      <c r="HNV16" s="50"/>
      <c r="HNW16" s="50"/>
      <c r="HNX16" s="50"/>
      <c r="HNY16" s="50"/>
      <c r="HNZ16" s="50"/>
      <c r="HOA16" s="50"/>
      <c r="HOB16" s="50"/>
      <c r="HOC16" s="50"/>
      <c r="HOD16" s="50"/>
      <c r="HOE16" s="50"/>
      <c r="HOF16" s="50"/>
      <c r="HOG16" s="50"/>
      <c r="HOH16" s="50"/>
      <c r="HOI16" s="50"/>
      <c r="HOJ16" s="50"/>
      <c r="HOK16" s="50"/>
      <c r="HOL16" s="50"/>
      <c r="HOM16" s="50"/>
      <c r="HON16" s="50"/>
      <c r="HOO16" s="50"/>
      <c r="HOP16" s="50"/>
      <c r="HOQ16" s="50"/>
      <c r="HOR16" s="50"/>
      <c r="HOS16" s="50"/>
      <c r="HOT16" s="50"/>
      <c r="HOU16" s="50"/>
      <c r="HOV16" s="50"/>
      <c r="HOW16" s="50"/>
      <c r="HOX16" s="50"/>
      <c r="HOY16" s="50"/>
      <c r="HOZ16" s="50"/>
      <c r="HPA16" s="50"/>
      <c r="HPB16" s="50"/>
      <c r="HPC16" s="50"/>
      <c r="HPD16" s="50"/>
      <c r="HPE16" s="50"/>
      <c r="HPF16" s="50"/>
      <c r="HPG16" s="50"/>
      <c r="HPH16" s="50"/>
      <c r="HPI16" s="50"/>
      <c r="HPJ16" s="50"/>
      <c r="HPK16" s="50"/>
      <c r="HPL16" s="50"/>
      <c r="HPM16" s="50"/>
      <c r="HPN16" s="50"/>
      <c r="HPO16" s="50"/>
      <c r="HPP16" s="50"/>
      <c r="HPQ16" s="50"/>
      <c r="HPR16" s="50"/>
      <c r="HPS16" s="50"/>
      <c r="HPT16" s="50"/>
      <c r="HPU16" s="50"/>
      <c r="HPV16" s="50"/>
      <c r="HPW16" s="50"/>
      <c r="HPX16" s="50"/>
      <c r="HPY16" s="50"/>
      <c r="HPZ16" s="50"/>
      <c r="HQA16" s="50"/>
      <c r="HQB16" s="50"/>
      <c r="HQC16" s="50"/>
      <c r="HQD16" s="50"/>
      <c r="HQE16" s="50"/>
      <c r="HQF16" s="50"/>
      <c r="HQG16" s="50"/>
      <c r="HQH16" s="50"/>
      <c r="HQI16" s="50"/>
      <c r="HQJ16" s="50"/>
      <c r="HQK16" s="50"/>
      <c r="HQL16" s="50"/>
      <c r="HQM16" s="50"/>
      <c r="HQN16" s="50"/>
      <c r="HQO16" s="50"/>
      <c r="HQP16" s="50"/>
      <c r="HQQ16" s="50"/>
      <c r="HQR16" s="50"/>
      <c r="HQS16" s="50"/>
      <c r="HQT16" s="50"/>
      <c r="HQU16" s="50"/>
      <c r="HQV16" s="50"/>
      <c r="HQW16" s="50"/>
      <c r="HQX16" s="50"/>
      <c r="HQY16" s="50"/>
      <c r="HQZ16" s="50"/>
      <c r="HRA16" s="50"/>
      <c r="HRB16" s="50"/>
      <c r="HRC16" s="50"/>
      <c r="HRD16" s="50"/>
      <c r="HRE16" s="50"/>
      <c r="HRF16" s="50"/>
      <c r="HRG16" s="50"/>
      <c r="HRH16" s="50"/>
      <c r="HRI16" s="50"/>
      <c r="HRJ16" s="50"/>
      <c r="HRK16" s="50"/>
      <c r="HRL16" s="50"/>
      <c r="HRM16" s="50"/>
      <c r="HRN16" s="50"/>
      <c r="HRO16" s="50"/>
      <c r="HRP16" s="50"/>
      <c r="HRQ16" s="50"/>
      <c r="HRR16" s="50"/>
      <c r="HRS16" s="50"/>
      <c r="HRT16" s="50"/>
      <c r="HRU16" s="50"/>
      <c r="HRV16" s="50"/>
      <c r="HRW16" s="50"/>
      <c r="HRX16" s="50"/>
      <c r="HRY16" s="50"/>
      <c r="HRZ16" s="50"/>
      <c r="HSA16" s="50"/>
      <c r="HSB16" s="50"/>
      <c r="HSC16" s="50"/>
      <c r="HSD16" s="50"/>
      <c r="HSE16" s="50"/>
      <c r="HSF16" s="50"/>
      <c r="HSG16" s="50"/>
      <c r="HSH16" s="50"/>
      <c r="HSI16" s="50"/>
      <c r="HSJ16" s="50"/>
      <c r="HSK16" s="50"/>
      <c r="HSL16" s="50"/>
      <c r="HSM16" s="50"/>
      <c r="HSN16" s="50"/>
      <c r="HSO16" s="50"/>
      <c r="HSP16" s="50"/>
      <c r="HSQ16" s="50"/>
      <c r="HSR16" s="50"/>
      <c r="HSS16" s="50"/>
      <c r="HST16" s="50"/>
      <c r="HSU16" s="50"/>
      <c r="HSV16" s="50"/>
      <c r="HSW16" s="50"/>
      <c r="HSX16" s="50"/>
      <c r="HSY16" s="50"/>
      <c r="HSZ16" s="50"/>
      <c r="HTA16" s="50"/>
      <c r="HTB16" s="50"/>
      <c r="HTC16" s="50"/>
      <c r="HTD16" s="50"/>
      <c r="HTE16" s="50"/>
      <c r="HTF16" s="50"/>
      <c r="HTG16" s="50"/>
      <c r="HTH16" s="50"/>
      <c r="HTI16" s="50"/>
      <c r="HTJ16" s="50"/>
      <c r="HTK16" s="50"/>
      <c r="HTL16" s="50"/>
      <c r="HTM16" s="50"/>
      <c r="HTN16" s="50"/>
      <c r="HTO16" s="50"/>
      <c r="HTP16" s="50"/>
      <c r="HTQ16" s="50"/>
      <c r="HTR16" s="50"/>
      <c r="HTS16" s="50"/>
      <c r="HTT16" s="50"/>
      <c r="HTU16" s="50"/>
      <c r="HTV16" s="50"/>
      <c r="HTW16" s="50"/>
      <c r="HTX16" s="50"/>
      <c r="HTY16" s="50"/>
      <c r="HTZ16" s="50"/>
      <c r="HUA16" s="50"/>
      <c r="HUB16" s="50"/>
      <c r="HUC16" s="50"/>
      <c r="HUD16" s="50"/>
      <c r="HUE16" s="50"/>
      <c r="HUF16" s="50"/>
      <c r="HUG16" s="50"/>
      <c r="HUH16" s="50"/>
      <c r="HUI16" s="50"/>
      <c r="HUJ16" s="50"/>
      <c r="HUK16" s="50"/>
      <c r="HUL16" s="50"/>
      <c r="HUM16" s="50"/>
      <c r="HUN16" s="50"/>
      <c r="HUO16" s="50"/>
      <c r="HUP16" s="50"/>
      <c r="HUQ16" s="50"/>
      <c r="HUR16" s="50"/>
      <c r="HUS16" s="50"/>
      <c r="HUT16" s="50"/>
      <c r="HUU16" s="50"/>
      <c r="HUV16" s="50"/>
      <c r="HUW16" s="50"/>
      <c r="HUX16" s="50"/>
      <c r="HUY16" s="50"/>
      <c r="HUZ16" s="50"/>
      <c r="HVA16" s="50"/>
      <c r="HVB16" s="50"/>
      <c r="HVC16" s="50"/>
      <c r="HVD16" s="50"/>
      <c r="HVE16" s="50"/>
      <c r="HVF16" s="50"/>
      <c r="HVG16" s="50"/>
      <c r="HVH16" s="50"/>
      <c r="HVI16" s="50"/>
      <c r="HVJ16" s="50"/>
      <c r="HVK16" s="50"/>
      <c r="HVL16" s="50"/>
      <c r="HVM16" s="50"/>
      <c r="HVN16" s="50"/>
      <c r="HVO16" s="50"/>
      <c r="HVP16" s="50"/>
      <c r="HVQ16" s="50"/>
      <c r="HVR16" s="50"/>
      <c r="HVS16" s="50"/>
      <c r="HVT16" s="50"/>
      <c r="HVU16" s="50"/>
      <c r="HVV16" s="50"/>
      <c r="HVW16" s="50"/>
      <c r="HVX16" s="50"/>
      <c r="HVY16" s="50"/>
      <c r="HVZ16" s="50"/>
      <c r="HWA16" s="50"/>
      <c r="HWB16" s="50"/>
      <c r="HWC16" s="50"/>
      <c r="HWD16" s="50"/>
      <c r="HWE16" s="50"/>
      <c r="HWF16" s="50"/>
      <c r="HWG16" s="50"/>
      <c r="HWH16" s="50"/>
      <c r="HWI16" s="50"/>
      <c r="HWJ16" s="50"/>
      <c r="HWK16" s="50"/>
      <c r="HWL16" s="50"/>
      <c r="HWM16" s="50"/>
      <c r="HWN16" s="50"/>
      <c r="HWO16" s="50"/>
      <c r="HWP16" s="50"/>
      <c r="HWQ16" s="50"/>
      <c r="HWR16" s="50"/>
      <c r="HWS16" s="50"/>
      <c r="HWT16" s="50"/>
      <c r="HWU16" s="50"/>
      <c r="HWV16" s="50"/>
      <c r="HWW16" s="50"/>
      <c r="HWX16" s="50"/>
      <c r="HWY16" s="50"/>
      <c r="HWZ16" s="50"/>
      <c r="HXA16" s="50"/>
      <c r="HXB16" s="50"/>
      <c r="HXC16" s="50"/>
      <c r="HXD16" s="50"/>
      <c r="HXE16" s="50"/>
      <c r="HXF16" s="50"/>
      <c r="HXG16" s="50"/>
      <c r="HXH16" s="50"/>
      <c r="HXI16" s="50"/>
      <c r="HXJ16" s="50"/>
      <c r="HXK16" s="50"/>
      <c r="HXL16" s="50"/>
      <c r="HXM16" s="50"/>
      <c r="HXN16" s="50"/>
      <c r="HXO16" s="50"/>
      <c r="HXP16" s="50"/>
      <c r="HXQ16" s="50"/>
      <c r="HXR16" s="50"/>
      <c r="HXS16" s="50"/>
      <c r="HXT16" s="50"/>
      <c r="HXU16" s="50"/>
      <c r="HXV16" s="50"/>
      <c r="HXW16" s="50"/>
      <c r="HXX16" s="50"/>
      <c r="HXY16" s="50"/>
      <c r="HXZ16" s="50"/>
      <c r="HYA16" s="50"/>
      <c r="HYB16" s="50"/>
      <c r="HYC16" s="50"/>
      <c r="HYD16" s="50"/>
      <c r="HYE16" s="50"/>
      <c r="HYF16" s="50"/>
      <c r="HYG16" s="50"/>
      <c r="HYH16" s="50"/>
      <c r="HYI16" s="50"/>
      <c r="HYJ16" s="50"/>
      <c r="HYK16" s="50"/>
      <c r="HYL16" s="50"/>
      <c r="HYM16" s="50"/>
      <c r="HYN16" s="50"/>
      <c r="HYO16" s="50"/>
      <c r="HYP16" s="50"/>
      <c r="HYQ16" s="50"/>
      <c r="HYR16" s="50"/>
      <c r="HYS16" s="50"/>
      <c r="HYT16" s="50"/>
      <c r="HYU16" s="50"/>
      <c r="HYV16" s="50"/>
      <c r="HYW16" s="50"/>
      <c r="HYX16" s="50"/>
      <c r="HYY16" s="50"/>
      <c r="HYZ16" s="50"/>
      <c r="HZA16" s="50"/>
      <c r="HZB16" s="50"/>
      <c r="HZC16" s="50"/>
      <c r="HZD16" s="50"/>
      <c r="HZE16" s="50"/>
      <c r="HZF16" s="50"/>
      <c r="HZG16" s="50"/>
      <c r="HZH16" s="50"/>
      <c r="HZI16" s="50"/>
      <c r="HZJ16" s="50"/>
      <c r="HZK16" s="50"/>
      <c r="HZL16" s="50"/>
      <c r="HZM16" s="50"/>
      <c r="HZN16" s="50"/>
      <c r="HZO16" s="50"/>
      <c r="HZP16" s="50"/>
      <c r="HZQ16" s="50"/>
      <c r="HZR16" s="50"/>
      <c r="HZS16" s="50"/>
      <c r="HZT16" s="50"/>
      <c r="HZU16" s="50"/>
      <c r="HZV16" s="50"/>
      <c r="HZW16" s="50"/>
      <c r="HZX16" s="50"/>
      <c r="HZY16" s="50"/>
      <c r="HZZ16" s="50"/>
      <c r="IAA16" s="50"/>
      <c r="IAB16" s="50"/>
      <c r="IAC16" s="50"/>
      <c r="IAD16" s="50"/>
      <c r="IAE16" s="50"/>
      <c r="IAF16" s="50"/>
      <c r="IAG16" s="50"/>
      <c r="IAH16" s="50"/>
      <c r="IAI16" s="50"/>
      <c r="IAJ16" s="50"/>
      <c r="IAK16" s="50"/>
      <c r="IAL16" s="50"/>
      <c r="IAM16" s="50"/>
      <c r="IAN16" s="50"/>
      <c r="IAO16" s="50"/>
      <c r="IAP16" s="50"/>
      <c r="IAQ16" s="50"/>
      <c r="IAR16" s="50"/>
      <c r="IAS16" s="50"/>
      <c r="IAT16" s="50"/>
      <c r="IAU16" s="50"/>
      <c r="IAV16" s="50"/>
      <c r="IAW16" s="50"/>
      <c r="IAX16" s="50"/>
      <c r="IAY16" s="50"/>
      <c r="IAZ16" s="50"/>
      <c r="IBA16" s="50"/>
      <c r="IBB16" s="50"/>
      <c r="IBC16" s="50"/>
      <c r="IBD16" s="50"/>
      <c r="IBE16" s="50"/>
      <c r="IBF16" s="50"/>
      <c r="IBG16" s="50"/>
      <c r="IBH16" s="50"/>
      <c r="IBI16" s="50"/>
      <c r="IBJ16" s="50"/>
      <c r="IBK16" s="50"/>
      <c r="IBL16" s="50"/>
      <c r="IBM16" s="50"/>
      <c r="IBN16" s="50"/>
      <c r="IBO16" s="50"/>
      <c r="IBP16" s="50"/>
      <c r="IBQ16" s="50"/>
      <c r="IBR16" s="50"/>
      <c r="IBS16" s="50"/>
      <c r="IBT16" s="50"/>
      <c r="IBU16" s="50"/>
      <c r="IBV16" s="50"/>
      <c r="IBW16" s="50"/>
      <c r="IBX16" s="50"/>
      <c r="IBY16" s="50"/>
      <c r="IBZ16" s="50"/>
      <c r="ICA16" s="50"/>
      <c r="ICB16" s="50"/>
      <c r="ICC16" s="50"/>
      <c r="ICD16" s="50"/>
      <c r="ICE16" s="50"/>
      <c r="ICF16" s="50"/>
      <c r="ICG16" s="50"/>
      <c r="ICH16" s="50"/>
      <c r="ICI16" s="50"/>
      <c r="ICJ16" s="50"/>
      <c r="ICK16" s="50"/>
      <c r="ICL16" s="50"/>
      <c r="ICM16" s="50"/>
      <c r="ICN16" s="50"/>
      <c r="ICO16" s="50"/>
      <c r="ICP16" s="50"/>
      <c r="ICQ16" s="50"/>
      <c r="ICR16" s="50"/>
      <c r="ICS16" s="50"/>
      <c r="ICT16" s="50"/>
      <c r="ICU16" s="50"/>
      <c r="ICV16" s="50"/>
      <c r="ICW16" s="50"/>
      <c r="ICX16" s="50"/>
      <c r="ICY16" s="50"/>
      <c r="ICZ16" s="50"/>
      <c r="IDA16" s="50"/>
      <c r="IDB16" s="50"/>
      <c r="IDC16" s="50"/>
      <c r="IDD16" s="50"/>
      <c r="IDE16" s="50"/>
      <c r="IDF16" s="50"/>
      <c r="IDG16" s="50"/>
      <c r="IDH16" s="50"/>
      <c r="IDI16" s="50"/>
      <c r="IDJ16" s="50"/>
      <c r="IDK16" s="50"/>
      <c r="IDL16" s="50"/>
      <c r="IDM16" s="50"/>
      <c r="IDN16" s="50"/>
      <c r="IDO16" s="50"/>
      <c r="IDP16" s="50"/>
      <c r="IDQ16" s="50"/>
      <c r="IDR16" s="50"/>
      <c r="IDS16" s="50"/>
      <c r="IDT16" s="50"/>
      <c r="IDU16" s="50"/>
      <c r="IDV16" s="50"/>
      <c r="IDW16" s="50"/>
      <c r="IDX16" s="50"/>
      <c r="IDY16" s="50"/>
      <c r="IDZ16" s="50"/>
      <c r="IEA16" s="50"/>
      <c r="IEB16" s="50"/>
      <c r="IEC16" s="50"/>
      <c r="IED16" s="50"/>
      <c r="IEE16" s="50"/>
      <c r="IEF16" s="50"/>
      <c r="IEG16" s="50"/>
      <c r="IEH16" s="50"/>
      <c r="IEI16" s="50"/>
      <c r="IEJ16" s="50"/>
      <c r="IEK16" s="50"/>
      <c r="IEL16" s="50"/>
      <c r="IEM16" s="50"/>
      <c r="IEN16" s="50"/>
      <c r="IEO16" s="50"/>
      <c r="IEP16" s="50"/>
      <c r="IEQ16" s="50"/>
      <c r="IER16" s="50"/>
      <c r="IES16" s="50"/>
      <c r="IET16" s="50"/>
      <c r="IEU16" s="50"/>
      <c r="IEV16" s="50"/>
      <c r="IEW16" s="50"/>
      <c r="IEX16" s="50"/>
      <c r="IEY16" s="50"/>
      <c r="IEZ16" s="50"/>
      <c r="IFA16" s="50"/>
      <c r="IFB16" s="50"/>
      <c r="IFC16" s="50"/>
      <c r="IFD16" s="50"/>
      <c r="IFE16" s="50"/>
      <c r="IFF16" s="50"/>
      <c r="IFG16" s="50"/>
      <c r="IFH16" s="50"/>
      <c r="IFI16" s="50"/>
      <c r="IFJ16" s="50"/>
      <c r="IFK16" s="50"/>
      <c r="IFL16" s="50"/>
      <c r="IFM16" s="50"/>
      <c r="IFN16" s="50"/>
      <c r="IFO16" s="50"/>
      <c r="IFP16" s="50"/>
      <c r="IFQ16" s="50"/>
      <c r="IFR16" s="50"/>
      <c r="IFS16" s="50"/>
      <c r="IFT16" s="50"/>
      <c r="IFU16" s="50"/>
      <c r="IFV16" s="50"/>
      <c r="IFW16" s="50"/>
      <c r="IFX16" s="50"/>
      <c r="IFY16" s="50"/>
      <c r="IFZ16" s="50"/>
      <c r="IGA16" s="50"/>
      <c r="IGB16" s="50"/>
      <c r="IGC16" s="50"/>
      <c r="IGD16" s="50"/>
      <c r="IGE16" s="50"/>
      <c r="IGF16" s="50"/>
      <c r="IGG16" s="50"/>
      <c r="IGH16" s="50"/>
      <c r="IGI16" s="50"/>
      <c r="IGJ16" s="50"/>
      <c r="IGK16" s="50"/>
      <c r="IGL16" s="50"/>
      <c r="IGM16" s="50"/>
      <c r="IGN16" s="50"/>
      <c r="IGO16" s="50"/>
      <c r="IGP16" s="50"/>
      <c r="IGQ16" s="50"/>
      <c r="IGR16" s="50"/>
      <c r="IGS16" s="50"/>
      <c r="IGT16" s="50"/>
      <c r="IGU16" s="50"/>
      <c r="IGV16" s="50"/>
      <c r="IGW16" s="50"/>
      <c r="IGX16" s="50"/>
      <c r="IGY16" s="50"/>
      <c r="IGZ16" s="50"/>
      <c r="IHA16" s="50"/>
      <c r="IHB16" s="50"/>
      <c r="IHC16" s="50"/>
      <c r="IHD16" s="50"/>
      <c r="IHE16" s="50"/>
      <c r="IHF16" s="50"/>
      <c r="IHG16" s="50"/>
      <c r="IHH16" s="50"/>
      <c r="IHI16" s="50"/>
      <c r="IHJ16" s="50"/>
      <c r="IHK16" s="50"/>
      <c r="IHL16" s="50"/>
      <c r="IHM16" s="50"/>
      <c r="IHN16" s="50"/>
      <c r="IHO16" s="50"/>
      <c r="IHP16" s="50"/>
      <c r="IHQ16" s="50"/>
      <c r="IHR16" s="50"/>
      <c r="IHS16" s="50"/>
      <c r="IHT16" s="50"/>
      <c r="IHU16" s="50"/>
      <c r="IHV16" s="50"/>
      <c r="IHW16" s="50"/>
      <c r="IHX16" s="50"/>
      <c r="IHY16" s="50"/>
      <c r="IHZ16" s="50"/>
      <c r="IIA16" s="50"/>
      <c r="IIB16" s="50"/>
      <c r="IIC16" s="50"/>
      <c r="IID16" s="50"/>
      <c r="IIE16" s="50"/>
      <c r="IIF16" s="50"/>
      <c r="IIG16" s="50"/>
      <c r="IIH16" s="50"/>
      <c r="III16" s="50"/>
      <c r="IIJ16" s="50"/>
      <c r="IIK16" s="50"/>
      <c r="IIL16" s="50"/>
      <c r="IIM16" s="50"/>
      <c r="IIN16" s="50"/>
      <c r="IIO16" s="50"/>
      <c r="IIP16" s="50"/>
      <c r="IIQ16" s="50"/>
      <c r="IIR16" s="50"/>
      <c r="IIS16" s="50"/>
      <c r="IIT16" s="50"/>
      <c r="IIU16" s="50"/>
      <c r="IIV16" s="50"/>
      <c r="IIW16" s="50"/>
      <c r="IIX16" s="50"/>
      <c r="IIY16" s="50"/>
      <c r="IIZ16" s="50"/>
      <c r="IJA16" s="50"/>
      <c r="IJB16" s="50"/>
      <c r="IJC16" s="50"/>
      <c r="IJD16" s="50"/>
      <c r="IJE16" s="50"/>
      <c r="IJF16" s="50"/>
      <c r="IJG16" s="50"/>
      <c r="IJH16" s="50"/>
      <c r="IJI16" s="50"/>
      <c r="IJJ16" s="50"/>
      <c r="IJK16" s="50"/>
      <c r="IJL16" s="50"/>
      <c r="IJM16" s="50"/>
      <c r="IJN16" s="50"/>
      <c r="IJO16" s="50"/>
      <c r="IJP16" s="50"/>
      <c r="IJQ16" s="50"/>
      <c r="IJR16" s="50"/>
      <c r="IJS16" s="50"/>
      <c r="IJT16" s="50"/>
      <c r="IJU16" s="50"/>
      <c r="IJV16" s="50"/>
      <c r="IJW16" s="50"/>
      <c r="IJX16" s="50"/>
      <c r="IJY16" s="50"/>
      <c r="IJZ16" s="50"/>
      <c r="IKA16" s="50"/>
      <c r="IKB16" s="50"/>
      <c r="IKC16" s="50"/>
      <c r="IKD16" s="50"/>
      <c r="IKE16" s="50"/>
      <c r="IKF16" s="50"/>
      <c r="IKG16" s="50"/>
      <c r="IKH16" s="50"/>
      <c r="IKI16" s="50"/>
      <c r="IKJ16" s="50"/>
      <c r="IKK16" s="50"/>
      <c r="IKL16" s="50"/>
      <c r="IKM16" s="50"/>
      <c r="IKN16" s="50"/>
      <c r="IKO16" s="50"/>
      <c r="IKP16" s="50"/>
      <c r="IKQ16" s="50"/>
      <c r="IKR16" s="50"/>
      <c r="IKS16" s="50"/>
      <c r="IKT16" s="50"/>
      <c r="IKU16" s="50"/>
      <c r="IKV16" s="50"/>
      <c r="IKW16" s="50"/>
      <c r="IKX16" s="50"/>
      <c r="IKY16" s="50"/>
      <c r="IKZ16" s="50"/>
      <c r="ILA16" s="50"/>
      <c r="ILB16" s="50"/>
      <c r="ILC16" s="50"/>
      <c r="ILD16" s="50"/>
      <c r="ILE16" s="50"/>
      <c r="ILF16" s="50"/>
      <c r="ILG16" s="50"/>
      <c r="ILH16" s="50"/>
      <c r="ILI16" s="50"/>
      <c r="ILJ16" s="50"/>
      <c r="ILK16" s="50"/>
      <c r="ILL16" s="50"/>
      <c r="ILM16" s="50"/>
      <c r="ILN16" s="50"/>
      <c r="ILO16" s="50"/>
      <c r="ILP16" s="50"/>
      <c r="ILQ16" s="50"/>
      <c r="ILR16" s="50"/>
      <c r="ILS16" s="50"/>
      <c r="ILT16" s="50"/>
      <c r="ILU16" s="50"/>
      <c r="ILV16" s="50"/>
      <c r="ILW16" s="50"/>
      <c r="ILX16" s="50"/>
      <c r="ILY16" s="50"/>
      <c r="ILZ16" s="50"/>
      <c r="IMA16" s="50"/>
      <c r="IMB16" s="50"/>
      <c r="IMC16" s="50"/>
      <c r="IMD16" s="50"/>
      <c r="IME16" s="50"/>
      <c r="IMF16" s="50"/>
      <c r="IMG16" s="50"/>
      <c r="IMH16" s="50"/>
      <c r="IMI16" s="50"/>
      <c r="IMJ16" s="50"/>
      <c r="IMK16" s="50"/>
      <c r="IML16" s="50"/>
      <c r="IMM16" s="50"/>
      <c r="IMN16" s="50"/>
      <c r="IMO16" s="50"/>
      <c r="IMP16" s="50"/>
      <c r="IMQ16" s="50"/>
      <c r="IMR16" s="50"/>
      <c r="IMS16" s="50"/>
      <c r="IMT16" s="50"/>
      <c r="IMU16" s="50"/>
      <c r="IMV16" s="50"/>
      <c r="IMW16" s="50"/>
      <c r="IMX16" s="50"/>
      <c r="IMY16" s="50"/>
      <c r="IMZ16" s="50"/>
      <c r="INA16" s="50"/>
      <c r="INB16" s="50"/>
      <c r="INC16" s="50"/>
      <c r="IND16" s="50"/>
      <c r="INE16" s="50"/>
      <c r="INF16" s="50"/>
      <c r="ING16" s="50"/>
      <c r="INH16" s="50"/>
      <c r="INI16" s="50"/>
      <c r="INJ16" s="50"/>
      <c r="INK16" s="50"/>
      <c r="INL16" s="50"/>
      <c r="INM16" s="50"/>
      <c r="INN16" s="50"/>
      <c r="INO16" s="50"/>
      <c r="INP16" s="50"/>
      <c r="INQ16" s="50"/>
      <c r="INR16" s="50"/>
      <c r="INS16" s="50"/>
      <c r="INT16" s="50"/>
      <c r="INU16" s="50"/>
      <c r="INV16" s="50"/>
      <c r="INW16" s="50"/>
      <c r="INX16" s="50"/>
      <c r="INY16" s="50"/>
      <c r="INZ16" s="50"/>
      <c r="IOA16" s="50"/>
      <c r="IOB16" s="50"/>
      <c r="IOC16" s="50"/>
      <c r="IOD16" s="50"/>
      <c r="IOE16" s="50"/>
      <c r="IOF16" s="50"/>
      <c r="IOG16" s="50"/>
      <c r="IOH16" s="50"/>
      <c r="IOI16" s="50"/>
      <c r="IOJ16" s="50"/>
      <c r="IOK16" s="50"/>
      <c r="IOL16" s="50"/>
      <c r="IOM16" s="50"/>
      <c r="ION16" s="50"/>
      <c r="IOO16" s="50"/>
      <c r="IOP16" s="50"/>
      <c r="IOQ16" s="50"/>
      <c r="IOR16" s="50"/>
      <c r="IOS16" s="50"/>
      <c r="IOT16" s="50"/>
      <c r="IOU16" s="50"/>
      <c r="IOV16" s="50"/>
      <c r="IOW16" s="50"/>
      <c r="IOX16" s="50"/>
      <c r="IOY16" s="50"/>
      <c r="IOZ16" s="50"/>
      <c r="IPA16" s="50"/>
      <c r="IPB16" s="50"/>
      <c r="IPC16" s="50"/>
      <c r="IPD16" s="50"/>
      <c r="IPE16" s="50"/>
      <c r="IPF16" s="50"/>
      <c r="IPG16" s="50"/>
      <c r="IPH16" s="50"/>
      <c r="IPI16" s="50"/>
      <c r="IPJ16" s="50"/>
      <c r="IPK16" s="50"/>
      <c r="IPL16" s="50"/>
      <c r="IPM16" s="50"/>
      <c r="IPN16" s="50"/>
      <c r="IPO16" s="50"/>
      <c r="IPP16" s="50"/>
      <c r="IPQ16" s="50"/>
      <c r="IPR16" s="50"/>
      <c r="IPS16" s="50"/>
      <c r="IPT16" s="50"/>
      <c r="IPU16" s="50"/>
      <c r="IPV16" s="50"/>
      <c r="IPW16" s="50"/>
      <c r="IPX16" s="50"/>
      <c r="IPY16" s="50"/>
      <c r="IPZ16" s="50"/>
      <c r="IQA16" s="50"/>
      <c r="IQB16" s="50"/>
      <c r="IQC16" s="50"/>
      <c r="IQD16" s="50"/>
      <c r="IQE16" s="50"/>
      <c r="IQF16" s="50"/>
      <c r="IQG16" s="50"/>
      <c r="IQH16" s="50"/>
      <c r="IQI16" s="50"/>
      <c r="IQJ16" s="50"/>
      <c r="IQK16" s="50"/>
      <c r="IQL16" s="50"/>
      <c r="IQM16" s="50"/>
      <c r="IQN16" s="50"/>
      <c r="IQO16" s="50"/>
      <c r="IQP16" s="50"/>
      <c r="IQQ16" s="50"/>
      <c r="IQR16" s="50"/>
      <c r="IQS16" s="50"/>
      <c r="IQT16" s="50"/>
      <c r="IQU16" s="50"/>
      <c r="IQV16" s="50"/>
      <c r="IQW16" s="50"/>
      <c r="IQX16" s="50"/>
      <c r="IQY16" s="50"/>
      <c r="IQZ16" s="50"/>
      <c r="IRA16" s="50"/>
      <c r="IRB16" s="50"/>
      <c r="IRC16" s="50"/>
      <c r="IRD16" s="50"/>
      <c r="IRE16" s="50"/>
      <c r="IRF16" s="50"/>
      <c r="IRG16" s="50"/>
      <c r="IRH16" s="50"/>
      <c r="IRI16" s="50"/>
      <c r="IRJ16" s="50"/>
      <c r="IRK16" s="50"/>
      <c r="IRL16" s="50"/>
      <c r="IRM16" s="50"/>
      <c r="IRN16" s="50"/>
      <c r="IRO16" s="50"/>
      <c r="IRP16" s="50"/>
      <c r="IRQ16" s="50"/>
      <c r="IRR16" s="50"/>
      <c r="IRS16" s="50"/>
      <c r="IRT16" s="50"/>
      <c r="IRU16" s="50"/>
      <c r="IRV16" s="50"/>
      <c r="IRW16" s="50"/>
      <c r="IRX16" s="50"/>
      <c r="IRY16" s="50"/>
      <c r="IRZ16" s="50"/>
      <c r="ISA16" s="50"/>
      <c r="ISB16" s="50"/>
      <c r="ISC16" s="50"/>
      <c r="ISD16" s="50"/>
      <c r="ISE16" s="50"/>
      <c r="ISF16" s="50"/>
      <c r="ISG16" s="50"/>
      <c r="ISH16" s="50"/>
      <c r="ISI16" s="50"/>
      <c r="ISJ16" s="50"/>
      <c r="ISK16" s="50"/>
      <c r="ISL16" s="50"/>
      <c r="ISM16" s="50"/>
      <c r="ISN16" s="50"/>
      <c r="ISO16" s="50"/>
      <c r="ISP16" s="50"/>
      <c r="ISQ16" s="50"/>
      <c r="ISR16" s="50"/>
      <c r="ISS16" s="50"/>
      <c r="IST16" s="50"/>
      <c r="ISU16" s="50"/>
      <c r="ISV16" s="50"/>
      <c r="ISW16" s="50"/>
      <c r="ISX16" s="50"/>
      <c r="ISY16" s="50"/>
      <c r="ISZ16" s="50"/>
      <c r="ITA16" s="50"/>
      <c r="ITB16" s="50"/>
      <c r="ITC16" s="50"/>
      <c r="ITD16" s="50"/>
      <c r="ITE16" s="50"/>
      <c r="ITF16" s="50"/>
      <c r="ITG16" s="50"/>
      <c r="ITH16" s="50"/>
      <c r="ITI16" s="50"/>
      <c r="ITJ16" s="50"/>
      <c r="ITK16" s="50"/>
      <c r="ITL16" s="50"/>
      <c r="ITM16" s="50"/>
      <c r="ITN16" s="50"/>
      <c r="ITO16" s="50"/>
      <c r="ITP16" s="50"/>
      <c r="ITQ16" s="50"/>
      <c r="ITR16" s="50"/>
      <c r="ITS16" s="50"/>
      <c r="ITT16" s="50"/>
      <c r="ITU16" s="50"/>
      <c r="ITV16" s="50"/>
      <c r="ITW16" s="50"/>
      <c r="ITX16" s="50"/>
      <c r="ITY16" s="50"/>
      <c r="ITZ16" s="50"/>
      <c r="IUA16" s="50"/>
      <c r="IUB16" s="50"/>
      <c r="IUC16" s="50"/>
      <c r="IUD16" s="50"/>
      <c r="IUE16" s="50"/>
      <c r="IUF16" s="50"/>
      <c r="IUG16" s="50"/>
      <c r="IUH16" s="50"/>
      <c r="IUI16" s="50"/>
      <c r="IUJ16" s="50"/>
      <c r="IUK16" s="50"/>
      <c r="IUL16" s="50"/>
      <c r="IUM16" s="50"/>
      <c r="IUN16" s="50"/>
      <c r="IUO16" s="50"/>
      <c r="IUP16" s="50"/>
      <c r="IUQ16" s="50"/>
      <c r="IUR16" s="50"/>
      <c r="IUS16" s="50"/>
      <c r="IUT16" s="50"/>
      <c r="IUU16" s="50"/>
      <c r="IUV16" s="50"/>
      <c r="IUW16" s="50"/>
      <c r="IUX16" s="50"/>
      <c r="IUY16" s="50"/>
      <c r="IUZ16" s="50"/>
      <c r="IVA16" s="50"/>
      <c r="IVB16" s="50"/>
      <c r="IVC16" s="50"/>
      <c r="IVD16" s="50"/>
      <c r="IVE16" s="50"/>
      <c r="IVF16" s="50"/>
      <c r="IVG16" s="50"/>
      <c r="IVH16" s="50"/>
      <c r="IVI16" s="50"/>
      <c r="IVJ16" s="50"/>
      <c r="IVK16" s="50"/>
      <c r="IVL16" s="50"/>
      <c r="IVM16" s="50"/>
      <c r="IVN16" s="50"/>
      <c r="IVO16" s="50"/>
      <c r="IVP16" s="50"/>
      <c r="IVQ16" s="50"/>
      <c r="IVR16" s="50"/>
      <c r="IVS16" s="50"/>
      <c r="IVT16" s="50"/>
      <c r="IVU16" s="50"/>
      <c r="IVV16" s="50"/>
      <c r="IVW16" s="50"/>
      <c r="IVX16" s="50"/>
      <c r="IVY16" s="50"/>
      <c r="IVZ16" s="50"/>
      <c r="IWA16" s="50"/>
      <c r="IWB16" s="50"/>
      <c r="IWC16" s="50"/>
      <c r="IWD16" s="50"/>
      <c r="IWE16" s="50"/>
      <c r="IWF16" s="50"/>
      <c r="IWG16" s="50"/>
      <c r="IWH16" s="50"/>
      <c r="IWI16" s="50"/>
      <c r="IWJ16" s="50"/>
      <c r="IWK16" s="50"/>
      <c r="IWL16" s="50"/>
      <c r="IWM16" s="50"/>
      <c r="IWN16" s="50"/>
      <c r="IWO16" s="50"/>
      <c r="IWP16" s="50"/>
      <c r="IWQ16" s="50"/>
      <c r="IWR16" s="50"/>
      <c r="IWS16" s="50"/>
      <c r="IWT16" s="50"/>
      <c r="IWU16" s="50"/>
      <c r="IWV16" s="50"/>
      <c r="IWW16" s="50"/>
      <c r="IWX16" s="50"/>
      <c r="IWY16" s="50"/>
      <c r="IWZ16" s="50"/>
      <c r="IXA16" s="50"/>
      <c r="IXB16" s="50"/>
      <c r="IXC16" s="50"/>
      <c r="IXD16" s="50"/>
      <c r="IXE16" s="50"/>
      <c r="IXF16" s="50"/>
      <c r="IXG16" s="50"/>
      <c r="IXH16" s="50"/>
      <c r="IXI16" s="50"/>
      <c r="IXJ16" s="50"/>
      <c r="IXK16" s="50"/>
      <c r="IXL16" s="50"/>
      <c r="IXM16" s="50"/>
      <c r="IXN16" s="50"/>
      <c r="IXO16" s="50"/>
      <c r="IXP16" s="50"/>
      <c r="IXQ16" s="50"/>
      <c r="IXR16" s="50"/>
      <c r="IXS16" s="50"/>
      <c r="IXT16" s="50"/>
      <c r="IXU16" s="50"/>
      <c r="IXV16" s="50"/>
      <c r="IXW16" s="50"/>
      <c r="IXX16" s="50"/>
      <c r="IXY16" s="50"/>
      <c r="IXZ16" s="50"/>
      <c r="IYA16" s="50"/>
      <c r="IYB16" s="50"/>
      <c r="IYC16" s="50"/>
      <c r="IYD16" s="50"/>
      <c r="IYE16" s="50"/>
      <c r="IYF16" s="50"/>
      <c r="IYG16" s="50"/>
      <c r="IYH16" s="50"/>
      <c r="IYI16" s="50"/>
      <c r="IYJ16" s="50"/>
      <c r="IYK16" s="50"/>
      <c r="IYL16" s="50"/>
      <c r="IYM16" s="50"/>
      <c r="IYN16" s="50"/>
      <c r="IYO16" s="50"/>
      <c r="IYP16" s="50"/>
      <c r="IYQ16" s="50"/>
      <c r="IYR16" s="50"/>
      <c r="IYS16" s="50"/>
      <c r="IYT16" s="50"/>
      <c r="IYU16" s="50"/>
      <c r="IYV16" s="50"/>
      <c r="IYW16" s="50"/>
      <c r="IYX16" s="50"/>
      <c r="IYY16" s="50"/>
      <c r="IYZ16" s="50"/>
      <c r="IZA16" s="50"/>
      <c r="IZB16" s="50"/>
      <c r="IZC16" s="50"/>
      <c r="IZD16" s="50"/>
      <c r="IZE16" s="50"/>
      <c r="IZF16" s="50"/>
      <c r="IZG16" s="50"/>
      <c r="IZH16" s="50"/>
      <c r="IZI16" s="50"/>
      <c r="IZJ16" s="50"/>
      <c r="IZK16" s="50"/>
      <c r="IZL16" s="50"/>
      <c r="IZM16" s="50"/>
      <c r="IZN16" s="50"/>
      <c r="IZO16" s="50"/>
      <c r="IZP16" s="50"/>
      <c r="IZQ16" s="50"/>
      <c r="IZR16" s="50"/>
      <c r="IZS16" s="50"/>
      <c r="IZT16" s="50"/>
      <c r="IZU16" s="50"/>
      <c r="IZV16" s="50"/>
      <c r="IZW16" s="50"/>
      <c r="IZX16" s="50"/>
      <c r="IZY16" s="50"/>
      <c r="IZZ16" s="50"/>
      <c r="JAA16" s="50"/>
      <c r="JAB16" s="50"/>
      <c r="JAC16" s="50"/>
      <c r="JAD16" s="50"/>
      <c r="JAE16" s="50"/>
      <c r="JAF16" s="50"/>
      <c r="JAG16" s="50"/>
      <c r="JAH16" s="50"/>
      <c r="JAI16" s="50"/>
      <c r="JAJ16" s="50"/>
      <c r="JAK16" s="50"/>
      <c r="JAL16" s="50"/>
      <c r="JAM16" s="50"/>
      <c r="JAN16" s="50"/>
      <c r="JAO16" s="50"/>
      <c r="JAP16" s="50"/>
      <c r="JAQ16" s="50"/>
      <c r="JAR16" s="50"/>
      <c r="JAS16" s="50"/>
      <c r="JAT16" s="50"/>
      <c r="JAU16" s="50"/>
      <c r="JAV16" s="50"/>
      <c r="JAW16" s="50"/>
      <c r="JAX16" s="50"/>
      <c r="JAY16" s="50"/>
      <c r="JAZ16" s="50"/>
      <c r="JBA16" s="50"/>
      <c r="JBB16" s="50"/>
      <c r="JBC16" s="50"/>
      <c r="JBD16" s="50"/>
      <c r="JBE16" s="50"/>
      <c r="JBF16" s="50"/>
      <c r="JBG16" s="50"/>
      <c r="JBH16" s="50"/>
      <c r="JBI16" s="50"/>
      <c r="JBJ16" s="50"/>
      <c r="JBK16" s="50"/>
      <c r="JBL16" s="50"/>
      <c r="JBM16" s="50"/>
      <c r="JBN16" s="50"/>
      <c r="JBO16" s="50"/>
      <c r="JBP16" s="50"/>
      <c r="JBQ16" s="50"/>
      <c r="JBR16" s="50"/>
      <c r="JBS16" s="50"/>
      <c r="JBT16" s="50"/>
      <c r="JBU16" s="50"/>
      <c r="JBV16" s="50"/>
      <c r="JBW16" s="50"/>
      <c r="JBX16" s="50"/>
      <c r="JBY16" s="50"/>
      <c r="JBZ16" s="50"/>
      <c r="JCA16" s="50"/>
      <c r="JCB16" s="50"/>
      <c r="JCC16" s="50"/>
      <c r="JCD16" s="50"/>
      <c r="JCE16" s="50"/>
      <c r="JCF16" s="50"/>
      <c r="JCG16" s="50"/>
      <c r="JCH16" s="50"/>
      <c r="JCI16" s="50"/>
      <c r="JCJ16" s="50"/>
      <c r="JCK16" s="50"/>
      <c r="JCL16" s="50"/>
      <c r="JCM16" s="50"/>
      <c r="JCN16" s="50"/>
      <c r="JCO16" s="50"/>
      <c r="JCP16" s="50"/>
      <c r="JCQ16" s="50"/>
      <c r="JCR16" s="50"/>
      <c r="JCS16" s="50"/>
      <c r="JCT16" s="50"/>
      <c r="JCU16" s="50"/>
      <c r="JCV16" s="50"/>
      <c r="JCW16" s="50"/>
      <c r="JCX16" s="50"/>
      <c r="JCY16" s="50"/>
      <c r="JCZ16" s="50"/>
      <c r="JDA16" s="50"/>
      <c r="JDB16" s="50"/>
      <c r="JDC16" s="50"/>
      <c r="JDD16" s="50"/>
      <c r="JDE16" s="50"/>
      <c r="JDF16" s="50"/>
      <c r="JDG16" s="50"/>
      <c r="JDH16" s="50"/>
      <c r="JDI16" s="50"/>
      <c r="JDJ16" s="50"/>
      <c r="JDK16" s="50"/>
      <c r="JDL16" s="50"/>
      <c r="JDM16" s="50"/>
      <c r="JDN16" s="50"/>
      <c r="JDO16" s="50"/>
      <c r="JDP16" s="50"/>
      <c r="JDQ16" s="50"/>
      <c r="JDR16" s="50"/>
      <c r="JDS16" s="50"/>
      <c r="JDT16" s="50"/>
      <c r="JDU16" s="50"/>
      <c r="JDV16" s="50"/>
      <c r="JDW16" s="50"/>
      <c r="JDX16" s="50"/>
      <c r="JDY16" s="50"/>
      <c r="JDZ16" s="50"/>
      <c r="JEA16" s="50"/>
      <c r="JEB16" s="50"/>
      <c r="JEC16" s="50"/>
      <c r="JED16" s="50"/>
      <c r="JEE16" s="50"/>
      <c r="JEF16" s="50"/>
      <c r="JEG16" s="50"/>
      <c r="JEH16" s="50"/>
      <c r="JEI16" s="50"/>
      <c r="JEJ16" s="50"/>
      <c r="JEK16" s="50"/>
      <c r="JEL16" s="50"/>
      <c r="JEM16" s="50"/>
      <c r="JEN16" s="50"/>
      <c r="JEO16" s="50"/>
      <c r="JEP16" s="50"/>
      <c r="JEQ16" s="50"/>
      <c r="JER16" s="50"/>
      <c r="JES16" s="50"/>
      <c r="JET16" s="50"/>
      <c r="JEU16" s="50"/>
      <c r="JEV16" s="50"/>
      <c r="JEW16" s="50"/>
      <c r="JEX16" s="50"/>
      <c r="JEY16" s="50"/>
      <c r="JEZ16" s="50"/>
      <c r="JFA16" s="50"/>
      <c r="JFB16" s="50"/>
      <c r="JFC16" s="50"/>
      <c r="JFD16" s="50"/>
      <c r="JFE16" s="50"/>
      <c r="JFF16" s="50"/>
      <c r="JFG16" s="50"/>
      <c r="JFH16" s="50"/>
      <c r="JFI16" s="50"/>
      <c r="JFJ16" s="50"/>
      <c r="JFK16" s="50"/>
      <c r="JFL16" s="50"/>
      <c r="JFM16" s="50"/>
      <c r="JFN16" s="50"/>
      <c r="JFO16" s="50"/>
      <c r="JFP16" s="50"/>
      <c r="JFQ16" s="50"/>
      <c r="JFR16" s="50"/>
      <c r="JFS16" s="50"/>
      <c r="JFT16" s="50"/>
      <c r="JFU16" s="50"/>
      <c r="JFV16" s="50"/>
      <c r="JFW16" s="50"/>
      <c r="JFX16" s="50"/>
      <c r="JFY16" s="50"/>
      <c r="JFZ16" s="50"/>
      <c r="JGA16" s="50"/>
      <c r="JGB16" s="50"/>
      <c r="JGC16" s="50"/>
      <c r="JGD16" s="50"/>
      <c r="JGE16" s="50"/>
      <c r="JGF16" s="50"/>
      <c r="JGG16" s="50"/>
      <c r="JGH16" s="50"/>
      <c r="JGI16" s="50"/>
      <c r="JGJ16" s="50"/>
      <c r="JGK16" s="50"/>
      <c r="JGL16" s="50"/>
      <c r="JGM16" s="50"/>
      <c r="JGN16" s="50"/>
      <c r="JGO16" s="50"/>
      <c r="JGP16" s="50"/>
      <c r="JGQ16" s="50"/>
      <c r="JGR16" s="50"/>
      <c r="JGS16" s="50"/>
      <c r="JGT16" s="50"/>
      <c r="JGU16" s="50"/>
      <c r="JGV16" s="50"/>
      <c r="JGW16" s="50"/>
      <c r="JGX16" s="50"/>
      <c r="JGY16" s="50"/>
      <c r="JGZ16" s="50"/>
      <c r="JHA16" s="50"/>
      <c r="JHB16" s="50"/>
      <c r="JHC16" s="50"/>
      <c r="JHD16" s="50"/>
      <c r="JHE16" s="50"/>
      <c r="JHF16" s="50"/>
      <c r="JHG16" s="50"/>
      <c r="JHH16" s="50"/>
      <c r="JHI16" s="50"/>
      <c r="JHJ16" s="50"/>
      <c r="JHK16" s="50"/>
      <c r="JHL16" s="50"/>
      <c r="JHM16" s="50"/>
      <c r="JHN16" s="50"/>
      <c r="JHO16" s="50"/>
      <c r="JHP16" s="50"/>
      <c r="JHQ16" s="50"/>
      <c r="JHR16" s="50"/>
      <c r="JHS16" s="50"/>
      <c r="JHT16" s="50"/>
      <c r="JHU16" s="50"/>
      <c r="JHV16" s="50"/>
      <c r="JHW16" s="50"/>
      <c r="JHX16" s="50"/>
      <c r="JHY16" s="50"/>
      <c r="JHZ16" s="50"/>
      <c r="JIA16" s="50"/>
      <c r="JIB16" s="50"/>
      <c r="JIC16" s="50"/>
      <c r="JID16" s="50"/>
      <c r="JIE16" s="50"/>
      <c r="JIF16" s="50"/>
      <c r="JIG16" s="50"/>
      <c r="JIH16" s="50"/>
      <c r="JII16" s="50"/>
      <c r="JIJ16" s="50"/>
      <c r="JIK16" s="50"/>
      <c r="JIL16" s="50"/>
      <c r="JIM16" s="50"/>
      <c r="JIN16" s="50"/>
      <c r="JIO16" s="50"/>
      <c r="JIP16" s="50"/>
      <c r="JIQ16" s="50"/>
      <c r="JIR16" s="50"/>
      <c r="JIS16" s="50"/>
      <c r="JIT16" s="50"/>
      <c r="JIU16" s="50"/>
      <c r="JIV16" s="50"/>
      <c r="JIW16" s="50"/>
      <c r="JIX16" s="50"/>
      <c r="JIY16" s="50"/>
      <c r="JIZ16" s="50"/>
      <c r="JJA16" s="50"/>
      <c r="JJB16" s="50"/>
      <c r="JJC16" s="50"/>
      <c r="JJD16" s="50"/>
      <c r="JJE16" s="50"/>
      <c r="JJF16" s="50"/>
      <c r="JJG16" s="50"/>
      <c r="JJH16" s="50"/>
      <c r="JJI16" s="50"/>
      <c r="JJJ16" s="50"/>
      <c r="JJK16" s="50"/>
      <c r="JJL16" s="50"/>
      <c r="JJM16" s="50"/>
      <c r="JJN16" s="50"/>
      <c r="JJO16" s="50"/>
      <c r="JJP16" s="50"/>
      <c r="JJQ16" s="50"/>
      <c r="JJR16" s="50"/>
      <c r="JJS16" s="50"/>
      <c r="JJT16" s="50"/>
      <c r="JJU16" s="50"/>
      <c r="JJV16" s="50"/>
      <c r="JJW16" s="50"/>
      <c r="JJX16" s="50"/>
      <c r="JJY16" s="50"/>
      <c r="JJZ16" s="50"/>
      <c r="JKA16" s="50"/>
      <c r="JKB16" s="50"/>
      <c r="JKC16" s="50"/>
      <c r="JKD16" s="50"/>
      <c r="JKE16" s="50"/>
      <c r="JKF16" s="50"/>
      <c r="JKG16" s="50"/>
      <c r="JKH16" s="50"/>
      <c r="JKI16" s="50"/>
      <c r="JKJ16" s="50"/>
      <c r="JKK16" s="50"/>
      <c r="JKL16" s="50"/>
      <c r="JKM16" s="50"/>
      <c r="JKN16" s="50"/>
      <c r="JKO16" s="50"/>
      <c r="JKP16" s="50"/>
      <c r="JKQ16" s="50"/>
      <c r="JKR16" s="50"/>
      <c r="JKS16" s="50"/>
      <c r="JKT16" s="50"/>
      <c r="JKU16" s="50"/>
      <c r="JKV16" s="50"/>
      <c r="JKW16" s="50"/>
      <c r="JKX16" s="50"/>
      <c r="JKY16" s="50"/>
      <c r="JKZ16" s="50"/>
      <c r="JLA16" s="50"/>
      <c r="JLB16" s="50"/>
      <c r="JLC16" s="50"/>
      <c r="JLD16" s="50"/>
      <c r="JLE16" s="50"/>
      <c r="JLF16" s="50"/>
      <c r="JLG16" s="50"/>
      <c r="JLH16" s="50"/>
      <c r="JLI16" s="50"/>
      <c r="JLJ16" s="50"/>
      <c r="JLK16" s="50"/>
      <c r="JLL16" s="50"/>
      <c r="JLM16" s="50"/>
      <c r="JLN16" s="50"/>
      <c r="JLO16" s="50"/>
      <c r="JLP16" s="50"/>
      <c r="JLQ16" s="50"/>
      <c r="JLR16" s="50"/>
      <c r="JLS16" s="50"/>
      <c r="JLT16" s="50"/>
      <c r="JLU16" s="50"/>
      <c r="JLV16" s="50"/>
      <c r="JLW16" s="50"/>
      <c r="JLX16" s="50"/>
      <c r="JLY16" s="50"/>
      <c r="JLZ16" s="50"/>
      <c r="JMA16" s="50"/>
      <c r="JMB16" s="50"/>
      <c r="JMC16" s="50"/>
      <c r="JMD16" s="50"/>
      <c r="JME16" s="50"/>
      <c r="JMF16" s="50"/>
      <c r="JMG16" s="50"/>
      <c r="JMH16" s="50"/>
      <c r="JMI16" s="50"/>
      <c r="JMJ16" s="50"/>
      <c r="JMK16" s="50"/>
      <c r="JML16" s="50"/>
      <c r="JMM16" s="50"/>
      <c r="JMN16" s="50"/>
      <c r="JMO16" s="50"/>
      <c r="JMP16" s="50"/>
      <c r="JMQ16" s="50"/>
      <c r="JMR16" s="50"/>
      <c r="JMS16" s="50"/>
      <c r="JMT16" s="50"/>
      <c r="JMU16" s="50"/>
      <c r="JMV16" s="50"/>
      <c r="JMW16" s="50"/>
      <c r="JMX16" s="50"/>
      <c r="JMY16" s="50"/>
      <c r="JMZ16" s="50"/>
      <c r="JNA16" s="50"/>
      <c r="JNB16" s="50"/>
      <c r="JNC16" s="50"/>
      <c r="JND16" s="50"/>
      <c r="JNE16" s="50"/>
      <c r="JNF16" s="50"/>
      <c r="JNG16" s="50"/>
      <c r="JNH16" s="50"/>
      <c r="JNI16" s="50"/>
      <c r="JNJ16" s="50"/>
      <c r="JNK16" s="50"/>
      <c r="JNL16" s="50"/>
      <c r="JNM16" s="50"/>
      <c r="JNN16" s="50"/>
      <c r="JNO16" s="50"/>
      <c r="JNP16" s="50"/>
      <c r="JNQ16" s="50"/>
      <c r="JNR16" s="50"/>
      <c r="JNS16" s="50"/>
      <c r="JNT16" s="50"/>
      <c r="JNU16" s="50"/>
      <c r="JNV16" s="50"/>
      <c r="JNW16" s="50"/>
      <c r="JNX16" s="50"/>
      <c r="JNY16" s="50"/>
      <c r="JNZ16" s="50"/>
      <c r="JOA16" s="50"/>
      <c r="JOB16" s="50"/>
      <c r="JOC16" s="50"/>
      <c r="JOD16" s="50"/>
      <c r="JOE16" s="50"/>
      <c r="JOF16" s="50"/>
      <c r="JOG16" s="50"/>
      <c r="JOH16" s="50"/>
      <c r="JOI16" s="50"/>
      <c r="JOJ16" s="50"/>
      <c r="JOK16" s="50"/>
      <c r="JOL16" s="50"/>
      <c r="JOM16" s="50"/>
      <c r="JON16" s="50"/>
      <c r="JOO16" s="50"/>
      <c r="JOP16" s="50"/>
      <c r="JOQ16" s="50"/>
      <c r="JOR16" s="50"/>
      <c r="JOS16" s="50"/>
      <c r="JOT16" s="50"/>
      <c r="JOU16" s="50"/>
      <c r="JOV16" s="50"/>
      <c r="JOW16" s="50"/>
      <c r="JOX16" s="50"/>
      <c r="JOY16" s="50"/>
      <c r="JOZ16" s="50"/>
      <c r="JPA16" s="50"/>
      <c r="JPB16" s="50"/>
      <c r="JPC16" s="50"/>
      <c r="JPD16" s="50"/>
      <c r="JPE16" s="50"/>
      <c r="JPF16" s="50"/>
      <c r="JPG16" s="50"/>
      <c r="JPH16" s="50"/>
      <c r="JPI16" s="50"/>
      <c r="JPJ16" s="50"/>
      <c r="JPK16" s="50"/>
      <c r="JPL16" s="50"/>
      <c r="JPM16" s="50"/>
      <c r="JPN16" s="50"/>
      <c r="JPO16" s="50"/>
      <c r="JPP16" s="50"/>
      <c r="JPQ16" s="50"/>
      <c r="JPR16" s="50"/>
      <c r="JPS16" s="50"/>
      <c r="JPT16" s="50"/>
      <c r="JPU16" s="50"/>
      <c r="JPV16" s="50"/>
      <c r="JPW16" s="50"/>
      <c r="JPX16" s="50"/>
      <c r="JPY16" s="50"/>
      <c r="JPZ16" s="50"/>
      <c r="JQA16" s="50"/>
      <c r="JQB16" s="50"/>
      <c r="JQC16" s="50"/>
      <c r="JQD16" s="50"/>
      <c r="JQE16" s="50"/>
      <c r="JQF16" s="50"/>
      <c r="JQG16" s="50"/>
      <c r="JQH16" s="50"/>
      <c r="JQI16" s="50"/>
      <c r="JQJ16" s="50"/>
      <c r="JQK16" s="50"/>
      <c r="JQL16" s="50"/>
      <c r="JQM16" s="50"/>
      <c r="JQN16" s="50"/>
      <c r="JQO16" s="50"/>
      <c r="JQP16" s="50"/>
      <c r="JQQ16" s="50"/>
      <c r="JQR16" s="50"/>
      <c r="JQS16" s="50"/>
      <c r="JQT16" s="50"/>
      <c r="JQU16" s="50"/>
      <c r="JQV16" s="50"/>
      <c r="JQW16" s="50"/>
      <c r="JQX16" s="50"/>
      <c r="JQY16" s="50"/>
      <c r="JQZ16" s="50"/>
      <c r="JRA16" s="50"/>
      <c r="JRB16" s="50"/>
      <c r="JRC16" s="50"/>
      <c r="JRD16" s="50"/>
      <c r="JRE16" s="50"/>
      <c r="JRF16" s="50"/>
      <c r="JRG16" s="50"/>
      <c r="JRH16" s="50"/>
      <c r="JRI16" s="50"/>
      <c r="JRJ16" s="50"/>
      <c r="JRK16" s="50"/>
      <c r="JRL16" s="50"/>
      <c r="JRM16" s="50"/>
      <c r="JRN16" s="50"/>
      <c r="JRO16" s="50"/>
      <c r="JRP16" s="50"/>
      <c r="JRQ16" s="50"/>
      <c r="JRR16" s="50"/>
      <c r="JRS16" s="50"/>
      <c r="JRT16" s="50"/>
      <c r="JRU16" s="50"/>
      <c r="JRV16" s="50"/>
      <c r="JRW16" s="50"/>
      <c r="JRX16" s="50"/>
      <c r="JRY16" s="50"/>
      <c r="JRZ16" s="50"/>
      <c r="JSA16" s="50"/>
      <c r="JSB16" s="50"/>
      <c r="JSC16" s="50"/>
      <c r="JSD16" s="50"/>
      <c r="JSE16" s="50"/>
      <c r="JSF16" s="50"/>
      <c r="JSG16" s="50"/>
      <c r="JSH16" s="50"/>
      <c r="JSI16" s="50"/>
      <c r="JSJ16" s="50"/>
      <c r="JSK16" s="50"/>
      <c r="JSL16" s="50"/>
      <c r="JSM16" s="50"/>
      <c r="JSN16" s="50"/>
      <c r="JSO16" s="50"/>
      <c r="JSP16" s="50"/>
      <c r="JSQ16" s="50"/>
      <c r="JSR16" s="50"/>
      <c r="JSS16" s="50"/>
      <c r="JST16" s="50"/>
      <c r="JSU16" s="50"/>
      <c r="JSV16" s="50"/>
      <c r="JSW16" s="50"/>
      <c r="JSX16" s="50"/>
      <c r="JSY16" s="50"/>
      <c r="JSZ16" s="50"/>
      <c r="JTA16" s="50"/>
      <c r="JTB16" s="50"/>
      <c r="JTC16" s="50"/>
      <c r="JTD16" s="50"/>
      <c r="JTE16" s="50"/>
      <c r="JTF16" s="50"/>
      <c r="JTG16" s="50"/>
      <c r="JTH16" s="50"/>
      <c r="JTI16" s="50"/>
      <c r="JTJ16" s="50"/>
      <c r="JTK16" s="50"/>
      <c r="JTL16" s="50"/>
      <c r="JTM16" s="50"/>
      <c r="JTN16" s="50"/>
      <c r="JTO16" s="50"/>
      <c r="JTP16" s="50"/>
      <c r="JTQ16" s="50"/>
      <c r="JTR16" s="50"/>
      <c r="JTS16" s="50"/>
      <c r="JTT16" s="50"/>
      <c r="JTU16" s="50"/>
      <c r="JTV16" s="50"/>
      <c r="JTW16" s="50"/>
      <c r="JTX16" s="50"/>
      <c r="JTY16" s="50"/>
      <c r="JTZ16" s="50"/>
      <c r="JUA16" s="50"/>
      <c r="JUB16" s="50"/>
      <c r="JUC16" s="50"/>
      <c r="JUD16" s="50"/>
      <c r="JUE16" s="50"/>
      <c r="JUF16" s="50"/>
      <c r="JUG16" s="50"/>
      <c r="JUH16" s="50"/>
      <c r="JUI16" s="50"/>
      <c r="JUJ16" s="50"/>
      <c r="JUK16" s="50"/>
      <c r="JUL16" s="50"/>
      <c r="JUM16" s="50"/>
      <c r="JUN16" s="50"/>
      <c r="JUO16" s="50"/>
      <c r="JUP16" s="50"/>
      <c r="JUQ16" s="50"/>
      <c r="JUR16" s="50"/>
      <c r="JUS16" s="50"/>
      <c r="JUT16" s="50"/>
      <c r="JUU16" s="50"/>
      <c r="JUV16" s="50"/>
      <c r="JUW16" s="50"/>
      <c r="JUX16" s="50"/>
      <c r="JUY16" s="50"/>
      <c r="JUZ16" s="50"/>
      <c r="JVA16" s="50"/>
      <c r="JVB16" s="50"/>
      <c r="JVC16" s="50"/>
      <c r="JVD16" s="50"/>
      <c r="JVE16" s="50"/>
      <c r="JVF16" s="50"/>
      <c r="JVG16" s="50"/>
      <c r="JVH16" s="50"/>
      <c r="JVI16" s="50"/>
      <c r="JVJ16" s="50"/>
      <c r="JVK16" s="50"/>
      <c r="JVL16" s="50"/>
      <c r="JVM16" s="50"/>
      <c r="JVN16" s="50"/>
      <c r="JVO16" s="50"/>
      <c r="JVP16" s="50"/>
      <c r="JVQ16" s="50"/>
      <c r="JVR16" s="50"/>
      <c r="JVS16" s="50"/>
      <c r="JVT16" s="50"/>
      <c r="JVU16" s="50"/>
      <c r="JVV16" s="50"/>
      <c r="JVW16" s="50"/>
      <c r="JVX16" s="50"/>
      <c r="JVY16" s="50"/>
      <c r="JVZ16" s="50"/>
      <c r="JWA16" s="50"/>
      <c r="JWB16" s="50"/>
      <c r="JWC16" s="50"/>
      <c r="JWD16" s="50"/>
      <c r="JWE16" s="50"/>
      <c r="JWF16" s="50"/>
      <c r="JWG16" s="50"/>
      <c r="JWH16" s="50"/>
      <c r="JWI16" s="50"/>
      <c r="JWJ16" s="50"/>
      <c r="JWK16" s="50"/>
      <c r="JWL16" s="50"/>
      <c r="JWM16" s="50"/>
      <c r="JWN16" s="50"/>
      <c r="JWO16" s="50"/>
      <c r="JWP16" s="50"/>
      <c r="JWQ16" s="50"/>
      <c r="JWR16" s="50"/>
      <c r="JWS16" s="50"/>
      <c r="JWT16" s="50"/>
      <c r="JWU16" s="50"/>
      <c r="JWV16" s="50"/>
      <c r="JWW16" s="50"/>
      <c r="JWX16" s="50"/>
      <c r="JWY16" s="50"/>
      <c r="JWZ16" s="50"/>
      <c r="JXA16" s="50"/>
      <c r="JXB16" s="50"/>
      <c r="JXC16" s="50"/>
      <c r="JXD16" s="50"/>
      <c r="JXE16" s="50"/>
      <c r="JXF16" s="50"/>
      <c r="JXG16" s="50"/>
      <c r="JXH16" s="50"/>
      <c r="JXI16" s="50"/>
      <c r="JXJ16" s="50"/>
      <c r="JXK16" s="50"/>
      <c r="JXL16" s="50"/>
      <c r="JXM16" s="50"/>
      <c r="JXN16" s="50"/>
      <c r="JXO16" s="50"/>
      <c r="JXP16" s="50"/>
      <c r="JXQ16" s="50"/>
      <c r="JXR16" s="50"/>
      <c r="JXS16" s="50"/>
      <c r="JXT16" s="50"/>
      <c r="JXU16" s="50"/>
      <c r="JXV16" s="50"/>
      <c r="JXW16" s="50"/>
      <c r="JXX16" s="50"/>
      <c r="JXY16" s="50"/>
      <c r="JXZ16" s="50"/>
      <c r="JYA16" s="50"/>
      <c r="JYB16" s="50"/>
      <c r="JYC16" s="50"/>
      <c r="JYD16" s="50"/>
      <c r="JYE16" s="50"/>
      <c r="JYF16" s="50"/>
      <c r="JYG16" s="50"/>
      <c r="JYH16" s="50"/>
      <c r="JYI16" s="50"/>
      <c r="JYJ16" s="50"/>
      <c r="JYK16" s="50"/>
      <c r="JYL16" s="50"/>
      <c r="JYM16" s="50"/>
      <c r="JYN16" s="50"/>
      <c r="JYO16" s="50"/>
      <c r="JYP16" s="50"/>
      <c r="JYQ16" s="50"/>
      <c r="JYR16" s="50"/>
      <c r="JYS16" s="50"/>
      <c r="JYT16" s="50"/>
      <c r="JYU16" s="50"/>
      <c r="JYV16" s="50"/>
      <c r="JYW16" s="50"/>
      <c r="JYX16" s="50"/>
      <c r="JYY16" s="50"/>
      <c r="JYZ16" s="50"/>
      <c r="JZA16" s="50"/>
      <c r="JZB16" s="50"/>
      <c r="JZC16" s="50"/>
      <c r="JZD16" s="50"/>
      <c r="JZE16" s="50"/>
      <c r="JZF16" s="50"/>
      <c r="JZG16" s="50"/>
      <c r="JZH16" s="50"/>
      <c r="JZI16" s="50"/>
      <c r="JZJ16" s="50"/>
      <c r="JZK16" s="50"/>
      <c r="JZL16" s="50"/>
      <c r="JZM16" s="50"/>
      <c r="JZN16" s="50"/>
      <c r="JZO16" s="50"/>
      <c r="JZP16" s="50"/>
      <c r="JZQ16" s="50"/>
      <c r="JZR16" s="50"/>
      <c r="JZS16" s="50"/>
      <c r="JZT16" s="50"/>
      <c r="JZU16" s="50"/>
      <c r="JZV16" s="50"/>
      <c r="JZW16" s="50"/>
      <c r="JZX16" s="50"/>
      <c r="JZY16" s="50"/>
      <c r="JZZ16" s="50"/>
      <c r="KAA16" s="50"/>
      <c r="KAB16" s="50"/>
      <c r="KAC16" s="50"/>
      <c r="KAD16" s="50"/>
      <c r="KAE16" s="50"/>
      <c r="KAF16" s="50"/>
      <c r="KAG16" s="50"/>
      <c r="KAH16" s="50"/>
      <c r="KAI16" s="50"/>
      <c r="KAJ16" s="50"/>
      <c r="KAK16" s="50"/>
      <c r="KAL16" s="50"/>
      <c r="KAM16" s="50"/>
      <c r="KAN16" s="50"/>
      <c r="KAO16" s="50"/>
      <c r="KAP16" s="50"/>
      <c r="KAQ16" s="50"/>
      <c r="KAR16" s="50"/>
      <c r="KAS16" s="50"/>
      <c r="KAT16" s="50"/>
      <c r="KAU16" s="50"/>
      <c r="KAV16" s="50"/>
      <c r="KAW16" s="50"/>
      <c r="KAX16" s="50"/>
      <c r="KAY16" s="50"/>
      <c r="KAZ16" s="50"/>
      <c r="KBA16" s="50"/>
      <c r="KBB16" s="50"/>
      <c r="KBC16" s="50"/>
      <c r="KBD16" s="50"/>
      <c r="KBE16" s="50"/>
      <c r="KBF16" s="50"/>
      <c r="KBG16" s="50"/>
      <c r="KBH16" s="50"/>
      <c r="KBI16" s="50"/>
      <c r="KBJ16" s="50"/>
      <c r="KBK16" s="50"/>
      <c r="KBL16" s="50"/>
      <c r="KBM16" s="50"/>
      <c r="KBN16" s="50"/>
      <c r="KBO16" s="50"/>
      <c r="KBP16" s="50"/>
      <c r="KBQ16" s="50"/>
      <c r="KBR16" s="50"/>
      <c r="KBS16" s="50"/>
      <c r="KBT16" s="50"/>
      <c r="KBU16" s="50"/>
      <c r="KBV16" s="50"/>
      <c r="KBW16" s="50"/>
      <c r="KBX16" s="50"/>
      <c r="KBY16" s="50"/>
      <c r="KBZ16" s="50"/>
      <c r="KCA16" s="50"/>
      <c r="KCB16" s="50"/>
      <c r="KCC16" s="50"/>
      <c r="KCD16" s="50"/>
      <c r="KCE16" s="50"/>
      <c r="KCF16" s="50"/>
      <c r="KCG16" s="50"/>
      <c r="KCH16" s="50"/>
      <c r="KCI16" s="50"/>
      <c r="KCJ16" s="50"/>
      <c r="KCK16" s="50"/>
      <c r="KCL16" s="50"/>
      <c r="KCM16" s="50"/>
      <c r="KCN16" s="50"/>
      <c r="KCO16" s="50"/>
      <c r="KCP16" s="50"/>
      <c r="KCQ16" s="50"/>
      <c r="KCR16" s="50"/>
      <c r="KCS16" s="50"/>
      <c r="KCT16" s="50"/>
      <c r="KCU16" s="50"/>
      <c r="KCV16" s="50"/>
      <c r="KCW16" s="50"/>
      <c r="KCX16" s="50"/>
      <c r="KCY16" s="50"/>
      <c r="KCZ16" s="50"/>
      <c r="KDA16" s="50"/>
      <c r="KDB16" s="50"/>
      <c r="KDC16" s="50"/>
      <c r="KDD16" s="50"/>
      <c r="KDE16" s="50"/>
      <c r="KDF16" s="50"/>
      <c r="KDG16" s="50"/>
      <c r="KDH16" s="50"/>
      <c r="KDI16" s="50"/>
      <c r="KDJ16" s="50"/>
      <c r="KDK16" s="50"/>
      <c r="KDL16" s="50"/>
      <c r="KDM16" s="50"/>
      <c r="KDN16" s="50"/>
      <c r="KDO16" s="50"/>
      <c r="KDP16" s="50"/>
      <c r="KDQ16" s="50"/>
      <c r="KDR16" s="50"/>
      <c r="KDS16" s="50"/>
      <c r="KDT16" s="50"/>
      <c r="KDU16" s="50"/>
      <c r="KDV16" s="50"/>
      <c r="KDW16" s="50"/>
      <c r="KDX16" s="50"/>
      <c r="KDY16" s="50"/>
      <c r="KDZ16" s="50"/>
      <c r="KEA16" s="50"/>
      <c r="KEB16" s="50"/>
      <c r="KEC16" s="50"/>
      <c r="KED16" s="50"/>
      <c r="KEE16" s="50"/>
      <c r="KEF16" s="50"/>
      <c r="KEG16" s="50"/>
      <c r="KEH16" s="50"/>
      <c r="KEI16" s="50"/>
      <c r="KEJ16" s="50"/>
      <c r="KEK16" s="50"/>
      <c r="KEL16" s="50"/>
      <c r="KEM16" s="50"/>
      <c r="KEN16" s="50"/>
      <c r="KEO16" s="50"/>
      <c r="KEP16" s="50"/>
      <c r="KEQ16" s="50"/>
      <c r="KER16" s="50"/>
      <c r="KES16" s="50"/>
      <c r="KET16" s="50"/>
      <c r="KEU16" s="50"/>
      <c r="KEV16" s="50"/>
      <c r="KEW16" s="50"/>
      <c r="KEX16" s="50"/>
      <c r="KEY16" s="50"/>
      <c r="KEZ16" s="50"/>
      <c r="KFA16" s="50"/>
      <c r="KFB16" s="50"/>
      <c r="KFC16" s="50"/>
      <c r="KFD16" s="50"/>
      <c r="KFE16" s="50"/>
      <c r="KFF16" s="50"/>
      <c r="KFG16" s="50"/>
      <c r="KFH16" s="50"/>
      <c r="KFI16" s="50"/>
      <c r="KFJ16" s="50"/>
      <c r="KFK16" s="50"/>
      <c r="KFL16" s="50"/>
      <c r="KFM16" s="50"/>
      <c r="KFN16" s="50"/>
      <c r="KFO16" s="50"/>
      <c r="KFP16" s="50"/>
      <c r="KFQ16" s="50"/>
      <c r="KFR16" s="50"/>
      <c r="KFS16" s="50"/>
      <c r="KFT16" s="50"/>
      <c r="KFU16" s="50"/>
      <c r="KFV16" s="50"/>
      <c r="KFW16" s="50"/>
      <c r="KFX16" s="50"/>
      <c r="KFY16" s="50"/>
      <c r="KFZ16" s="50"/>
      <c r="KGA16" s="50"/>
      <c r="KGB16" s="50"/>
      <c r="KGC16" s="50"/>
      <c r="KGD16" s="50"/>
      <c r="KGE16" s="50"/>
      <c r="KGF16" s="50"/>
      <c r="KGG16" s="50"/>
      <c r="KGH16" s="50"/>
      <c r="KGI16" s="50"/>
      <c r="KGJ16" s="50"/>
      <c r="KGK16" s="50"/>
      <c r="KGL16" s="50"/>
      <c r="KGM16" s="50"/>
      <c r="KGN16" s="50"/>
      <c r="KGO16" s="50"/>
      <c r="KGP16" s="50"/>
      <c r="KGQ16" s="50"/>
      <c r="KGR16" s="50"/>
      <c r="KGS16" s="50"/>
      <c r="KGT16" s="50"/>
      <c r="KGU16" s="50"/>
      <c r="KGV16" s="50"/>
      <c r="KGW16" s="50"/>
      <c r="KGX16" s="50"/>
      <c r="KGY16" s="50"/>
      <c r="KGZ16" s="50"/>
      <c r="KHA16" s="50"/>
      <c r="KHB16" s="50"/>
      <c r="KHC16" s="50"/>
      <c r="KHD16" s="50"/>
      <c r="KHE16" s="50"/>
      <c r="KHF16" s="50"/>
      <c r="KHG16" s="50"/>
      <c r="KHH16" s="50"/>
      <c r="KHI16" s="50"/>
      <c r="KHJ16" s="50"/>
      <c r="KHK16" s="50"/>
      <c r="KHL16" s="50"/>
      <c r="KHM16" s="50"/>
      <c r="KHN16" s="50"/>
      <c r="KHO16" s="50"/>
      <c r="KHP16" s="50"/>
      <c r="KHQ16" s="50"/>
      <c r="KHR16" s="50"/>
      <c r="KHS16" s="50"/>
      <c r="KHT16" s="50"/>
      <c r="KHU16" s="50"/>
      <c r="KHV16" s="50"/>
      <c r="KHW16" s="50"/>
      <c r="KHX16" s="50"/>
      <c r="KHY16" s="50"/>
      <c r="KHZ16" s="50"/>
      <c r="KIA16" s="50"/>
      <c r="KIB16" s="50"/>
      <c r="KIC16" s="50"/>
      <c r="KID16" s="50"/>
      <c r="KIE16" s="50"/>
      <c r="KIF16" s="50"/>
      <c r="KIG16" s="50"/>
      <c r="KIH16" s="50"/>
      <c r="KII16" s="50"/>
      <c r="KIJ16" s="50"/>
      <c r="KIK16" s="50"/>
      <c r="KIL16" s="50"/>
      <c r="KIM16" s="50"/>
      <c r="KIN16" s="50"/>
      <c r="KIO16" s="50"/>
      <c r="KIP16" s="50"/>
      <c r="KIQ16" s="50"/>
      <c r="KIR16" s="50"/>
      <c r="KIS16" s="50"/>
      <c r="KIT16" s="50"/>
      <c r="KIU16" s="50"/>
      <c r="KIV16" s="50"/>
      <c r="KIW16" s="50"/>
      <c r="KIX16" s="50"/>
      <c r="KIY16" s="50"/>
      <c r="KIZ16" s="50"/>
      <c r="KJA16" s="50"/>
      <c r="KJB16" s="50"/>
      <c r="KJC16" s="50"/>
      <c r="KJD16" s="50"/>
      <c r="KJE16" s="50"/>
      <c r="KJF16" s="50"/>
      <c r="KJG16" s="50"/>
      <c r="KJH16" s="50"/>
      <c r="KJI16" s="50"/>
      <c r="KJJ16" s="50"/>
      <c r="KJK16" s="50"/>
      <c r="KJL16" s="50"/>
      <c r="KJM16" s="50"/>
      <c r="KJN16" s="50"/>
      <c r="KJO16" s="50"/>
      <c r="KJP16" s="50"/>
      <c r="KJQ16" s="50"/>
      <c r="KJR16" s="50"/>
      <c r="KJS16" s="50"/>
      <c r="KJT16" s="50"/>
      <c r="KJU16" s="50"/>
      <c r="KJV16" s="50"/>
      <c r="KJW16" s="50"/>
      <c r="KJX16" s="50"/>
      <c r="KJY16" s="50"/>
      <c r="KJZ16" s="50"/>
      <c r="KKA16" s="50"/>
      <c r="KKB16" s="50"/>
      <c r="KKC16" s="50"/>
      <c r="KKD16" s="50"/>
      <c r="KKE16" s="50"/>
      <c r="KKF16" s="50"/>
      <c r="KKG16" s="50"/>
      <c r="KKH16" s="50"/>
      <c r="KKI16" s="50"/>
      <c r="KKJ16" s="50"/>
      <c r="KKK16" s="50"/>
      <c r="KKL16" s="50"/>
      <c r="KKM16" s="50"/>
      <c r="KKN16" s="50"/>
      <c r="KKO16" s="50"/>
      <c r="KKP16" s="50"/>
      <c r="KKQ16" s="50"/>
      <c r="KKR16" s="50"/>
      <c r="KKS16" s="50"/>
      <c r="KKT16" s="50"/>
      <c r="KKU16" s="50"/>
      <c r="KKV16" s="50"/>
      <c r="KKW16" s="50"/>
      <c r="KKX16" s="50"/>
      <c r="KKY16" s="50"/>
      <c r="KKZ16" s="50"/>
      <c r="KLA16" s="50"/>
      <c r="KLB16" s="50"/>
      <c r="KLC16" s="50"/>
      <c r="KLD16" s="50"/>
      <c r="KLE16" s="50"/>
      <c r="KLF16" s="50"/>
      <c r="KLG16" s="50"/>
      <c r="KLH16" s="50"/>
      <c r="KLI16" s="50"/>
      <c r="KLJ16" s="50"/>
      <c r="KLK16" s="50"/>
      <c r="KLL16" s="50"/>
      <c r="KLM16" s="50"/>
      <c r="KLN16" s="50"/>
      <c r="KLO16" s="50"/>
      <c r="KLP16" s="50"/>
      <c r="KLQ16" s="50"/>
      <c r="KLR16" s="50"/>
      <c r="KLS16" s="50"/>
      <c r="KLT16" s="50"/>
      <c r="KLU16" s="50"/>
      <c r="KLV16" s="50"/>
      <c r="KLW16" s="50"/>
      <c r="KLX16" s="50"/>
      <c r="KLY16" s="50"/>
      <c r="KLZ16" s="50"/>
      <c r="KMA16" s="50"/>
      <c r="KMB16" s="50"/>
      <c r="KMC16" s="50"/>
      <c r="KMD16" s="50"/>
      <c r="KME16" s="50"/>
      <c r="KMF16" s="50"/>
      <c r="KMG16" s="50"/>
      <c r="KMH16" s="50"/>
      <c r="KMI16" s="50"/>
      <c r="KMJ16" s="50"/>
      <c r="KMK16" s="50"/>
      <c r="KML16" s="50"/>
      <c r="KMM16" s="50"/>
      <c r="KMN16" s="50"/>
      <c r="KMO16" s="50"/>
      <c r="KMP16" s="50"/>
      <c r="KMQ16" s="50"/>
      <c r="KMR16" s="50"/>
      <c r="KMS16" s="50"/>
      <c r="KMT16" s="50"/>
      <c r="KMU16" s="50"/>
      <c r="KMV16" s="50"/>
      <c r="KMW16" s="50"/>
      <c r="KMX16" s="50"/>
      <c r="KMY16" s="50"/>
      <c r="KMZ16" s="50"/>
      <c r="KNA16" s="50"/>
      <c r="KNB16" s="50"/>
      <c r="KNC16" s="50"/>
      <c r="KND16" s="50"/>
      <c r="KNE16" s="50"/>
      <c r="KNF16" s="50"/>
      <c r="KNG16" s="50"/>
      <c r="KNH16" s="50"/>
      <c r="KNI16" s="50"/>
      <c r="KNJ16" s="50"/>
      <c r="KNK16" s="50"/>
      <c r="KNL16" s="50"/>
      <c r="KNM16" s="50"/>
      <c r="KNN16" s="50"/>
      <c r="KNO16" s="50"/>
      <c r="KNP16" s="50"/>
      <c r="KNQ16" s="50"/>
      <c r="KNR16" s="50"/>
      <c r="KNS16" s="50"/>
      <c r="KNT16" s="50"/>
      <c r="KNU16" s="50"/>
      <c r="KNV16" s="50"/>
      <c r="KNW16" s="50"/>
      <c r="KNX16" s="50"/>
      <c r="KNY16" s="50"/>
      <c r="KNZ16" s="50"/>
      <c r="KOA16" s="50"/>
      <c r="KOB16" s="50"/>
      <c r="KOC16" s="50"/>
      <c r="KOD16" s="50"/>
      <c r="KOE16" s="50"/>
      <c r="KOF16" s="50"/>
      <c r="KOG16" s="50"/>
      <c r="KOH16" s="50"/>
      <c r="KOI16" s="50"/>
      <c r="KOJ16" s="50"/>
      <c r="KOK16" s="50"/>
      <c r="KOL16" s="50"/>
      <c r="KOM16" s="50"/>
      <c r="KON16" s="50"/>
      <c r="KOO16" s="50"/>
      <c r="KOP16" s="50"/>
      <c r="KOQ16" s="50"/>
      <c r="KOR16" s="50"/>
      <c r="KOS16" s="50"/>
      <c r="KOT16" s="50"/>
      <c r="KOU16" s="50"/>
      <c r="KOV16" s="50"/>
      <c r="KOW16" s="50"/>
      <c r="KOX16" s="50"/>
      <c r="KOY16" s="50"/>
      <c r="KOZ16" s="50"/>
      <c r="KPA16" s="50"/>
      <c r="KPB16" s="50"/>
      <c r="KPC16" s="50"/>
      <c r="KPD16" s="50"/>
      <c r="KPE16" s="50"/>
      <c r="KPF16" s="50"/>
      <c r="KPG16" s="50"/>
      <c r="KPH16" s="50"/>
      <c r="KPI16" s="50"/>
      <c r="KPJ16" s="50"/>
      <c r="KPK16" s="50"/>
      <c r="KPL16" s="50"/>
      <c r="KPM16" s="50"/>
      <c r="KPN16" s="50"/>
      <c r="KPO16" s="50"/>
      <c r="KPP16" s="50"/>
      <c r="KPQ16" s="50"/>
      <c r="KPR16" s="50"/>
      <c r="KPS16" s="50"/>
      <c r="KPT16" s="50"/>
      <c r="KPU16" s="50"/>
      <c r="KPV16" s="50"/>
      <c r="KPW16" s="50"/>
      <c r="KPX16" s="50"/>
      <c r="KPY16" s="50"/>
      <c r="KPZ16" s="50"/>
      <c r="KQA16" s="50"/>
      <c r="KQB16" s="50"/>
      <c r="KQC16" s="50"/>
      <c r="KQD16" s="50"/>
      <c r="KQE16" s="50"/>
      <c r="KQF16" s="50"/>
      <c r="KQG16" s="50"/>
      <c r="KQH16" s="50"/>
      <c r="KQI16" s="50"/>
      <c r="KQJ16" s="50"/>
      <c r="KQK16" s="50"/>
      <c r="KQL16" s="50"/>
      <c r="KQM16" s="50"/>
      <c r="KQN16" s="50"/>
      <c r="KQO16" s="50"/>
      <c r="KQP16" s="50"/>
      <c r="KQQ16" s="50"/>
      <c r="KQR16" s="50"/>
      <c r="KQS16" s="50"/>
      <c r="KQT16" s="50"/>
      <c r="KQU16" s="50"/>
      <c r="KQV16" s="50"/>
      <c r="KQW16" s="50"/>
      <c r="KQX16" s="50"/>
      <c r="KQY16" s="50"/>
      <c r="KQZ16" s="50"/>
      <c r="KRA16" s="50"/>
      <c r="KRB16" s="50"/>
      <c r="KRC16" s="50"/>
      <c r="KRD16" s="50"/>
      <c r="KRE16" s="50"/>
      <c r="KRF16" s="50"/>
      <c r="KRG16" s="50"/>
      <c r="KRH16" s="50"/>
      <c r="KRI16" s="50"/>
      <c r="KRJ16" s="50"/>
      <c r="KRK16" s="50"/>
      <c r="KRL16" s="50"/>
      <c r="KRM16" s="50"/>
      <c r="KRN16" s="50"/>
      <c r="KRO16" s="50"/>
      <c r="KRP16" s="50"/>
      <c r="KRQ16" s="50"/>
      <c r="KRR16" s="50"/>
      <c r="KRS16" s="50"/>
      <c r="KRT16" s="50"/>
      <c r="KRU16" s="50"/>
      <c r="KRV16" s="50"/>
      <c r="KRW16" s="50"/>
      <c r="KRX16" s="50"/>
      <c r="KRY16" s="50"/>
      <c r="KRZ16" s="50"/>
      <c r="KSA16" s="50"/>
      <c r="KSB16" s="50"/>
      <c r="KSC16" s="50"/>
      <c r="KSD16" s="50"/>
      <c r="KSE16" s="50"/>
      <c r="KSF16" s="50"/>
      <c r="KSG16" s="50"/>
      <c r="KSH16" s="50"/>
      <c r="KSI16" s="50"/>
      <c r="KSJ16" s="50"/>
      <c r="KSK16" s="50"/>
      <c r="KSL16" s="50"/>
      <c r="KSM16" s="50"/>
      <c r="KSN16" s="50"/>
      <c r="KSO16" s="50"/>
      <c r="KSP16" s="50"/>
      <c r="KSQ16" s="50"/>
      <c r="KSR16" s="50"/>
      <c r="KSS16" s="50"/>
      <c r="KST16" s="50"/>
      <c r="KSU16" s="50"/>
      <c r="KSV16" s="50"/>
      <c r="KSW16" s="50"/>
      <c r="KSX16" s="50"/>
      <c r="KSY16" s="50"/>
      <c r="KSZ16" s="50"/>
      <c r="KTA16" s="50"/>
      <c r="KTB16" s="50"/>
      <c r="KTC16" s="50"/>
      <c r="KTD16" s="50"/>
      <c r="KTE16" s="50"/>
      <c r="KTF16" s="50"/>
      <c r="KTG16" s="50"/>
      <c r="KTH16" s="50"/>
      <c r="KTI16" s="50"/>
      <c r="KTJ16" s="50"/>
      <c r="KTK16" s="50"/>
      <c r="KTL16" s="50"/>
      <c r="KTM16" s="50"/>
      <c r="KTN16" s="50"/>
      <c r="KTO16" s="50"/>
      <c r="KTP16" s="50"/>
      <c r="KTQ16" s="50"/>
      <c r="KTR16" s="50"/>
      <c r="KTS16" s="50"/>
      <c r="KTT16" s="50"/>
      <c r="KTU16" s="50"/>
      <c r="KTV16" s="50"/>
      <c r="KTW16" s="50"/>
      <c r="KTX16" s="50"/>
      <c r="KTY16" s="50"/>
      <c r="KTZ16" s="50"/>
      <c r="KUA16" s="50"/>
      <c r="KUB16" s="50"/>
      <c r="KUC16" s="50"/>
      <c r="KUD16" s="50"/>
      <c r="KUE16" s="50"/>
      <c r="KUF16" s="50"/>
      <c r="KUG16" s="50"/>
      <c r="KUH16" s="50"/>
      <c r="KUI16" s="50"/>
      <c r="KUJ16" s="50"/>
      <c r="KUK16" s="50"/>
      <c r="KUL16" s="50"/>
      <c r="KUM16" s="50"/>
      <c r="KUN16" s="50"/>
      <c r="KUO16" s="50"/>
      <c r="KUP16" s="50"/>
      <c r="KUQ16" s="50"/>
      <c r="KUR16" s="50"/>
      <c r="KUS16" s="50"/>
      <c r="KUT16" s="50"/>
      <c r="KUU16" s="50"/>
      <c r="KUV16" s="50"/>
      <c r="KUW16" s="50"/>
      <c r="KUX16" s="50"/>
      <c r="KUY16" s="50"/>
      <c r="KUZ16" s="50"/>
      <c r="KVA16" s="50"/>
      <c r="KVB16" s="50"/>
      <c r="KVC16" s="50"/>
      <c r="KVD16" s="50"/>
      <c r="KVE16" s="50"/>
      <c r="KVF16" s="50"/>
      <c r="KVG16" s="50"/>
      <c r="KVH16" s="50"/>
      <c r="KVI16" s="50"/>
      <c r="KVJ16" s="50"/>
      <c r="KVK16" s="50"/>
      <c r="KVL16" s="50"/>
      <c r="KVM16" s="50"/>
      <c r="KVN16" s="50"/>
      <c r="KVO16" s="50"/>
      <c r="KVP16" s="50"/>
      <c r="KVQ16" s="50"/>
      <c r="KVR16" s="50"/>
      <c r="KVS16" s="50"/>
      <c r="KVT16" s="50"/>
      <c r="KVU16" s="50"/>
      <c r="KVV16" s="50"/>
      <c r="KVW16" s="50"/>
      <c r="KVX16" s="50"/>
      <c r="KVY16" s="50"/>
      <c r="KVZ16" s="50"/>
      <c r="KWA16" s="50"/>
      <c r="KWB16" s="50"/>
      <c r="KWC16" s="50"/>
      <c r="KWD16" s="50"/>
      <c r="KWE16" s="50"/>
      <c r="KWF16" s="50"/>
      <c r="KWG16" s="50"/>
      <c r="KWH16" s="50"/>
      <c r="KWI16" s="50"/>
      <c r="KWJ16" s="50"/>
      <c r="KWK16" s="50"/>
      <c r="KWL16" s="50"/>
      <c r="KWM16" s="50"/>
      <c r="KWN16" s="50"/>
      <c r="KWO16" s="50"/>
      <c r="KWP16" s="50"/>
      <c r="KWQ16" s="50"/>
      <c r="KWR16" s="50"/>
      <c r="KWS16" s="50"/>
      <c r="KWT16" s="50"/>
      <c r="KWU16" s="50"/>
      <c r="KWV16" s="50"/>
      <c r="KWW16" s="50"/>
      <c r="KWX16" s="50"/>
      <c r="KWY16" s="50"/>
      <c r="KWZ16" s="50"/>
      <c r="KXA16" s="50"/>
      <c r="KXB16" s="50"/>
      <c r="KXC16" s="50"/>
      <c r="KXD16" s="50"/>
      <c r="KXE16" s="50"/>
      <c r="KXF16" s="50"/>
      <c r="KXG16" s="50"/>
      <c r="KXH16" s="50"/>
      <c r="KXI16" s="50"/>
      <c r="KXJ16" s="50"/>
      <c r="KXK16" s="50"/>
      <c r="KXL16" s="50"/>
      <c r="KXM16" s="50"/>
      <c r="KXN16" s="50"/>
      <c r="KXO16" s="50"/>
      <c r="KXP16" s="50"/>
      <c r="KXQ16" s="50"/>
      <c r="KXR16" s="50"/>
      <c r="KXS16" s="50"/>
      <c r="KXT16" s="50"/>
      <c r="KXU16" s="50"/>
      <c r="KXV16" s="50"/>
      <c r="KXW16" s="50"/>
      <c r="KXX16" s="50"/>
      <c r="KXY16" s="50"/>
      <c r="KXZ16" s="50"/>
      <c r="KYA16" s="50"/>
      <c r="KYB16" s="50"/>
      <c r="KYC16" s="50"/>
      <c r="KYD16" s="50"/>
      <c r="KYE16" s="50"/>
      <c r="KYF16" s="50"/>
      <c r="KYG16" s="50"/>
      <c r="KYH16" s="50"/>
      <c r="KYI16" s="50"/>
      <c r="KYJ16" s="50"/>
      <c r="KYK16" s="50"/>
      <c r="KYL16" s="50"/>
      <c r="KYM16" s="50"/>
      <c r="KYN16" s="50"/>
      <c r="KYO16" s="50"/>
      <c r="KYP16" s="50"/>
      <c r="KYQ16" s="50"/>
      <c r="KYR16" s="50"/>
      <c r="KYS16" s="50"/>
      <c r="KYT16" s="50"/>
      <c r="KYU16" s="50"/>
      <c r="KYV16" s="50"/>
      <c r="KYW16" s="50"/>
      <c r="KYX16" s="50"/>
      <c r="KYY16" s="50"/>
      <c r="KYZ16" s="50"/>
      <c r="KZA16" s="50"/>
      <c r="KZB16" s="50"/>
      <c r="KZC16" s="50"/>
      <c r="KZD16" s="50"/>
      <c r="KZE16" s="50"/>
      <c r="KZF16" s="50"/>
      <c r="KZG16" s="50"/>
      <c r="KZH16" s="50"/>
      <c r="KZI16" s="50"/>
      <c r="KZJ16" s="50"/>
      <c r="KZK16" s="50"/>
      <c r="KZL16" s="50"/>
      <c r="KZM16" s="50"/>
      <c r="KZN16" s="50"/>
      <c r="KZO16" s="50"/>
      <c r="KZP16" s="50"/>
      <c r="KZQ16" s="50"/>
      <c r="KZR16" s="50"/>
      <c r="KZS16" s="50"/>
      <c r="KZT16" s="50"/>
      <c r="KZU16" s="50"/>
      <c r="KZV16" s="50"/>
      <c r="KZW16" s="50"/>
      <c r="KZX16" s="50"/>
      <c r="KZY16" s="50"/>
      <c r="KZZ16" s="50"/>
      <c r="LAA16" s="50"/>
      <c r="LAB16" s="50"/>
      <c r="LAC16" s="50"/>
      <c r="LAD16" s="50"/>
      <c r="LAE16" s="50"/>
      <c r="LAF16" s="50"/>
      <c r="LAG16" s="50"/>
      <c r="LAH16" s="50"/>
      <c r="LAI16" s="50"/>
      <c r="LAJ16" s="50"/>
      <c r="LAK16" s="50"/>
      <c r="LAL16" s="50"/>
      <c r="LAM16" s="50"/>
      <c r="LAN16" s="50"/>
      <c r="LAO16" s="50"/>
      <c r="LAP16" s="50"/>
      <c r="LAQ16" s="50"/>
      <c r="LAR16" s="50"/>
      <c r="LAS16" s="50"/>
      <c r="LAT16" s="50"/>
      <c r="LAU16" s="50"/>
      <c r="LAV16" s="50"/>
      <c r="LAW16" s="50"/>
      <c r="LAX16" s="50"/>
      <c r="LAY16" s="50"/>
      <c r="LAZ16" s="50"/>
      <c r="LBA16" s="50"/>
      <c r="LBB16" s="50"/>
      <c r="LBC16" s="50"/>
      <c r="LBD16" s="50"/>
      <c r="LBE16" s="50"/>
      <c r="LBF16" s="50"/>
      <c r="LBG16" s="50"/>
      <c r="LBH16" s="50"/>
      <c r="LBI16" s="50"/>
      <c r="LBJ16" s="50"/>
      <c r="LBK16" s="50"/>
      <c r="LBL16" s="50"/>
      <c r="LBM16" s="50"/>
      <c r="LBN16" s="50"/>
      <c r="LBO16" s="50"/>
      <c r="LBP16" s="50"/>
      <c r="LBQ16" s="50"/>
      <c r="LBR16" s="50"/>
      <c r="LBS16" s="50"/>
      <c r="LBT16" s="50"/>
      <c r="LBU16" s="50"/>
      <c r="LBV16" s="50"/>
      <c r="LBW16" s="50"/>
      <c r="LBX16" s="50"/>
      <c r="LBY16" s="50"/>
      <c r="LBZ16" s="50"/>
      <c r="LCA16" s="50"/>
      <c r="LCB16" s="50"/>
      <c r="LCC16" s="50"/>
      <c r="LCD16" s="50"/>
      <c r="LCE16" s="50"/>
      <c r="LCF16" s="50"/>
      <c r="LCG16" s="50"/>
      <c r="LCH16" s="50"/>
      <c r="LCI16" s="50"/>
      <c r="LCJ16" s="50"/>
      <c r="LCK16" s="50"/>
      <c r="LCL16" s="50"/>
      <c r="LCM16" s="50"/>
      <c r="LCN16" s="50"/>
      <c r="LCO16" s="50"/>
      <c r="LCP16" s="50"/>
      <c r="LCQ16" s="50"/>
      <c r="LCR16" s="50"/>
      <c r="LCS16" s="50"/>
      <c r="LCT16" s="50"/>
      <c r="LCU16" s="50"/>
      <c r="LCV16" s="50"/>
      <c r="LCW16" s="50"/>
      <c r="LCX16" s="50"/>
      <c r="LCY16" s="50"/>
      <c r="LCZ16" s="50"/>
      <c r="LDA16" s="50"/>
      <c r="LDB16" s="50"/>
      <c r="LDC16" s="50"/>
      <c r="LDD16" s="50"/>
      <c r="LDE16" s="50"/>
      <c r="LDF16" s="50"/>
      <c r="LDG16" s="50"/>
      <c r="LDH16" s="50"/>
      <c r="LDI16" s="50"/>
      <c r="LDJ16" s="50"/>
      <c r="LDK16" s="50"/>
      <c r="LDL16" s="50"/>
      <c r="LDM16" s="50"/>
      <c r="LDN16" s="50"/>
      <c r="LDO16" s="50"/>
      <c r="LDP16" s="50"/>
      <c r="LDQ16" s="50"/>
      <c r="LDR16" s="50"/>
      <c r="LDS16" s="50"/>
      <c r="LDT16" s="50"/>
      <c r="LDU16" s="50"/>
      <c r="LDV16" s="50"/>
      <c r="LDW16" s="50"/>
      <c r="LDX16" s="50"/>
      <c r="LDY16" s="50"/>
      <c r="LDZ16" s="50"/>
      <c r="LEA16" s="50"/>
      <c r="LEB16" s="50"/>
      <c r="LEC16" s="50"/>
      <c r="LED16" s="50"/>
      <c r="LEE16" s="50"/>
      <c r="LEF16" s="50"/>
      <c r="LEG16" s="50"/>
      <c r="LEH16" s="50"/>
      <c r="LEI16" s="50"/>
      <c r="LEJ16" s="50"/>
      <c r="LEK16" s="50"/>
      <c r="LEL16" s="50"/>
      <c r="LEM16" s="50"/>
      <c r="LEN16" s="50"/>
      <c r="LEO16" s="50"/>
      <c r="LEP16" s="50"/>
      <c r="LEQ16" s="50"/>
      <c r="LER16" s="50"/>
      <c r="LES16" s="50"/>
      <c r="LET16" s="50"/>
      <c r="LEU16" s="50"/>
      <c r="LEV16" s="50"/>
      <c r="LEW16" s="50"/>
      <c r="LEX16" s="50"/>
      <c r="LEY16" s="50"/>
      <c r="LEZ16" s="50"/>
      <c r="LFA16" s="50"/>
      <c r="LFB16" s="50"/>
      <c r="LFC16" s="50"/>
      <c r="LFD16" s="50"/>
      <c r="LFE16" s="50"/>
      <c r="LFF16" s="50"/>
      <c r="LFG16" s="50"/>
      <c r="LFH16" s="50"/>
      <c r="LFI16" s="50"/>
      <c r="LFJ16" s="50"/>
      <c r="LFK16" s="50"/>
      <c r="LFL16" s="50"/>
      <c r="LFM16" s="50"/>
      <c r="LFN16" s="50"/>
      <c r="LFO16" s="50"/>
      <c r="LFP16" s="50"/>
      <c r="LFQ16" s="50"/>
      <c r="LFR16" s="50"/>
      <c r="LFS16" s="50"/>
      <c r="LFT16" s="50"/>
      <c r="LFU16" s="50"/>
      <c r="LFV16" s="50"/>
      <c r="LFW16" s="50"/>
      <c r="LFX16" s="50"/>
      <c r="LFY16" s="50"/>
      <c r="LFZ16" s="50"/>
      <c r="LGA16" s="50"/>
      <c r="LGB16" s="50"/>
      <c r="LGC16" s="50"/>
      <c r="LGD16" s="50"/>
      <c r="LGE16" s="50"/>
      <c r="LGF16" s="50"/>
      <c r="LGG16" s="50"/>
      <c r="LGH16" s="50"/>
      <c r="LGI16" s="50"/>
      <c r="LGJ16" s="50"/>
      <c r="LGK16" s="50"/>
      <c r="LGL16" s="50"/>
      <c r="LGM16" s="50"/>
      <c r="LGN16" s="50"/>
      <c r="LGO16" s="50"/>
      <c r="LGP16" s="50"/>
      <c r="LGQ16" s="50"/>
      <c r="LGR16" s="50"/>
      <c r="LGS16" s="50"/>
      <c r="LGT16" s="50"/>
      <c r="LGU16" s="50"/>
      <c r="LGV16" s="50"/>
      <c r="LGW16" s="50"/>
      <c r="LGX16" s="50"/>
      <c r="LGY16" s="50"/>
      <c r="LGZ16" s="50"/>
      <c r="LHA16" s="50"/>
      <c r="LHB16" s="50"/>
      <c r="LHC16" s="50"/>
      <c r="LHD16" s="50"/>
      <c r="LHE16" s="50"/>
      <c r="LHF16" s="50"/>
      <c r="LHG16" s="50"/>
      <c r="LHH16" s="50"/>
      <c r="LHI16" s="50"/>
      <c r="LHJ16" s="50"/>
      <c r="LHK16" s="50"/>
      <c r="LHL16" s="50"/>
      <c r="LHM16" s="50"/>
      <c r="LHN16" s="50"/>
      <c r="LHO16" s="50"/>
      <c r="LHP16" s="50"/>
      <c r="LHQ16" s="50"/>
      <c r="LHR16" s="50"/>
      <c r="LHS16" s="50"/>
      <c r="LHT16" s="50"/>
      <c r="LHU16" s="50"/>
      <c r="LHV16" s="50"/>
      <c r="LHW16" s="50"/>
      <c r="LHX16" s="50"/>
      <c r="LHY16" s="50"/>
      <c r="LHZ16" s="50"/>
      <c r="LIA16" s="50"/>
      <c r="LIB16" s="50"/>
      <c r="LIC16" s="50"/>
      <c r="LID16" s="50"/>
      <c r="LIE16" s="50"/>
      <c r="LIF16" s="50"/>
      <c r="LIG16" s="50"/>
      <c r="LIH16" s="50"/>
      <c r="LII16" s="50"/>
      <c r="LIJ16" s="50"/>
      <c r="LIK16" s="50"/>
      <c r="LIL16" s="50"/>
      <c r="LIM16" s="50"/>
      <c r="LIN16" s="50"/>
      <c r="LIO16" s="50"/>
      <c r="LIP16" s="50"/>
      <c r="LIQ16" s="50"/>
      <c r="LIR16" s="50"/>
      <c r="LIS16" s="50"/>
      <c r="LIT16" s="50"/>
      <c r="LIU16" s="50"/>
      <c r="LIV16" s="50"/>
      <c r="LIW16" s="50"/>
      <c r="LIX16" s="50"/>
      <c r="LIY16" s="50"/>
      <c r="LIZ16" s="50"/>
      <c r="LJA16" s="50"/>
      <c r="LJB16" s="50"/>
      <c r="LJC16" s="50"/>
      <c r="LJD16" s="50"/>
      <c r="LJE16" s="50"/>
      <c r="LJF16" s="50"/>
      <c r="LJG16" s="50"/>
      <c r="LJH16" s="50"/>
      <c r="LJI16" s="50"/>
      <c r="LJJ16" s="50"/>
      <c r="LJK16" s="50"/>
      <c r="LJL16" s="50"/>
      <c r="LJM16" s="50"/>
      <c r="LJN16" s="50"/>
      <c r="LJO16" s="50"/>
      <c r="LJP16" s="50"/>
      <c r="LJQ16" s="50"/>
      <c r="LJR16" s="50"/>
      <c r="LJS16" s="50"/>
      <c r="LJT16" s="50"/>
      <c r="LJU16" s="50"/>
      <c r="LJV16" s="50"/>
      <c r="LJW16" s="50"/>
      <c r="LJX16" s="50"/>
      <c r="LJY16" s="50"/>
      <c r="LJZ16" s="50"/>
      <c r="LKA16" s="50"/>
      <c r="LKB16" s="50"/>
      <c r="LKC16" s="50"/>
      <c r="LKD16" s="50"/>
      <c r="LKE16" s="50"/>
      <c r="LKF16" s="50"/>
      <c r="LKG16" s="50"/>
      <c r="LKH16" s="50"/>
      <c r="LKI16" s="50"/>
      <c r="LKJ16" s="50"/>
      <c r="LKK16" s="50"/>
      <c r="LKL16" s="50"/>
      <c r="LKM16" s="50"/>
      <c r="LKN16" s="50"/>
      <c r="LKO16" s="50"/>
      <c r="LKP16" s="50"/>
      <c r="LKQ16" s="50"/>
      <c r="LKR16" s="50"/>
      <c r="LKS16" s="50"/>
      <c r="LKT16" s="50"/>
      <c r="LKU16" s="50"/>
      <c r="LKV16" s="50"/>
      <c r="LKW16" s="50"/>
      <c r="LKX16" s="50"/>
      <c r="LKY16" s="50"/>
      <c r="LKZ16" s="50"/>
      <c r="LLA16" s="50"/>
      <c r="LLB16" s="50"/>
      <c r="LLC16" s="50"/>
      <c r="LLD16" s="50"/>
      <c r="LLE16" s="50"/>
      <c r="LLF16" s="50"/>
      <c r="LLG16" s="50"/>
      <c r="LLH16" s="50"/>
      <c r="LLI16" s="50"/>
      <c r="LLJ16" s="50"/>
      <c r="LLK16" s="50"/>
      <c r="LLL16" s="50"/>
      <c r="LLM16" s="50"/>
      <c r="LLN16" s="50"/>
      <c r="LLO16" s="50"/>
      <c r="LLP16" s="50"/>
      <c r="LLQ16" s="50"/>
      <c r="LLR16" s="50"/>
      <c r="LLS16" s="50"/>
      <c r="LLT16" s="50"/>
      <c r="LLU16" s="50"/>
      <c r="LLV16" s="50"/>
      <c r="LLW16" s="50"/>
      <c r="LLX16" s="50"/>
      <c r="LLY16" s="50"/>
      <c r="LLZ16" s="50"/>
      <c r="LMA16" s="50"/>
      <c r="LMB16" s="50"/>
      <c r="LMC16" s="50"/>
      <c r="LMD16" s="50"/>
      <c r="LME16" s="50"/>
      <c r="LMF16" s="50"/>
      <c r="LMG16" s="50"/>
      <c r="LMH16" s="50"/>
      <c r="LMI16" s="50"/>
      <c r="LMJ16" s="50"/>
      <c r="LMK16" s="50"/>
      <c r="LML16" s="50"/>
      <c r="LMM16" s="50"/>
      <c r="LMN16" s="50"/>
      <c r="LMO16" s="50"/>
      <c r="LMP16" s="50"/>
      <c r="LMQ16" s="50"/>
      <c r="LMR16" s="50"/>
      <c r="LMS16" s="50"/>
      <c r="LMT16" s="50"/>
      <c r="LMU16" s="50"/>
      <c r="LMV16" s="50"/>
      <c r="LMW16" s="50"/>
      <c r="LMX16" s="50"/>
      <c r="LMY16" s="50"/>
      <c r="LMZ16" s="50"/>
      <c r="LNA16" s="50"/>
      <c r="LNB16" s="50"/>
      <c r="LNC16" s="50"/>
      <c r="LND16" s="50"/>
      <c r="LNE16" s="50"/>
      <c r="LNF16" s="50"/>
      <c r="LNG16" s="50"/>
      <c r="LNH16" s="50"/>
      <c r="LNI16" s="50"/>
      <c r="LNJ16" s="50"/>
      <c r="LNK16" s="50"/>
      <c r="LNL16" s="50"/>
      <c r="LNM16" s="50"/>
      <c r="LNN16" s="50"/>
      <c r="LNO16" s="50"/>
      <c r="LNP16" s="50"/>
      <c r="LNQ16" s="50"/>
      <c r="LNR16" s="50"/>
      <c r="LNS16" s="50"/>
      <c r="LNT16" s="50"/>
      <c r="LNU16" s="50"/>
      <c r="LNV16" s="50"/>
      <c r="LNW16" s="50"/>
      <c r="LNX16" s="50"/>
      <c r="LNY16" s="50"/>
      <c r="LNZ16" s="50"/>
      <c r="LOA16" s="50"/>
      <c r="LOB16" s="50"/>
      <c r="LOC16" s="50"/>
      <c r="LOD16" s="50"/>
      <c r="LOE16" s="50"/>
      <c r="LOF16" s="50"/>
      <c r="LOG16" s="50"/>
      <c r="LOH16" s="50"/>
      <c r="LOI16" s="50"/>
      <c r="LOJ16" s="50"/>
      <c r="LOK16" s="50"/>
      <c r="LOL16" s="50"/>
      <c r="LOM16" s="50"/>
      <c r="LON16" s="50"/>
      <c r="LOO16" s="50"/>
      <c r="LOP16" s="50"/>
      <c r="LOQ16" s="50"/>
      <c r="LOR16" s="50"/>
      <c r="LOS16" s="50"/>
      <c r="LOT16" s="50"/>
      <c r="LOU16" s="50"/>
      <c r="LOV16" s="50"/>
      <c r="LOW16" s="50"/>
      <c r="LOX16" s="50"/>
      <c r="LOY16" s="50"/>
      <c r="LOZ16" s="50"/>
      <c r="LPA16" s="50"/>
      <c r="LPB16" s="50"/>
      <c r="LPC16" s="50"/>
      <c r="LPD16" s="50"/>
      <c r="LPE16" s="50"/>
      <c r="LPF16" s="50"/>
      <c r="LPG16" s="50"/>
      <c r="LPH16" s="50"/>
      <c r="LPI16" s="50"/>
      <c r="LPJ16" s="50"/>
      <c r="LPK16" s="50"/>
      <c r="LPL16" s="50"/>
      <c r="LPM16" s="50"/>
      <c r="LPN16" s="50"/>
      <c r="LPO16" s="50"/>
      <c r="LPP16" s="50"/>
      <c r="LPQ16" s="50"/>
      <c r="LPR16" s="50"/>
      <c r="LPS16" s="50"/>
      <c r="LPT16" s="50"/>
      <c r="LPU16" s="50"/>
      <c r="LPV16" s="50"/>
      <c r="LPW16" s="50"/>
      <c r="LPX16" s="50"/>
      <c r="LPY16" s="50"/>
      <c r="LPZ16" s="50"/>
      <c r="LQA16" s="50"/>
      <c r="LQB16" s="50"/>
      <c r="LQC16" s="50"/>
      <c r="LQD16" s="50"/>
      <c r="LQE16" s="50"/>
      <c r="LQF16" s="50"/>
      <c r="LQG16" s="50"/>
      <c r="LQH16" s="50"/>
      <c r="LQI16" s="50"/>
      <c r="LQJ16" s="50"/>
      <c r="LQK16" s="50"/>
      <c r="LQL16" s="50"/>
      <c r="LQM16" s="50"/>
      <c r="LQN16" s="50"/>
      <c r="LQO16" s="50"/>
      <c r="LQP16" s="50"/>
      <c r="LQQ16" s="50"/>
      <c r="LQR16" s="50"/>
      <c r="LQS16" s="50"/>
      <c r="LQT16" s="50"/>
      <c r="LQU16" s="50"/>
      <c r="LQV16" s="50"/>
      <c r="LQW16" s="50"/>
      <c r="LQX16" s="50"/>
      <c r="LQY16" s="50"/>
      <c r="LQZ16" s="50"/>
      <c r="LRA16" s="50"/>
      <c r="LRB16" s="50"/>
      <c r="LRC16" s="50"/>
      <c r="LRD16" s="50"/>
      <c r="LRE16" s="50"/>
      <c r="LRF16" s="50"/>
      <c r="LRG16" s="50"/>
      <c r="LRH16" s="50"/>
      <c r="LRI16" s="50"/>
      <c r="LRJ16" s="50"/>
      <c r="LRK16" s="50"/>
      <c r="LRL16" s="50"/>
      <c r="LRM16" s="50"/>
      <c r="LRN16" s="50"/>
      <c r="LRO16" s="50"/>
      <c r="LRP16" s="50"/>
      <c r="LRQ16" s="50"/>
      <c r="LRR16" s="50"/>
      <c r="LRS16" s="50"/>
      <c r="LRT16" s="50"/>
      <c r="LRU16" s="50"/>
      <c r="LRV16" s="50"/>
      <c r="LRW16" s="50"/>
      <c r="LRX16" s="50"/>
      <c r="LRY16" s="50"/>
      <c r="LRZ16" s="50"/>
      <c r="LSA16" s="50"/>
      <c r="LSB16" s="50"/>
      <c r="LSC16" s="50"/>
      <c r="LSD16" s="50"/>
      <c r="LSE16" s="50"/>
      <c r="LSF16" s="50"/>
      <c r="LSG16" s="50"/>
      <c r="LSH16" s="50"/>
      <c r="LSI16" s="50"/>
      <c r="LSJ16" s="50"/>
      <c r="LSK16" s="50"/>
      <c r="LSL16" s="50"/>
      <c r="LSM16" s="50"/>
      <c r="LSN16" s="50"/>
      <c r="LSO16" s="50"/>
      <c r="LSP16" s="50"/>
      <c r="LSQ16" s="50"/>
      <c r="LSR16" s="50"/>
      <c r="LSS16" s="50"/>
      <c r="LST16" s="50"/>
      <c r="LSU16" s="50"/>
      <c r="LSV16" s="50"/>
      <c r="LSW16" s="50"/>
      <c r="LSX16" s="50"/>
      <c r="LSY16" s="50"/>
      <c r="LSZ16" s="50"/>
      <c r="LTA16" s="50"/>
      <c r="LTB16" s="50"/>
      <c r="LTC16" s="50"/>
      <c r="LTD16" s="50"/>
      <c r="LTE16" s="50"/>
      <c r="LTF16" s="50"/>
      <c r="LTG16" s="50"/>
      <c r="LTH16" s="50"/>
      <c r="LTI16" s="50"/>
      <c r="LTJ16" s="50"/>
      <c r="LTK16" s="50"/>
      <c r="LTL16" s="50"/>
      <c r="LTM16" s="50"/>
      <c r="LTN16" s="50"/>
      <c r="LTO16" s="50"/>
      <c r="LTP16" s="50"/>
      <c r="LTQ16" s="50"/>
      <c r="LTR16" s="50"/>
      <c r="LTS16" s="50"/>
      <c r="LTT16" s="50"/>
      <c r="LTU16" s="50"/>
      <c r="LTV16" s="50"/>
      <c r="LTW16" s="50"/>
      <c r="LTX16" s="50"/>
      <c r="LTY16" s="50"/>
      <c r="LTZ16" s="50"/>
      <c r="LUA16" s="50"/>
      <c r="LUB16" s="50"/>
      <c r="LUC16" s="50"/>
      <c r="LUD16" s="50"/>
      <c r="LUE16" s="50"/>
      <c r="LUF16" s="50"/>
      <c r="LUG16" s="50"/>
      <c r="LUH16" s="50"/>
      <c r="LUI16" s="50"/>
      <c r="LUJ16" s="50"/>
      <c r="LUK16" s="50"/>
      <c r="LUL16" s="50"/>
      <c r="LUM16" s="50"/>
      <c r="LUN16" s="50"/>
      <c r="LUO16" s="50"/>
      <c r="LUP16" s="50"/>
      <c r="LUQ16" s="50"/>
      <c r="LUR16" s="50"/>
      <c r="LUS16" s="50"/>
      <c r="LUT16" s="50"/>
      <c r="LUU16" s="50"/>
      <c r="LUV16" s="50"/>
      <c r="LUW16" s="50"/>
      <c r="LUX16" s="50"/>
      <c r="LUY16" s="50"/>
      <c r="LUZ16" s="50"/>
      <c r="LVA16" s="50"/>
      <c r="LVB16" s="50"/>
      <c r="LVC16" s="50"/>
      <c r="LVD16" s="50"/>
      <c r="LVE16" s="50"/>
      <c r="LVF16" s="50"/>
      <c r="LVG16" s="50"/>
      <c r="LVH16" s="50"/>
      <c r="LVI16" s="50"/>
      <c r="LVJ16" s="50"/>
      <c r="LVK16" s="50"/>
      <c r="LVL16" s="50"/>
      <c r="LVM16" s="50"/>
      <c r="LVN16" s="50"/>
      <c r="LVO16" s="50"/>
      <c r="LVP16" s="50"/>
      <c r="LVQ16" s="50"/>
      <c r="LVR16" s="50"/>
      <c r="LVS16" s="50"/>
      <c r="LVT16" s="50"/>
      <c r="LVU16" s="50"/>
      <c r="LVV16" s="50"/>
      <c r="LVW16" s="50"/>
      <c r="LVX16" s="50"/>
      <c r="LVY16" s="50"/>
      <c r="LVZ16" s="50"/>
      <c r="LWA16" s="50"/>
      <c r="LWB16" s="50"/>
      <c r="LWC16" s="50"/>
      <c r="LWD16" s="50"/>
      <c r="LWE16" s="50"/>
      <c r="LWF16" s="50"/>
      <c r="LWG16" s="50"/>
      <c r="LWH16" s="50"/>
      <c r="LWI16" s="50"/>
      <c r="LWJ16" s="50"/>
      <c r="LWK16" s="50"/>
      <c r="LWL16" s="50"/>
      <c r="LWM16" s="50"/>
      <c r="LWN16" s="50"/>
      <c r="LWO16" s="50"/>
      <c r="LWP16" s="50"/>
      <c r="LWQ16" s="50"/>
      <c r="LWR16" s="50"/>
      <c r="LWS16" s="50"/>
      <c r="LWT16" s="50"/>
      <c r="LWU16" s="50"/>
      <c r="LWV16" s="50"/>
      <c r="LWW16" s="50"/>
      <c r="LWX16" s="50"/>
      <c r="LWY16" s="50"/>
      <c r="LWZ16" s="50"/>
      <c r="LXA16" s="50"/>
      <c r="LXB16" s="50"/>
      <c r="LXC16" s="50"/>
      <c r="LXD16" s="50"/>
      <c r="LXE16" s="50"/>
      <c r="LXF16" s="50"/>
      <c r="LXG16" s="50"/>
      <c r="LXH16" s="50"/>
      <c r="LXI16" s="50"/>
      <c r="LXJ16" s="50"/>
      <c r="LXK16" s="50"/>
      <c r="LXL16" s="50"/>
      <c r="LXM16" s="50"/>
      <c r="LXN16" s="50"/>
      <c r="LXO16" s="50"/>
      <c r="LXP16" s="50"/>
      <c r="LXQ16" s="50"/>
      <c r="LXR16" s="50"/>
      <c r="LXS16" s="50"/>
      <c r="LXT16" s="50"/>
      <c r="LXU16" s="50"/>
      <c r="LXV16" s="50"/>
      <c r="LXW16" s="50"/>
      <c r="LXX16" s="50"/>
      <c r="LXY16" s="50"/>
      <c r="LXZ16" s="50"/>
      <c r="LYA16" s="50"/>
      <c r="LYB16" s="50"/>
      <c r="LYC16" s="50"/>
      <c r="LYD16" s="50"/>
      <c r="LYE16" s="50"/>
      <c r="LYF16" s="50"/>
      <c r="LYG16" s="50"/>
      <c r="LYH16" s="50"/>
      <c r="LYI16" s="50"/>
      <c r="LYJ16" s="50"/>
      <c r="LYK16" s="50"/>
      <c r="LYL16" s="50"/>
      <c r="LYM16" s="50"/>
      <c r="LYN16" s="50"/>
      <c r="LYO16" s="50"/>
      <c r="LYP16" s="50"/>
      <c r="LYQ16" s="50"/>
      <c r="LYR16" s="50"/>
      <c r="LYS16" s="50"/>
      <c r="LYT16" s="50"/>
      <c r="LYU16" s="50"/>
      <c r="LYV16" s="50"/>
      <c r="LYW16" s="50"/>
      <c r="LYX16" s="50"/>
      <c r="LYY16" s="50"/>
      <c r="LYZ16" s="50"/>
      <c r="LZA16" s="50"/>
      <c r="LZB16" s="50"/>
      <c r="LZC16" s="50"/>
      <c r="LZD16" s="50"/>
      <c r="LZE16" s="50"/>
      <c r="LZF16" s="50"/>
      <c r="LZG16" s="50"/>
      <c r="LZH16" s="50"/>
      <c r="LZI16" s="50"/>
      <c r="LZJ16" s="50"/>
      <c r="LZK16" s="50"/>
      <c r="LZL16" s="50"/>
      <c r="LZM16" s="50"/>
      <c r="LZN16" s="50"/>
      <c r="LZO16" s="50"/>
      <c r="LZP16" s="50"/>
      <c r="LZQ16" s="50"/>
      <c r="LZR16" s="50"/>
      <c r="LZS16" s="50"/>
      <c r="LZT16" s="50"/>
      <c r="LZU16" s="50"/>
      <c r="LZV16" s="50"/>
      <c r="LZW16" s="50"/>
      <c r="LZX16" s="50"/>
      <c r="LZY16" s="50"/>
      <c r="LZZ16" s="50"/>
      <c r="MAA16" s="50"/>
      <c r="MAB16" s="50"/>
      <c r="MAC16" s="50"/>
      <c r="MAD16" s="50"/>
      <c r="MAE16" s="50"/>
      <c r="MAF16" s="50"/>
      <c r="MAG16" s="50"/>
      <c r="MAH16" s="50"/>
      <c r="MAI16" s="50"/>
      <c r="MAJ16" s="50"/>
      <c r="MAK16" s="50"/>
      <c r="MAL16" s="50"/>
      <c r="MAM16" s="50"/>
      <c r="MAN16" s="50"/>
      <c r="MAO16" s="50"/>
      <c r="MAP16" s="50"/>
      <c r="MAQ16" s="50"/>
      <c r="MAR16" s="50"/>
      <c r="MAS16" s="50"/>
      <c r="MAT16" s="50"/>
      <c r="MAU16" s="50"/>
      <c r="MAV16" s="50"/>
      <c r="MAW16" s="50"/>
      <c r="MAX16" s="50"/>
      <c r="MAY16" s="50"/>
      <c r="MAZ16" s="50"/>
      <c r="MBA16" s="50"/>
      <c r="MBB16" s="50"/>
      <c r="MBC16" s="50"/>
      <c r="MBD16" s="50"/>
      <c r="MBE16" s="50"/>
      <c r="MBF16" s="50"/>
      <c r="MBG16" s="50"/>
      <c r="MBH16" s="50"/>
      <c r="MBI16" s="50"/>
      <c r="MBJ16" s="50"/>
      <c r="MBK16" s="50"/>
      <c r="MBL16" s="50"/>
      <c r="MBM16" s="50"/>
      <c r="MBN16" s="50"/>
      <c r="MBO16" s="50"/>
      <c r="MBP16" s="50"/>
      <c r="MBQ16" s="50"/>
      <c r="MBR16" s="50"/>
      <c r="MBS16" s="50"/>
      <c r="MBT16" s="50"/>
      <c r="MBU16" s="50"/>
      <c r="MBV16" s="50"/>
      <c r="MBW16" s="50"/>
      <c r="MBX16" s="50"/>
      <c r="MBY16" s="50"/>
      <c r="MBZ16" s="50"/>
      <c r="MCA16" s="50"/>
      <c r="MCB16" s="50"/>
      <c r="MCC16" s="50"/>
      <c r="MCD16" s="50"/>
      <c r="MCE16" s="50"/>
      <c r="MCF16" s="50"/>
      <c r="MCG16" s="50"/>
      <c r="MCH16" s="50"/>
      <c r="MCI16" s="50"/>
      <c r="MCJ16" s="50"/>
      <c r="MCK16" s="50"/>
      <c r="MCL16" s="50"/>
      <c r="MCM16" s="50"/>
      <c r="MCN16" s="50"/>
      <c r="MCO16" s="50"/>
      <c r="MCP16" s="50"/>
      <c r="MCQ16" s="50"/>
      <c r="MCR16" s="50"/>
      <c r="MCS16" s="50"/>
      <c r="MCT16" s="50"/>
      <c r="MCU16" s="50"/>
      <c r="MCV16" s="50"/>
      <c r="MCW16" s="50"/>
      <c r="MCX16" s="50"/>
      <c r="MCY16" s="50"/>
      <c r="MCZ16" s="50"/>
      <c r="MDA16" s="50"/>
      <c r="MDB16" s="50"/>
      <c r="MDC16" s="50"/>
      <c r="MDD16" s="50"/>
      <c r="MDE16" s="50"/>
      <c r="MDF16" s="50"/>
      <c r="MDG16" s="50"/>
      <c r="MDH16" s="50"/>
      <c r="MDI16" s="50"/>
      <c r="MDJ16" s="50"/>
      <c r="MDK16" s="50"/>
      <c r="MDL16" s="50"/>
      <c r="MDM16" s="50"/>
      <c r="MDN16" s="50"/>
      <c r="MDO16" s="50"/>
      <c r="MDP16" s="50"/>
      <c r="MDQ16" s="50"/>
      <c r="MDR16" s="50"/>
      <c r="MDS16" s="50"/>
      <c r="MDT16" s="50"/>
      <c r="MDU16" s="50"/>
      <c r="MDV16" s="50"/>
      <c r="MDW16" s="50"/>
      <c r="MDX16" s="50"/>
      <c r="MDY16" s="50"/>
      <c r="MDZ16" s="50"/>
      <c r="MEA16" s="50"/>
      <c r="MEB16" s="50"/>
      <c r="MEC16" s="50"/>
      <c r="MED16" s="50"/>
      <c r="MEE16" s="50"/>
      <c r="MEF16" s="50"/>
      <c r="MEG16" s="50"/>
      <c r="MEH16" s="50"/>
      <c r="MEI16" s="50"/>
      <c r="MEJ16" s="50"/>
      <c r="MEK16" s="50"/>
      <c r="MEL16" s="50"/>
      <c r="MEM16" s="50"/>
      <c r="MEN16" s="50"/>
      <c r="MEO16" s="50"/>
      <c r="MEP16" s="50"/>
      <c r="MEQ16" s="50"/>
      <c r="MER16" s="50"/>
      <c r="MES16" s="50"/>
      <c r="MET16" s="50"/>
      <c r="MEU16" s="50"/>
      <c r="MEV16" s="50"/>
      <c r="MEW16" s="50"/>
      <c r="MEX16" s="50"/>
      <c r="MEY16" s="50"/>
      <c r="MEZ16" s="50"/>
      <c r="MFA16" s="50"/>
      <c r="MFB16" s="50"/>
      <c r="MFC16" s="50"/>
      <c r="MFD16" s="50"/>
      <c r="MFE16" s="50"/>
      <c r="MFF16" s="50"/>
      <c r="MFG16" s="50"/>
      <c r="MFH16" s="50"/>
      <c r="MFI16" s="50"/>
      <c r="MFJ16" s="50"/>
      <c r="MFK16" s="50"/>
      <c r="MFL16" s="50"/>
      <c r="MFM16" s="50"/>
      <c r="MFN16" s="50"/>
      <c r="MFO16" s="50"/>
      <c r="MFP16" s="50"/>
      <c r="MFQ16" s="50"/>
      <c r="MFR16" s="50"/>
      <c r="MFS16" s="50"/>
      <c r="MFT16" s="50"/>
      <c r="MFU16" s="50"/>
      <c r="MFV16" s="50"/>
      <c r="MFW16" s="50"/>
      <c r="MFX16" s="50"/>
      <c r="MFY16" s="50"/>
      <c r="MFZ16" s="50"/>
      <c r="MGA16" s="50"/>
      <c r="MGB16" s="50"/>
      <c r="MGC16" s="50"/>
      <c r="MGD16" s="50"/>
      <c r="MGE16" s="50"/>
      <c r="MGF16" s="50"/>
      <c r="MGG16" s="50"/>
      <c r="MGH16" s="50"/>
      <c r="MGI16" s="50"/>
      <c r="MGJ16" s="50"/>
      <c r="MGK16" s="50"/>
      <c r="MGL16" s="50"/>
      <c r="MGM16" s="50"/>
      <c r="MGN16" s="50"/>
      <c r="MGO16" s="50"/>
      <c r="MGP16" s="50"/>
      <c r="MGQ16" s="50"/>
      <c r="MGR16" s="50"/>
      <c r="MGS16" s="50"/>
      <c r="MGT16" s="50"/>
      <c r="MGU16" s="50"/>
      <c r="MGV16" s="50"/>
      <c r="MGW16" s="50"/>
      <c r="MGX16" s="50"/>
      <c r="MGY16" s="50"/>
      <c r="MGZ16" s="50"/>
      <c r="MHA16" s="50"/>
      <c r="MHB16" s="50"/>
      <c r="MHC16" s="50"/>
      <c r="MHD16" s="50"/>
      <c r="MHE16" s="50"/>
      <c r="MHF16" s="50"/>
      <c r="MHG16" s="50"/>
      <c r="MHH16" s="50"/>
      <c r="MHI16" s="50"/>
      <c r="MHJ16" s="50"/>
      <c r="MHK16" s="50"/>
      <c r="MHL16" s="50"/>
      <c r="MHM16" s="50"/>
      <c r="MHN16" s="50"/>
      <c r="MHO16" s="50"/>
      <c r="MHP16" s="50"/>
      <c r="MHQ16" s="50"/>
      <c r="MHR16" s="50"/>
      <c r="MHS16" s="50"/>
      <c r="MHT16" s="50"/>
      <c r="MHU16" s="50"/>
      <c r="MHV16" s="50"/>
      <c r="MHW16" s="50"/>
      <c r="MHX16" s="50"/>
      <c r="MHY16" s="50"/>
      <c r="MHZ16" s="50"/>
      <c r="MIA16" s="50"/>
      <c r="MIB16" s="50"/>
      <c r="MIC16" s="50"/>
      <c r="MID16" s="50"/>
      <c r="MIE16" s="50"/>
      <c r="MIF16" s="50"/>
      <c r="MIG16" s="50"/>
      <c r="MIH16" s="50"/>
      <c r="MII16" s="50"/>
      <c r="MIJ16" s="50"/>
      <c r="MIK16" s="50"/>
      <c r="MIL16" s="50"/>
      <c r="MIM16" s="50"/>
      <c r="MIN16" s="50"/>
      <c r="MIO16" s="50"/>
      <c r="MIP16" s="50"/>
      <c r="MIQ16" s="50"/>
      <c r="MIR16" s="50"/>
      <c r="MIS16" s="50"/>
      <c r="MIT16" s="50"/>
      <c r="MIU16" s="50"/>
      <c r="MIV16" s="50"/>
      <c r="MIW16" s="50"/>
      <c r="MIX16" s="50"/>
      <c r="MIY16" s="50"/>
      <c r="MIZ16" s="50"/>
      <c r="MJA16" s="50"/>
      <c r="MJB16" s="50"/>
      <c r="MJC16" s="50"/>
      <c r="MJD16" s="50"/>
      <c r="MJE16" s="50"/>
      <c r="MJF16" s="50"/>
      <c r="MJG16" s="50"/>
      <c r="MJH16" s="50"/>
      <c r="MJI16" s="50"/>
      <c r="MJJ16" s="50"/>
      <c r="MJK16" s="50"/>
      <c r="MJL16" s="50"/>
      <c r="MJM16" s="50"/>
      <c r="MJN16" s="50"/>
      <c r="MJO16" s="50"/>
      <c r="MJP16" s="50"/>
      <c r="MJQ16" s="50"/>
      <c r="MJR16" s="50"/>
      <c r="MJS16" s="50"/>
      <c r="MJT16" s="50"/>
      <c r="MJU16" s="50"/>
      <c r="MJV16" s="50"/>
      <c r="MJW16" s="50"/>
      <c r="MJX16" s="50"/>
      <c r="MJY16" s="50"/>
      <c r="MJZ16" s="50"/>
      <c r="MKA16" s="50"/>
      <c r="MKB16" s="50"/>
      <c r="MKC16" s="50"/>
      <c r="MKD16" s="50"/>
      <c r="MKE16" s="50"/>
      <c r="MKF16" s="50"/>
      <c r="MKG16" s="50"/>
      <c r="MKH16" s="50"/>
      <c r="MKI16" s="50"/>
      <c r="MKJ16" s="50"/>
      <c r="MKK16" s="50"/>
      <c r="MKL16" s="50"/>
      <c r="MKM16" s="50"/>
      <c r="MKN16" s="50"/>
      <c r="MKO16" s="50"/>
      <c r="MKP16" s="50"/>
      <c r="MKQ16" s="50"/>
      <c r="MKR16" s="50"/>
      <c r="MKS16" s="50"/>
      <c r="MKT16" s="50"/>
      <c r="MKU16" s="50"/>
      <c r="MKV16" s="50"/>
      <c r="MKW16" s="50"/>
      <c r="MKX16" s="50"/>
      <c r="MKY16" s="50"/>
      <c r="MKZ16" s="50"/>
      <c r="MLA16" s="50"/>
      <c r="MLB16" s="50"/>
      <c r="MLC16" s="50"/>
      <c r="MLD16" s="50"/>
      <c r="MLE16" s="50"/>
      <c r="MLF16" s="50"/>
      <c r="MLG16" s="50"/>
      <c r="MLH16" s="50"/>
      <c r="MLI16" s="50"/>
      <c r="MLJ16" s="50"/>
      <c r="MLK16" s="50"/>
      <c r="MLL16" s="50"/>
      <c r="MLM16" s="50"/>
      <c r="MLN16" s="50"/>
      <c r="MLO16" s="50"/>
      <c r="MLP16" s="50"/>
      <c r="MLQ16" s="50"/>
      <c r="MLR16" s="50"/>
      <c r="MLS16" s="50"/>
      <c r="MLT16" s="50"/>
      <c r="MLU16" s="50"/>
      <c r="MLV16" s="50"/>
      <c r="MLW16" s="50"/>
      <c r="MLX16" s="50"/>
      <c r="MLY16" s="50"/>
      <c r="MLZ16" s="50"/>
      <c r="MMA16" s="50"/>
      <c r="MMB16" s="50"/>
      <c r="MMC16" s="50"/>
      <c r="MMD16" s="50"/>
      <c r="MME16" s="50"/>
      <c r="MMF16" s="50"/>
      <c r="MMG16" s="50"/>
      <c r="MMH16" s="50"/>
      <c r="MMI16" s="50"/>
      <c r="MMJ16" s="50"/>
      <c r="MMK16" s="50"/>
      <c r="MML16" s="50"/>
      <c r="MMM16" s="50"/>
      <c r="MMN16" s="50"/>
      <c r="MMO16" s="50"/>
      <c r="MMP16" s="50"/>
      <c r="MMQ16" s="50"/>
      <c r="MMR16" s="50"/>
      <c r="MMS16" s="50"/>
      <c r="MMT16" s="50"/>
      <c r="MMU16" s="50"/>
      <c r="MMV16" s="50"/>
      <c r="MMW16" s="50"/>
      <c r="MMX16" s="50"/>
      <c r="MMY16" s="50"/>
      <c r="MMZ16" s="50"/>
      <c r="MNA16" s="50"/>
      <c r="MNB16" s="50"/>
      <c r="MNC16" s="50"/>
      <c r="MND16" s="50"/>
      <c r="MNE16" s="50"/>
      <c r="MNF16" s="50"/>
      <c r="MNG16" s="50"/>
      <c r="MNH16" s="50"/>
      <c r="MNI16" s="50"/>
      <c r="MNJ16" s="50"/>
      <c r="MNK16" s="50"/>
      <c r="MNL16" s="50"/>
      <c r="MNM16" s="50"/>
      <c r="MNN16" s="50"/>
      <c r="MNO16" s="50"/>
      <c r="MNP16" s="50"/>
      <c r="MNQ16" s="50"/>
      <c r="MNR16" s="50"/>
      <c r="MNS16" s="50"/>
      <c r="MNT16" s="50"/>
      <c r="MNU16" s="50"/>
      <c r="MNV16" s="50"/>
      <c r="MNW16" s="50"/>
      <c r="MNX16" s="50"/>
      <c r="MNY16" s="50"/>
      <c r="MNZ16" s="50"/>
      <c r="MOA16" s="50"/>
      <c r="MOB16" s="50"/>
      <c r="MOC16" s="50"/>
      <c r="MOD16" s="50"/>
      <c r="MOE16" s="50"/>
      <c r="MOF16" s="50"/>
      <c r="MOG16" s="50"/>
      <c r="MOH16" s="50"/>
      <c r="MOI16" s="50"/>
      <c r="MOJ16" s="50"/>
      <c r="MOK16" s="50"/>
      <c r="MOL16" s="50"/>
      <c r="MOM16" s="50"/>
      <c r="MON16" s="50"/>
      <c r="MOO16" s="50"/>
      <c r="MOP16" s="50"/>
      <c r="MOQ16" s="50"/>
      <c r="MOR16" s="50"/>
      <c r="MOS16" s="50"/>
      <c r="MOT16" s="50"/>
      <c r="MOU16" s="50"/>
      <c r="MOV16" s="50"/>
      <c r="MOW16" s="50"/>
      <c r="MOX16" s="50"/>
      <c r="MOY16" s="50"/>
      <c r="MOZ16" s="50"/>
      <c r="MPA16" s="50"/>
      <c r="MPB16" s="50"/>
      <c r="MPC16" s="50"/>
      <c r="MPD16" s="50"/>
      <c r="MPE16" s="50"/>
      <c r="MPF16" s="50"/>
      <c r="MPG16" s="50"/>
      <c r="MPH16" s="50"/>
      <c r="MPI16" s="50"/>
      <c r="MPJ16" s="50"/>
      <c r="MPK16" s="50"/>
      <c r="MPL16" s="50"/>
      <c r="MPM16" s="50"/>
      <c r="MPN16" s="50"/>
      <c r="MPO16" s="50"/>
      <c r="MPP16" s="50"/>
      <c r="MPQ16" s="50"/>
      <c r="MPR16" s="50"/>
      <c r="MPS16" s="50"/>
      <c r="MPT16" s="50"/>
      <c r="MPU16" s="50"/>
      <c r="MPV16" s="50"/>
      <c r="MPW16" s="50"/>
      <c r="MPX16" s="50"/>
      <c r="MPY16" s="50"/>
      <c r="MPZ16" s="50"/>
      <c r="MQA16" s="50"/>
      <c r="MQB16" s="50"/>
      <c r="MQC16" s="50"/>
      <c r="MQD16" s="50"/>
      <c r="MQE16" s="50"/>
      <c r="MQF16" s="50"/>
      <c r="MQG16" s="50"/>
      <c r="MQH16" s="50"/>
      <c r="MQI16" s="50"/>
      <c r="MQJ16" s="50"/>
      <c r="MQK16" s="50"/>
      <c r="MQL16" s="50"/>
      <c r="MQM16" s="50"/>
      <c r="MQN16" s="50"/>
      <c r="MQO16" s="50"/>
      <c r="MQP16" s="50"/>
      <c r="MQQ16" s="50"/>
      <c r="MQR16" s="50"/>
      <c r="MQS16" s="50"/>
      <c r="MQT16" s="50"/>
      <c r="MQU16" s="50"/>
      <c r="MQV16" s="50"/>
      <c r="MQW16" s="50"/>
      <c r="MQX16" s="50"/>
      <c r="MQY16" s="50"/>
      <c r="MQZ16" s="50"/>
      <c r="MRA16" s="50"/>
      <c r="MRB16" s="50"/>
      <c r="MRC16" s="50"/>
      <c r="MRD16" s="50"/>
      <c r="MRE16" s="50"/>
      <c r="MRF16" s="50"/>
      <c r="MRG16" s="50"/>
      <c r="MRH16" s="50"/>
      <c r="MRI16" s="50"/>
      <c r="MRJ16" s="50"/>
      <c r="MRK16" s="50"/>
      <c r="MRL16" s="50"/>
      <c r="MRM16" s="50"/>
      <c r="MRN16" s="50"/>
      <c r="MRO16" s="50"/>
      <c r="MRP16" s="50"/>
      <c r="MRQ16" s="50"/>
      <c r="MRR16" s="50"/>
      <c r="MRS16" s="50"/>
      <c r="MRT16" s="50"/>
      <c r="MRU16" s="50"/>
      <c r="MRV16" s="50"/>
      <c r="MRW16" s="50"/>
      <c r="MRX16" s="50"/>
      <c r="MRY16" s="50"/>
      <c r="MRZ16" s="50"/>
      <c r="MSA16" s="50"/>
      <c r="MSB16" s="50"/>
      <c r="MSC16" s="50"/>
      <c r="MSD16" s="50"/>
      <c r="MSE16" s="50"/>
      <c r="MSF16" s="50"/>
      <c r="MSG16" s="50"/>
      <c r="MSH16" s="50"/>
      <c r="MSI16" s="50"/>
      <c r="MSJ16" s="50"/>
      <c r="MSK16" s="50"/>
      <c r="MSL16" s="50"/>
      <c r="MSM16" s="50"/>
      <c r="MSN16" s="50"/>
      <c r="MSO16" s="50"/>
      <c r="MSP16" s="50"/>
      <c r="MSQ16" s="50"/>
      <c r="MSR16" s="50"/>
      <c r="MSS16" s="50"/>
      <c r="MST16" s="50"/>
      <c r="MSU16" s="50"/>
      <c r="MSV16" s="50"/>
      <c r="MSW16" s="50"/>
      <c r="MSX16" s="50"/>
      <c r="MSY16" s="50"/>
      <c r="MSZ16" s="50"/>
      <c r="MTA16" s="50"/>
      <c r="MTB16" s="50"/>
      <c r="MTC16" s="50"/>
      <c r="MTD16" s="50"/>
      <c r="MTE16" s="50"/>
      <c r="MTF16" s="50"/>
      <c r="MTG16" s="50"/>
      <c r="MTH16" s="50"/>
      <c r="MTI16" s="50"/>
      <c r="MTJ16" s="50"/>
      <c r="MTK16" s="50"/>
      <c r="MTL16" s="50"/>
      <c r="MTM16" s="50"/>
      <c r="MTN16" s="50"/>
      <c r="MTO16" s="50"/>
      <c r="MTP16" s="50"/>
      <c r="MTQ16" s="50"/>
      <c r="MTR16" s="50"/>
      <c r="MTS16" s="50"/>
      <c r="MTT16" s="50"/>
      <c r="MTU16" s="50"/>
      <c r="MTV16" s="50"/>
      <c r="MTW16" s="50"/>
      <c r="MTX16" s="50"/>
      <c r="MTY16" s="50"/>
      <c r="MTZ16" s="50"/>
      <c r="MUA16" s="50"/>
      <c r="MUB16" s="50"/>
      <c r="MUC16" s="50"/>
      <c r="MUD16" s="50"/>
      <c r="MUE16" s="50"/>
      <c r="MUF16" s="50"/>
      <c r="MUG16" s="50"/>
      <c r="MUH16" s="50"/>
      <c r="MUI16" s="50"/>
      <c r="MUJ16" s="50"/>
      <c r="MUK16" s="50"/>
      <c r="MUL16" s="50"/>
      <c r="MUM16" s="50"/>
      <c r="MUN16" s="50"/>
      <c r="MUO16" s="50"/>
      <c r="MUP16" s="50"/>
      <c r="MUQ16" s="50"/>
      <c r="MUR16" s="50"/>
      <c r="MUS16" s="50"/>
      <c r="MUT16" s="50"/>
      <c r="MUU16" s="50"/>
      <c r="MUV16" s="50"/>
      <c r="MUW16" s="50"/>
      <c r="MUX16" s="50"/>
      <c r="MUY16" s="50"/>
      <c r="MUZ16" s="50"/>
      <c r="MVA16" s="50"/>
      <c r="MVB16" s="50"/>
      <c r="MVC16" s="50"/>
      <c r="MVD16" s="50"/>
      <c r="MVE16" s="50"/>
      <c r="MVF16" s="50"/>
      <c r="MVG16" s="50"/>
      <c r="MVH16" s="50"/>
      <c r="MVI16" s="50"/>
      <c r="MVJ16" s="50"/>
      <c r="MVK16" s="50"/>
      <c r="MVL16" s="50"/>
      <c r="MVM16" s="50"/>
      <c r="MVN16" s="50"/>
      <c r="MVO16" s="50"/>
      <c r="MVP16" s="50"/>
      <c r="MVQ16" s="50"/>
      <c r="MVR16" s="50"/>
      <c r="MVS16" s="50"/>
      <c r="MVT16" s="50"/>
      <c r="MVU16" s="50"/>
      <c r="MVV16" s="50"/>
      <c r="MVW16" s="50"/>
      <c r="MVX16" s="50"/>
      <c r="MVY16" s="50"/>
      <c r="MVZ16" s="50"/>
      <c r="MWA16" s="50"/>
      <c r="MWB16" s="50"/>
      <c r="MWC16" s="50"/>
      <c r="MWD16" s="50"/>
      <c r="MWE16" s="50"/>
      <c r="MWF16" s="50"/>
      <c r="MWG16" s="50"/>
      <c r="MWH16" s="50"/>
      <c r="MWI16" s="50"/>
      <c r="MWJ16" s="50"/>
      <c r="MWK16" s="50"/>
      <c r="MWL16" s="50"/>
      <c r="MWM16" s="50"/>
      <c r="MWN16" s="50"/>
      <c r="MWO16" s="50"/>
      <c r="MWP16" s="50"/>
      <c r="MWQ16" s="50"/>
      <c r="MWR16" s="50"/>
      <c r="MWS16" s="50"/>
      <c r="MWT16" s="50"/>
      <c r="MWU16" s="50"/>
      <c r="MWV16" s="50"/>
      <c r="MWW16" s="50"/>
      <c r="MWX16" s="50"/>
      <c r="MWY16" s="50"/>
      <c r="MWZ16" s="50"/>
      <c r="MXA16" s="50"/>
      <c r="MXB16" s="50"/>
      <c r="MXC16" s="50"/>
      <c r="MXD16" s="50"/>
      <c r="MXE16" s="50"/>
      <c r="MXF16" s="50"/>
      <c r="MXG16" s="50"/>
      <c r="MXH16" s="50"/>
      <c r="MXI16" s="50"/>
      <c r="MXJ16" s="50"/>
      <c r="MXK16" s="50"/>
      <c r="MXL16" s="50"/>
      <c r="MXM16" s="50"/>
      <c r="MXN16" s="50"/>
      <c r="MXO16" s="50"/>
      <c r="MXP16" s="50"/>
      <c r="MXQ16" s="50"/>
      <c r="MXR16" s="50"/>
      <c r="MXS16" s="50"/>
      <c r="MXT16" s="50"/>
      <c r="MXU16" s="50"/>
      <c r="MXV16" s="50"/>
      <c r="MXW16" s="50"/>
      <c r="MXX16" s="50"/>
      <c r="MXY16" s="50"/>
      <c r="MXZ16" s="50"/>
      <c r="MYA16" s="50"/>
      <c r="MYB16" s="50"/>
      <c r="MYC16" s="50"/>
      <c r="MYD16" s="50"/>
      <c r="MYE16" s="50"/>
      <c r="MYF16" s="50"/>
      <c r="MYG16" s="50"/>
      <c r="MYH16" s="50"/>
      <c r="MYI16" s="50"/>
      <c r="MYJ16" s="50"/>
      <c r="MYK16" s="50"/>
      <c r="MYL16" s="50"/>
      <c r="MYM16" s="50"/>
      <c r="MYN16" s="50"/>
      <c r="MYO16" s="50"/>
      <c r="MYP16" s="50"/>
      <c r="MYQ16" s="50"/>
      <c r="MYR16" s="50"/>
      <c r="MYS16" s="50"/>
      <c r="MYT16" s="50"/>
      <c r="MYU16" s="50"/>
      <c r="MYV16" s="50"/>
      <c r="MYW16" s="50"/>
      <c r="MYX16" s="50"/>
      <c r="MYY16" s="50"/>
      <c r="MYZ16" s="50"/>
      <c r="MZA16" s="50"/>
      <c r="MZB16" s="50"/>
      <c r="MZC16" s="50"/>
      <c r="MZD16" s="50"/>
      <c r="MZE16" s="50"/>
      <c r="MZF16" s="50"/>
      <c r="MZG16" s="50"/>
      <c r="MZH16" s="50"/>
      <c r="MZI16" s="50"/>
      <c r="MZJ16" s="50"/>
      <c r="MZK16" s="50"/>
      <c r="MZL16" s="50"/>
      <c r="MZM16" s="50"/>
      <c r="MZN16" s="50"/>
      <c r="MZO16" s="50"/>
      <c r="MZP16" s="50"/>
      <c r="MZQ16" s="50"/>
      <c r="MZR16" s="50"/>
      <c r="MZS16" s="50"/>
      <c r="MZT16" s="50"/>
      <c r="MZU16" s="50"/>
      <c r="MZV16" s="50"/>
      <c r="MZW16" s="50"/>
      <c r="MZX16" s="50"/>
      <c r="MZY16" s="50"/>
      <c r="MZZ16" s="50"/>
      <c r="NAA16" s="50"/>
      <c r="NAB16" s="50"/>
      <c r="NAC16" s="50"/>
      <c r="NAD16" s="50"/>
      <c r="NAE16" s="50"/>
      <c r="NAF16" s="50"/>
      <c r="NAG16" s="50"/>
      <c r="NAH16" s="50"/>
      <c r="NAI16" s="50"/>
      <c r="NAJ16" s="50"/>
      <c r="NAK16" s="50"/>
      <c r="NAL16" s="50"/>
      <c r="NAM16" s="50"/>
      <c r="NAN16" s="50"/>
      <c r="NAO16" s="50"/>
      <c r="NAP16" s="50"/>
      <c r="NAQ16" s="50"/>
      <c r="NAR16" s="50"/>
      <c r="NAS16" s="50"/>
      <c r="NAT16" s="50"/>
      <c r="NAU16" s="50"/>
      <c r="NAV16" s="50"/>
      <c r="NAW16" s="50"/>
      <c r="NAX16" s="50"/>
      <c r="NAY16" s="50"/>
      <c r="NAZ16" s="50"/>
      <c r="NBA16" s="50"/>
      <c r="NBB16" s="50"/>
      <c r="NBC16" s="50"/>
      <c r="NBD16" s="50"/>
      <c r="NBE16" s="50"/>
      <c r="NBF16" s="50"/>
      <c r="NBG16" s="50"/>
      <c r="NBH16" s="50"/>
      <c r="NBI16" s="50"/>
      <c r="NBJ16" s="50"/>
      <c r="NBK16" s="50"/>
      <c r="NBL16" s="50"/>
      <c r="NBM16" s="50"/>
      <c r="NBN16" s="50"/>
      <c r="NBO16" s="50"/>
      <c r="NBP16" s="50"/>
      <c r="NBQ16" s="50"/>
      <c r="NBR16" s="50"/>
      <c r="NBS16" s="50"/>
      <c r="NBT16" s="50"/>
      <c r="NBU16" s="50"/>
      <c r="NBV16" s="50"/>
      <c r="NBW16" s="50"/>
      <c r="NBX16" s="50"/>
      <c r="NBY16" s="50"/>
      <c r="NBZ16" s="50"/>
      <c r="NCA16" s="50"/>
      <c r="NCB16" s="50"/>
      <c r="NCC16" s="50"/>
      <c r="NCD16" s="50"/>
      <c r="NCE16" s="50"/>
      <c r="NCF16" s="50"/>
      <c r="NCG16" s="50"/>
      <c r="NCH16" s="50"/>
      <c r="NCI16" s="50"/>
      <c r="NCJ16" s="50"/>
      <c r="NCK16" s="50"/>
      <c r="NCL16" s="50"/>
      <c r="NCM16" s="50"/>
      <c r="NCN16" s="50"/>
      <c r="NCO16" s="50"/>
      <c r="NCP16" s="50"/>
      <c r="NCQ16" s="50"/>
      <c r="NCR16" s="50"/>
      <c r="NCS16" s="50"/>
      <c r="NCT16" s="50"/>
      <c r="NCU16" s="50"/>
      <c r="NCV16" s="50"/>
      <c r="NCW16" s="50"/>
      <c r="NCX16" s="50"/>
      <c r="NCY16" s="50"/>
      <c r="NCZ16" s="50"/>
      <c r="NDA16" s="50"/>
      <c r="NDB16" s="50"/>
      <c r="NDC16" s="50"/>
      <c r="NDD16" s="50"/>
      <c r="NDE16" s="50"/>
      <c r="NDF16" s="50"/>
      <c r="NDG16" s="50"/>
      <c r="NDH16" s="50"/>
      <c r="NDI16" s="50"/>
      <c r="NDJ16" s="50"/>
      <c r="NDK16" s="50"/>
      <c r="NDL16" s="50"/>
      <c r="NDM16" s="50"/>
      <c r="NDN16" s="50"/>
      <c r="NDO16" s="50"/>
      <c r="NDP16" s="50"/>
      <c r="NDQ16" s="50"/>
      <c r="NDR16" s="50"/>
      <c r="NDS16" s="50"/>
      <c r="NDT16" s="50"/>
      <c r="NDU16" s="50"/>
      <c r="NDV16" s="50"/>
      <c r="NDW16" s="50"/>
      <c r="NDX16" s="50"/>
      <c r="NDY16" s="50"/>
      <c r="NDZ16" s="50"/>
      <c r="NEA16" s="50"/>
      <c r="NEB16" s="50"/>
      <c r="NEC16" s="50"/>
      <c r="NED16" s="50"/>
      <c r="NEE16" s="50"/>
      <c r="NEF16" s="50"/>
      <c r="NEG16" s="50"/>
      <c r="NEH16" s="50"/>
      <c r="NEI16" s="50"/>
      <c r="NEJ16" s="50"/>
      <c r="NEK16" s="50"/>
      <c r="NEL16" s="50"/>
      <c r="NEM16" s="50"/>
      <c r="NEN16" s="50"/>
      <c r="NEO16" s="50"/>
      <c r="NEP16" s="50"/>
      <c r="NEQ16" s="50"/>
      <c r="NER16" s="50"/>
      <c r="NES16" s="50"/>
      <c r="NET16" s="50"/>
      <c r="NEU16" s="50"/>
      <c r="NEV16" s="50"/>
      <c r="NEW16" s="50"/>
      <c r="NEX16" s="50"/>
      <c r="NEY16" s="50"/>
      <c r="NEZ16" s="50"/>
      <c r="NFA16" s="50"/>
      <c r="NFB16" s="50"/>
      <c r="NFC16" s="50"/>
      <c r="NFD16" s="50"/>
      <c r="NFE16" s="50"/>
      <c r="NFF16" s="50"/>
      <c r="NFG16" s="50"/>
      <c r="NFH16" s="50"/>
      <c r="NFI16" s="50"/>
      <c r="NFJ16" s="50"/>
      <c r="NFK16" s="50"/>
      <c r="NFL16" s="50"/>
      <c r="NFM16" s="50"/>
      <c r="NFN16" s="50"/>
      <c r="NFO16" s="50"/>
      <c r="NFP16" s="50"/>
      <c r="NFQ16" s="50"/>
      <c r="NFR16" s="50"/>
      <c r="NFS16" s="50"/>
      <c r="NFT16" s="50"/>
      <c r="NFU16" s="50"/>
      <c r="NFV16" s="50"/>
      <c r="NFW16" s="50"/>
      <c r="NFX16" s="50"/>
      <c r="NFY16" s="50"/>
      <c r="NFZ16" s="50"/>
      <c r="NGA16" s="50"/>
      <c r="NGB16" s="50"/>
      <c r="NGC16" s="50"/>
      <c r="NGD16" s="50"/>
      <c r="NGE16" s="50"/>
      <c r="NGF16" s="50"/>
      <c r="NGG16" s="50"/>
      <c r="NGH16" s="50"/>
      <c r="NGI16" s="50"/>
      <c r="NGJ16" s="50"/>
      <c r="NGK16" s="50"/>
      <c r="NGL16" s="50"/>
      <c r="NGM16" s="50"/>
      <c r="NGN16" s="50"/>
      <c r="NGO16" s="50"/>
      <c r="NGP16" s="50"/>
      <c r="NGQ16" s="50"/>
      <c r="NGR16" s="50"/>
      <c r="NGS16" s="50"/>
      <c r="NGT16" s="50"/>
      <c r="NGU16" s="50"/>
      <c r="NGV16" s="50"/>
      <c r="NGW16" s="50"/>
      <c r="NGX16" s="50"/>
      <c r="NGY16" s="50"/>
      <c r="NGZ16" s="50"/>
      <c r="NHA16" s="50"/>
      <c r="NHB16" s="50"/>
      <c r="NHC16" s="50"/>
      <c r="NHD16" s="50"/>
      <c r="NHE16" s="50"/>
      <c r="NHF16" s="50"/>
      <c r="NHG16" s="50"/>
      <c r="NHH16" s="50"/>
      <c r="NHI16" s="50"/>
      <c r="NHJ16" s="50"/>
      <c r="NHK16" s="50"/>
      <c r="NHL16" s="50"/>
      <c r="NHM16" s="50"/>
      <c r="NHN16" s="50"/>
      <c r="NHO16" s="50"/>
      <c r="NHP16" s="50"/>
      <c r="NHQ16" s="50"/>
      <c r="NHR16" s="50"/>
      <c r="NHS16" s="50"/>
      <c r="NHT16" s="50"/>
      <c r="NHU16" s="50"/>
      <c r="NHV16" s="50"/>
      <c r="NHW16" s="50"/>
      <c r="NHX16" s="50"/>
      <c r="NHY16" s="50"/>
      <c r="NHZ16" s="50"/>
      <c r="NIA16" s="50"/>
      <c r="NIB16" s="50"/>
      <c r="NIC16" s="50"/>
      <c r="NID16" s="50"/>
      <c r="NIE16" s="50"/>
      <c r="NIF16" s="50"/>
      <c r="NIG16" s="50"/>
      <c r="NIH16" s="50"/>
      <c r="NII16" s="50"/>
      <c r="NIJ16" s="50"/>
      <c r="NIK16" s="50"/>
      <c r="NIL16" s="50"/>
      <c r="NIM16" s="50"/>
      <c r="NIN16" s="50"/>
      <c r="NIO16" s="50"/>
      <c r="NIP16" s="50"/>
      <c r="NIQ16" s="50"/>
      <c r="NIR16" s="50"/>
      <c r="NIS16" s="50"/>
      <c r="NIT16" s="50"/>
      <c r="NIU16" s="50"/>
      <c r="NIV16" s="50"/>
      <c r="NIW16" s="50"/>
      <c r="NIX16" s="50"/>
      <c r="NIY16" s="50"/>
      <c r="NIZ16" s="50"/>
      <c r="NJA16" s="50"/>
      <c r="NJB16" s="50"/>
      <c r="NJC16" s="50"/>
      <c r="NJD16" s="50"/>
      <c r="NJE16" s="50"/>
      <c r="NJF16" s="50"/>
      <c r="NJG16" s="50"/>
      <c r="NJH16" s="50"/>
      <c r="NJI16" s="50"/>
      <c r="NJJ16" s="50"/>
      <c r="NJK16" s="50"/>
      <c r="NJL16" s="50"/>
      <c r="NJM16" s="50"/>
      <c r="NJN16" s="50"/>
      <c r="NJO16" s="50"/>
      <c r="NJP16" s="50"/>
      <c r="NJQ16" s="50"/>
      <c r="NJR16" s="50"/>
      <c r="NJS16" s="50"/>
      <c r="NJT16" s="50"/>
      <c r="NJU16" s="50"/>
      <c r="NJV16" s="50"/>
      <c r="NJW16" s="50"/>
      <c r="NJX16" s="50"/>
      <c r="NJY16" s="50"/>
      <c r="NJZ16" s="50"/>
      <c r="NKA16" s="50"/>
      <c r="NKB16" s="50"/>
      <c r="NKC16" s="50"/>
      <c r="NKD16" s="50"/>
      <c r="NKE16" s="50"/>
      <c r="NKF16" s="50"/>
      <c r="NKG16" s="50"/>
      <c r="NKH16" s="50"/>
      <c r="NKI16" s="50"/>
      <c r="NKJ16" s="50"/>
      <c r="NKK16" s="50"/>
      <c r="NKL16" s="50"/>
      <c r="NKM16" s="50"/>
      <c r="NKN16" s="50"/>
      <c r="NKO16" s="50"/>
      <c r="NKP16" s="50"/>
      <c r="NKQ16" s="50"/>
      <c r="NKR16" s="50"/>
      <c r="NKS16" s="50"/>
      <c r="NKT16" s="50"/>
      <c r="NKU16" s="50"/>
      <c r="NKV16" s="50"/>
      <c r="NKW16" s="50"/>
      <c r="NKX16" s="50"/>
      <c r="NKY16" s="50"/>
      <c r="NKZ16" s="50"/>
      <c r="NLA16" s="50"/>
      <c r="NLB16" s="50"/>
      <c r="NLC16" s="50"/>
      <c r="NLD16" s="50"/>
      <c r="NLE16" s="50"/>
      <c r="NLF16" s="50"/>
      <c r="NLG16" s="50"/>
      <c r="NLH16" s="50"/>
      <c r="NLI16" s="50"/>
      <c r="NLJ16" s="50"/>
      <c r="NLK16" s="50"/>
      <c r="NLL16" s="50"/>
      <c r="NLM16" s="50"/>
      <c r="NLN16" s="50"/>
      <c r="NLO16" s="50"/>
      <c r="NLP16" s="50"/>
      <c r="NLQ16" s="50"/>
      <c r="NLR16" s="50"/>
      <c r="NLS16" s="50"/>
      <c r="NLT16" s="50"/>
      <c r="NLU16" s="50"/>
      <c r="NLV16" s="50"/>
      <c r="NLW16" s="50"/>
      <c r="NLX16" s="50"/>
      <c r="NLY16" s="50"/>
      <c r="NLZ16" s="50"/>
      <c r="NMA16" s="50"/>
      <c r="NMB16" s="50"/>
      <c r="NMC16" s="50"/>
      <c r="NMD16" s="50"/>
      <c r="NME16" s="50"/>
      <c r="NMF16" s="50"/>
      <c r="NMG16" s="50"/>
      <c r="NMH16" s="50"/>
      <c r="NMI16" s="50"/>
      <c r="NMJ16" s="50"/>
      <c r="NMK16" s="50"/>
      <c r="NML16" s="50"/>
      <c r="NMM16" s="50"/>
      <c r="NMN16" s="50"/>
      <c r="NMO16" s="50"/>
      <c r="NMP16" s="50"/>
      <c r="NMQ16" s="50"/>
      <c r="NMR16" s="50"/>
      <c r="NMS16" s="50"/>
      <c r="NMT16" s="50"/>
      <c r="NMU16" s="50"/>
      <c r="NMV16" s="50"/>
      <c r="NMW16" s="50"/>
      <c r="NMX16" s="50"/>
      <c r="NMY16" s="50"/>
      <c r="NMZ16" s="50"/>
      <c r="NNA16" s="50"/>
      <c r="NNB16" s="50"/>
      <c r="NNC16" s="50"/>
      <c r="NND16" s="50"/>
      <c r="NNE16" s="50"/>
      <c r="NNF16" s="50"/>
      <c r="NNG16" s="50"/>
      <c r="NNH16" s="50"/>
      <c r="NNI16" s="50"/>
      <c r="NNJ16" s="50"/>
      <c r="NNK16" s="50"/>
      <c r="NNL16" s="50"/>
      <c r="NNM16" s="50"/>
      <c r="NNN16" s="50"/>
      <c r="NNO16" s="50"/>
      <c r="NNP16" s="50"/>
      <c r="NNQ16" s="50"/>
      <c r="NNR16" s="50"/>
      <c r="NNS16" s="50"/>
      <c r="NNT16" s="50"/>
      <c r="NNU16" s="50"/>
      <c r="NNV16" s="50"/>
      <c r="NNW16" s="50"/>
      <c r="NNX16" s="50"/>
      <c r="NNY16" s="50"/>
      <c r="NNZ16" s="50"/>
      <c r="NOA16" s="50"/>
      <c r="NOB16" s="50"/>
      <c r="NOC16" s="50"/>
      <c r="NOD16" s="50"/>
      <c r="NOE16" s="50"/>
      <c r="NOF16" s="50"/>
      <c r="NOG16" s="50"/>
      <c r="NOH16" s="50"/>
      <c r="NOI16" s="50"/>
      <c r="NOJ16" s="50"/>
      <c r="NOK16" s="50"/>
      <c r="NOL16" s="50"/>
      <c r="NOM16" s="50"/>
      <c r="NON16" s="50"/>
      <c r="NOO16" s="50"/>
      <c r="NOP16" s="50"/>
      <c r="NOQ16" s="50"/>
      <c r="NOR16" s="50"/>
      <c r="NOS16" s="50"/>
      <c r="NOT16" s="50"/>
      <c r="NOU16" s="50"/>
      <c r="NOV16" s="50"/>
      <c r="NOW16" s="50"/>
      <c r="NOX16" s="50"/>
      <c r="NOY16" s="50"/>
      <c r="NOZ16" s="50"/>
      <c r="NPA16" s="50"/>
      <c r="NPB16" s="50"/>
      <c r="NPC16" s="50"/>
      <c r="NPD16" s="50"/>
      <c r="NPE16" s="50"/>
      <c r="NPF16" s="50"/>
      <c r="NPG16" s="50"/>
      <c r="NPH16" s="50"/>
      <c r="NPI16" s="50"/>
      <c r="NPJ16" s="50"/>
      <c r="NPK16" s="50"/>
      <c r="NPL16" s="50"/>
      <c r="NPM16" s="50"/>
      <c r="NPN16" s="50"/>
      <c r="NPO16" s="50"/>
      <c r="NPP16" s="50"/>
      <c r="NPQ16" s="50"/>
      <c r="NPR16" s="50"/>
      <c r="NPS16" s="50"/>
      <c r="NPT16" s="50"/>
      <c r="NPU16" s="50"/>
      <c r="NPV16" s="50"/>
      <c r="NPW16" s="50"/>
      <c r="NPX16" s="50"/>
      <c r="NPY16" s="50"/>
      <c r="NPZ16" s="50"/>
      <c r="NQA16" s="50"/>
      <c r="NQB16" s="50"/>
      <c r="NQC16" s="50"/>
      <c r="NQD16" s="50"/>
      <c r="NQE16" s="50"/>
      <c r="NQF16" s="50"/>
      <c r="NQG16" s="50"/>
      <c r="NQH16" s="50"/>
      <c r="NQI16" s="50"/>
      <c r="NQJ16" s="50"/>
      <c r="NQK16" s="50"/>
      <c r="NQL16" s="50"/>
      <c r="NQM16" s="50"/>
      <c r="NQN16" s="50"/>
      <c r="NQO16" s="50"/>
      <c r="NQP16" s="50"/>
      <c r="NQQ16" s="50"/>
      <c r="NQR16" s="50"/>
      <c r="NQS16" s="50"/>
      <c r="NQT16" s="50"/>
      <c r="NQU16" s="50"/>
      <c r="NQV16" s="50"/>
      <c r="NQW16" s="50"/>
      <c r="NQX16" s="50"/>
      <c r="NQY16" s="50"/>
      <c r="NQZ16" s="50"/>
      <c r="NRA16" s="50"/>
      <c r="NRB16" s="50"/>
      <c r="NRC16" s="50"/>
      <c r="NRD16" s="50"/>
      <c r="NRE16" s="50"/>
      <c r="NRF16" s="50"/>
      <c r="NRG16" s="50"/>
      <c r="NRH16" s="50"/>
      <c r="NRI16" s="50"/>
      <c r="NRJ16" s="50"/>
      <c r="NRK16" s="50"/>
      <c r="NRL16" s="50"/>
      <c r="NRM16" s="50"/>
      <c r="NRN16" s="50"/>
      <c r="NRO16" s="50"/>
      <c r="NRP16" s="50"/>
      <c r="NRQ16" s="50"/>
      <c r="NRR16" s="50"/>
      <c r="NRS16" s="50"/>
      <c r="NRT16" s="50"/>
      <c r="NRU16" s="50"/>
      <c r="NRV16" s="50"/>
      <c r="NRW16" s="50"/>
      <c r="NRX16" s="50"/>
      <c r="NRY16" s="50"/>
      <c r="NRZ16" s="50"/>
      <c r="NSA16" s="50"/>
      <c r="NSB16" s="50"/>
      <c r="NSC16" s="50"/>
      <c r="NSD16" s="50"/>
      <c r="NSE16" s="50"/>
      <c r="NSF16" s="50"/>
      <c r="NSG16" s="50"/>
      <c r="NSH16" s="50"/>
      <c r="NSI16" s="50"/>
      <c r="NSJ16" s="50"/>
      <c r="NSK16" s="50"/>
      <c r="NSL16" s="50"/>
      <c r="NSM16" s="50"/>
      <c r="NSN16" s="50"/>
      <c r="NSO16" s="50"/>
      <c r="NSP16" s="50"/>
      <c r="NSQ16" s="50"/>
      <c r="NSR16" s="50"/>
      <c r="NSS16" s="50"/>
      <c r="NST16" s="50"/>
      <c r="NSU16" s="50"/>
      <c r="NSV16" s="50"/>
      <c r="NSW16" s="50"/>
      <c r="NSX16" s="50"/>
      <c r="NSY16" s="50"/>
      <c r="NSZ16" s="50"/>
      <c r="NTA16" s="50"/>
      <c r="NTB16" s="50"/>
      <c r="NTC16" s="50"/>
      <c r="NTD16" s="50"/>
      <c r="NTE16" s="50"/>
      <c r="NTF16" s="50"/>
      <c r="NTG16" s="50"/>
      <c r="NTH16" s="50"/>
      <c r="NTI16" s="50"/>
      <c r="NTJ16" s="50"/>
      <c r="NTK16" s="50"/>
      <c r="NTL16" s="50"/>
      <c r="NTM16" s="50"/>
      <c r="NTN16" s="50"/>
      <c r="NTO16" s="50"/>
      <c r="NTP16" s="50"/>
      <c r="NTQ16" s="50"/>
      <c r="NTR16" s="50"/>
      <c r="NTS16" s="50"/>
      <c r="NTT16" s="50"/>
      <c r="NTU16" s="50"/>
      <c r="NTV16" s="50"/>
      <c r="NTW16" s="50"/>
      <c r="NTX16" s="50"/>
      <c r="NTY16" s="50"/>
      <c r="NTZ16" s="50"/>
      <c r="NUA16" s="50"/>
      <c r="NUB16" s="50"/>
      <c r="NUC16" s="50"/>
      <c r="NUD16" s="50"/>
      <c r="NUE16" s="50"/>
      <c r="NUF16" s="50"/>
      <c r="NUG16" s="50"/>
      <c r="NUH16" s="50"/>
      <c r="NUI16" s="50"/>
      <c r="NUJ16" s="50"/>
      <c r="NUK16" s="50"/>
      <c r="NUL16" s="50"/>
      <c r="NUM16" s="50"/>
      <c r="NUN16" s="50"/>
      <c r="NUO16" s="50"/>
      <c r="NUP16" s="50"/>
      <c r="NUQ16" s="50"/>
      <c r="NUR16" s="50"/>
      <c r="NUS16" s="50"/>
      <c r="NUT16" s="50"/>
      <c r="NUU16" s="50"/>
      <c r="NUV16" s="50"/>
      <c r="NUW16" s="50"/>
      <c r="NUX16" s="50"/>
      <c r="NUY16" s="50"/>
      <c r="NUZ16" s="50"/>
      <c r="NVA16" s="50"/>
      <c r="NVB16" s="50"/>
      <c r="NVC16" s="50"/>
      <c r="NVD16" s="50"/>
      <c r="NVE16" s="50"/>
      <c r="NVF16" s="50"/>
      <c r="NVG16" s="50"/>
      <c r="NVH16" s="50"/>
      <c r="NVI16" s="50"/>
      <c r="NVJ16" s="50"/>
      <c r="NVK16" s="50"/>
      <c r="NVL16" s="50"/>
      <c r="NVM16" s="50"/>
      <c r="NVN16" s="50"/>
      <c r="NVO16" s="50"/>
      <c r="NVP16" s="50"/>
      <c r="NVQ16" s="50"/>
      <c r="NVR16" s="50"/>
      <c r="NVS16" s="50"/>
      <c r="NVT16" s="50"/>
      <c r="NVU16" s="50"/>
      <c r="NVV16" s="50"/>
      <c r="NVW16" s="50"/>
      <c r="NVX16" s="50"/>
      <c r="NVY16" s="50"/>
      <c r="NVZ16" s="50"/>
      <c r="NWA16" s="50"/>
      <c r="NWB16" s="50"/>
      <c r="NWC16" s="50"/>
      <c r="NWD16" s="50"/>
      <c r="NWE16" s="50"/>
      <c r="NWF16" s="50"/>
      <c r="NWG16" s="50"/>
      <c r="NWH16" s="50"/>
      <c r="NWI16" s="50"/>
      <c r="NWJ16" s="50"/>
      <c r="NWK16" s="50"/>
      <c r="NWL16" s="50"/>
      <c r="NWM16" s="50"/>
      <c r="NWN16" s="50"/>
      <c r="NWO16" s="50"/>
      <c r="NWP16" s="50"/>
      <c r="NWQ16" s="50"/>
      <c r="NWR16" s="50"/>
      <c r="NWS16" s="50"/>
      <c r="NWT16" s="50"/>
      <c r="NWU16" s="50"/>
      <c r="NWV16" s="50"/>
      <c r="NWW16" s="50"/>
      <c r="NWX16" s="50"/>
      <c r="NWY16" s="50"/>
      <c r="NWZ16" s="50"/>
      <c r="NXA16" s="50"/>
      <c r="NXB16" s="50"/>
      <c r="NXC16" s="50"/>
      <c r="NXD16" s="50"/>
      <c r="NXE16" s="50"/>
      <c r="NXF16" s="50"/>
      <c r="NXG16" s="50"/>
      <c r="NXH16" s="50"/>
      <c r="NXI16" s="50"/>
      <c r="NXJ16" s="50"/>
      <c r="NXK16" s="50"/>
      <c r="NXL16" s="50"/>
      <c r="NXM16" s="50"/>
      <c r="NXN16" s="50"/>
      <c r="NXO16" s="50"/>
      <c r="NXP16" s="50"/>
      <c r="NXQ16" s="50"/>
      <c r="NXR16" s="50"/>
      <c r="NXS16" s="50"/>
      <c r="NXT16" s="50"/>
      <c r="NXU16" s="50"/>
      <c r="NXV16" s="50"/>
      <c r="NXW16" s="50"/>
      <c r="NXX16" s="50"/>
      <c r="NXY16" s="50"/>
      <c r="NXZ16" s="50"/>
      <c r="NYA16" s="50"/>
      <c r="NYB16" s="50"/>
      <c r="NYC16" s="50"/>
      <c r="NYD16" s="50"/>
      <c r="NYE16" s="50"/>
      <c r="NYF16" s="50"/>
      <c r="NYG16" s="50"/>
      <c r="NYH16" s="50"/>
      <c r="NYI16" s="50"/>
      <c r="NYJ16" s="50"/>
      <c r="NYK16" s="50"/>
      <c r="NYL16" s="50"/>
      <c r="NYM16" s="50"/>
      <c r="NYN16" s="50"/>
      <c r="NYO16" s="50"/>
      <c r="NYP16" s="50"/>
      <c r="NYQ16" s="50"/>
      <c r="NYR16" s="50"/>
      <c r="NYS16" s="50"/>
      <c r="NYT16" s="50"/>
      <c r="NYU16" s="50"/>
      <c r="NYV16" s="50"/>
      <c r="NYW16" s="50"/>
      <c r="NYX16" s="50"/>
      <c r="NYY16" s="50"/>
      <c r="NYZ16" s="50"/>
      <c r="NZA16" s="50"/>
      <c r="NZB16" s="50"/>
      <c r="NZC16" s="50"/>
      <c r="NZD16" s="50"/>
      <c r="NZE16" s="50"/>
      <c r="NZF16" s="50"/>
      <c r="NZG16" s="50"/>
      <c r="NZH16" s="50"/>
      <c r="NZI16" s="50"/>
      <c r="NZJ16" s="50"/>
      <c r="NZK16" s="50"/>
      <c r="NZL16" s="50"/>
      <c r="NZM16" s="50"/>
      <c r="NZN16" s="50"/>
      <c r="NZO16" s="50"/>
      <c r="NZP16" s="50"/>
      <c r="NZQ16" s="50"/>
      <c r="NZR16" s="50"/>
      <c r="NZS16" s="50"/>
      <c r="NZT16" s="50"/>
      <c r="NZU16" s="50"/>
      <c r="NZV16" s="50"/>
      <c r="NZW16" s="50"/>
      <c r="NZX16" s="50"/>
      <c r="NZY16" s="50"/>
      <c r="NZZ16" s="50"/>
      <c r="OAA16" s="50"/>
      <c r="OAB16" s="50"/>
      <c r="OAC16" s="50"/>
      <c r="OAD16" s="50"/>
      <c r="OAE16" s="50"/>
      <c r="OAF16" s="50"/>
      <c r="OAG16" s="50"/>
      <c r="OAH16" s="50"/>
      <c r="OAI16" s="50"/>
      <c r="OAJ16" s="50"/>
      <c r="OAK16" s="50"/>
      <c r="OAL16" s="50"/>
      <c r="OAM16" s="50"/>
      <c r="OAN16" s="50"/>
      <c r="OAO16" s="50"/>
      <c r="OAP16" s="50"/>
      <c r="OAQ16" s="50"/>
      <c r="OAR16" s="50"/>
      <c r="OAS16" s="50"/>
      <c r="OAT16" s="50"/>
      <c r="OAU16" s="50"/>
      <c r="OAV16" s="50"/>
      <c r="OAW16" s="50"/>
      <c r="OAX16" s="50"/>
      <c r="OAY16" s="50"/>
      <c r="OAZ16" s="50"/>
      <c r="OBA16" s="50"/>
      <c r="OBB16" s="50"/>
      <c r="OBC16" s="50"/>
      <c r="OBD16" s="50"/>
      <c r="OBE16" s="50"/>
      <c r="OBF16" s="50"/>
      <c r="OBG16" s="50"/>
      <c r="OBH16" s="50"/>
      <c r="OBI16" s="50"/>
      <c r="OBJ16" s="50"/>
      <c r="OBK16" s="50"/>
      <c r="OBL16" s="50"/>
      <c r="OBM16" s="50"/>
      <c r="OBN16" s="50"/>
      <c r="OBO16" s="50"/>
      <c r="OBP16" s="50"/>
      <c r="OBQ16" s="50"/>
      <c r="OBR16" s="50"/>
      <c r="OBS16" s="50"/>
      <c r="OBT16" s="50"/>
      <c r="OBU16" s="50"/>
      <c r="OBV16" s="50"/>
      <c r="OBW16" s="50"/>
      <c r="OBX16" s="50"/>
      <c r="OBY16" s="50"/>
      <c r="OBZ16" s="50"/>
      <c r="OCA16" s="50"/>
      <c r="OCB16" s="50"/>
      <c r="OCC16" s="50"/>
      <c r="OCD16" s="50"/>
      <c r="OCE16" s="50"/>
      <c r="OCF16" s="50"/>
      <c r="OCG16" s="50"/>
      <c r="OCH16" s="50"/>
      <c r="OCI16" s="50"/>
      <c r="OCJ16" s="50"/>
      <c r="OCK16" s="50"/>
      <c r="OCL16" s="50"/>
      <c r="OCM16" s="50"/>
      <c r="OCN16" s="50"/>
      <c r="OCO16" s="50"/>
      <c r="OCP16" s="50"/>
      <c r="OCQ16" s="50"/>
      <c r="OCR16" s="50"/>
      <c r="OCS16" s="50"/>
      <c r="OCT16" s="50"/>
      <c r="OCU16" s="50"/>
      <c r="OCV16" s="50"/>
      <c r="OCW16" s="50"/>
      <c r="OCX16" s="50"/>
      <c r="OCY16" s="50"/>
      <c r="OCZ16" s="50"/>
      <c r="ODA16" s="50"/>
      <c r="ODB16" s="50"/>
      <c r="ODC16" s="50"/>
      <c r="ODD16" s="50"/>
      <c r="ODE16" s="50"/>
      <c r="ODF16" s="50"/>
      <c r="ODG16" s="50"/>
      <c r="ODH16" s="50"/>
      <c r="ODI16" s="50"/>
      <c r="ODJ16" s="50"/>
      <c r="ODK16" s="50"/>
      <c r="ODL16" s="50"/>
      <c r="ODM16" s="50"/>
      <c r="ODN16" s="50"/>
      <c r="ODO16" s="50"/>
      <c r="ODP16" s="50"/>
      <c r="ODQ16" s="50"/>
      <c r="ODR16" s="50"/>
      <c r="ODS16" s="50"/>
      <c r="ODT16" s="50"/>
      <c r="ODU16" s="50"/>
      <c r="ODV16" s="50"/>
      <c r="ODW16" s="50"/>
      <c r="ODX16" s="50"/>
      <c r="ODY16" s="50"/>
      <c r="ODZ16" s="50"/>
      <c r="OEA16" s="50"/>
      <c r="OEB16" s="50"/>
      <c r="OEC16" s="50"/>
      <c r="OED16" s="50"/>
      <c r="OEE16" s="50"/>
      <c r="OEF16" s="50"/>
      <c r="OEG16" s="50"/>
      <c r="OEH16" s="50"/>
      <c r="OEI16" s="50"/>
      <c r="OEJ16" s="50"/>
      <c r="OEK16" s="50"/>
      <c r="OEL16" s="50"/>
      <c r="OEM16" s="50"/>
      <c r="OEN16" s="50"/>
      <c r="OEO16" s="50"/>
      <c r="OEP16" s="50"/>
      <c r="OEQ16" s="50"/>
      <c r="OER16" s="50"/>
      <c r="OES16" s="50"/>
      <c r="OET16" s="50"/>
      <c r="OEU16" s="50"/>
      <c r="OEV16" s="50"/>
      <c r="OEW16" s="50"/>
      <c r="OEX16" s="50"/>
      <c r="OEY16" s="50"/>
      <c r="OEZ16" s="50"/>
      <c r="OFA16" s="50"/>
      <c r="OFB16" s="50"/>
      <c r="OFC16" s="50"/>
      <c r="OFD16" s="50"/>
      <c r="OFE16" s="50"/>
      <c r="OFF16" s="50"/>
      <c r="OFG16" s="50"/>
      <c r="OFH16" s="50"/>
      <c r="OFI16" s="50"/>
      <c r="OFJ16" s="50"/>
      <c r="OFK16" s="50"/>
      <c r="OFL16" s="50"/>
      <c r="OFM16" s="50"/>
      <c r="OFN16" s="50"/>
      <c r="OFO16" s="50"/>
      <c r="OFP16" s="50"/>
      <c r="OFQ16" s="50"/>
      <c r="OFR16" s="50"/>
      <c r="OFS16" s="50"/>
      <c r="OFT16" s="50"/>
      <c r="OFU16" s="50"/>
      <c r="OFV16" s="50"/>
      <c r="OFW16" s="50"/>
      <c r="OFX16" s="50"/>
      <c r="OFY16" s="50"/>
      <c r="OFZ16" s="50"/>
      <c r="OGA16" s="50"/>
      <c r="OGB16" s="50"/>
      <c r="OGC16" s="50"/>
      <c r="OGD16" s="50"/>
      <c r="OGE16" s="50"/>
      <c r="OGF16" s="50"/>
      <c r="OGG16" s="50"/>
      <c r="OGH16" s="50"/>
      <c r="OGI16" s="50"/>
      <c r="OGJ16" s="50"/>
      <c r="OGK16" s="50"/>
      <c r="OGL16" s="50"/>
      <c r="OGM16" s="50"/>
      <c r="OGN16" s="50"/>
      <c r="OGO16" s="50"/>
      <c r="OGP16" s="50"/>
      <c r="OGQ16" s="50"/>
      <c r="OGR16" s="50"/>
      <c r="OGS16" s="50"/>
      <c r="OGT16" s="50"/>
      <c r="OGU16" s="50"/>
      <c r="OGV16" s="50"/>
      <c r="OGW16" s="50"/>
      <c r="OGX16" s="50"/>
      <c r="OGY16" s="50"/>
      <c r="OGZ16" s="50"/>
      <c r="OHA16" s="50"/>
      <c r="OHB16" s="50"/>
      <c r="OHC16" s="50"/>
      <c r="OHD16" s="50"/>
      <c r="OHE16" s="50"/>
      <c r="OHF16" s="50"/>
      <c r="OHG16" s="50"/>
      <c r="OHH16" s="50"/>
      <c r="OHI16" s="50"/>
      <c r="OHJ16" s="50"/>
      <c r="OHK16" s="50"/>
      <c r="OHL16" s="50"/>
      <c r="OHM16" s="50"/>
      <c r="OHN16" s="50"/>
      <c r="OHO16" s="50"/>
      <c r="OHP16" s="50"/>
      <c r="OHQ16" s="50"/>
      <c r="OHR16" s="50"/>
      <c r="OHS16" s="50"/>
      <c r="OHT16" s="50"/>
      <c r="OHU16" s="50"/>
      <c r="OHV16" s="50"/>
      <c r="OHW16" s="50"/>
      <c r="OHX16" s="50"/>
      <c r="OHY16" s="50"/>
      <c r="OHZ16" s="50"/>
      <c r="OIA16" s="50"/>
      <c r="OIB16" s="50"/>
      <c r="OIC16" s="50"/>
      <c r="OID16" s="50"/>
      <c r="OIE16" s="50"/>
      <c r="OIF16" s="50"/>
      <c r="OIG16" s="50"/>
      <c r="OIH16" s="50"/>
      <c r="OII16" s="50"/>
      <c r="OIJ16" s="50"/>
      <c r="OIK16" s="50"/>
      <c r="OIL16" s="50"/>
      <c r="OIM16" s="50"/>
      <c r="OIN16" s="50"/>
      <c r="OIO16" s="50"/>
      <c r="OIP16" s="50"/>
      <c r="OIQ16" s="50"/>
      <c r="OIR16" s="50"/>
      <c r="OIS16" s="50"/>
      <c r="OIT16" s="50"/>
      <c r="OIU16" s="50"/>
      <c r="OIV16" s="50"/>
      <c r="OIW16" s="50"/>
      <c r="OIX16" s="50"/>
      <c r="OIY16" s="50"/>
      <c r="OIZ16" s="50"/>
      <c r="OJA16" s="50"/>
      <c r="OJB16" s="50"/>
      <c r="OJC16" s="50"/>
      <c r="OJD16" s="50"/>
      <c r="OJE16" s="50"/>
      <c r="OJF16" s="50"/>
      <c r="OJG16" s="50"/>
      <c r="OJH16" s="50"/>
      <c r="OJI16" s="50"/>
      <c r="OJJ16" s="50"/>
      <c r="OJK16" s="50"/>
      <c r="OJL16" s="50"/>
      <c r="OJM16" s="50"/>
      <c r="OJN16" s="50"/>
      <c r="OJO16" s="50"/>
      <c r="OJP16" s="50"/>
      <c r="OJQ16" s="50"/>
      <c r="OJR16" s="50"/>
      <c r="OJS16" s="50"/>
      <c r="OJT16" s="50"/>
      <c r="OJU16" s="50"/>
      <c r="OJV16" s="50"/>
      <c r="OJW16" s="50"/>
      <c r="OJX16" s="50"/>
      <c r="OJY16" s="50"/>
      <c r="OJZ16" s="50"/>
      <c r="OKA16" s="50"/>
      <c r="OKB16" s="50"/>
      <c r="OKC16" s="50"/>
      <c r="OKD16" s="50"/>
      <c r="OKE16" s="50"/>
      <c r="OKF16" s="50"/>
      <c r="OKG16" s="50"/>
      <c r="OKH16" s="50"/>
      <c r="OKI16" s="50"/>
      <c r="OKJ16" s="50"/>
      <c r="OKK16" s="50"/>
      <c r="OKL16" s="50"/>
      <c r="OKM16" s="50"/>
      <c r="OKN16" s="50"/>
      <c r="OKO16" s="50"/>
      <c r="OKP16" s="50"/>
      <c r="OKQ16" s="50"/>
      <c r="OKR16" s="50"/>
      <c r="OKS16" s="50"/>
      <c r="OKT16" s="50"/>
      <c r="OKU16" s="50"/>
      <c r="OKV16" s="50"/>
      <c r="OKW16" s="50"/>
      <c r="OKX16" s="50"/>
      <c r="OKY16" s="50"/>
      <c r="OKZ16" s="50"/>
      <c r="OLA16" s="50"/>
      <c r="OLB16" s="50"/>
      <c r="OLC16" s="50"/>
      <c r="OLD16" s="50"/>
      <c r="OLE16" s="50"/>
      <c r="OLF16" s="50"/>
      <c r="OLG16" s="50"/>
      <c r="OLH16" s="50"/>
      <c r="OLI16" s="50"/>
      <c r="OLJ16" s="50"/>
      <c r="OLK16" s="50"/>
      <c r="OLL16" s="50"/>
      <c r="OLM16" s="50"/>
      <c r="OLN16" s="50"/>
      <c r="OLO16" s="50"/>
      <c r="OLP16" s="50"/>
      <c r="OLQ16" s="50"/>
      <c r="OLR16" s="50"/>
      <c r="OLS16" s="50"/>
      <c r="OLT16" s="50"/>
      <c r="OLU16" s="50"/>
      <c r="OLV16" s="50"/>
      <c r="OLW16" s="50"/>
      <c r="OLX16" s="50"/>
      <c r="OLY16" s="50"/>
      <c r="OLZ16" s="50"/>
      <c r="OMA16" s="50"/>
      <c r="OMB16" s="50"/>
      <c r="OMC16" s="50"/>
      <c r="OMD16" s="50"/>
      <c r="OME16" s="50"/>
      <c r="OMF16" s="50"/>
      <c r="OMG16" s="50"/>
      <c r="OMH16" s="50"/>
      <c r="OMI16" s="50"/>
      <c r="OMJ16" s="50"/>
      <c r="OMK16" s="50"/>
      <c r="OML16" s="50"/>
      <c r="OMM16" s="50"/>
      <c r="OMN16" s="50"/>
      <c r="OMO16" s="50"/>
      <c r="OMP16" s="50"/>
      <c r="OMQ16" s="50"/>
      <c r="OMR16" s="50"/>
      <c r="OMS16" s="50"/>
      <c r="OMT16" s="50"/>
      <c r="OMU16" s="50"/>
      <c r="OMV16" s="50"/>
      <c r="OMW16" s="50"/>
      <c r="OMX16" s="50"/>
      <c r="OMY16" s="50"/>
      <c r="OMZ16" s="50"/>
      <c r="ONA16" s="50"/>
      <c r="ONB16" s="50"/>
      <c r="ONC16" s="50"/>
      <c r="OND16" s="50"/>
      <c r="ONE16" s="50"/>
      <c r="ONF16" s="50"/>
      <c r="ONG16" s="50"/>
      <c r="ONH16" s="50"/>
      <c r="ONI16" s="50"/>
      <c r="ONJ16" s="50"/>
      <c r="ONK16" s="50"/>
      <c r="ONL16" s="50"/>
      <c r="ONM16" s="50"/>
      <c r="ONN16" s="50"/>
      <c r="ONO16" s="50"/>
      <c r="ONP16" s="50"/>
      <c r="ONQ16" s="50"/>
      <c r="ONR16" s="50"/>
      <c r="ONS16" s="50"/>
      <c r="ONT16" s="50"/>
      <c r="ONU16" s="50"/>
      <c r="ONV16" s="50"/>
      <c r="ONW16" s="50"/>
      <c r="ONX16" s="50"/>
      <c r="ONY16" s="50"/>
      <c r="ONZ16" s="50"/>
      <c r="OOA16" s="50"/>
      <c r="OOB16" s="50"/>
      <c r="OOC16" s="50"/>
      <c r="OOD16" s="50"/>
      <c r="OOE16" s="50"/>
      <c r="OOF16" s="50"/>
      <c r="OOG16" s="50"/>
      <c r="OOH16" s="50"/>
      <c r="OOI16" s="50"/>
      <c r="OOJ16" s="50"/>
      <c r="OOK16" s="50"/>
      <c r="OOL16" s="50"/>
      <c r="OOM16" s="50"/>
      <c r="OON16" s="50"/>
      <c r="OOO16" s="50"/>
      <c r="OOP16" s="50"/>
      <c r="OOQ16" s="50"/>
      <c r="OOR16" s="50"/>
      <c r="OOS16" s="50"/>
      <c r="OOT16" s="50"/>
      <c r="OOU16" s="50"/>
      <c r="OOV16" s="50"/>
      <c r="OOW16" s="50"/>
      <c r="OOX16" s="50"/>
      <c r="OOY16" s="50"/>
      <c r="OOZ16" s="50"/>
      <c r="OPA16" s="50"/>
      <c r="OPB16" s="50"/>
      <c r="OPC16" s="50"/>
      <c r="OPD16" s="50"/>
      <c r="OPE16" s="50"/>
      <c r="OPF16" s="50"/>
      <c r="OPG16" s="50"/>
      <c r="OPH16" s="50"/>
      <c r="OPI16" s="50"/>
      <c r="OPJ16" s="50"/>
      <c r="OPK16" s="50"/>
      <c r="OPL16" s="50"/>
      <c r="OPM16" s="50"/>
      <c r="OPN16" s="50"/>
      <c r="OPO16" s="50"/>
      <c r="OPP16" s="50"/>
      <c r="OPQ16" s="50"/>
      <c r="OPR16" s="50"/>
      <c r="OPS16" s="50"/>
      <c r="OPT16" s="50"/>
      <c r="OPU16" s="50"/>
      <c r="OPV16" s="50"/>
      <c r="OPW16" s="50"/>
      <c r="OPX16" s="50"/>
      <c r="OPY16" s="50"/>
      <c r="OPZ16" s="50"/>
      <c r="OQA16" s="50"/>
      <c r="OQB16" s="50"/>
      <c r="OQC16" s="50"/>
      <c r="OQD16" s="50"/>
      <c r="OQE16" s="50"/>
      <c r="OQF16" s="50"/>
      <c r="OQG16" s="50"/>
      <c r="OQH16" s="50"/>
      <c r="OQI16" s="50"/>
      <c r="OQJ16" s="50"/>
      <c r="OQK16" s="50"/>
      <c r="OQL16" s="50"/>
      <c r="OQM16" s="50"/>
      <c r="OQN16" s="50"/>
      <c r="OQO16" s="50"/>
      <c r="OQP16" s="50"/>
      <c r="OQQ16" s="50"/>
      <c r="OQR16" s="50"/>
      <c r="OQS16" s="50"/>
      <c r="OQT16" s="50"/>
      <c r="OQU16" s="50"/>
      <c r="OQV16" s="50"/>
      <c r="OQW16" s="50"/>
      <c r="OQX16" s="50"/>
      <c r="OQY16" s="50"/>
      <c r="OQZ16" s="50"/>
      <c r="ORA16" s="50"/>
      <c r="ORB16" s="50"/>
      <c r="ORC16" s="50"/>
      <c r="ORD16" s="50"/>
      <c r="ORE16" s="50"/>
      <c r="ORF16" s="50"/>
      <c r="ORG16" s="50"/>
      <c r="ORH16" s="50"/>
      <c r="ORI16" s="50"/>
      <c r="ORJ16" s="50"/>
      <c r="ORK16" s="50"/>
      <c r="ORL16" s="50"/>
      <c r="ORM16" s="50"/>
      <c r="ORN16" s="50"/>
      <c r="ORO16" s="50"/>
      <c r="ORP16" s="50"/>
      <c r="ORQ16" s="50"/>
      <c r="ORR16" s="50"/>
      <c r="ORS16" s="50"/>
      <c r="ORT16" s="50"/>
      <c r="ORU16" s="50"/>
      <c r="ORV16" s="50"/>
      <c r="ORW16" s="50"/>
      <c r="ORX16" s="50"/>
      <c r="ORY16" s="50"/>
      <c r="ORZ16" s="50"/>
      <c r="OSA16" s="50"/>
      <c r="OSB16" s="50"/>
      <c r="OSC16" s="50"/>
      <c r="OSD16" s="50"/>
      <c r="OSE16" s="50"/>
      <c r="OSF16" s="50"/>
      <c r="OSG16" s="50"/>
      <c r="OSH16" s="50"/>
      <c r="OSI16" s="50"/>
      <c r="OSJ16" s="50"/>
      <c r="OSK16" s="50"/>
      <c r="OSL16" s="50"/>
      <c r="OSM16" s="50"/>
      <c r="OSN16" s="50"/>
      <c r="OSO16" s="50"/>
      <c r="OSP16" s="50"/>
      <c r="OSQ16" s="50"/>
      <c r="OSR16" s="50"/>
      <c r="OSS16" s="50"/>
      <c r="OST16" s="50"/>
      <c r="OSU16" s="50"/>
      <c r="OSV16" s="50"/>
      <c r="OSW16" s="50"/>
      <c r="OSX16" s="50"/>
      <c r="OSY16" s="50"/>
      <c r="OSZ16" s="50"/>
      <c r="OTA16" s="50"/>
      <c r="OTB16" s="50"/>
      <c r="OTC16" s="50"/>
      <c r="OTD16" s="50"/>
      <c r="OTE16" s="50"/>
      <c r="OTF16" s="50"/>
      <c r="OTG16" s="50"/>
      <c r="OTH16" s="50"/>
      <c r="OTI16" s="50"/>
      <c r="OTJ16" s="50"/>
      <c r="OTK16" s="50"/>
      <c r="OTL16" s="50"/>
      <c r="OTM16" s="50"/>
      <c r="OTN16" s="50"/>
      <c r="OTO16" s="50"/>
      <c r="OTP16" s="50"/>
      <c r="OTQ16" s="50"/>
      <c r="OTR16" s="50"/>
      <c r="OTS16" s="50"/>
      <c r="OTT16" s="50"/>
      <c r="OTU16" s="50"/>
      <c r="OTV16" s="50"/>
      <c r="OTW16" s="50"/>
      <c r="OTX16" s="50"/>
      <c r="OTY16" s="50"/>
      <c r="OTZ16" s="50"/>
      <c r="OUA16" s="50"/>
      <c r="OUB16" s="50"/>
      <c r="OUC16" s="50"/>
      <c r="OUD16" s="50"/>
      <c r="OUE16" s="50"/>
      <c r="OUF16" s="50"/>
      <c r="OUG16" s="50"/>
      <c r="OUH16" s="50"/>
      <c r="OUI16" s="50"/>
      <c r="OUJ16" s="50"/>
      <c r="OUK16" s="50"/>
      <c r="OUL16" s="50"/>
      <c r="OUM16" s="50"/>
      <c r="OUN16" s="50"/>
      <c r="OUO16" s="50"/>
      <c r="OUP16" s="50"/>
      <c r="OUQ16" s="50"/>
      <c r="OUR16" s="50"/>
      <c r="OUS16" s="50"/>
      <c r="OUT16" s="50"/>
      <c r="OUU16" s="50"/>
      <c r="OUV16" s="50"/>
      <c r="OUW16" s="50"/>
      <c r="OUX16" s="50"/>
      <c r="OUY16" s="50"/>
      <c r="OUZ16" s="50"/>
      <c r="OVA16" s="50"/>
      <c r="OVB16" s="50"/>
      <c r="OVC16" s="50"/>
      <c r="OVD16" s="50"/>
      <c r="OVE16" s="50"/>
      <c r="OVF16" s="50"/>
      <c r="OVG16" s="50"/>
      <c r="OVH16" s="50"/>
      <c r="OVI16" s="50"/>
      <c r="OVJ16" s="50"/>
      <c r="OVK16" s="50"/>
      <c r="OVL16" s="50"/>
      <c r="OVM16" s="50"/>
      <c r="OVN16" s="50"/>
      <c r="OVO16" s="50"/>
      <c r="OVP16" s="50"/>
      <c r="OVQ16" s="50"/>
      <c r="OVR16" s="50"/>
      <c r="OVS16" s="50"/>
      <c r="OVT16" s="50"/>
      <c r="OVU16" s="50"/>
      <c r="OVV16" s="50"/>
      <c r="OVW16" s="50"/>
      <c r="OVX16" s="50"/>
      <c r="OVY16" s="50"/>
      <c r="OVZ16" s="50"/>
      <c r="OWA16" s="50"/>
      <c r="OWB16" s="50"/>
      <c r="OWC16" s="50"/>
      <c r="OWD16" s="50"/>
      <c r="OWE16" s="50"/>
      <c r="OWF16" s="50"/>
      <c r="OWG16" s="50"/>
      <c r="OWH16" s="50"/>
      <c r="OWI16" s="50"/>
      <c r="OWJ16" s="50"/>
      <c r="OWK16" s="50"/>
      <c r="OWL16" s="50"/>
      <c r="OWM16" s="50"/>
      <c r="OWN16" s="50"/>
      <c r="OWO16" s="50"/>
      <c r="OWP16" s="50"/>
      <c r="OWQ16" s="50"/>
      <c r="OWR16" s="50"/>
      <c r="OWS16" s="50"/>
      <c r="OWT16" s="50"/>
      <c r="OWU16" s="50"/>
      <c r="OWV16" s="50"/>
      <c r="OWW16" s="50"/>
      <c r="OWX16" s="50"/>
      <c r="OWY16" s="50"/>
      <c r="OWZ16" s="50"/>
      <c r="OXA16" s="50"/>
      <c r="OXB16" s="50"/>
      <c r="OXC16" s="50"/>
      <c r="OXD16" s="50"/>
      <c r="OXE16" s="50"/>
      <c r="OXF16" s="50"/>
      <c r="OXG16" s="50"/>
      <c r="OXH16" s="50"/>
      <c r="OXI16" s="50"/>
      <c r="OXJ16" s="50"/>
      <c r="OXK16" s="50"/>
      <c r="OXL16" s="50"/>
      <c r="OXM16" s="50"/>
      <c r="OXN16" s="50"/>
      <c r="OXO16" s="50"/>
      <c r="OXP16" s="50"/>
      <c r="OXQ16" s="50"/>
      <c r="OXR16" s="50"/>
      <c r="OXS16" s="50"/>
      <c r="OXT16" s="50"/>
      <c r="OXU16" s="50"/>
      <c r="OXV16" s="50"/>
      <c r="OXW16" s="50"/>
      <c r="OXX16" s="50"/>
      <c r="OXY16" s="50"/>
      <c r="OXZ16" s="50"/>
      <c r="OYA16" s="50"/>
      <c r="OYB16" s="50"/>
      <c r="OYC16" s="50"/>
      <c r="OYD16" s="50"/>
      <c r="OYE16" s="50"/>
      <c r="OYF16" s="50"/>
      <c r="OYG16" s="50"/>
      <c r="OYH16" s="50"/>
      <c r="OYI16" s="50"/>
      <c r="OYJ16" s="50"/>
      <c r="OYK16" s="50"/>
      <c r="OYL16" s="50"/>
      <c r="OYM16" s="50"/>
      <c r="OYN16" s="50"/>
      <c r="OYO16" s="50"/>
      <c r="OYP16" s="50"/>
      <c r="OYQ16" s="50"/>
      <c r="OYR16" s="50"/>
      <c r="OYS16" s="50"/>
      <c r="OYT16" s="50"/>
      <c r="OYU16" s="50"/>
      <c r="OYV16" s="50"/>
      <c r="OYW16" s="50"/>
      <c r="OYX16" s="50"/>
      <c r="OYY16" s="50"/>
      <c r="OYZ16" s="50"/>
      <c r="OZA16" s="50"/>
      <c r="OZB16" s="50"/>
      <c r="OZC16" s="50"/>
      <c r="OZD16" s="50"/>
      <c r="OZE16" s="50"/>
      <c r="OZF16" s="50"/>
      <c r="OZG16" s="50"/>
      <c r="OZH16" s="50"/>
      <c r="OZI16" s="50"/>
      <c r="OZJ16" s="50"/>
      <c r="OZK16" s="50"/>
      <c r="OZL16" s="50"/>
      <c r="OZM16" s="50"/>
      <c r="OZN16" s="50"/>
      <c r="OZO16" s="50"/>
      <c r="OZP16" s="50"/>
      <c r="OZQ16" s="50"/>
      <c r="OZR16" s="50"/>
      <c r="OZS16" s="50"/>
      <c r="OZT16" s="50"/>
      <c r="OZU16" s="50"/>
      <c r="OZV16" s="50"/>
      <c r="OZW16" s="50"/>
      <c r="OZX16" s="50"/>
      <c r="OZY16" s="50"/>
      <c r="OZZ16" s="50"/>
      <c r="PAA16" s="50"/>
      <c r="PAB16" s="50"/>
      <c r="PAC16" s="50"/>
      <c r="PAD16" s="50"/>
      <c r="PAE16" s="50"/>
      <c r="PAF16" s="50"/>
      <c r="PAG16" s="50"/>
      <c r="PAH16" s="50"/>
      <c r="PAI16" s="50"/>
      <c r="PAJ16" s="50"/>
      <c r="PAK16" s="50"/>
      <c r="PAL16" s="50"/>
      <c r="PAM16" s="50"/>
      <c r="PAN16" s="50"/>
      <c r="PAO16" s="50"/>
      <c r="PAP16" s="50"/>
      <c r="PAQ16" s="50"/>
      <c r="PAR16" s="50"/>
      <c r="PAS16" s="50"/>
      <c r="PAT16" s="50"/>
      <c r="PAU16" s="50"/>
      <c r="PAV16" s="50"/>
      <c r="PAW16" s="50"/>
      <c r="PAX16" s="50"/>
      <c r="PAY16" s="50"/>
      <c r="PAZ16" s="50"/>
      <c r="PBA16" s="50"/>
      <c r="PBB16" s="50"/>
      <c r="PBC16" s="50"/>
      <c r="PBD16" s="50"/>
      <c r="PBE16" s="50"/>
      <c r="PBF16" s="50"/>
      <c r="PBG16" s="50"/>
      <c r="PBH16" s="50"/>
      <c r="PBI16" s="50"/>
      <c r="PBJ16" s="50"/>
      <c r="PBK16" s="50"/>
      <c r="PBL16" s="50"/>
      <c r="PBM16" s="50"/>
      <c r="PBN16" s="50"/>
      <c r="PBO16" s="50"/>
      <c r="PBP16" s="50"/>
      <c r="PBQ16" s="50"/>
      <c r="PBR16" s="50"/>
      <c r="PBS16" s="50"/>
      <c r="PBT16" s="50"/>
      <c r="PBU16" s="50"/>
      <c r="PBV16" s="50"/>
      <c r="PBW16" s="50"/>
      <c r="PBX16" s="50"/>
      <c r="PBY16" s="50"/>
      <c r="PBZ16" s="50"/>
      <c r="PCA16" s="50"/>
      <c r="PCB16" s="50"/>
      <c r="PCC16" s="50"/>
      <c r="PCD16" s="50"/>
      <c r="PCE16" s="50"/>
      <c r="PCF16" s="50"/>
      <c r="PCG16" s="50"/>
      <c r="PCH16" s="50"/>
      <c r="PCI16" s="50"/>
      <c r="PCJ16" s="50"/>
      <c r="PCK16" s="50"/>
      <c r="PCL16" s="50"/>
      <c r="PCM16" s="50"/>
      <c r="PCN16" s="50"/>
      <c r="PCO16" s="50"/>
      <c r="PCP16" s="50"/>
      <c r="PCQ16" s="50"/>
      <c r="PCR16" s="50"/>
      <c r="PCS16" s="50"/>
      <c r="PCT16" s="50"/>
      <c r="PCU16" s="50"/>
      <c r="PCV16" s="50"/>
      <c r="PCW16" s="50"/>
      <c r="PCX16" s="50"/>
      <c r="PCY16" s="50"/>
      <c r="PCZ16" s="50"/>
      <c r="PDA16" s="50"/>
      <c r="PDB16" s="50"/>
      <c r="PDC16" s="50"/>
      <c r="PDD16" s="50"/>
      <c r="PDE16" s="50"/>
      <c r="PDF16" s="50"/>
      <c r="PDG16" s="50"/>
      <c r="PDH16" s="50"/>
      <c r="PDI16" s="50"/>
      <c r="PDJ16" s="50"/>
      <c r="PDK16" s="50"/>
      <c r="PDL16" s="50"/>
      <c r="PDM16" s="50"/>
      <c r="PDN16" s="50"/>
      <c r="PDO16" s="50"/>
      <c r="PDP16" s="50"/>
      <c r="PDQ16" s="50"/>
      <c r="PDR16" s="50"/>
      <c r="PDS16" s="50"/>
      <c r="PDT16" s="50"/>
      <c r="PDU16" s="50"/>
      <c r="PDV16" s="50"/>
      <c r="PDW16" s="50"/>
      <c r="PDX16" s="50"/>
      <c r="PDY16" s="50"/>
      <c r="PDZ16" s="50"/>
      <c r="PEA16" s="50"/>
      <c r="PEB16" s="50"/>
      <c r="PEC16" s="50"/>
      <c r="PED16" s="50"/>
      <c r="PEE16" s="50"/>
      <c r="PEF16" s="50"/>
      <c r="PEG16" s="50"/>
      <c r="PEH16" s="50"/>
      <c r="PEI16" s="50"/>
      <c r="PEJ16" s="50"/>
      <c r="PEK16" s="50"/>
      <c r="PEL16" s="50"/>
      <c r="PEM16" s="50"/>
      <c r="PEN16" s="50"/>
      <c r="PEO16" s="50"/>
      <c r="PEP16" s="50"/>
      <c r="PEQ16" s="50"/>
      <c r="PER16" s="50"/>
      <c r="PES16" s="50"/>
      <c r="PET16" s="50"/>
      <c r="PEU16" s="50"/>
      <c r="PEV16" s="50"/>
      <c r="PEW16" s="50"/>
      <c r="PEX16" s="50"/>
      <c r="PEY16" s="50"/>
      <c r="PEZ16" s="50"/>
      <c r="PFA16" s="50"/>
      <c r="PFB16" s="50"/>
      <c r="PFC16" s="50"/>
      <c r="PFD16" s="50"/>
      <c r="PFE16" s="50"/>
      <c r="PFF16" s="50"/>
      <c r="PFG16" s="50"/>
      <c r="PFH16" s="50"/>
      <c r="PFI16" s="50"/>
      <c r="PFJ16" s="50"/>
      <c r="PFK16" s="50"/>
      <c r="PFL16" s="50"/>
      <c r="PFM16" s="50"/>
      <c r="PFN16" s="50"/>
      <c r="PFO16" s="50"/>
      <c r="PFP16" s="50"/>
      <c r="PFQ16" s="50"/>
      <c r="PFR16" s="50"/>
      <c r="PFS16" s="50"/>
      <c r="PFT16" s="50"/>
      <c r="PFU16" s="50"/>
      <c r="PFV16" s="50"/>
      <c r="PFW16" s="50"/>
      <c r="PFX16" s="50"/>
      <c r="PFY16" s="50"/>
      <c r="PFZ16" s="50"/>
      <c r="PGA16" s="50"/>
      <c r="PGB16" s="50"/>
      <c r="PGC16" s="50"/>
      <c r="PGD16" s="50"/>
      <c r="PGE16" s="50"/>
      <c r="PGF16" s="50"/>
      <c r="PGG16" s="50"/>
      <c r="PGH16" s="50"/>
      <c r="PGI16" s="50"/>
      <c r="PGJ16" s="50"/>
      <c r="PGK16" s="50"/>
      <c r="PGL16" s="50"/>
      <c r="PGM16" s="50"/>
      <c r="PGN16" s="50"/>
      <c r="PGO16" s="50"/>
      <c r="PGP16" s="50"/>
      <c r="PGQ16" s="50"/>
      <c r="PGR16" s="50"/>
      <c r="PGS16" s="50"/>
      <c r="PGT16" s="50"/>
      <c r="PGU16" s="50"/>
      <c r="PGV16" s="50"/>
      <c r="PGW16" s="50"/>
      <c r="PGX16" s="50"/>
      <c r="PGY16" s="50"/>
      <c r="PGZ16" s="50"/>
      <c r="PHA16" s="50"/>
      <c r="PHB16" s="50"/>
      <c r="PHC16" s="50"/>
      <c r="PHD16" s="50"/>
      <c r="PHE16" s="50"/>
      <c r="PHF16" s="50"/>
      <c r="PHG16" s="50"/>
      <c r="PHH16" s="50"/>
      <c r="PHI16" s="50"/>
      <c r="PHJ16" s="50"/>
      <c r="PHK16" s="50"/>
      <c r="PHL16" s="50"/>
      <c r="PHM16" s="50"/>
      <c r="PHN16" s="50"/>
      <c r="PHO16" s="50"/>
      <c r="PHP16" s="50"/>
      <c r="PHQ16" s="50"/>
      <c r="PHR16" s="50"/>
      <c r="PHS16" s="50"/>
      <c r="PHT16" s="50"/>
      <c r="PHU16" s="50"/>
      <c r="PHV16" s="50"/>
      <c r="PHW16" s="50"/>
      <c r="PHX16" s="50"/>
      <c r="PHY16" s="50"/>
      <c r="PHZ16" s="50"/>
      <c r="PIA16" s="50"/>
      <c r="PIB16" s="50"/>
      <c r="PIC16" s="50"/>
      <c r="PID16" s="50"/>
      <c r="PIE16" s="50"/>
      <c r="PIF16" s="50"/>
      <c r="PIG16" s="50"/>
      <c r="PIH16" s="50"/>
      <c r="PII16" s="50"/>
      <c r="PIJ16" s="50"/>
      <c r="PIK16" s="50"/>
      <c r="PIL16" s="50"/>
      <c r="PIM16" s="50"/>
      <c r="PIN16" s="50"/>
      <c r="PIO16" s="50"/>
      <c r="PIP16" s="50"/>
      <c r="PIQ16" s="50"/>
      <c r="PIR16" s="50"/>
      <c r="PIS16" s="50"/>
      <c r="PIT16" s="50"/>
      <c r="PIU16" s="50"/>
      <c r="PIV16" s="50"/>
      <c r="PIW16" s="50"/>
      <c r="PIX16" s="50"/>
      <c r="PIY16" s="50"/>
      <c r="PIZ16" s="50"/>
      <c r="PJA16" s="50"/>
      <c r="PJB16" s="50"/>
      <c r="PJC16" s="50"/>
      <c r="PJD16" s="50"/>
      <c r="PJE16" s="50"/>
      <c r="PJF16" s="50"/>
      <c r="PJG16" s="50"/>
      <c r="PJH16" s="50"/>
      <c r="PJI16" s="50"/>
      <c r="PJJ16" s="50"/>
      <c r="PJK16" s="50"/>
      <c r="PJL16" s="50"/>
      <c r="PJM16" s="50"/>
      <c r="PJN16" s="50"/>
      <c r="PJO16" s="50"/>
      <c r="PJP16" s="50"/>
      <c r="PJQ16" s="50"/>
      <c r="PJR16" s="50"/>
      <c r="PJS16" s="50"/>
      <c r="PJT16" s="50"/>
      <c r="PJU16" s="50"/>
      <c r="PJV16" s="50"/>
      <c r="PJW16" s="50"/>
      <c r="PJX16" s="50"/>
      <c r="PJY16" s="50"/>
      <c r="PJZ16" s="50"/>
      <c r="PKA16" s="50"/>
      <c r="PKB16" s="50"/>
      <c r="PKC16" s="50"/>
      <c r="PKD16" s="50"/>
      <c r="PKE16" s="50"/>
      <c r="PKF16" s="50"/>
      <c r="PKG16" s="50"/>
      <c r="PKH16" s="50"/>
      <c r="PKI16" s="50"/>
      <c r="PKJ16" s="50"/>
      <c r="PKK16" s="50"/>
      <c r="PKL16" s="50"/>
      <c r="PKM16" s="50"/>
      <c r="PKN16" s="50"/>
      <c r="PKO16" s="50"/>
      <c r="PKP16" s="50"/>
      <c r="PKQ16" s="50"/>
      <c r="PKR16" s="50"/>
      <c r="PKS16" s="50"/>
      <c r="PKT16" s="50"/>
      <c r="PKU16" s="50"/>
      <c r="PKV16" s="50"/>
      <c r="PKW16" s="50"/>
      <c r="PKX16" s="50"/>
      <c r="PKY16" s="50"/>
      <c r="PKZ16" s="50"/>
      <c r="PLA16" s="50"/>
      <c r="PLB16" s="50"/>
      <c r="PLC16" s="50"/>
      <c r="PLD16" s="50"/>
      <c r="PLE16" s="50"/>
      <c r="PLF16" s="50"/>
      <c r="PLG16" s="50"/>
      <c r="PLH16" s="50"/>
      <c r="PLI16" s="50"/>
      <c r="PLJ16" s="50"/>
      <c r="PLK16" s="50"/>
      <c r="PLL16" s="50"/>
      <c r="PLM16" s="50"/>
      <c r="PLN16" s="50"/>
      <c r="PLO16" s="50"/>
      <c r="PLP16" s="50"/>
      <c r="PLQ16" s="50"/>
      <c r="PLR16" s="50"/>
      <c r="PLS16" s="50"/>
      <c r="PLT16" s="50"/>
      <c r="PLU16" s="50"/>
      <c r="PLV16" s="50"/>
      <c r="PLW16" s="50"/>
      <c r="PLX16" s="50"/>
      <c r="PLY16" s="50"/>
      <c r="PLZ16" s="50"/>
      <c r="PMA16" s="50"/>
      <c r="PMB16" s="50"/>
      <c r="PMC16" s="50"/>
      <c r="PMD16" s="50"/>
      <c r="PME16" s="50"/>
      <c r="PMF16" s="50"/>
      <c r="PMG16" s="50"/>
      <c r="PMH16" s="50"/>
      <c r="PMI16" s="50"/>
      <c r="PMJ16" s="50"/>
      <c r="PMK16" s="50"/>
      <c r="PML16" s="50"/>
      <c r="PMM16" s="50"/>
      <c r="PMN16" s="50"/>
      <c r="PMO16" s="50"/>
      <c r="PMP16" s="50"/>
      <c r="PMQ16" s="50"/>
      <c r="PMR16" s="50"/>
      <c r="PMS16" s="50"/>
      <c r="PMT16" s="50"/>
      <c r="PMU16" s="50"/>
      <c r="PMV16" s="50"/>
      <c r="PMW16" s="50"/>
      <c r="PMX16" s="50"/>
      <c r="PMY16" s="50"/>
      <c r="PMZ16" s="50"/>
      <c r="PNA16" s="50"/>
      <c r="PNB16" s="50"/>
      <c r="PNC16" s="50"/>
      <c r="PND16" s="50"/>
      <c r="PNE16" s="50"/>
      <c r="PNF16" s="50"/>
      <c r="PNG16" s="50"/>
      <c r="PNH16" s="50"/>
      <c r="PNI16" s="50"/>
      <c r="PNJ16" s="50"/>
      <c r="PNK16" s="50"/>
      <c r="PNL16" s="50"/>
      <c r="PNM16" s="50"/>
      <c r="PNN16" s="50"/>
      <c r="PNO16" s="50"/>
      <c r="PNP16" s="50"/>
      <c r="PNQ16" s="50"/>
      <c r="PNR16" s="50"/>
      <c r="PNS16" s="50"/>
      <c r="PNT16" s="50"/>
      <c r="PNU16" s="50"/>
      <c r="PNV16" s="50"/>
      <c r="PNW16" s="50"/>
      <c r="PNX16" s="50"/>
      <c r="PNY16" s="50"/>
      <c r="PNZ16" s="50"/>
      <c r="POA16" s="50"/>
      <c r="POB16" s="50"/>
      <c r="POC16" s="50"/>
      <c r="POD16" s="50"/>
      <c r="POE16" s="50"/>
      <c r="POF16" s="50"/>
      <c r="POG16" s="50"/>
      <c r="POH16" s="50"/>
      <c r="POI16" s="50"/>
      <c r="POJ16" s="50"/>
      <c r="POK16" s="50"/>
      <c r="POL16" s="50"/>
      <c r="POM16" s="50"/>
      <c r="PON16" s="50"/>
      <c r="POO16" s="50"/>
      <c r="POP16" s="50"/>
      <c r="POQ16" s="50"/>
      <c r="POR16" s="50"/>
      <c r="POS16" s="50"/>
      <c r="POT16" s="50"/>
      <c r="POU16" s="50"/>
      <c r="POV16" s="50"/>
      <c r="POW16" s="50"/>
      <c r="POX16" s="50"/>
      <c r="POY16" s="50"/>
      <c r="POZ16" s="50"/>
      <c r="PPA16" s="50"/>
      <c r="PPB16" s="50"/>
      <c r="PPC16" s="50"/>
      <c r="PPD16" s="50"/>
      <c r="PPE16" s="50"/>
      <c r="PPF16" s="50"/>
      <c r="PPG16" s="50"/>
      <c r="PPH16" s="50"/>
      <c r="PPI16" s="50"/>
      <c r="PPJ16" s="50"/>
      <c r="PPK16" s="50"/>
      <c r="PPL16" s="50"/>
      <c r="PPM16" s="50"/>
      <c r="PPN16" s="50"/>
      <c r="PPO16" s="50"/>
      <c r="PPP16" s="50"/>
      <c r="PPQ16" s="50"/>
      <c r="PPR16" s="50"/>
      <c r="PPS16" s="50"/>
      <c r="PPT16" s="50"/>
      <c r="PPU16" s="50"/>
      <c r="PPV16" s="50"/>
      <c r="PPW16" s="50"/>
      <c r="PPX16" s="50"/>
      <c r="PPY16" s="50"/>
      <c r="PPZ16" s="50"/>
      <c r="PQA16" s="50"/>
      <c r="PQB16" s="50"/>
      <c r="PQC16" s="50"/>
      <c r="PQD16" s="50"/>
      <c r="PQE16" s="50"/>
      <c r="PQF16" s="50"/>
      <c r="PQG16" s="50"/>
      <c r="PQH16" s="50"/>
      <c r="PQI16" s="50"/>
      <c r="PQJ16" s="50"/>
      <c r="PQK16" s="50"/>
      <c r="PQL16" s="50"/>
      <c r="PQM16" s="50"/>
      <c r="PQN16" s="50"/>
      <c r="PQO16" s="50"/>
      <c r="PQP16" s="50"/>
      <c r="PQQ16" s="50"/>
      <c r="PQR16" s="50"/>
      <c r="PQS16" s="50"/>
      <c r="PQT16" s="50"/>
      <c r="PQU16" s="50"/>
      <c r="PQV16" s="50"/>
      <c r="PQW16" s="50"/>
      <c r="PQX16" s="50"/>
      <c r="PQY16" s="50"/>
      <c r="PQZ16" s="50"/>
      <c r="PRA16" s="50"/>
      <c r="PRB16" s="50"/>
      <c r="PRC16" s="50"/>
      <c r="PRD16" s="50"/>
      <c r="PRE16" s="50"/>
      <c r="PRF16" s="50"/>
      <c r="PRG16" s="50"/>
      <c r="PRH16" s="50"/>
      <c r="PRI16" s="50"/>
      <c r="PRJ16" s="50"/>
      <c r="PRK16" s="50"/>
      <c r="PRL16" s="50"/>
      <c r="PRM16" s="50"/>
      <c r="PRN16" s="50"/>
      <c r="PRO16" s="50"/>
      <c r="PRP16" s="50"/>
      <c r="PRQ16" s="50"/>
      <c r="PRR16" s="50"/>
      <c r="PRS16" s="50"/>
      <c r="PRT16" s="50"/>
      <c r="PRU16" s="50"/>
      <c r="PRV16" s="50"/>
      <c r="PRW16" s="50"/>
      <c r="PRX16" s="50"/>
      <c r="PRY16" s="50"/>
      <c r="PRZ16" s="50"/>
      <c r="PSA16" s="50"/>
      <c r="PSB16" s="50"/>
      <c r="PSC16" s="50"/>
      <c r="PSD16" s="50"/>
      <c r="PSE16" s="50"/>
      <c r="PSF16" s="50"/>
      <c r="PSG16" s="50"/>
      <c r="PSH16" s="50"/>
      <c r="PSI16" s="50"/>
      <c r="PSJ16" s="50"/>
      <c r="PSK16" s="50"/>
      <c r="PSL16" s="50"/>
      <c r="PSM16" s="50"/>
      <c r="PSN16" s="50"/>
      <c r="PSO16" s="50"/>
      <c r="PSP16" s="50"/>
      <c r="PSQ16" s="50"/>
      <c r="PSR16" s="50"/>
      <c r="PSS16" s="50"/>
      <c r="PST16" s="50"/>
      <c r="PSU16" s="50"/>
      <c r="PSV16" s="50"/>
      <c r="PSW16" s="50"/>
      <c r="PSX16" s="50"/>
      <c r="PSY16" s="50"/>
      <c r="PSZ16" s="50"/>
      <c r="PTA16" s="50"/>
      <c r="PTB16" s="50"/>
      <c r="PTC16" s="50"/>
      <c r="PTD16" s="50"/>
      <c r="PTE16" s="50"/>
      <c r="PTF16" s="50"/>
      <c r="PTG16" s="50"/>
      <c r="PTH16" s="50"/>
      <c r="PTI16" s="50"/>
      <c r="PTJ16" s="50"/>
      <c r="PTK16" s="50"/>
      <c r="PTL16" s="50"/>
      <c r="PTM16" s="50"/>
      <c r="PTN16" s="50"/>
      <c r="PTO16" s="50"/>
      <c r="PTP16" s="50"/>
      <c r="PTQ16" s="50"/>
      <c r="PTR16" s="50"/>
      <c r="PTS16" s="50"/>
      <c r="PTT16" s="50"/>
      <c r="PTU16" s="50"/>
      <c r="PTV16" s="50"/>
      <c r="PTW16" s="50"/>
      <c r="PTX16" s="50"/>
      <c r="PTY16" s="50"/>
      <c r="PTZ16" s="50"/>
      <c r="PUA16" s="50"/>
      <c r="PUB16" s="50"/>
      <c r="PUC16" s="50"/>
      <c r="PUD16" s="50"/>
      <c r="PUE16" s="50"/>
      <c r="PUF16" s="50"/>
      <c r="PUG16" s="50"/>
      <c r="PUH16" s="50"/>
      <c r="PUI16" s="50"/>
      <c r="PUJ16" s="50"/>
      <c r="PUK16" s="50"/>
      <c r="PUL16" s="50"/>
      <c r="PUM16" s="50"/>
      <c r="PUN16" s="50"/>
      <c r="PUO16" s="50"/>
      <c r="PUP16" s="50"/>
      <c r="PUQ16" s="50"/>
      <c r="PUR16" s="50"/>
      <c r="PUS16" s="50"/>
      <c r="PUT16" s="50"/>
      <c r="PUU16" s="50"/>
      <c r="PUV16" s="50"/>
      <c r="PUW16" s="50"/>
      <c r="PUX16" s="50"/>
      <c r="PUY16" s="50"/>
      <c r="PUZ16" s="50"/>
      <c r="PVA16" s="50"/>
      <c r="PVB16" s="50"/>
      <c r="PVC16" s="50"/>
      <c r="PVD16" s="50"/>
      <c r="PVE16" s="50"/>
      <c r="PVF16" s="50"/>
      <c r="PVG16" s="50"/>
      <c r="PVH16" s="50"/>
      <c r="PVI16" s="50"/>
      <c r="PVJ16" s="50"/>
      <c r="PVK16" s="50"/>
      <c r="PVL16" s="50"/>
      <c r="PVM16" s="50"/>
      <c r="PVN16" s="50"/>
      <c r="PVO16" s="50"/>
      <c r="PVP16" s="50"/>
      <c r="PVQ16" s="50"/>
      <c r="PVR16" s="50"/>
      <c r="PVS16" s="50"/>
      <c r="PVT16" s="50"/>
      <c r="PVU16" s="50"/>
      <c r="PVV16" s="50"/>
      <c r="PVW16" s="50"/>
      <c r="PVX16" s="50"/>
      <c r="PVY16" s="50"/>
      <c r="PVZ16" s="50"/>
      <c r="PWA16" s="50"/>
      <c r="PWB16" s="50"/>
      <c r="PWC16" s="50"/>
      <c r="PWD16" s="50"/>
      <c r="PWE16" s="50"/>
      <c r="PWF16" s="50"/>
      <c r="PWG16" s="50"/>
      <c r="PWH16" s="50"/>
      <c r="PWI16" s="50"/>
      <c r="PWJ16" s="50"/>
      <c r="PWK16" s="50"/>
      <c r="PWL16" s="50"/>
      <c r="PWM16" s="50"/>
      <c r="PWN16" s="50"/>
      <c r="PWO16" s="50"/>
      <c r="PWP16" s="50"/>
      <c r="PWQ16" s="50"/>
      <c r="PWR16" s="50"/>
      <c r="PWS16" s="50"/>
      <c r="PWT16" s="50"/>
      <c r="PWU16" s="50"/>
      <c r="PWV16" s="50"/>
      <c r="PWW16" s="50"/>
      <c r="PWX16" s="50"/>
      <c r="PWY16" s="50"/>
      <c r="PWZ16" s="50"/>
      <c r="PXA16" s="50"/>
      <c r="PXB16" s="50"/>
      <c r="PXC16" s="50"/>
      <c r="PXD16" s="50"/>
      <c r="PXE16" s="50"/>
      <c r="PXF16" s="50"/>
      <c r="PXG16" s="50"/>
      <c r="PXH16" s="50"/>
      <c r="PXI16" s="50"/>
      <c r="PXJ16" s="50"/>
      <c r="PXK16" s="50"/>
      <c r="PXL16" s="50"/>
      <c r="PXM16" s="50"/>
      <c r="PXN16" s="50"/>
      <c r="PXO16" s="50"/>
      <c r="PXP16" s="50"/>
      <c r="PXQ16" s="50"/>
      <c r="PXR16" s="50"/>
      <c r="PXS16" s="50"/>
      <c r="PXT16" s="50"/>
      <c r="PXU16" s="50"/>
      <c r="PXV16" s="50"/>
      <c r="PXW16" s="50"/>
      <c r="PXX16" s="50"/>
      <c r="PXY16" s="50"/>
      <c r="PXZ16" s="50"/>
      <c r="PYA16" s="50"/>
      <c r="PYB16" s="50"/>
      <c r="PYC16" s="50"/>
      <c r="PYD16" s="50"/>
      <c r="PYE16" s="50"/>
      <c r="PYF16" s="50"/>
      <c r="PYG16" s="50"/>
      <c r="PYH16" s="50"/>
      <c r="PYI16" s="50"/>
      <c r="PYJ16" s="50"/>
      <c r="PYK16" s="50"/>
      <c r="PYL16" s="50"/>
      <c r="PYM16" s="50"/>
      <c r="PYN16" s="50"/>
      <c r="PYO16" s="50"/>
      <c r="PYP16" s="50"/>
      <c r="PYQ16" s="50"/>
      <c r="PYR16" s="50"/>
      <c r="PYS16" s="50"/>
      <c r="PYT16" s="50"/>
      <c r="PYU16" s="50"/>
      <c r="PYV16" s="50"/>
      <c r="PYW16" s="50"/>
      <c r="PYX16" s="50"/>
      <c r="PYY16" s="50"/>
      <c r="PYZ16" s="50"/>
      <c r="PZA16" s="50"/>
      <c r="PZB16" s="50"/>
      <c r="PZC16" s="50"/>
      <c r="PZD16" s="50"/>
      <c r="PZE16" s="50"/>
      <c r="PZF16" s="50"/>
      <c r="PZG16" s="50"/>
      <c r="PZH16" s="50"/>
      <c r="PZI16" s="50"/>
      <c r="PZJ16" s="50"/>
      <c r="PZK16" s="50"/>
      <c r="PZL16" s="50"/>
      <c r="PZM16" s="50"/>
      <c r="PZN16" s="50"/>
      <c r="PZO16" s="50"/>
      <c r="PZP16" s="50"/>
      <c r="PZQ16" s="50"/>
      <c r="PZR16" s="50"/>
      <c r="PZS16" s="50"/>
      <c r="PZT16" s="50"/>
      <c r="PZU16" s="50"/>
      <c r="PZV16" s="50"/>
      <c r="PZW16" s="50"/>
      <c r="PZX16" s="50"/>
      <c r="PZY16" s="50"/>
      <c r="PZZ16" s="50"/>
      <c r="QAA16" s="50"/>
      <c r="QAB16" s="50"/>
      <c r="QAC16" s="50"/>
      <c r="QAD16" s="50"/>
      <c r="QAE16" s="50"/>
      <c r="QAF16" s="50"/>
      <c r="QAG16" s="50"/>
      <c r="QAH16" s="50"/>
      <c r="QAI16" s="50"/>
      <c r="QAJ16" s="50"/>
      <c r="QAK16" s="50"/>
      <c r="QAL16" s="50"/>
      <c r="QAM16" s="50"/>
      <c r="QAN16" s="50"/>
      <c r="QAO16" s="50"/>
      <c r="QAP16" s="50"/>
      <c r="QAQ16" s="50"/>
      <c r="QAR16" s="50"/>
      <c r="QAS16" s="50"/>
      <c r="QAT16" s="50"/>
      <c r="QAU16" s="50"/>
      <c r="QAV16" s="50"/>
      <c r="QAW16" s="50"/>
      <c r="QAX16" s="50"/>
      <c r="QAY16" s="50"/>
      <c r="QAZ16" s="50"/>
      <c r="QBA16" s="50"/>
      <c r="QBB16" s="50"/>
      <c r="QBC16" s="50"/>
      <c r="QBD16" s="50"/>
      <c r="QBE16" s="50"/>
      <c r="QBF16" s="50"/>
      <c r="QBG16" s="50"/>
      <c r="QBH16" s="50"/>
      <c r="QBI16" s="50"/>
      <c r="QBJ16" s="50"/>
      <c r="QBK16" s="50"/>
      <c r="QBL16" s="50"/>
      <c r="QBM16" s="50"/>
      <c r="QBN16" s="50"/>
      <c r="QBO16" s="50"/>
      <c r="QBP16" s="50"/>
      <c r="QBQ16" s="50"/>
      <c r="QBR16" s="50"/>
      <c r="QBS16" s="50"/>
      <c r="QBT16" s="50"/>
      <c r="QBU16" s="50"/>
      <c r="QBV16" s="50"/>
      <c r="QBW16" s="50"/>
      <c r="QBX16" s="50"/>
      <c r="QBY16" s="50"/>
      <c r="QBZ16" s="50"/>
      <c r="QCA16" s="50"/>
      <c r="QCB16" s="50"/>
      <c r="QCC16" s="50"/>
      <c r="QCD16" s="50"/>
      <c r="QCE16" s="50"/>
      <c r="QCF16" s="50"/>
      <c r="QCG16" s="50"/>
      <c r="QCH16" s="50"/>
      <c r="QCI16" s="50"/>
      <c r="QCJ16" s="50"/>
      <c r="QCK16" s="50"/>
      <c r="QCL16" s="50"/>
      <c r="QCM16" s="50"/>
      <c r="QCN16" s="50"/>
      <c r="QCO16" s="50"/>
      <c r="QCP16" s="50"/>
      <c r="QCQ16" s="50"/>
      <c r="QCR16" s="50"/>
      <c r="QCS16" s="50"/>
      <c r="QCT16" s="50"/>
      <c r="QCU16" s="50"/>
      <c r="QCV16" s="50"/>
      <c r="QCW16" s="50"/>
      <c r="QCX16" s="50"/>
      <c r="QCY16" s="50"/>
      <c r="QCZ16" s="50"/>
      <c r="QDA16" s="50"/>
      <c r="QDB16" s="50"/>
      <c r="QDC16" s="50"/>
      <c r="QDD16" s="50"/>
      <c r="QDE16" s="50"/>
      <c r="QDF16" s="50"/>
      <c r="QDG16" s="50"/>
      <c r="QDH16" s="50"/>
      <c r="QDI16" s="50"/>
      <c r="QDJ16" s="50"/>
      <c r="QDK16" s="50"/>
      <c r="QDL16" s="50"/>
      <c r="QDM16" s="50"/>
      <c r="QDN16" s="50"/>
      <c r="QDO16" s="50"/>
      <c r="QDP16" s="50"/>
      <c r="QDQ16" s="50"/>
      <c r="QDR16" s="50"/>
      <c r="QDS16" s="50"/>
      <c r="QDT16" s="50"/>
      <c r="QDU16" s="50"/>
      <c r="QDV16" s="50"/>
      <c r="QDW16" s="50"/>
      <c r="QDX16" s="50"/>
      <c r="QDY16" s="50"/>
      <c r="QDZ16" s="50"/>
      <c r="QEA16" s="50"/>
      <c r="QEB16" s="50"/>
      <c r="QEC16" s="50"/>
      <c r="QED16" s="50"/>
      <c r="QEE16" s="50"/>
      <c r="QEF16" s="50"/>
      <c r="QEG16" s="50"/>
      <c r="QEH16" s="50"/>
      <c r="QEI16" s="50"/>
      <c r="QEJ16" s="50"/>
      <c r="QEK16" s="50"/>
      <c r="QEL16" s="50"/>
      <c r="QEM16" s="50"/>
      <c r="QEN16" s="50"/>
      <c r="QEO16" s="50"/>
      <c r="QEP16" s="50"/>
      <c r="QEQ16" s="50"/>
      <c r="QER16" s="50"/>
      <c r="QES16" s="50"/>
      <c r="QET16" s="50"/>
      <c r="QEU16" s="50"/>
      <c r="QEV16" s="50"/>
      <c r="QEW16" s="50"/>
      <c r="QEX16" s="50"/>
      <c r="QEY16" s="50"/>
      <c r="QEZ16" s="50"/>
      <c r="QFA16" s="50"/>
      <c r="QFB16" s="50"/>
      <c r="QFC16" s="50"/>
      <c r="QFD16" s="50"/>
      <c r="QFE16" s="50"/>
      <c r="QFF16" s="50"/>
      <c r="QFG16" s="50"/>
      <c r="QFH16" s="50"/>
      <c r="QFI16" s="50"/>
      <c r="QFJ16" s="50"/>
      <c r="QFK16" s="50"/>
      <c r="QFL16" s="50"/>
      <c r="QFM16" s="50"/>
      <c r="QFN16" s="50"/>
      <c r="QFO16" s="50"/>
      <c r="QFP16" s="50"/>
      <c r="QFQ16" s="50"/>
      <c r="QFR16" s="50"/>
      <c r="QFS16" s="50"/>
      <c r="QFT16" s="50"/>
      <c r="QFU16" s="50"/>
      <c r="QFV16" s="50"/>
      <c r="QFW16" s="50"/>
      <c r="QFX16" s="50"/>
      <c r="QFY16" s="50"/>
      <c r="QFZ16" s="50"/>
      <c r="QGA16" s="50"/>
      <c r="QGB16" s="50"/>
      <c r="QGC16" s="50"/>
      <c r="QGD16" s="50"/>
      <c r="QGE16" s="50"/>
      <c r="QGF16" s="50"/>
      <c r="QGG16" s="50"/>
      <c r="QGH16" s="50"/>
      <c r="QGI16" s="50"/>
      <c r="QGJ16" s="50"/>
      <c r="QGK16" s="50"/>
      <c r="QGL16" s="50"/>
      <c r="QGM16" s="50"/>
      <c r="QGN16" s="50"/>
      <c r="QGO16" s="50"/>
      <c r="QGP16" s="50"/>
      <c r="QGQ16" s="50"/>
      <c r="QGR16" s="50"/>
      <c r="QGS16" s="50"/>
      <c r="QGT16" s="50"/>
      <c r="QGU16" s="50"/>
      <c r="QGV16" s="50"/>
      <c r="QGW16" s="50"/>
      <c r="QGX16" s="50"/>
      <c r="QGY16" s="50"/>
      <c r="QGZ16" s="50"/>
      <c r="QHA16" s="50"/>
      <c r="QHB16" s="50"/>
      <c r="QHC16" s="50"/>
      <c r="QHD16" s="50"/>
      <c r="QHE16" s="50"/>
      <c r="QHF16" s="50"/>
      <c r="QHG16" s="50"/>
      <c r="QHH16" s="50"/>
      <c r="QHI16" s="50"/>
      <c r="QHJ16" s="50"/>
      <c r="QHK16" s="50"/>
      <c r="QHL16" s="50"/>
      <c r="QHM16" s="50"/>
      <c r="QHN16" s="50"/>
      <c r="QHO16" s="50"/>
      <c r="QHP16" s="50"/>
      <c r="QHQ16" s="50"/>
      <c r="QHR16" s="50"/>
      <c r="QHS16" s="50"/>
      <c r="QHT16" s="50"/>
      <c r="QHU16" s="50"/>
      <c r="QHV16" s="50"/>
      <c r="QHW16" s="50"/>
      <c r="QHX16" s="50"/>
      <c r="QHY16" s="50"/>
      <c r="QHZ16" s="50"/>
      <c r="QIA16" s="50"/>
      <c r="QIB16" s="50"/>
      <c r="QIC16" s="50"/>
      <c r="QID16" s="50"/>
      <c r="QIE16" s="50"/>
      <c r="QIF16" s="50"/>
      <c r="QIG16" s="50"/>
      <c r="QIH16" s="50"/>
      <c r="QII16" s="50"/>
      <c r="QIJ16" s="50"/>
      <c r="QIK16" s="50"/>
      <c r="QIL16" s="50"/>
      <c r="QIM16" s="50"/>
      <c r="QIN16" s="50"/>
      <c r="QIO16" s="50"/>
      <c r="QIP16" s="50"/>
      <c r="QIQ16" s="50"/>
      <c r="QIR16" s="50"/>
      <c r="QIS16" s="50"/>
      <c r="QIT16" s="50"/>
      <c r="QIU16" s="50"/>
      <c r="QIV16" s="50"/>
      <c r="QIW16" s="50"/>
      <c r="QIX16" s="50"/>
      <c r="QIY16" s="50"/>
      <c r="QIZ16" s="50"/>
      <c r="QJA16" s="50"/>
      <c r="QJB16" s="50"/>
      <c r="QJC16" s="50"/>
      <c r="QJD16" s="50"/>
      <c r="QJE16" s="50"/>
      <c r="QJF16" s="50"/>
      <c r="QJG16" s="50"/>
      <c r="QJH16" s="50"/>
      <c r="QJI16" s="50"/>
      <c r="QJJ16" s="50"/>
      <c r="QJK16" s="50"/>
      <c r="QJL16" s="50"/>
      <c r="QJM16" s="50"/>
      <c r="QJN16" s="50"/>
      <c r="QJO16" s="50"/>
      <c r="QJP16" s="50"/>
      <c r="QJQ16" s="50"/>
      <c r="QJR16" s="50"/>
      <c r="QJS16" s="50"/>
      <c r="QJT16" s="50"/>
      <c r="QJU16" s="50"/>
      <c r="QJV16" s="50"/>
      <c r="QJW16" s="50"/>
      <c r="QJX16" s="50"/>
      <c r="QJY16" s="50"/>
      <c r="QJZ16" s="50"/>
      <c r="QKA16" s="50"/>
      <c r="QKB16" s="50"/>
      <c r="QKC16" s="50"/>
      <c r="QKD16" s="50"/>
      <c r="QKE16" s="50"/>
      <c r="QKF16" s="50"/>
      <c r="QKG16" s="50"/>
      <c r="QKH16" s="50"/>
      <c r="QKI16" s="50"/>
      <c r="QKJ16" s="50"/>
      <c r="QKK16" s="50"/>
      <c r="QKL16" s="50"/>
      <c r="QKM16" s="50"/>
      <c r="QKN16" s="50"/>
      <c r="QKO16" s="50"/>
      <c r="QKP16" s="50"/>
      <c r="QKQ16" s="50"/>
      <c r="QKR16" s="50"/>
      <c r="QKS16" s="50"/>
      <c r="QKT16" s="50"/>
      <c r="QKU16" s="50"/>
      <c r="QKV16" s="50"/>
      <c r="QKW16" s="50"/>
      <c r="QKX16" s="50"/>
      <c r="QKY16" s="50"/>
      <c r="QKZ16" s="50"/>
      <c r="QLA16" s="50"/>
      <c r="QLB16" s="50"/>
      <c r="QLC16" s="50"/>
      <c r="QLD16" s="50"/>
      <c r="QLE16" s="50"/>
      <c r="QLF16" s="50"/>
      <c r="QLG16" s="50"/>
      <c r="QLH16" s="50"/>
      <c r="QLI16" s="50"/>
      <c r="QLJ16" s="50"/>
      <c r="QLK16" s="50"/>
      <c r="QLL16" s="50"/>
      <c r="QLM16" s="50"/>
      <c r="QLN16" s="50"/>
      <c r="QLO16" s="50"/>
      <c r="QLP16" s="50"/>
      <c r="QLQ16" s="50"/>
      <c r="QLR16" s="50"/>
      <c r="QLS16" s="50"/>
      <c r="QLT16" s="50"/>
      <c r="QLU16" s="50"/>
      <c r="QLV16" s="50"/>
      <c r="QLW16" s="50"/>
      <c r="QLX16" s="50"/>
      <c r="QLY16" s="50"/>
      <c r="QLZ16" s="50"/>
      <c r="QMA16" s="50"/>
      <c r="QMB16" s="50"/>
      <c r="QMC16" s="50"/>
      <c r="QMD16" s="50"/>
      <c r="QME16" s="50"/>
      <c r="QMF16" s="50"/>
      <c r="QMG16" s="50"/>
      <c r="QMH16" s="50"/>
      <c r="QMI16" s="50"/>
      <c r="QMJ16" s="50"/>
      <c r="QMK16" s="50"/>
      <c r="QML16" s="50"/>
      <c r="QMM16" s="50"/>
      <c r="QMN16" s="50"/>
      <c r="QMO16" s="50"/>
      <c r="QMP16" s="50"/>
      <c r="QMQ16" s="50"/>
      <c r="QMR16" s="50"/>
      <c r="QMS16" s="50"/>
      <c r="QMT16" s="50"/>
      <c r="QMU16" s="50"/>
      <c r="QMV16" s="50"/>
      <c r="QMW16" s="50"/>
      <c r="QMX16" s="50"/>
      <c r="QMY16" s="50"/>
      <c r="QMZ16" s="50"/>
      <c r="QNA16" s="50"/>
      <c r="QNB16" s="50"/>
      <c r="QNC16" s="50"/>
      <c r="QND16" s="50"/>
      <c r="QNE16" s="50"/>
      <c r="QNF16" s="50"/>
      <c r="QNG16" s="50"/>
      <c r="QNH16" s="50"/>
      <c r="QNI16" s="50"/>
      <c r="QNJ16" s="50"/>
      <c r="QNK16" s="50"/>
      <c r="QNL16" s="50"/>
      <c r="QNM16" s="50"/>
      <c r="QNN16" s="50"/>
      <c r="QNO16" s="50"/>
      <c r="QNP16" s="50"/>
      <c r="QNQ16" s="50"/>
      <c r="QNR16" s="50"/>
      <c r="QNS16" s="50"/>
      <c r="QNT16" s="50"/>
      <c r="QNU16" s="50"/>
      <c r="QNV16" s="50"/>
      <c r="QNW16" s="50"/>
      <c r="QNX16" s="50"/>
      <c r="QNY16" s="50"/>
      <c r="QNZ16" s="50"/>
      <c r="QOA16" s="50"/>
      <c r="QOB16" s="50"/>
      <c r="QOC16" s="50"/>
      <c r="QOD16" s="50"/>
      <c r="QOE16" s="50"/>
      <c r="QOF16" s="50"/>
      <c r="QOG16" s="50"/>
      <c r="QOH16" s="50"/>
      <c r="QOI16" s="50"/>
      <c r="QOJ16" s="50"/>
      <c r="QOK16" s="50"/>
      <c r="QOL16" s="50"/>
      <c r="QOM16" s="50"/>
      <c r="QON16" s="50"/>
      <c r="QOO16" s="50"/>
      <c r="QOP16" s="50"/>
      <c r="QOQ16" s="50"/>
      <c r="QOR16" s="50"/>
      <c r="QOS16" s="50"/>
      <c r="QOT16" s="50"/>
      <c r="QOU16" s="50"/>
      <c r="QOV16" s="50"/>
      <c r="QOW16" s="50"/>
      <c r="QOX16" s="50"/>
      <c r="QOY16" s="50"/>
      <c r="QOZ16" s="50"/>
      <c r="QPA16" s="50"/>
      <c r="QPB16" s="50"/>
      <c r="QPC16" s="50"/>
      <c r="QPD16" s="50"/>
      <c r="QPE16" s="50"/>
      <c r="QPF16" s="50"/>
      <c r="QPG16" s="50"/>
      <c r="QPH16" s="50"/>
      <c r="QPI16" s="50"/>
      <c r="QPJ16" s="50"/>
      <c r="QPK16" s="50"/>
      <c r="QPL16" s="50"/>
      <c r="QPM16" s="50"/>
      <c r="QPN16" s="50"/>
      <c r="QPO16" s="50"/>
      <c r="QPP16" s="50"/>
      <c r="QPQ16" s="50"/>
      <c r="QPR16" s="50"/>
      <c r="QPS16" s="50"/>
      <c r="QPT16" s="50"/>
      <c r="QPU16" s="50"/>
      <c r="QPV16" s="50"/>
      <c r="QPW16" s="50"/>
      <c r="QPX16" s="50"/>
      <c r="QPY16" s="50"/>
      <c r="QPZ16" s="50"/>
      <c r="QQA16" s="50"/>
      <c r="QQB16" s="50"/>
      <c r="QQC16" s="50"/>
      <c r="QQD16" s="50"/>
      <c r="QQE16" s="50"/>
      <c r="QQF16" s="50"/>
      <c r="QQG16" s="50"/>
      <c r="QQH16" s="50"/>
      <c r="QQI16" s="50"/>
      <c r="QQJ16" s="50"/>
      <c r="QQK16" s="50"/>
      <c r="QQL16" s="50"/>
      <c r="QQM16" s="50"/>
      <c r="QQN16" s="50"/>
      <c r="QQO16" s="50"/>
      <c r="QQP16" s="50"/>
      <c r="QQQ16" s="50"/>
      <c r="QQR16" s="50"/>
      <c r="QQS16" s="50"/>
      <c r="QQT16" s="50"/>
      <c r="QQU16" s="50"/>
      <c r="QQV16" s="50"/>
      <c r="QQW16" s="50"/>
      <c r="QQX16" s="50"/>
      <c r="QQY16" s="50"/>
      <c r="QQZ16" s="50"/>
      <c r="QRA16" s="50"/>
      <c r="QRB16" s="50"/>
      <c r="QRC16" s="50"/>
      <c r="QRD16" s="50"/>
      <c r="QRE16" s="50"/>
      <c r="QRF16" s="50"/>
      <c r="QRG16" s="50"/>
      <c r="QRH16" s="50"/>
      <c r="QRI16" s="50"/>
      <c r="QRJ16" s="50"/>
      <c r="QRK16" s="50"/>
      <c r="QRL16" s="50"/>
      <c r="QRM16" s="50"/>
      <c r="QRN16" s="50"/>
      <c r="QRO16" s="50"/>
      <c r="QRP16" s="50"/>
      <c r="QRQ16" s="50"/>
      <c r="QRR16" s="50"/>
      <c r="QRS16" s="50"/>
      <c r="QRT16" s="50"/>
      <c r="QRU16" s="50"/>
      <c r="QRV16" s="50"/>
      <c r="QRW16" s="50"/>
      <c r="QRX16" s="50"/>
      <c r="QRY16" s="50"/>
      <c r="QRZ16" s="50"/>
      <c r="QSA16" s="50"/>
      <c r="QSB16" s="50"/>
      <c r="QSC16" s="50"/>
      <c r="QSD16" s="50"/>
      <c r="QSE16" s="50"/>
      <c r="QSF16" s="50"/>
      <c r="QSG16" s="50"/>
      <c r="QSH16" s="50"/>
      <c r="QSI16" s="50"/>
      <c r="QSJ16" s="50"/>
      <c r="QSK16" s="50"/>
      <c r="QSL16" s="50"/>
      <c r="QSM16" s="50"/>
      <c r="QSN16" s="50"/>
      <c r="QSO16" s="50"/>
      <c r="QSP16" s="50"/>
      <c r="QSQ16" s="50"/>
      <c r="QSR16" s="50"/>
      <c r="QSS16" s="50"/>
      <c r="QST16" s="50"/>
      <c r="QSU16" s="50"/>
      <c r="QSV16" s="50"/>
      <c r="QSW16" s="50"/>
      <c r="QSX16" s="50"/>
      <c r="QSY16" s="50"/>
      <c r="QSZ16" s="50"/>
      <c r="QTA16" s="50"/>
      <c r="QTB16" s="50"/>
      <c r="QTC16" s="50"/>
      <c r="QTD16" s="50"/>
      <c r="QTE16" s="50"/>
      <c r="QTF16" s="50"/>
      <c r="QTG16" s="50"/>
      <c r="QTH16" s="50"/>
      <c r="QTI16" s="50"/>
      <c r="QTJ16" s="50"/>
      <c r="QTK16" s="50"/>
      <c r="QTL16" s="50"/>
      <c r="QTM16" s="50"/>
      <c r="QTN16" s="50"/>
      <c r="QTO16" s="50"/>
      <c r="QTP16" s="50"/>
      <c r="QTQ16" s="50"/>
      <c r="QTR16" s="50"/>
      <c r="QTS16" s="50"/>
      <c r="QTT16" s="50"/>
      <c r="QTU16" s="50"/>
      <c r="QTV16" s="50"/>
      <c r="QTW16" s="50"/>
      <c r="QTX16" s="50"/>
      <c r="QTY16" s="50"/>
      <c r="QTZ16" s="50"/>
      <c r="QUA16" s="50"/>
      <c r="QUB16" s="50"/>
      <c r="QUC16" s="50"/>
      <c r="QUD16" s="50"/>
      <c r="QUE16" s="50"/>
      <c r="QUF16" s="50"/>
      <c r="QUG16" s="50"/>
      <c r="QUH16" s="50"/>
      <c r="QUI16" s="50"/>
      <c r="QUJ16" s="50"/>
      <c r="QUK16" s="50"/>
      <c r="QUL16" s="50"/>
      <c r="QUM16" s="50"/>
      <c r="QUN16" s="50"/>
      <c r="QUO16" s="50"/>
      <c r="QUP16" s="50"/>
      <c r="QUQ16" s="50"/>
      <c r="QUR16" s="50"/>
      <c r="QUS16" s="50"/>
      <c r="QUT16" s="50"/>
      <c r="QUU16" s="50"/>
      <c r="QUV16" s="50"/>
      <c r="QUW16" s="50"/>
      <c r="QUX16" s="50"/>
      <c r="QUY16" s="50"/>
      <c r="QUZ16" s="50"/>
      <c r="QVA16" s="50"/>
      <c r="QVB16" s="50"/>
      <c r="QVC16" s="50"/>
      <c r="QVD16" s="50"/>
      <c r="QVE16" s="50"/>
      <c r="QVF16" s="50"/>
      <c r="QVG16" s="50"/>
      <c r="QVH16" s="50"/>
      <c r="QVI16" s="50"/>
      <c r="QVJ16" s="50"/>
      <c r="QVK16" s="50"/>
      <c r="QVL16" s="50"/>
      <c r="QVM16" s="50"/>
      <c r="QVN16" s="50"/>
      <c r="QVO16" s="50"/>
      <c r="QVP16" s="50"/>
      <c r="QVQ16" s="50"/>
      <c r="QVR16" s="50"/>
      <c r="QVS16" s="50"/>
      <c r="QVT16" s="50"/>
      <c r="QVU16" s="50"/>
      <c r="QVV16" s="50"/>
      <c r="QVW16" s="50"/>
      <c r="QVX16" s="50"/>
      <c r="QVY16" s="50"/>
      <c r="QVZ16" s="50"/>
      <c r="QWA16" s="50"/>
      <c r="QWB16" s="50"/>
      <c r="QWC16" s="50"/>
      <c r="QWD16" s="50"/>
      <c r="QWE16" s="50"/>
      <c r="QWF16" s="50"/>
      <c r="QWG16" s="50"/>
      <c r="QWH16" s="50"/>
      <c r="QWI16" s="50"/>
      <c r="QWJ16" s="50"/>
      <c r="QWK16" s="50"/>
      <c r="QWL16" s="50"/>
      <c r="QWM16" s="50"/>
      <c r="QWN16" s="50"/>
      <c r="QWO16" s="50"/>
      <c r="QWP16" s="50"/>
      <c r="QWQ16" s="50"/>
      <c r="QWR16" s="50"/>
      <c r="QWS16" s="50"/>
      <c r="QWT16" s="50"/>
      <c r="QWU16" s="50"/>
      <c r="QWV16" s="50"/>
      <c r="QWW16" s="50"/>
      <c r="QWX16" s="50"/>
      <c r="QWY16" s="50"/>
      <c r="QWZ16" s="50"/>
      <c r="QXA16" s="50"/>
      <c r="QXB16" s="50"/>
      <c r="QXC16" s="50"/>
      <c r="QXD16" s="50"/>
      <c r="QXE16" s="50"/>
      <c r="QXF16" s="50"/>
      <c r="QXG16" s="50"/>
      <c r="QXH16" s="50"/>
      <c r="QXI16" s="50"/>
      <c r="QXJ16" s="50"/>
      <c r="QXK16" s="50"/>
      <c r="QXL16" s="50"/>
      <c r="QXM16" s="50"/>
      <c r="QXN16" s="50"/>
      <c r="QXO16" s="50"/>
      <c r="QXP16" s="50"/>
      <c r="QXQ16" s="50"/>
      <c r="QXR16" s="50"/>
      <c r="QXS16" s="50"/>
      <c r="QXT16" s="50"/>
      <c r="QXU16" s="50"/>
      <c r="QXV16" s="50"/>
      <c r="QXW16" s="50"/>
      <c r="QXX16" s="50"/>
      <c r="QXY16" s="50"/>
      <c r="QXZ16" s="50"/>
      <c r="QYA16" s="50"/>
      <c r="QYB16" s="50"/>
      <c r="QYC16" s="50"/>
      <c r="QYD16" s="50"/>
      <c r="QYE16" s="50"/>
      <c r="QYF16" s="50"/>
      <c r="QYG16" s="50"/>
      <c r="QYH16" s="50"/>
      <c r="QYI16" s="50"/>
      <c r="QYJ16" s="50"/>
      <c r="QYK16" s="50"/>
      <c r="QYL16" s="50"/>
      <c r="QYM16" s="50"/>
      <c r="QYN16" s="50"/>
      <c r="QYO16" s="50"/>
      <c r="QYP16" s="50"/>
      <c r="QYQ16" s="50"/>
      <c r="QYR16" s="50"/>
      <c r="QYS16" s="50"/>
      <c r="QYT16" s="50"/>
      <c r="QYU16" s="50"/>
      <c r="QYV16" s="50"/>
      <c r="QYW16" s="50"/>
      <c r="QYX16" s="50"/>
      <c r="QYY16" s="50"/>
      <c r="QYZ16" s="50"/>
      <c r="QZA16" s="50"/>
      <c r="QZB16" s="50"/>
      <c r="QZC16" s="50"/>
      <c r="QZD16" s="50"/>
      <c r="QZE16" s="50"/>
      <c r="QZF16" s="50"/>
      <c r="QZG16" s="50"/>
      <c r="QZH16" s="50"/>
      <c r="QZI16" s="50"/>
      <c r="QZJ16" s="50"/>
      <c r="QZK16" s="50"/>
      <c r="QZL16" s="50"/>
      <c r="QZM16" s="50"/>
      <c r="QZN16" s="50"/>
      <c r="QZO16" s="50"/>
      <c r="QZP16" s="50"/>
      <c r="QZQ16" s="50"/>
      <c r="QZR16" s="50"/>
      <c r="QZS16" s="50"/>
      <c r="QZT16" s="50"/>
      <c r="QZU16" s="50"/>
      <c r="QZV16" s="50"/>
      <c r="QZW16" s="50"/>
      <c r="QZX16" s="50"/>
      <c r="QZY16" s="50"/>
      <c r="QZZ16" s="50"/>
      <c r="RAA16" s="50"/>
      <c r="RAB16" s="50"/>
      <c r="RAC16" s="50"/>
      <c r="RAD16" s="50"/>
      <c r="RAE16" s="50"/>
      <c r="RAF16" s="50"/>
      <c r="RAG16" s="50"/>
      <c r="RAH16" s="50"/>
      <c r="RAI16" s="50"/>
      <c r="RAJ16" s="50"/>
      <c r="RAK16" s="50"/>
      <c r="RAL16" s="50"/>
      <c r="RAM16" s="50"/>
      <c r="RAN16" s="50"/>
      <c r="RAO16" s="50"/>
      <c r="RAP16" s="50"/>
      <c r="RAQ16" s="50"/>
      <c r="RAR16" s="50"/>
      <c r="RAS16" s="50"/>
      <c r="RAT16" s="50"/>
      <c r="RAU16" s="50"/>
      <c r="RAV16" s="50"/>
      <c r="RAW16" s="50"/>
      <c r="RAX16" s="50"/>
      <c r="RAY16" s="50"/>
      <c r="RAZ16" s="50"/>
      <c r="RBA16" s="50"/>
      <c r="RBB16" s="50"/>
      <c r="RBC16" s="50"/>
      <c r="RBD16" s="50"/>
      <c r="RBE16" s="50"/>
      <c r="RBF16" s="50"/>
      <c r="RBG16" s="50"/>
      <c r="RBH16" s="50"/>
      <c r="RBI16" s="50"/>
      <c r="RBJ16" s="50"/>
      <c r="RBK16" s="50"/>
      <c r="RBL16" s="50"/>
      <c r="RBM16" s="50"/>
      <c r="RBN16" s="50"/>
      <c r="RBO16" s="50"/>
      <c r="RBP16" s="50"/>
      <c r="RBQ16" s="50"/>
      <c r="RBR16" s="50"/>
      <c r="RBS16" s="50"/>
      <c r="RBT16" s="50"/>
      <c r="RBU16" s="50"/>
      <c r="RBV16" s="50"/>
      <c r="RBW16" s="50"/>
      <c r="RBX16" s="50"/>
      <c r="RBY16" s="50"/>
      <c r="RBZ16" s="50"/>
      <c r="RCA16" s="50"/>
      <c r="RCB16" s="50"/>
      <c r="RCC16" s="50"/>
      <c r="RCD16" s="50"/>
      <c r="RCE16" s="50"/>
      <c r="RCF16" s="50"/>
      <c r="RCG16" s="50"/>
      <c r="RCH16" s="50"/>
      <c r="RCI16" s="50"/>
      <c r="RCJ16" s="50"/>
      <c r="RCK16" s="50"/>
      <c r="RCL16" s="50"/>
      <c r="RCM16" s="50"/>
      <c r="RCN16" s="50"/>
      <c r="RCO16" s="50"/>
      <c r="RCP16" s="50"/>
      <c r="RCQ16" s="50"/>
      <c r="RCR16" s="50"/>
      <c r="RCS16" s="50"/>
      <c r="RCT16" s="50"/>
      <c r="RCU16" s="50"/>
      <c r="RCV16" s="50"/>
      <c r="RCW16" s="50"/>
      <c r="RCX16" s="50"/>
      <c r="RCY16" s="50"/>
      <c r="RCZ16" s="50"/>
      <c r="RDA16" s="50"/>
      <c r="RDB16" s="50"/>
      <c r="RDC16" s="50"/>
      <c r="RDD16" s="50"/>
      <c r="RDE16" s="50"/>
      <c r="RDF16" s="50"/>
      <c r="RDG16" s="50"/>
      <c r="RDH16" s="50"/>
      <c r="RDI16" s="50"/>
      <c r="RDJ16" s="50"/>
      <c r="RDK16" s="50"/>
      <c r="RDL16" s="50"/>
      <c r="RDM16" s="50"/>
      <c r="RDN16" s="50"/>
      <c r="RDO16" s="50"/>
      <c r="RDP16" s="50"/>
      <c r="RDQ16" s="50"/>
      <c r="RDR16" s="50"/>
      <c r="RDS16" s="50"/>
      <c r="RDT16" s="50"/>
      <c r="RDU16" s="50"/>
      <c r="RDV16" s="50"/>
      <c r="RDW16" s="50"/>
      <c r="RDX16" s="50"/>
      <c r="RDY16" s="50"/>
      <c r="RDZ16" s="50"/>
      <c r="REA16" s="50"/>
      <c r="REB16" s="50"/>
      <c r="REC16" s="50"/>
      <c r="RED16" s="50"/>
      <c r="REE16" s="50"/>
      <c r="REF16" s="50"/>
      <c r="REG16" s="50"/>
      <c r="REH16" s="50"/>
      <c r="REI16" s="50"/>
      <c r="REJ16" s="50"/>
      <c r="REK16" s="50"/>
      <c r="REL16" s="50"/>
      <c r="REM16" s="50"/>
      <c r="REN16" s="50"/>
      <c r="REO16" s="50"/>
      <c r="REP16" s="50"/>
      <c r="REQ16" s="50"/>
      <c r="RER16" s="50"/>
      <c r="RES16" s="50"/>
      <c r="RET16" s="50"/>
      <c r="REU16" s="50"/>
      <c r="REV16" s="50"/>
      <c r="REW16" s="50"/>
      <c r="REX16" s="50"/>
      <c r="REY16" s="50"/>
      <c r="REZ16" s="50"/>
      <c r="RFA16" s="50"/>
      <c r="RFB16" s="50"/>
      <c r="RFC16" s="50"/>
      <c r="RFD16" s="50"/>
      <c r="RFE16" s="50"/>
      <c r="RFF16" s="50"/>
      <c r="RFG16" s="50"/>
      <c r="RFH16" s="50"/>
      <c r="RFI16" s="50"/>
      <c r="RFJ16" s="50"/>
      <c r="RFK16" s="50"/>
      <c r="RFL16" s="50"/>
      <c r="RFM16" s="50"/>
      <c r="RFN16" s="50"/>
      <c r="RFO16" s="50"/>
      <c r="RFP16" s="50"/>
      <c r="RFQ16" s="50"/>
      <c r="RFR16" s="50"/>
      <c r="RFS16" s="50"/>
      <c r="RFT16" s="50"/>
      <c r="RFU16" s="50"/>
      <c r="RFV16" s="50"/>
      <c r="RFW16" s="50"/>
      <c r="RFX16" s="50"/>
      <c r="RFY16" s="50"/>
      <c r="RFZ16" s="50"/>
      <c r="RGA16" s="50"/>
      <c r="RGB16" s="50"/>
      <c r="RGC16" s="50"/>
      <c r="RGD16" s="50"/>
      <c r="RGE16" s="50"/>
      <c r="RGF16" s="50"/>
      <c r="RGG16" s="50"/>
      <c r="RGH16" s="50"/>
      <c r="RGI16" s="50"/>
      <c r="RGJ16" s="50"/>
      <c r="RGK16" s="50"/>
      <c r="RGL16" s="50"/>
      <c r="RGM16" s="50"/>
      <c r="RGN16" s="50"/>
      <c r="RGO16" s="50"/>
      <c r="RGP16" s="50"/>
      <c r="RGQ16" s="50"/>
      <c r="RGR16" s="50"/>
      <c r="RGS16" s="50"/>
      <c r="RGT16" s="50"/>
      <c r="RGU16" s="50"/>
      <c r="RGV16" s="50"/>
      <c r="RGW16" s="50"/>
      <c r="RGX16" s="50"/>
      <c r="RGY16" s="50"/>
      <c r="RGZ16" s="50"/>
      <c r="RHA16" s="50"/>
      <c r="RHB16" s="50"/>
      <c r="RHC16" s="50"/>
      <c r="RHD16" s="50"/>
      <c r="RHE16" s="50"/>
      <c r="RHF16" s="50"/>
      <c r="RHG16" s="50"/>
      <c r="RHH16" s="50"/>
      <c r="RHI16" s="50"/>
      <c r="RHJ16" s="50"/>
      <c r="RHK16" s="50"/>
      <c r="RHL16" s="50"/>
      <c r="RHM16" s="50"/>
      <c r="RHN16" s="50"/>
      <c r="RHO16" s="50"/>
      <c r="RHP16" s="50"/>
      <c r="RHQ16" s="50"/>
      <c r="RHR16" s="50"/>
      <c r="RHS16" s="50"/>
      <c r="RHT16" s="50"/>
      <c r="RHU16" s="50"/>
      <c r="RHV16" s="50"/>
      <c r="RHW16" s="50"/>
      <c r="RHX16" s="50"/>
      <c r="RHY16" s="50"/>
      <c r="RHZ16" s="50"/>
      <c r="RIA16" s="50"/>
      <c r="RIB16" s="50"/>
      <c r="RIC16" s="50"/>
      <c r="RID16" s="50"/>
      <c r="RIE16" s="50"/>
      <c r="RIF16" s="50"/>
      <c r="RIG16" s="50"/>
      <c r="RIH16" s="50"/>
      <c r="RII16" s="50"/>
      <c r="RIJ16" s="50"/>
      <c r="RIK16" s="50"/>
      <c r="RIL16" s="50"/>
      <c r="RIM16" s="50"/>
      <c r="RIN16" s="50"/>
      <c r="RIO16" s="50"/>
      <c r="RIP16" s="50"/>
      <c r="RIQ16" s="50"/>
      <c r="RIR16" s="50"/>
      <c r="RIS16" s="50"/>
      <c r="RIT16" s="50"/>
      <c r="RIU16" s="50"/>
      <c r="RIV16" s="50"/>
      <c r="RIW16" s="50"/>
      <c r="RIX16" s="50"/>
      <c r="RIY16" s="50"/>
      <c r="RIZ16" s="50"/>
      <c r="RJA16" s="50"/>
      <c r="RJB16" s="50"/>
      <c r="RJC16" s="50"/>
      <c r="RJD16" s="50"/>
      <c r="RJE16" s="50"/>
      <c r="RJF16" s="50"/>
      <c r="RJG16" s="50"/>
      <c r="RJH16" s="50"/>
      <c r="RJI16" s="50"/>
      <c r="RJJ16" s="50"/>
      <c r="RJK16" s="50"/>
      <c r="RJL16" s="50"/>
      <c r="RJM16" s="50"/>
      <c r="RJN16" s="50"/>
      <c r="RJO16" s="50"/>
      <c r="RJP16" s="50"/>
      <c r="RJQ16" s="50"/>
      <c r="RJR16" s="50"/>
      <c r="RJS16" s="50"/>
      <c r="RJT16" s="50"/>
      <c r="RJU16" s="50"/>
      <c r="RJV16" s="50"/>
      <c r="RJW16" s="50"/>
      <c r="RJX16" s="50"/>
      <c r="RJY16" s="50"/>
      <c r="RJZ16" s="50"/>
      <c r="RKA16" s="50"/>
      <c r="RKB16" s="50"/>
      <c r="RKC16" s="50"/>
      <c r="RKD16" s="50"/>
      <c r="RKE16" s="50"/>
      <c r="RKF16" s="50"/>
      <c r="RKG16" s="50"/>
      <c r="RKH16" s="50"/>
      <c r="RKI16" s="50"/>
      <c r="RKJ16" s="50"/>
      <c r="RKK16" s="50"/>
      <c r="RKL16" s="50"/>
      <c r="RKM16" s="50"/>
      <c r="RKN16" s="50"/>
      <c r="RKO16" s="50"/>
      <c r="RKP16" s="50"/>
      <c r="RKQ16" s="50"/>
      <c r="RKR16" s="50"/>
      <c r="RKS16" s="50"/>
      <c r="RKT16" s="50"/>
      <c r="RKU16" s="50"/>
      <c r="RKV16" s="50"/>
      <c r="RKW16" s="50"/>
      <c r="RKX16" s="50"/>
      <c r="RKY16" s="50"/>
      <c r="RKZ16" s="50"/>
      <c r="RLA16" s="50"/>
      <c r="RLB16" s="50"/>
      <c r="RLC16" s="50"/>
      <c r="RLD16" s="50"/>
      <c r="RLE16" s="50"/>
      <c r="RLF16" s="50"/>
      <c r="RLG16" s="50"/>
      <c r="RLH16" s="50"/>
      <c r="RLI16" s="50"/>
      <c r="RLJ16" s="50"/>
      <c r="RLK16" s="50"/>
      <c r="RLL16" s="50"/>
      <c r="RLM16" s="50"/>
      <c r="RLN16" s="50"/>
      <c r="RLO16" s="50"/>
      <c r="RLP16" s="50"/>
      <c r="RLQ16" s="50"/>
      <c r="RLR16" s="50"/>
      <c r="RLS16" s="50"/>
      <c r="RLT16" s="50"/>
      <c r="RLU16" s="50"/>
      <c r="RLV16" s="50"/>
      <c r="RLW16" s="50"/>
      <c r="RLX16" s="50"/>
      <c r="RLY16" s="50"/>
      <c r="RLZ16" s="50"/>
      <c r="RMA16" s="50"/>
      <c r="RMB16" s="50"/>
      <c r="RMC16" s="50"/>
      <c r="RMD16" s="50"/>
      <c r="RME16" s="50"/>
      <c r="RMF16" s="50"/>
      <c r="RMG16" s="50"/>
      <c r="RMH16" s="50"/>
      <c r="RMI16" s="50"/>
      <c r="RMJ16" s="50"/>
      <c r="RMK16" s="50"/>
      <c r="RML16" s="50"/>
      <c r="RMM16" s="50"/>
      <c r="RMN16" s="50"/>
      <c r="RMO16" s="50"/>
      <c r="RMP16" s="50"/>
      <c r="RMQ16" s="50"/>
      <c r="RMR16" s="50"/>
      <c r="RMS16" s="50"/>
      <c r="RMT16" s="50"/>
      <c r="RMU16" s="50"/>
      <c r="RMV16" s="50"/>
      <c r="RMW16" s="50"/>
      <c r="RMX16" s="50"/>
      <c r="RMY16" s="50"/>
      <c r="RMZ16" s="50"/>
      <c r="RNA16" s="50"/>
      <c r="RNB16" s="50"/>
      <c r="RNC16" s="50"/>
      <c r="RND16" s="50"/>
      <c r="RNE16" s="50"/>
      <c r="RNF16" s="50"/>
      <c r="RNG16" s="50"/>
      <c r="RNH16" s="50"/>
      <c r="RNI16" s="50"/>
      <c r="RNJ16" s="50"/>
      <c r="RNK16" s="50"/>
      <c r="RNL16" s="50"/>
      <c r="RNM16" s="50"/>
      <c r="RNN16" s="50"/>
      <c r="RNO16" s="50"/>
      <c r="RNP16" s="50"/>
      <c r="RNQ16" s="50"/>
      <c r="RNR16" s="50"/>
      <c r="RNS16" s="50"/>
      <c r="RNT16" s="50"/>
      <c r="RNU16" s="50"/>
      <c r="RNV16" s="50"/>
      <c r="RNW16" s="50"/>
      <c r="RNX16" s="50"/>
      <c r="RNY16" s="50"/>
      <c r="RNZ16" s="50"/>
      <c r="ROA16" s="50"/>
      <c r="ROB16" s="50"/>
      <c r="ROC16" s="50"/>
      <c r="ROD16" s="50"/>
      <c r="ROE16" s="50"/>
      <c r="ROF16" s="50"/>
      <c r="ROG16" s="50"/>
      <c r="ROH16" s="50"/>
      <c r="ROI16" s="50"/>
      <c r="ROJ16" s="50"/>
      <c r="ROK16" s="50"/>
      <c r="ROL16" s="50"/>
      <c r="ROM16" s="50"/>
      <c r="RON16" s="50"/>
      <c r="ROO16" s="50"/>
      <c r="ROP16" s="50"/>
      <c r="ROQ16" s="50"/>
      <c r="ROR16" s="50"/>
      <c r="ROS16" s="50"/>
      <c r="ROT16" s="50"/>
      <c r="ROU16" s="50"/>
      <c r="ROV16" s="50"/>
      <c r="ROW16" s="50"/>
      <c r="ROX16" s="50"/>
      <c r="ROY16" s="50"/>
      <c r="ROZ16" s="50"/>
      <c r="RPA16" s="50"/>
      <c r="RPB16" s="50"/>
      <c r="RPC16" s="50"/>
      <c r="RPD16" s="50"/>
      <c r="RPE16" s="50"/>
      <c r="RPF16" s="50"/>
      <c r="RPG16" s="50"/>
      <c r="RPH16" s="50"/>
      <c r="RPI16" s="50"/>
      <c r="RPJ16" s="50"/>
      <c r="RPK16" s="50"/>
      <c r="RPL16" s="50"/>
      <c r="RPM16" s="50"/>
      <c r="RPN16" s="50"/>
      <c r="RPO16" s="50"/>
      <c r="RPP16" s="50"/>
      <c r="RPQ16" s="50"/>
      <c r="RPR16" s="50"/>
      <c r="RPS16" s="50"/>
      <c r="RPT16" s="50"/>
      <c r="RPU16" s="50"/>
      <c r="RPV16" s="50"/>
      <c r="RPW16" s="50"/>
      <c r="RPX16" s="50"/>
      <c r="RPY16" s="50"/>
      <c r="RPZ16" s="50"/>
      <c r="RQA16" s="50"/>
      <c r="RQB16" s="50"/>
      <c r="RQC16" s="50"/>
      <c r="RQD16" s="50"/>
      <c r="RQE16" s="50"/>
      <c r="RQF16" s="50"/>
      <c r="RQG16" s="50"/>
      <c r="RQH16" s="50"/>
      <c r="RQI16" s="50"/>
      <c r="RQJ16" s="50"/>
      <c r="RQK16" s="50"/>
      <c r="RQL16" s="50"/>
      <c r="RQM16" s="50"/>
      <c r="RQN16" s="50"/>
      <c r="RQO16" s="50"/>
      <c r="RQP16" s="50"/>
      <c r="RQQ16" s="50"/>
      <c r="RQR16" s="50"/>
      <c r="RQS16" s="50"/>
      <c r="RQT16" s="50"/>
      <c r="RQU16" s="50"/>
      <c r="RQV16" s="50"/>
      <c r="RQW16" s="50"/>
      <c r="RQX16" s="50"/>
      <c r="RQY16" s="50"/>
      <c r="RQZ16" s="50"/>
      <c r="RRA16" s="50"/>
      <c r="RRB16" s="50"/>
      <c r="RRC16" s="50"/>
      <c r="RRD16" s="50"/>
      <c r="RRE16" s="50"/>
      <c r="RRF16" s="50"/>
      <c r="RRG16" s="50"/>
      <c r="RRH16" s="50"/>
      <c r="RRI16" s="50"/>
      <c r="RRJ16" s="50"/>
      <c r="RRK16" s="50"/>
      <c r="RRL16" s="50"/>
      <c r="RRM16" s="50"/>
      <c r="RRN16" s="50"/>
      <c r="RRO16" s="50"/>
      <c r="RRP16" s="50"/>
      <c r="RRQ16" s="50"/>
      <c r="RRR16" s="50"/>
      <c r="RRS16" s="50"/>
      <c r="RRT16" s="50"/>
      <c r="RRU16" s="50"/>
      <c r="RRV16" s="50"/>
      <c r="RRW16" s="50"/>
      <c r="RRX16" s="50"/>
      <c r="RRY16" s="50"/>
      <c r="RRZ16" s="50"/>
      <c r="RSA16" s="50"/>
      <c r="RSB16" s="50"/>
      <c r="RSC16" s="50"/>
      <c r="RSD16" s="50"/>
      <c r="RSE16" s="50"/>
      <c r="RSF16" s="50"/>
      <c r="RSG16" s="50"/>
      <c r="RSH16" s="50"/>
      <c r="RSI16" s="50"/>
      <c r="RSJ16" s="50"/>
      <c r="RSK16" s="50"/>
      <c r="RSL16" s="50"/>
      <c r="RSM16" s="50"/>
      <c r="RSN16" s="50"/>
      <c r="RSO16" s="50"/>
      <c r="RSP16" s="50"/>
      <c r="RSQ16" s="50"/>
      <c r="RSR16" s="50"/>
      <c r="RSS16" s="50"/>
      <c r="RST16" s="50"/>
      <c r="RSU16" s="50"/>
      <c r="RSV16" s="50"/>
      <c r="RSW16" s="50"/>
      <c r="RSX16" s="50"/>
      <c r="RSY16" s="50"/>
      <c r="RSZ16" s="50"/>
      <c r="RTA16" s="50"/>
      <c r="RTB16" s="50"/>
      <c r="RTC16" s="50"/>
      <c r="RTD16" s="50"/>
      <c r="RTE16" s="50"/>
      <c r="RTF16" s="50"/>
      <c r="RTG16" s="50"/>
      <c r="RTH16" s="50"/>
      <c r="RTI16" s="50"/>
      <c r="RTJ16" s="50"/>
      <c r="RTK16" s="50"/>
      <c r="RTL16" s="50"/>
      <c r="RTM16" s="50"/>
      <c r="RTN16" s="50"/>
      <c r="RTO16" s="50"/>
      <c r="RTP16" s="50"/>
      <c r="RTQ16" s="50"/>
      <c r="RTR16" s="50"/>
      <c r="RTS16" s="50"/>
      <c r="RTT16" s="50"/>
      <c r="RTU16" s="50"/>
      <c r="RTV16" s="50"/>
      <c r="RTW16" s="50"/>
      <c r="RTX16" s="50"/>
      <c r="RTY16" s="50"/>
      <c r="RTZ16" s="50"/>
      <c r="RUA16" s="50"/>
      <c r="RUB16" s="50"/>
      <c r="RUC16" s="50"/>
      <c r="RUD16" s="50"/>
      <c r="RUE16" s="50"/>
      <c r="RUF16" s="50"/>
      <c r="RUG16" s="50"/>
      <c r="RUH16" s="50"/>
      <c r="RUI16" s="50"/>
      <c r="RUJ16" s="50"/>
      <c r="RUK16" s="50"/>
      <c r="RUL16" s="50"/>
      <c r="RUM16" s="50"/>
      <c r="RUN16" s="50"/>
      <c r="RUO16" s="50"/>
      <c r="RUP16" s="50"/>
      <c r="RUQ16" s="50"/>
      <c r="RUR16" s="50"/>
      <c r="RUS16" s="50"/>
      <c r="RUT16" s="50"/>
      <c r="RUU16" s="50"/>
      <c r="RUV16" s="50"/>
      <c r="RUW16" s="50"/>
      <c r="RUX16" s="50"/>
      <c r="RUY16" s="50"/>
      <c r="RUZ16" s="50"/>
      <c r="RVA16" s="50"/>
      <c r="RVB16" s="50"/>
      <c r="RVC16" s="50"/>
      <c r="RVD16" s="50"/>
      <c r="RVE16" s="50"/>
      <c r="RVF16" s="50"/>
      <c r="RVG16" s="50"/>
      <c r="RVH16" s="50"/>
      <c r="RVI16" s="50"/>
      <c r="RVJ16" s="50"/>
      <c r="RVK16" s="50"/>
      <c r="RVL16" s="50"/>
      <c r="RVM16" s="50"/>
      <c r="RVN16" s="50"/>
      <c r="RVO16" s="50"/>
      <c r="RVP16" s="50"/>
      <c r="RVQ16" s="50"/>
      <c r="RVR16" s="50"/>
      <c r="RVS16" s="50"/>
      <c r="RVT16" s="50"/>
      <c r="RVU16" s="50"/>
      <c r="RVV16" s="50"/>
      <c r="RVW16" s="50"/>
      <c r="RVX16" s="50"/>
      <c r="RVY16" s="50"/>
      <c r="RVZ16" s="50"/>
      <c r="RWA16" s="50"/>
      <c r="RWB16" s="50"/>
      <c r="RWC16" s="50"/>
      <c r="RWD16" s="50"/>
      <c r="RWE16" s="50"/>
      <c r="RWF16" s="50"/>
      <c r="RWG16" s="50"/>
      <c r="RWH16" s="50"/>
      <c r="RWI16" s="50"/>
      <c r="RWJ16" s="50"/>
      <c r="RWK16" s="50"/>
      <c r="RWL16" s="50"/>
      <c r="RWM16" s="50"/>
      <c r="RWN16" s="50"/>
      <c r="RWO16" s="50"/>
      <c r="RWP16" s="50"/>
      <c r="RWQ16" s="50"/>
      <c r="RWR16" s="50"/>
      <c r="RWS16" s="50"/>
      <c r="RWT16" s="50"/>
      <c r="RWU16" s="50"/>
      <c r="RWV16" s="50"/>
      <c r="RWW16" s="50"/>
      <c r="RWX16" s="50"/>
      <c r="RWY16" s="50"/>
      <c r="RWZ16" s="50"/>
      <c r="RXA16" s="50"/>
      <c r="RXB16" s="50"/>
      <c r="RXC16" s="50"/>
      <c r="RXD16" s="50"/>
      <c r="RXE16" s="50"/>
      <c r="RXF16" s="50"/>
      <c r="RXG16" s="50"/>
      <c r="RXH16" s="50"/>
      <c r="RXI16" s="50"/>
      <c r="RXJ16" s="50"/>
      <c r="RXK16" s="50"/>
      <c r="RXL16" s="50"/>
      <c r="RXM16" s="50"/>
      <c r="RXN16" s="50"/>
      <c r="RXO16" s="50"/>
      <c r="RXP16" s="50"/>
      <c r="RXQ16" s="50"/>
      <c r="RXR16" s="50"/>
      <c r="RXS16" s="50"/>
      <c r="RXT16" s="50"/>
      <c r="RXU16" s="50"/>
      <c r="RXV16" s="50"/>
      <c r="RXW16" s="50"/>
      <c r="RXX16" s="50"/>
      <c r="RXY16" s="50"/>
      <c r="RXZ16" s="50"/>
      <c r="RYA16" s="50"/>
      <c r="RYB16" s="50"/>
      <c r="RYC16" s="50"/>
      <c r="RYD16" s="50"/>
      <c r="RYE16" s="50"/>
      <c r="RYF16" s="50"/>
      <c r="RYG16" s="50"/>
      <c r="RYH16" s="50"/>
      <c r="RYI16" s="50"/>
      <c r="RYJ16" s="50"/>
      <c r="RYK16" s="50"/>
      <c r="RYL16" s="50"/>
      <c r="RYM16" s="50"/>
      <c r="RYN16" s="50"/>
      <c r="RYO16" s="50"/>
      <c r="RYP16" s="50"/>
      <c r="RYQ16" s="50"/>
      <c r="RYR16" s="50"/>
      <c r="RYS16" s="50"/>
      <c r="RYT16" s="50"/>
      <c r="RYU16" s="50"/>
      <c r="RYV16" s="50"/>
      <c r="RYW16" s="50"/>
      <c r="RYX16" s="50"/>
      <c r="RYY16" s="50"/>
      <c r="RYZ16" s="50"/>
      <c r="RZA16" s="50"/>
      <c r="RZB16" s="50"/>
      <c r="RZC16" s="50"/>
      <c r="RZD16" s="50"/>
      <c r="RZE16" s="50"/>
      <c r="RZF16" s="50"/>
      <c r="RZG16" s="50"/>
      <c r="RZH16" s="50"/>
      <c r="RZI16" s="50"/>
      <c r="RZJ16" s="50"/>
      <c r="RZK16" s="50"/>
      <c r="RZL16" s="50"/>
      <c r="RZM16" s="50"/>
      <c r="RZN16" s="50"/>
      <c r="RZO16" s="50"/>
      <c r="RZP16" s="50"/>
      <c r="RZQ16" s="50"/>
      <c r="RZR16" s="50"/>
      <c r="RZS16" s="50"/>
      <c r="RZT16" s="50"/>
      <c r="RZU16" s="50"/>
      <c r="RZV16" s="50"/>
      <c r="RZW16" s="50"/>
      <c r="RZX16" s="50"/>
      <c r="RZY16" s="50"/>
      <c r="RZZ16" s="50"/>
      <c r="SAA16" s="50"/>
      <c r="SAB16" s="50"/>
      <c r="SAC16" s="50"/>
      <c r="SAD16" s="50"/>
      <c r="SAE16" s="50"/>
      <c r="SAF16" s="50"/>
      <c r="SAG16" s="50"/>
      <c r="SAH16" s="50"/>
      <c r="SAI16" s="50"/>
      <c r="SAJ16" s="50"/>
      <c r="SAK16" s="50"/>
      <c r="SAL16" s="50"/>
      <c r="SAM16" s="50"/>
      <c r="SAN16" s="50"/>
      <c r="SAO16" s="50"/>
      <c r="SAP16" s="50"/>
      <c r="SAQ16" s="50"/>
      <c r="SAR16" s="50"/>
      <c r="SAS16" s="50"/>
      <c r="SAT16" s="50"/>
      <c r="SAU16" s="50"/>
      <c r="SAV16" s="50"/>
      <c r="SAW16" s="50"/>
      <c r="SAX16" s="50"/>
      <c r="SAY16" s="50"/>
      <c r="SAZ16" s="50"/>
      <c r="SBA16" s="50"/>
      <c r="SBB16" s="50"/>
      <c r="SBC16" s="50"/>
      <c r="SBD16" s="50"/>
      <c r="SBE16" s="50"/>
      <c r="SBF16" s="50"/>
      <c r="SBG16" s="50"/>
      <c r="SBH16" s="50"/>
      <c r="SBI16" s="50"/>
      <c r="SBJ16" s="50"/>
      <c r="SBK16" s="50"/>
      <c r="SBL16" s="50"/>
      <c r="SBM16" s="50"/>
      <c r="SBN16" s="50"/>
      <c r="SBO16" s="50"/>
      <c r="SBP16" s="50"/>
      <c r="SBQ16" s="50"/>
      <c r="SBR16" s="50"/>
      <c r="SBS16" s="50"/>
      <c r="SBT16" s="50"/>
      <c r="SBU16" s="50"/>
      <c r="SBV16" s="50"/>
      <c r="SBW16" s="50"/>
      <c r="SBX16" s="50"/>
      <c r="SBY16" s="50"/>
      <c r="SBZ16" s="50"/>
      <c r="SCA16" s="50"/>
      <c r="SCB16" s="50"/>
      <c r="SCC16" s="50"/>
      <c r="SCD16" s="50"/>
      <c r="SCE16" s="50"/>
      <c r="SCF16" s="50"/>
      <c r="SCG16" s="50"/>
      <c r="SCH16" s="50"/>
      <c r="SCI16" s="50"/>
      <c r="SCJ16" s="50"/>
      <c r="SCK16" s="50"/>
      <c r="SCL16" s="50"/>
      <c r="SCM16" s="50"/>
      <c r="SCN16" s="50"/>
      <c r="SCO16" s="50"/>
      <c r="SCP16" s="50"/>
      <c r="SCQ16" s="50"/>
      <c r="SCR16" s="50"/>
      <c r="SCS16" s="50"/>
      <c r="SCT16" s="50"/>
      <c r="SCU16" s="50"/>
      <c r="SCV16" s="50"/>
      <c r="SCW16" s="50"/>
      <c r="SCX16" s="50"/>
      <c r="SCY16" s="50"/>
      <c r="SCZ16" s="50"/>
      <c r="SDA16" s="50"/>
      <c r="SDB16" s="50"/>
      <c r="SDC16" s="50"/>
      <c r="SDD16" s="50"/>
      <c r="SDE16" s="50"/>
      <c r="SDF16" s="50"/>
      <c r="SDG16" s="50"/>
      <c r="SDH16" s="50"/>
      <c r="SDI16" s="50"/>
      <c r="SDJ16" s="50"/>
      <c r="SDK16" s="50"/>
      <c r="SDL16" s="50"/>
      <c r="SDM16" s="50"/>
      <c r="SDN16" s="50"/>
      <c r="SDO16" s="50"/>
      <c r="SDP16" s="50"/>
      <c r="SDQ16" s="50"/>
      <c r="SDR16" s="50"/>
      <c r="SDS16" s="50"/>
      <c r="SDT16" s="50"/>
      <c r="SDU16" s="50"/>
      <c r="SDV16" s="50"/>
      <c r="SDW16" s="50"/>
      <c r="SDX16" s="50"/>
      <c r="SDY16" s="50"/>
      <c r="SDZ16" s="50"/>
      <c r="SEA16" s="50"/>
      <c r="SEB16" s="50"/>
      <c r="SEC16" s="50"/>
      <c r="SED16" s="50"/>
      <c r="SEE16" s="50"/>
      <c r="SEF16" s="50"/>
      <c r="SEG16" s="50"/>
      <c r="SEH16" s="50"/>
      <c r="SEI16" s="50"/>
      <c r="SEJ16" s="50"/>
      <c r="SEK16" s="50"/>
      <c r="SEL16" s="50"/>
      <c r="SEM16" s="50"/>
      <c r="SEN16" s="50"/>
      <c r="SEO16" s="50"/>
      <c r="SEP16" s="50"/>
      <c r="SEQ16" s="50"/>
      <c r="SER16" s="50"/>
      <c r="SES16" s="50"/>
      <c r="SET16" s="50"/>
      <c r="SEU16" s="50"/>
      <c r="SEV16" s="50"/>
      <c r="SEW16" s="50"/>
      <c r="SEX16" s="50"/>
      <c r="SEY16" s="50"/>
      <c r="SEZ16" s="50"/>
      <c r="SFA16" s="50"/>
      <c r="SFB16" s="50"/>
      <c r="SFC16" s="50"/>
      <c r="SFD16" s="50"/>
      <c r="SFE16" s="50"/>
      <c r="SFF16" s="50"/>
      <c r="SFG16" s="50"/>
      <c r="SFH16" s="50"/>
      <c r="SFI16" s="50"/>
      <c r="SFJ16" s="50"/>
      <c r="SFK16" s="50"/>
      <c r="SFL16" s="50"/>
      <c r="SFM16" s="50"/>
      <c r="SFN16" s="50"/>
      <c r="SFO16" s="50"/>
      <c r="SFP16" s="50"/>
      <c r="SFQ16" s="50"/>
      <c r="SFR16" s="50"/>
      <c r="SFS16" s="50"/>
      <c r="SFT16" s="50"/>
      <c r="SFU16" s="50"/>
      <c r="SFV16" s="50"/>
      <c r="SFW16" s="50"/>
      <c r="SFX16" s="50"/>
      <c r="SFY16" s="50"/>
      <c r="SFZ16" s="50"/>
      <c r="SGA16" s="50"/>
      <c r="SGB16" s="50"/>
      <c r="SGC16" s="50"/>
      <c r="SGD16" s="50"/>
      <c r="SGE16" s="50"/>
      <c r="SGF16" s="50"/>
      <c r="SGG16" s="50"/>
      <c r="SGH16" s="50"/>
      <c r="SGI16" s="50"/>
      <c r="SGJ16" s="50"/>
      <c r="SGK16" s="50"/>
      <c r="SGL16" s="50"/>
      <c r="SGM16" s="50"/>
      <c r="SGN16" s="50"/>
      <c r="SGO16" s="50"/>
      <c r="SGP16" s="50"/>
      <c r="SGQ16" s="50"/>
      <c r="SGR16" s="50"/>
      <c r="SGS16" s="50"/>
      <c r="SGT16" s="50"/>
      <c r="SGU16" s="50"/>
      <c r="SGV16" s="50"/>
      <c r="SGW16" s="50"/>
      <c r="SGX16" s="50"/>
      <c r="SGY16" s="50"/>
      <c r="SGZ16" s="50"/>
      <c r="SHA16" s="50"/>
      <c r="SHB16" s="50"/>
      <c r="SHC16" s="50"/>
      <c r="SHD16" s="50"/>
      <c r="SHE16" s="50"/>
      <c r="SHF16" s="50"/>
      <c r="SHG16" s="50"/>
      <c r="SHH16" s="50"/>
      <c r="SHI16" s="50"/>
      <c r="SHJ16" s="50"/>
      <c r="SHK16" s="50"/>
      <c r="SHL16" s="50"/>
      <c r="SHM16" s="50"/>
      <c r="SHN16" s="50"/>
      <c r="SHO16" s="50"/>
      <c r="SHP16" s="50"/>
      <c r="SHQ16" s="50"/>
      <c r="SHR16" s="50"/>
      <c r="SHS16" s="50"/>
      <c r="SHT16" s="50"/>
      <c r="SHU16" s="50"/>
      <c r="SHV16" s="50"/>
      <c r="SHW16" s="50"/>
      <c r="SHX16" s="50"/>
      <c r="SHY16" s="50"/>
      <c r="SHZ16" s="50"/>
      <c r="SIA16" s="50"/>
      <c r="SIB16" s="50"/>
      <c r="SIC16" s="50"/>
      <c r="SID16" s="50"/>
      <c r="SIE16" s="50"/>
      <c r="SIF16" s="50"/>
      <c r="SIG16" s="50"/>
      <c r="SIH16" s="50"/>
      <c r="SII16" s="50"/>
      <c r="SIJ16" s="50"/>
      <c r="SIK16" s="50"/>
      <c r="SIL16" s="50"/>
      <c r="SIM16" s="50"/>
      <c r="SIN16" s="50"/>
      <c r="SIO16" s="50"/>
      <c r="SIP16" s="50"/>
      <c r="SIQ16" s="50"/>
      <c r="SIR16" s="50"/>
      <c r="SIS16" s="50"/>
      <c r="SIT16" s="50"/>
      <c r="SIU16" s="50"/>
      <c r="SIV16" s="50"/>
      <c r="SIW16" s="50"/>
      <c r="SIX16" s="50"/>
      <c r="SIY16" s="50"/>
      <c r="SIZ16" s="50"/>
      <c r="SJA16" s="50"/>
      <c r="SJB16" s="50"/>
      <c r="SJC16" s="50"/>
      <c r="SJD16" s="50"/>
      <c r="SJE16" s="50"/>
      <c r="SJF16" s="50"/>
      <c r="SJG16" s="50"/>
      <c r="SJH16" s="50"/>
      <c r="SJI16" s="50"/>
      <c r="SJJ16" s="50"/>
      <c r="SJK16" s="50"/>
      <c r="SJL16" s="50"/>
      <c r="SJM16" s="50"/>
      <c r="SJN16" s="50"/>
      <c r="SJO16" s="50"/>
      <c r="SJP16" s="50"/>
      <c r="SJQ16" s="50"/>
      <c r="SJR16" s="50"/>
      <c r="SJS16" s="50"/>
      <c r="SJT16" s="50"/>
      <c r="SJU16" s="50"/>
      <c r="SJV16" s="50"/>
      <c r="SJW16" s="50"/>
      <c r="SJX16" s="50"/>
      <c r="SJY16" s="50"/>
      <c r="SJZ16" s="50"/>
      <c r="SKA16" s="50"/>
      <c r="SKB16" s="50"/>
      <c r="SKC16" s="50"/>
      <c r="SKD16" s="50"/>
      <c r="SKE16" s="50"/>
      <c r="SKF16" s="50"/>
      <c r="SKG16" s="50"/>
      <c r="SKH16" s="50"/>
      <c r="SKI16" s="50"/>
      <c r="SKJ16" s="50"/>
      <c r="SKK16" s="50"/>
      <c r="SKL16" s="50"/>
      <c r="SKM16" s="50"/>
      <c r="SKN16" s="50"/>
      <c r="SKO16" s="50"/>
      <c r="SKP16" s="50"/>
      <c r="SKQ16" s="50"/>
      <c r="SKR16" s="50"/>
      <c r="SKS16" s="50"/>
      <c r="SKT16" s="50"/>
      <c r="SKU16" s="50"/>
      <c r="SKV16" s="50"/>
      <c r="SKW16" s="50"/>
      <c r="SKX16" s="50"/>
      <c r="SKY16" s="50"/>
      <c r="SKZ16" s="50"/>
      <c r="SLA16" s="50"/>
      <c r="SLB16" s="50"/>
      <c r="SLC16" s="50"/>
      <c r="SLD16" s="50"/>
      <c r="SLE16" s="50"/>
      <c r="SLF16" s="50"/>
      <c r="SLG16" s="50"/>
      <c r="SLH16" s="50"/>
      <c r="SLI16" s="50"/>
      <c r="SLJ16" s="50"/>
      <c r="SLK16" s="50"/>
      <c r="SLL16" s="50"/>
      <c r="SLM16" s="50"/>
      <c r="SLN16" s="50"/>
      <c r="SLO16" s="50"/>
      <c r="SLP16" s="50"/>
      <c r="SLQ16" s="50"/>
      <c r="SLR16" s="50"/>
      <c r="SLS16" s="50"/>
      <c r="SLT16" s="50"/>
      <c r="SLU16" s="50"/>
      <c r="SLV16" s="50"/>
      <c r="SLW16" s="50"/>
      <c r="SLX16" s="50"/>
      <c r="SLY16" s="50"/>
      <c r="SLZ16" s="50"/>
      <c r="SMA16" s="50"/>
      <c r="SMB16" s="50"/>
      <c r="SMC16" s="50"/>
      <c r="SMD16" s="50"/>
      <c r="SME16" s="50"/>
      <c r="SMF16" s="50"/>
      <c r="SMG16" s="50"/>
      <c r="SMH16" s="50"/>
      <c r="SMI16" s="50"/>
      <c r="SMJ16" s="50"/>
      <c r="SMK16" s="50"/>
      <c r="SML16" s="50"/>
      <c r="SMM16" s="50"/>
      <c r="SMN16" s="50"/>
      <c r="SMO16" s="50"/>
      <c r="SMP16" s="50"/>
      <c r="SMQ16" s="50"/>
      <c r="SMR16" s="50"/>
      <c r="SMS16" s="50"/>
      <c r="SMT16" s="50"/>
      <c r="SMU16" s="50"/>
      <c r="SMV16" s="50"/>
      <c r="SMW16" s="50"/>
      <c r="SMX16" s="50"/>
      <c r="SMY16" s="50"/>
      <c r="SMZ16" s="50"/>
      <c r="SNA16" s="50"/>
      <c r="SNB16" s="50"/>
      <c r="SNC16" s="50"/>
      <c r="SND16" s="50"/>
      <c r="SNE16" s="50"/>
      <c r="SNF16" s="50"/>
      <c r="SNG16" s="50"/>
      <c r="SNH16" s="50"/>
      <c r="SNI16" s="50"/>
      <c r="SNJ16" s="50"/>
      <c r="SNK16" s="50"/>
      <c r="SNL16" s="50"/>
      <c r="SNM16" s="50"/>
      <c r="SNN16" s="50"/>
      <c r="SNO16" s="50"/>
      <c r="SNP16" s="50"/>
      <c r="SNQ16" s="50"/>
      <c r="SNR16" s="50"/>
      <c r="SNS16" s="50"/>
      <c r="SNT16" s="50"/>
      <c r="SNU16" s="50"/>
      <c r="SNV16" s="50"/>
      <c r="SNW16" s="50"/>
      <c r="SNX16" s="50"/>
      <c r="SNY16" s="50"/>
      <c r="SNZ16" s="50"/>
      <c r="SOA16" s="50"/>
      <c r="SOB16" s="50"/>
      <c r="SOC16" s="50"/>
      <c r="SOD16" s="50"/>
      <c r="SOE16" s="50"/>
      <c r="SOF16" s="50"/>
      <c r="SOG16" s="50"/>
      <c r="SOH16" s="50"/>
      <c r="SOI16" s="50"/>
      <c r="SOJ16" s="50"/>
      <c r="SOK16" s="50"/>
      <c r="SOL16" s="50"/>
      <c r="SOM16" s="50"/>
      <c r="SON16" s="50"/>
      <c r="SOO16" s="50"/>
      <c r="SOP16" s="50"/>
      <c r="SOQ16" s="50"/>
      <c r="SOR16" s="50"/>
      <c r="SOS16" s="50"/>
      <c r="SOT16" s="50"/>
      <c r="SOU16" s="50"/>
      <c r="SOV16" s="50"/>
      <c r="SOW16" s="50"/>
      <c r="SOX16" s="50"/>
      <c r="SOY16" s="50"/>
      <c r="SOZ16" s="50"/>
      <c r="SPA16" s="50"/>
      <c r="SPB16" s="50"/>
      <c r="SPC16" s="50"/>
      <c r="SPD16" s="50"/>
      <c r="SPE16" s="50"/>
      <c r="SPF16" s="50"/>
      <c r="SPG16" s="50"/>
      <c r="SPH16" s="50"/>
      <c r="SPI16" s="50"/>
      <c r="SPJ16" s="50"/>
      <c r="SPK16" s="50"/>
      <c r="SPL16" s="50"/>
      <c r="SPM16" s="50"/>
      <c r="SPN16" s="50"/>
      <c r="SPO16" s="50"/>
      <c r="SPP16" s="50"/>
      <c r="SPQ16" s="50"/>
      <c r="SPR16" s="50"/>
      <c r="SPS16" s="50"/>
      <c r="SPT16" s="50"/>
      <c r="SPU16" s="50"/>
      <c r="SPV16" s="50"/>
      <c r="SPW16" s="50"/>
      <c r="SPX16" s="50"/>
      <c r="SPY16" s="50"/>
      <c r="SPZ16" s="50"/>
      <c r="SQA16" s="50"/>
      <c r="SQB16" s="50"/>
      <c r="SQC16" s="50"/>
      <c r="SQD16" s="50"/>
      <c r="SQE16" s="50"/>
      <c r="SQF16" s="50"/>
      <c r="SQG16" s="50"/>
      <c r="SQH16" s="50"/>
      <c r="SQI16" s="50"/>
      <c r="SQJ16" s="50"/>
      <c r="SQK16" s="50"/>
      <c r="SQL16" s="50"/>
      <c r="SQM16" s="50"/>
      <c r="SQN16" s="50"/>
      <c r="SQO16" s="50"/>
      <c r="SQP16" s="50"/>
      <c r="SQQ16" s="50"/>
      <c r="SQR16" s="50"/>
      <c r="SQS16" s="50"/>
      <c r="SQT16" s="50"/>
      <c r="SQU16" s="50"/>
      <c r="SQV16" s="50"/>
      <c r="SQW16" s="50"/>
      <c r="SQX16" s="50"/>
      <c r="SQY16" s="50"/>
      <c r="SQZ16" s="50"/>
      <c r="SRA16" s="50"/>
      <c r="SRB16" s="50"/>
      <c r="SRC16" s="50"/>
      <c r="SRD16" s="50"/>
      <c r="SRE16" s="50"/>
      <c r="SRF16" s="50"/>
      <c r="SRG16" s="50"/>
      <c r="SRH16" s="50"/>
      <c r="SRI16" s="50"/>
      <c r="SRJ16" s="50"/>
      <c r="SRK16" s="50"/>
      <c r="SRL16" s="50"/>
      <c r="SRM16" s="50"/>
      <c r="SRN16" s="50"/>
      <c r="SRO16" s="50"/>
      <c r="SRP16" s="50"/>
      <c r="SRQ16" s="50"/>
      <c r="SRR16" s="50"/>
      <c r="SRS16" s="50"/>
      <c r="SRT16" s="50"/>
      <c r="SRU16" s="50"/>
      <c r="SRV16" s="50"/>
      <c r="SRW16" s="50"/>
      <c r="SRX16" s="50"/>
      <c r="SRY16" s="50"/>
      <c r="SRZ16" s="50"/>
      <c r="SSA16" s="50"/>
      <c r="SSB16" s="50"/>
      <c r="SSC16" s="50"/>
      <c r="SSD16" s="50"/>
      <c r="SSE16" s="50"/>
      <c r="SSF16" s="50"/>
      <c r="SSG16" s="50"/>
      <c r="SSH16" s="50"/>
      <c r="SSI16" s="50"/>
      <c r="SSJ16" s="50"/>
      <c r="SSK16" s="50"/>
      <c r="SSL16" s="50"/>
      <c r="SSM16" s="50"/>
      <c r="SSN16" s="50"/>
      <c r="SSO16" s="50"/>
      <c r="SSP16" s="50"/>
      <c r="SSQ16" s="50"/>
      <c r="SSR16" s="50"/>
      <c r="SSS16" s="50"/>
      <c r="SST16" s="50"/>
      <c r="SSU16" s="50"/>
      <c r="SSV16" s="50"/>
      <c r="SSW16" s="50"/>
      <c r="SSX16" s="50"/>
      <c r="SSY16" s="50"/>
      <c r="SSZ16" s="50"/>
      <c r="STA16" s="50"/>
      <c r="STB16" s="50"/>
      <c r="STC16" s="50"/>
      <c r="STD16" s="50"/>
      <c r="STE16" s="50"/>
      <c r="STF16" s="50"/>
      <c r="STG16" s="50"/>
      <c r="STH16" s="50"/>
      <c r="STI16" s="50"/>
      <c r="STJ16" s="50"/>
      <c r="STK16" s="50"/>
      <c r="STL16" s="50"/>
      <c r="STM16" s="50"/>
      <c r="STN16" s="50"/>
      <c r="STO16" s="50"/>
      <c r="STP16" s="50"/>
      <c r="STQ16" s="50"/>
      <c r="STR16" s="50"/>
      <c r="STS16" s="50"/>
      <c r="STT16" s="50"/>
      <c r="STU16" s="50"/>
      <c r="STV16" s="50"/>
      <c r="STW16" s="50"/>
      <c r="STX16" s="50"/>
      <c r="STY16" s="50"/>
      <c r="STZ16" s="50"/>
      <c r="SUA16" s="50"/>
      <c r="SUB16" s="50"/>
      <c r="SUC16" s="50"/>
      <c r="SUD16" s="50"/>
      <c r="SUE16" s="50"/>
      <c r="SUF16" s="50"/>
      <c r="SUG16" s="50"/>
      <c r="SUH16" s="50"/>
      <c r="SUI16" s="50"/>
      <c r="SUJ16" s="50"/>
      <c r="SUK16" s="50"/>
      <c r="SUL16" s="50"/>
      <c r="SUM16" s="50"/>
      <c r="SUN16" s="50"/>
      <c r="SUO16" s="50"/>
      <c r="SUP16" s="50"/>
      <c r="SUQ16" s="50"/>
      <c r="SUR16" s="50"/>
      <c r="SUS16" s="50"/>
      <c r="SUT16" s="50"/>
      <c r="SUU16" s="50"/>
      <c r="SUV16" s="50"/>
      <c r="SUW16" s="50"/>
      <c r="SUX16" s="50"/>
      <c r="SUY16" s="50"/>
      <c r="SUZ16" s="50"/>
      <c r="SVA16" s="50"/>
      <c r="SVB16" s="50"/>
      <c r="SVC16" s="50"/>
      <c r="SVD16" s="50"/>
      <c r="SVE16" s="50"/>
      <c r="SVF16" s="50"/>
      <c r="SVG16" s="50"/>
      <c r="SVH16" s="50"/>
      <c r="SVI16" s="50"/>
      <c r="SVJ16" s="50"/>
      <c r="SVK16" s="50"/>
      <c r="SVL16" s="50"/>
      <c r="SVM16" s="50"/>
      <c r="SVN16" s="50"/>
      <c r="SVO16" s="50"/>
      <c r="SVP16" s="50"/>
      <c r="SVQ16" s="50"/>
      <c r="SVR16" s="50"/>
      <c r="SVS16" s="50"/>
      <c r="SVT16" s="50"/>
      <c r="SVU16" s="50"/>
      <c r="SVV16" s="50"/>
      <c r="SVW16" s="50"/>
      <c r="SVX16" s="50"/>
      <c r="SVY16" s="50"/>
      <c r="SVZ16" s="50"/>
      <c r="SWA16" s="50"/>
      <c r="SWB16" s="50"/>
      <c r="SWC16" s="50"/>
      <c r="SWD16" s="50"/>
      <c r="SWE16" s="50"/>
      <c r="SWF16" s="50"/>
      <c r="SWG16" s="50"/>
      <c r="SWH16" s="50"/>
      <c r="SWI16" s="50"/>
      <c r="SWJ16" s="50"/>
      <c r="SWK16" s="50"/>
      <c r="SWL16" s="50"/>
      <c r="SWM16" s="50"/>
      <c r="SWN16" s="50"/>
      <c r="SWO16" s="50"/>
      <c r="SWP16" s="50"/>
      <c r="SWQ16" s="50"/>
      <c r="SWR16" s="50"/>
      <c r="SWS16" s="50"/>
      <c r="SWT16" s="50"/>
      <c r="SWU16" s="50"/>
      <c r="SWV16" s="50"/>
      <c r="SWW16" s="50"/>
      <c r="SWX16" s="50"/>
      <c r="SWY16" s="50"/>
      <c r="SWZ16" s="50"/>
      <c r="SXA16" s="50"/>
      <c r="SXB16" s="50"/>
      <c r="SXC16" s="50"/>
      <c r="SXD16" s="50"/>
      <c r="SXE16" s="50"/>
      <c r="SXF16" s="50"/>
      <c r="SXG16" s="50"/>
      <c r="SXH16" s="50"/>
      <c r="SXI16" s="50"/>
      <c r="SXJ16" s="50"/>
      <c r="SXK16" s="50"/>
      <c r="SXL16" s="50"/>
      <c r="SXM16" s="50"/>
      <c r="SXN16" s="50"/>
      <c r="SXO16" s="50"/>
      <c r="SXP16" s="50"/>
      <c r="SXQ16" s="50"/>
      <c r="SXR16" s="50"/>
      <c r="SXS16" s="50"/>
      <c r="SXT16" s="50"/>
      <c r="SXU16" s="50"/>
      <c r="SXV16" s="50"/>
      <c r="SXW16" s="50"/>
      <c r="SXX16" s="50"/>
      <c r="SXY16" s="50"/>
      <c r="SXZ16" s="50"/>
      <c r="SYA16" s="50"/>
      <c r="SYB16" s="50"/>
      <c r="SYC16" s="50"/>
      <c r="SYD16" s="50"/>
      <c r="SYE16" s="50"/>
      <c r="SYF16" s="50"/>
      <c r="SYG16" s="50"/>
      <c r="SYH16" s="50"/>
      <c r="SYI16" s="50"/>
      <c r="SYJ16" s="50"/>
      <c r="SYK16" s="50"/>
      <c r="SYL16" s="50"/>
      <c r="SYM16" s="50"/>
      <c r="SYN16" s="50"/>
      <c r="SYO16" s="50"/>
      <c r="SYP16" s="50"/>
      <c r="SYQ16" s="50"/>
      <c r="SYR16" s="50"/>
      <c r="SYS16" s="50"/>
      <c r="SYT16" s="50"/>
      <c r="SYU16" s="50"/>
      <c r="SYV16" s="50"/>
      <c r="SYW16" s="50"/>
      <c r="SYX16" s="50"/>
      <c r="SYY16" s="50"/>
      <c r="SYZ16" s="50"/>
      <c r="SZA16" s="50"/>
      <c r="SZB16" s="50"/>
      <c r="SZC16" s="50"/>
      <c r="SZD16" s="50"/>
      <c r="SZE16" s="50"/>
      <c r="SZF16" s="50"/>
      <c r="SZG16" s="50"/>
      <c r="SZH16" s="50"/>
      <c r="SZI16" s="50"/>
      <c r="SZJ16" s="50"/>
      <c r="SZK16" s="50"/>
      <c r="SZL16" s="50"/>
      <c r="SZM16" s="50"/>
      <c r="SZN16" s="50"/>
      <c r="SZO16" s="50"/>
      <c r="SZP16" s="50"/>
      <c r="SZQ16" s="50"/>
      <c r="SZR16" s="50"/>
      <c r="SZS16" s="50"/>
      <c r="SZT16" s="50"/>
      <c r="SZU16" s="50"/>
      <c r="SZV16" s="50"/>
      <c r="SZW16" s="50"/>
      <c r="SZX16" s="50"/>
      <c r="SZY16" s="50"/>
      <c r="SZZ16" s="50"/>
      <c r="TAA16" s="50"/>
      <c r="TAB16" s="50"/>
      <c r="TAC16" s="50"/>
      <c r="TAD16" s="50"/>
      <c r="TAE16" s="50"/>
      <c r="TAF16" s="50"/>
      <c r="TAG16" s="50"/>
      <c r="TAH16" s="50"/>
      <c r="TAI16" s="50"/>
      <c r="TAJ16" s="50"/>
      <c r="TAK16" s="50"/>
      <c r="TAL16" s="50"/>
      <c r="TAM16" s="50"/>
      <c r="TAN16" s="50"/>
      <c r="TAO16" s="50"/>
      <c r="TAP16" s="50"/>
      <c r="TAQ16" s="50"/>
      <c r="TAR16" s="50"/>
      <c r="TAS16" s="50"/>
      <c r="TAT16" s="50"/>
      <c r="TAU16" s="50"/>
      <c r="TAV16" s="50"/>
      <c r="TAW16" s="50"/>
      <c r="TAX16" s="50"/>
      <c r="TAY16" s="50"/>
      <c r="TAZ16" s="50"/>
      <c r="TBA16" s="50"/>
      <c r="TBB16" s="50"/>
      <c r="TBC16" s="50"/>
      <c r="TBD16" s="50"/>
      <c r="TBE16" s="50"/>
      <c r="TBF16" s="50"/>
      <c r="TBG16" s="50"/>
      <c r="TBH16" s="50"/>
      <c r="TBI16" s="50"/>
      <c r="TBJ16" s="50"/>
      <c r="TBK16" s="50"/>
      <c r="TBL16" s="50"/>
      <c r="TBM16" s="50"/>
      <c r="TBN16" s="50"/>
      <c r="TBO16" s="50"/>
      <c r="TBP16" s="50"/>
      <c r="TBQ16" s="50"/>
      <c r="TBR16" s="50"/>
      <c r="TBS16" s="50"/>
      <c r="TBT16" s="50"/>
      <c r="TBU16" s="50"/>
      <c r="TBV16" s="50"/>
      <c r="TBW16" s="50"/>
      <c r="TBX16" s="50"/>
      <c r="TBY16" s="50"/>
      <c r="TBZ16" s="50"/>
      <c r="TCA16" s="50"/>
      <c r="TCB16" s="50"/>
      <c r="TCC16" s="50"/>
      <c r="TCD16" s="50"/>
      <c r="TCE16" s="50"/>
      <c r="TCF16" s="50"/>
      <c r="TCG16" s="50"/>
      <c r="TCH16" s="50"/>
      <c r="TCI16" s="50"/>
      <c r="TCJ16" s="50"/>
      <c r="TCK16" s="50"/>
      <c r="TCL16" s="50"/>
      <c r="TCM16" s="50"/>
      <c r="TCN16" s="50"/>
      <c r="TCO16" s="50"/>
      <c r="TCP16" s="50"/>
      <c r="TCQ16" s="50"/>
      <c r="TCR16" s="50"/>
      <c r="TCS16" s="50"/>
      <c r="TCT16" s="50"/>
      <c r="TCU16" s="50"/>
      <c r="TCV16" s="50"/>
      <c r="TCW16" s="50"/>
      <c r="TCX16" s="50"/>
      <c r="TCY16" s="50"/>
      <c r="TCZ16" s="50"/>
      <c r="TDA16" s="50"/>
      <c r="TDB16" s="50"/>
      <c r="TDC16" s="50"/>
      <c r="TDD16" s="50"/>
      <c r="TDE16" s="50"/>
      <c r="TDF16" s="50"/>
      <c r="TDG16" s="50"/>
      <c r="TDH16" s="50"/>
      <c r="TDI16" s="50"/>
      <c r="TDJ16" s="50"/>
      <c r="TDK16" s="50"/>
      <c r="TDL16" s="50"/>
      <c r="TDM16" s="50"/>
      <c r="TDN16" s="50"/>
      <c r="TDO16" s="50"/>
      <c r="TDP16" s="50"/>
      <c r="TDQ16" s="50"/>
      <c r="TDR16" s="50"/>
      <c r="TDS16" s="50"/>
      <c r="TDT16" s="50"/>
      <c r="TDU16" s="50"/>
      <c r="TDV16" s="50"/>
      <c r="TDW16" s="50"/>
      <c r="TDX16" s="50"/>
      <c r="TDY16" s="50"/>
      <c r="TDZ16" s="50"/>
      <c r="TEA16" s="50"/>
      <c r="TEB16" s="50"/>
      <c r="TEC16" s="50"/>
      <c r="TED16" s="50"/>
      <c r="TEE16" s="50"/>
      <c r="TEF16" s="50"/>
      <c r="TEG16" s="50"/>
      <c r="TEH16" s="50"/>
      <c r="TEI16" s="50"/>
      <c r="TEJ16" s="50"/>
      <c r="TEK16" s="50"/>
      <c r="TEL16" s="50"/>
      <c r="TEM16" s="50"/>
      <c r="TEN16" s="50"/>
      <c r="TEO16" s="50"/>
      <c r="TEP16" s="50"/>
      <c r="TEQ16" s="50"/>
      <c r="TER16" s="50"/>
      <c r="TES16" s="50"/>
      <c r="TET16" s="50"/>
      <c r="TEU16" s="50"/>
      <c r="TEV16" s="50"/>
      <c r="TEW16" s="50"/>
      <c r="TEX16" s="50"/>
      <c r="TEY16" s="50"/>
      <c r="TEZ16" s="50"/>
      <c r="TFA16" s="50"/>
      <c r="TFB16" s="50"/>
      <c r="TFC16" s="50"/>
      <c r="TFD16" s="50"/>
      <c r="TFE16" s="50"/>
      <c r="TFF16" s="50"/>
      <c r="TFG16" s="50"/>
      <c r="TFH16" s="50"/>
      <c r="TFI16" s="50"/>
      <c r="TFJ16" s="50"/>
      <c r="TFK16" s="50"/>
      <c r="TFL16" s="50"/>
      <c r="TFM16" s="50"/>
      <c r="TFN16" s="50"/>
      <c r="TFO16" s="50"/>
      <c r="TFP16" s="50"/>
      <c r="TFQ16" s="50"/>
      <c r="TFR16" s="50"/>
      <c r="TFS16" s="50"/>
      <c r="TFT16" s="50"/>
      <c r="TFU16" s="50"/>
      <c r="TFV16" s="50"/>
      <c r="TFW16" s="50"/>
      <c r="TFX16" s="50"/>
      <c r="TFY16" s="50"/>
      <c r="TFZ16" s="50"/>
      <c r="TGA16" s="50"/>
      <c r="TGB16" s="50"/>
      <c r="TGC16" s="50"/>
      <c r="TGD16" s="50"/>
      <c r="TGE16" s="50"/>
      <c r="TGF16" s="50"/>
      <c r="TGG16" s="50"/>
      <c r="TGH16" s="50"/>
      <c r="TGI16" s="50"/>
      <c r="TGJ16" s="50"/>
      <c r="TGK16" s="50"/>
      <c r="TGL16" s="50"/>
      <c r="TGM16" s="50"/>
      <c r="TGN16" s="50"/>
      <c r="TGO16" s="50"/>
      <c r="TGP16" s="50"/>
      <c r="TGQ16" s="50"/>
      <c r="TGR16" s="50"/>
      <c r="TGS16" s="50"/>
      <c r="TGT16" s="50"/>
      <c r="TGU16" s="50"/>
      <c r="TGV16" s="50"/>
      <c r="TGW16" s="50"/>
      <c r="TGX16" s="50"/>
      <c r="TGY16" s="50"/>
      <c r="TGZ16" s="50"/>
      <c r="THA16" s="50"/>
      <c r="THB16" s="50"/>
      <c r="THC16" s="50"/>
      <c r="THD16" s="50"/>
      <c r="THE16" s="50"/>
      <c r="THF16" s="50"/>
      <c r="THG16" s="50"/>
      <c r="THH16" s="50"/>
      <c r="THI16" s="50"/>
      <c r="THJ16" s="50"/>
      <c r="THK16" s="50"/>
      <c r="THL16" s="50"/>
      <c r="THM16" s="50"/>
      <c r="THN16" s="50"/>
      <c r="THO16" s="50"/>
      <c r="THP16" s="50"/>
      <c r="THQ16" s="50"/>
      <c r="THR16" s="50"/>
      <c r="THS16" s="50"/>
      <c r="THT16" s="50"/>
      <c r="THU16" s="50"/>
      <c r="THV16" s="50"/>
      <c r="THW16" s="50"/>
      <c r="THX16" s="50"/>
      <c r="THY16" s="50"/>
      <c r="THZ16" s="50"/>
      <c r="TIA16" s="50"/>
      <c r="TIB16" s="50"/>
      <c r="TIC16" s="50"/>
      <c r="TID16" s="50"/>
      <c r="TIE16" s="50"/>
      <c r="TIF16" s="50"/>
      <c r="TIG16" s="50"/>
      <c r="TIH16" s="50"/>
      <c r="TII16" s="50"/>
      <c r="TIJ16" s="50"/>
      <c r="TIK16" s="50"/>
      <c r="TIL16" s="50"/>
      <c r="TIM16" s="50"/>
      <c r="TIN16" s="50"/>
      <c r="TIO16" s="50"/>
      <c r="TIP16" s="50"/>
      <c r="TIQ16" s="50"/>
      <c r="TIR16" s="50"/>
      <c r="TIS16" s="50"/>
      <c r="TIT16" s="50"/>
      <c r="TIU16" s="50"/>
      <c r="TIV16" s="50"/>
      <c r="TIW16" s="50"/>
      <c r="TIX16" s="50"/>
      <c r="TIY16" s="50"/>
      <c r="TIZ16" s="50"/>
      <c r="TJA16" s="50"/>
      <c r="TJB16" s="50"/>
      <c r="TJC16" s="50"/>
      <c r="TJD16" s="50"/>
      <c r="TJE16" s="50"/>
      <c r="TJF16" s="50"/>
      <c r="TJG16" s="50"/>
      <c r="TJH16" s="50"/>
      <c r="TJI16" s="50"/>
      <c r="TJJ16" s="50"/>
      <c r="TJK16" s="50"/>
      <c r="TJL16" s="50"/>
      <c r="TJM16" s="50"/>
      <c r="TJN16" s="50"/>
      <c r="TJO16" s="50"/>
      <c r="TJP16" s="50"/>
      <c r="TJQ16" s="50"/>
      <c r="TJR16" s="50"/>
      <c r="TJS16" s="50"/>
      <c r="TJT16" s="50"/>
      <c r="TJU16" s="50"/>
      <c r="TJV16" s="50"/>
      <c r="TJW16" s="50"/>
      <c r="TJX16" s="50"/>
      <c r="TJY16" s="50"/>
      <c r="TJZ16" s="50"/>
      <c r="TKA16" s="50"/>
      <c r="TKB16" s="50"/>
      <c r="TKC16" s="50"/>
      <c r="TKD16" s="50"/>
      <c r="TKE16" s="50"/>
      <c r="TKF16" s="50"/>
      <c r="TKG16" s="50"/>
      <c r="TKH16" s="50"/>
      <c r="TKI16" s="50"/>
      <c r="TKJ16" s="50"/>
      <c r="TKK16" s="50"/>
      <c r="TKL16" s="50"/>
      <c r="TKM16" s="50"/>
      <c r="TKN16" s="50"/>
      <c r="TKO16" s="50"/>
      <c r="TKP16" s="50"/>
      <c r="TKQ16" s="50"/>
      <c r="TKR16" s="50"/>
      <c r="TKS16" s="50"/>
      <c r="TKT16" s="50"/>
      <c r="TKU16" s="50"/>
      <c r="TKV16" s="50"/>
      <c r="TKW16" s="50"/>
      <c r="TKX16" s="50"/>
      <c r="TKY16" s="50"/>
      <c r="TKZ16" s="50"/>
      <c r="TLA16" s="50"/>
      <c r="TLB16" s="50"/>
      <c r="TLC16" s="50"/>
      <c r="TLD16" s="50"/>
      <c r="TLE16" s="50"/>
      <c r="TLF16" s="50"/>
      <c r="TLG16" s="50"/>
      <c r="TLH16" s="50"/>
      <c r="TLI16" s="50"/>
      <c r="TLJ16" s="50"/>
      <c r="TLK16" s="50"/>
      <c r="TLL16" s="50"/>
      <c r="TLM16" s="50"/>
      <c r="TLN16" s="50"/>
      <c r="TLO16" s="50"/>
      <c r="TLP16" s="50"/>
      <c r="TLQ16" s="50"/>
      <c r="TLR16" s="50"/>
      <c r="TLS16" s="50"/>
      <c r="TLT16" s="50"/>
      <c r="TLU16" s="50"/>
      <c r="TLV16" s="50"/>
      <c r="TLW16" s="50"/>
      <c r="TLX16" s="50"/>
      <c r="TLY16" s="50"/>
      <c r="TLZ16" s="50"/>
      <c r="TMA16" s="50"/>
      <c r="TMB16" s="50"/>
      <c r="TMC16" s="50"/>
      <c r="TMD16" s="50"/>
      <c r="TME16" s="50"/>
      <c r="TMF16" s="50"/>
      <c r="TMG16" s="50"/>
      <c r="TMH16" s="50"/>
      <c r="TMI16" s="50"/>
      <c r="TMJ16" s="50"/>
      <c r="TMK16" s="50"/>
      <c r="TML16" s="50"/>
      <c r="TMM16" s="50"/>
      <c r="TMN16" s="50"/>
      <c r="TMO16" s="50"/>
      <c r="TMP16" s="50"/>
      <c r="TMQ16" s="50"/>
      <c r="TMR16" s="50"/>
      <c r="TMS16" s="50"/>
      <c r="TMT16" s="50"/>
      <c r="TMU16" s="50"/>
      <c r="TMV16" s="50"/>
      <c r="TMW16" s="50"/>
      <c r="TMX16" s="50"/>
      <c r="TMY16" s="50"/>
      <c r="TMZ16" s="50"/>
      <c r="TNA16" s="50"/>
      <c r="TNB16" s="50"/>
      <c r="TNC16" s="50"/>
      <c r="TND16" s="50"/>
      <c r="TNE16" s="50"/>
      <c r="TNF16" s="50"/>
      <c r="TNG16" s="50"/>
      <c r="TNH16" s="50"/>
      <c r="TNI16" s="50"/>
      <c r="TNJ16" s="50"/>
      <c r="TNK16" s="50"/>
      <c r="TNL16" s="50"/>
      <c r="TNM16" s="50"/>
      <c r="TNN16" s="50"/>
      <c r="TNO16" s="50"/>
      <c r="TNP16" s="50"/>
      <c r="TNQ16" s="50"/>
      <c r="TNR16" s="50"/>
      <c r="TNS16" s="50"/>
      <c r="TNT16" s="50"/>
      <c r="TNU16" s="50"/>
      <c r="TNV16" s="50"/>
      <c r="TNW16" s="50"/>
      <c r="TNX16" s="50"/>
      <c r="TNY16" s="50"/>
      <c r="TNZ16" s="50"/>
      <c r="TOA16" s="50"/>
      <c r="TOB16" s="50"/>
      <c r="TOC16" s="50"/>
      <c r="TOD16" s="50"/>
      <c r="TOE16" s="50"/>
      <c r="TOF16" s="50"/>
      <c r="TOG16" s="50"/>
      <c r="TOH16" s="50"/>
      <c r="TOI16" s="50"/>
      <c r="TOJ16" s="50"/>
      <c r="TOK16" s="50"/>
      <c r="TOL16" s="50"/>
      <c r="TOM16" s="50"/>
      <c r="TON16" s="50"/>
      <c r="TOO16" s="50"/>
      <c r="TOP16" s="50"/>
      <c r="TOQ16" s="50"/>
      <c r="TOR16" s="50"/>
      <c r="TOS16" s="50"/>
      <c r="TOT16" s="50"/>
      <c r="TOU16" s="50"/>
      <c r="TOV16" s="50"/>
      <c r="TOW16" s="50"/>
      <c r="TOX16" s="50"/>
      <c r="TOY16" s="50"/>
      <c r="TOZ16" s="50"/>
      <c r="TPA16" s="50"/>
      <c r="TPB16" s="50"/>
      <c r="TPC16" s="50"/>
      <c r="TPD16" s="50"/>
      <c r="TPE16" s="50"/>
      <c r="TPF16" s="50"/>
      <c r="TPG16" s="50"/>
      <c r="TPH16" s="50"/>
      <c r="TPI16" s="50"/>
      <c r="TPJ16" s="50"/>
      <c r="TPK16" s="50"/>
      <c r="TPL16" s="50"/>
      <c r="TPM16" s="50"/>
      <c r="TPN16" s="50"/>
      <c r="TPO16" s="50"/>
      <c r="TPP16" s="50"/>
      <c r="TPQ16" s="50"/>
      <c r="TPR16" s="50"/>
      <c r="TPS16" s="50"/>
      <c r="TPT16" s="50"/>
      <c r="TPU16" s="50"/>
      <c r="TPV16" s="50"/>
      <c r="TPW16" s="50"/>
      <c r="TPX16" s="50"/>
      <c r="TPY16" s="50"/>
      <c r="TPZ16" s="50"/>
      <c r="TQA16" s="50"/>
      <c r="TQB16" s="50"/>
      <c r="TQC16" s="50"/>
      <c r="TQD16" s="50"/>
      <c r="TQE16" s="50"/>
      <c r="TQF16" s="50"/>
      <c r="TQG16" s="50"/>
      <c r="TQH16" s="50"/>
      <c r="TQI16" s="50"/>
      <c r="TQJ16" s="50"/>
      <c r="TQK16" s="50"/>
      <c r="TQL16" s="50"/>
      <c r="TQM16" s="50"/>
      <c r="TQN16" s="50"/>
      <c r="TQO16" s="50"/>
      <c r="TQP16" s="50"/>
      <c r="TQQ16" s="50"/>
      <c r="TQR16" s="50"/>
      <c r="TQS16" s="50"/>
      <c r="TQT16" s="50"/>
      <c r="TQU16" s="50"/>
      <c r="TQV16" s="50"/>
      <c r="TQW16" s="50"/>
      <c r="TQX16" s="50"/>
      <c r="TQY16" s="50"/>
      <c r="TQZ16" s="50"/>
      <c r="TRA16" s="50"/>
      <c r="TRB16" s="50"/>
      <c r="TRC16" s="50"/>
      <c r="TRD16" s="50"/>
      <c r="TRE16" s="50"/>
      <c r="TRF16" s="50"/>
      <c r="TRG16" s="50"/>
      <c r="TRH16" s="50"/>
      <c r="TRI16" s="50"/>
      <c r="TRJ16" s="50"/>
      <c r="TRK16" s="50"/>
      <c r="TRL16" s="50"/>
      <c r="TRM16" s="50"/>
      <c r="TRN16" s="50"/>
      <c r="TRO16" s="50"/>
      <c r="TRP16" s="50"/>
      <c r="TRQ16" s="50"/>
      <c r="TRR16" s="50"/>
      <c r="TRS16" s="50"/>
      <c r="TRT16" s="50"/>
      <c r="TRU16" s="50"/>
      <c r="TRV16" s="50"/>
      <c r="TRW16" s="50"/>
      <c r="TRX16" s="50"/>
      <c r="TRY16" s="50"/>
      <c r="TRZ16" s="50"/>
      <c r="TSA16" s="50"/>
      <c r="TSB16" s="50"/>
      <c r="TSC16" s="50"/>
      <c r="TSD16" s="50"/>
      <c r="TSE16" s="50"/>
      <c r="TSF16" s="50"/>
      <c r="TSG16" s="50"/>
      <c r="TSH16" s="50"/>
      <c r="TSI16" s="50"/>
      <c r="TSJ16" s="50"/>
      <c r="TSK16" s="50"/>
      <c r="TSL16" s="50"/>
      <c r="TSM16" s="50"/>
      <c r="TSN16" s="50"/>
      <c r="TSO16" s="50"/>
      <c r="TSP16" s="50"/>
      <c r="TSQ16" s="50"/>
      <c r="TSR16" s="50"/>
      <c r="TSS16" s="50"/>
      <c r="TST16" s="50"/>
      <c r="TSU16" s="50"/>
      <c r="TSV16" s="50"/>
      <c r="TSW16" s="50"/>
      <c r="TSX16" s="50"/>
      <c r="TSY16" s="50"/>
      <c r="TSZ16" s="50"/>
      <c r="TTA16" s="50"/>
      <c r="TTB16" s="50"/>
      <c r="TTC16" s="50"/>
      <c r="TTD16" s="50"/>
      <c r="TTE16" s="50"/>
      <c r="TTF16" s="50"/>
      <c r="TTG16" s="50"/>
      <c r="TTH16" s="50"/>
      <c r="TTI16" s="50"/>
      <c r="TTJ16" s="50"/>
      <c r="TTK16" s="50"/>
      <c r="TTL16" s="50"/>
      <c r="TTM16" s="50"/>
      <c r="TTN16" s="50"/>
      <c r="TTO16" s="50"/>
      <c r="TTP16" s="50"/>
      <c r="TTQ16" s="50"/>
      <c r="TTR16" s="50"/>
      <c r="TTS16" s="50"/>
      <c r="TTT16" s="50"/>
      <c r="TTU16" s="50"/>
      <c r="TTV16" s="50"/>
      <c r="TTW16" s="50"/>
      <c r="TTX16" s="50"/>
      <c r="TTY16" s="50"/>
      <c r="TTZ16" s="50"/>
      <c r="TUA16" s="50"/>
      <c r="TUB16" s="50"/>
      <c r="TUC16" s="50"/>
      <c r="TUD16" s="50"/>
      <c r="TUE16" s="50"/>
      <c r="TUF16" s="50"/>
      <c r="TUG16" s="50"/>
      <c r="TUH16" s="50"/>
      <c r="TUI16" s="50"/>
      <c r="TUJ16" s="50"/>
      <c r="TUK16" s="50"/>
      <c r="TUL16" s="50"/>
      <c r="TUM16" s="50"/>
      <c r="TUN16" s="50"/>
      <c r="TUO16" s="50"/>
      <c r="TUP16" s="50"/>
      <c r="TUQ16" s="50"/>
      <c r="TUR16" s="50"/>
      <c r="TUS16" s="50"/>
      <c r="TUT16" s="50"/>
      <c r="TUU16" s="50"/>
      <c r="TUV16" s="50"/>
      <c r="TUW16" s="50"/>
      <c r="TUX16" s="50"/>
      <c r="TUY16" s="50"/>
      <c r="TUZ16" s="50"/>
      <c r="TVA16" s="50"/>
      <c r="TVB16" s="50"/>
      <c r="TVC16" s="50"/>
      <c r="TVD16" s="50"/>
      <c r="TVE16" s="50"/>
      <c r="TVF16" s="50"/>
      <c r="TVG16" s="50"/>
      <c r="TVH16" s="50"/>
      <c r="TVI16" s="50"/>
      <c r="TVJ16" s="50"/>
      <c r="TVK16" s="50"/>
      <c r="TVL16" s="50"/>
      <c r="TVM16" s="50"/>
      <c r="TVN16" s="50"/>
      <c r="TVO16" s="50"/>
      <c r="TVP16" s="50"/>
      <c r="TVQ16" s="50"/>
      <c r="TVR16" s="50"/>
      <c r="TVS16" s="50"/>
      <c r="TVT16" s="50"/>
      <c r="TVU16" s="50"/>
      <c r="TVV16" s="50"/>
      <c r="TVW16" s="50"/>
      <c r="TVX16" s="50"/>
      <c r="TVY16" s="50"/>
      <c r="TVZ16" s="50"/>
      <c r="TWA16" s="50"/>
      <c r="TWB16" s="50"/>
      <c r="TWC16" s="50"/>
      <c r="TWD16" s="50"/>
      <c r="TWE16" s="50"/>
      <c r="TWF16" s="50"/>
      <c r="TWG16" s="50"/>
      <c r="TWH16" s="50"/>
      <c r="TWI16" s="50"/>
      <c r="TWJ16" s="50"/>
      <c r="TWK16" s="50"/>
      <c r="TWL16" s="50"/>
      <c r="TWM16" s="50"/>
      <c r="TWN16" s="50"/>
      <c r="TWO16" s="50"/>
      <c r="TWP16" s="50"/>
      <c r="TWQ16" s="50"/>
      <c r="TWR16" s="50"/>
      <c r="TWS16" s="50"/>
      <c r="TWT16" s="50"/>
      <c r="TWU16" s="50"/>
      <c r="TWV16" s="50"/>
      <c r="TWW16" s="50"/>
      <c r="TWX16" s="50"/>
      <c r="TWY16" s="50"/>
      <c r="TWZ16" s="50"/>
      <c r="TXA16" s="50"/>
      <c r="TXB16" s="50"/>
      <c r="TXC16" s="50"/>
      <c r="TXD16" s="50"/>
      <c r="TXE16" s="50"/>
      <c r="TXF16" s="50"/>
      <c r="TXG16" s="50"/>
      <c r="TXH16" s="50"/>
      <c r="TXI16" s="50"/>
      <c r="TXJ16" s="50"/>
      <c r="TXK16" s="50"/>
      <c r="TXL16" s="50"/>
      <c r="TXM16" s="50"/>
      <c r="TXN16" s="50"/>
      <c r="TXO16" s="50"/>
      <c r="TXP16" s="50"/>
      <c r="TXQ16" s="50"/>
      <c r="TXR16" s="50"/>
      <c r="TXS16" s="50"/>
      <c r="TXT16" s="50"/>
      <c r="TXU16" s="50"/>
      <c r="TXV16" s="50"/>
      <c r="TXW16" s="50"/>
      <c r="TXX16" s="50"/>
      <c r="TXY16" s="50"/>
      <c r="TXZ16" s="50"/>
      <c r="TYA16" s="50"/>
      <c r="TYB16" s="50"/>
      <c r="TYC16" s="50"/>
      <c r="TYD16" s="50"/>
      <c r="TYE16" s="50"/>
      <c r="TYF16" s="50"/>
      <c r="TYG16" s="50"/>
      <c r="TYH16" s="50"/>
      <c r="TYI16" s="50"/>
      <c r="TYJ16" s="50"/>
      <c r="TYK16" s="50"/>
      <c r="TYL16" s="50"/>
      <c r="TYM16" s="50"/>
      <c r="TYN16" s="50"/>
      <c r="TYO16" s="50"/>
      <c r="TYP16" s="50"/>
      <c r="TYQ16" s="50"/>
      <c r="TYR16" s="50"/>
      <c r="TYS16" s="50"/>
      <c r="TYT16" s="50"/>
      <c r="TYU16" s="50"/>
      <c r="TYV16" s="50"/>
      <c r="TYW16" s="50"/>
      <c r="TYX16" s="50"/>
      <c r="TYY16" s="50"/>
      <c r="TYZ16" s="50"/>
      <c r="TZA16" s="50"/>
      <c r="TZB16" s="50"/>
      <c r="TZC16" s="50"/>
      <c r="TZD16" s="50"/>
      <c r="TZE16" s="50"/>
      <c r="TZF16" s="50"/>
      <c r="TZG16" s="50"/>
      <c r="TZH16" s="50"/>
      <c r="TZI16" s="50"/>
      <c r="TZJ16" s="50"/>
      <c r="TZK16" s="50"/>
      <c r="TZL16" s="50"/>
      <c r="TZM16" s="50"/>
      <c r="TZN16" s="50"/>
      <c r="TZO16" s="50"/>
      <c r="TZP16" s="50"/>
      <c r="TZQ16" s="50"/>
      <c r="TZR16" s="50"/>
      <c r="TZS16" s="50"/>
      <c r="TZT16" s="50"/>
      <c r="TZU16" s="50"/>
      <c r="TZV16" s="50"/>
      <c r="TZW16" s="50"/>
      <c r="TZX16" s="50"/>
      <c r="TZY16" s="50"/>
      <c r="TZZ16" s="50"/>
      <c r="UAA16" s="50"/>
      <c r="UAB16" s="50"/>
      <c r="UAC16" s="50"/>
      <c r="UAD16" s="50"/>
      <c r="UAE16" s="50"/>
      <c r="UAF16" s="50"/>
      <c r="UAG16" s="50"/>
      <c r="UAH16" s="50"/>
      <c r="UAI16" s="50"/>
      <c r="UAJ16" s="50"/>
      <c r="UAK16" s="50"/>
      <c r="UAL16" s="50"/>
      <c r="UAM16" s="50"/>
      <c r="UAN16" s="50"/>
      <c r="UAO16" s="50"/>
      <c r="UAP16" s="50"/>
      <c r="UAQ16" s="50"/>
      <c r="UAR16" s="50"/>
      <c r="UAS16" s="50"/>
      <c r="UAT16" s="50"/>
      <c r="UAU16" s="50"/>
      <c r="UAV16" s="50"/>
      <c r="UAW16" s="50"/>
      <c r="UAX16" s="50"/>
      <c r="UAY16" s="50"/>
      <c r="UAZ16" s="50"/>
      <c r="UBA16" s="50"/>
      <c r="UBB16" s="50"/>
      <c r="UBC16" s="50"/>
      <c r="UBD16" s="50"/>
      <c r="UBE16" s="50"/>
      <c r="UBF16" s="50"/>
      <c r="UBG16" s="50"/>
      <c r="UBH16" s="50"/>
      <c r="UBI16" s="50"/>
      <c r="UBJ16" s="50"/>
      <c r="UBK16" s="50"/>
      <c r="UBL16" s="50"/>
      <c r="UBM16" s="50"/>
      <c r="UBN16" s="50"/>
      <c r="UBO16" s="50"/>
      <c r="UBP16" s="50"/>
      <c r="UBQ16" s="50"/>
      <c r="UBR16" s="50"/>
      <c r="UBS16" s="50"/>
      <c r="UBT16" s="50"/>
      <c r="UBU16" s="50"/>
      <c r="UBV16" s="50"/>
      <c r="UBW16" s="50"/>
      <c r="UBX16" s="50"/>
      <c r="UBY16" s="50"/>
      <c r="UBZ16" s="50"/>
      <c r="UCA16" s="50"/>
      <c r="UCB16" s="50"/>
      <c r="UCC16" s="50"/>
      <c r="UCD16" s="50"/>
      <c r="UCE16" s="50"/>
      <c r="UCF16" s="50"/>
      <c r="UCG16" s="50"/>
      <c r="UCH16" s="50"/>
      <c r="UCI16" s="50"/>
      <c r="UCJ16" s="50"/>
      <c r="UCK16" s="50"/>
      <c r="UCL16" s="50"/>
      <c r="UCM16" s="50"/>
      <c r="UCN16" s="50"/>
      <c r="UCO16" s="50"/>
      <c r="UCP16" s="50"/>
      <c r="UCQ16" s="50"/>
      <c r="UCR16" s="50"/>
      <c r="UCS16" s="50"/>
      <c r="UCT16" s="50"/>
      <c r="UCU16" s="50"/>
      <c r="UCV16" s="50"/>
      <c r="UCW16" s="50"/>
      <c r="UCX16" s="50"/>
      <c r="UCY16" s="50"/>
      <c r="UCZ16" s="50"/>
      <c r="UDA16" s="50"/>
      <c r="UDB16" s="50"/>
      <c r="UDC16" s="50"/>
      <c r="UDD16" s="50"/>
      <c r="UDE16" s="50"/>
      <c r="UDF16" s="50"/>
      <c r="UDG16" s="50"/>
      <c r="UDH16" s="50"/>
      <c r="UDI16" s="50"/>
      <c r="UDJ16" s="50"/>
      <c r="UDK16" s="50"/>
      <c r="UDL16" s="50"/>
      <c r="UDM16" s="50"/>
      <c r="UDN16" s="50"/>
      <c r="UDO16" s="50"/>
      <c r="UDP16" s="50"/>
      <c r="UDQ16" s="50"/>
      <c r="UDR16" s="50"/>
      <c r="UDS16" s="50"/>
      <c r="UDT16" s="50"/>
      <c r="UDU16" s="50"/>
      <c r="UDV16" s="50"/>
      <c r="UDW16" s="50"/>
      <c r="UDX16" s="50"/>
      <c r="UDY16" s="50"/>
      <c r="UDZ16" s="50"/>
      <c r="UEA16" s="50"/>
      <c r="UEB16" s="50"/>
      <c r="UEC16" s="50"/>
      <c r="UED16" s="50"/>
      <c r="UEE16" s="50"/>
      <c r="UEF16" s="50"/>
      <c r="UEG16" s="50"/>
      <c r="UEH16" s="50"/>
      <c r="UEI16" s="50"/>
      <c r="UEJ16" s="50"/>
      <c r="UEK16" s="50"/>
      <c r="UEL16" s="50"/>
      <c r="UEM16" s="50"/>
      <c r="UEN16" s="50"/>
      <c r="UEO16" s="50"/>
      <c r="UEP16" s="50"/>
      <c r="UEQ16" s="50"/>
      <c r="UER16" s="50"/>
      <c r="UES16" s="50"/>
      <c r="UET16" s="50"/>
      <c r="UEU16" s="50"/>
      <c r="UEV16" s="50"/>
      <c r="UEW16" s="50"/>
      <c r="UEX16" s="50"/>
      <c r="UEY16" s="50"/>
      <c r="UEZ16" s="50"/>
      <c r="UFA16" s="50"/>
      <c r="UFB16" s="50"/>
      <c r="UFC16" s="50"/>
      <c r="UFD16" s="50"/>
      <c r="UFE16" s="50"/>
      <c r="UFF16" s="50"/>
      <c r="UFG16" s="50"/>
      <c r="UFH16" s="50"/>
      <c r="UFI16" s="50"/>
      <c r="UFJ16" s="50"/>
      <c r="UFK16" s="50"/>
      <c r="UFL16" s="50"/>
      <c r="UFM16" s="50"/>
      <c r="UFN16" s="50"/>
      <c r="UFO16" s="50"/>
      <c r="UFP16" s="50"/>
      <c r="UFQ16" s="50"/>
      <c r="UFR16" s="50"/>
      <c r="UFS16" s="50"/>
      <c r="UFT16" s="50"/>
      <c r="UFU16" s="50"/>
      <c r="UFV16" s="50"/>
      <c r="UFW16" s="50"/>
      <c r="UFX16" s="50"/>
      <c r="UFY16" s="50"/>
      <c r="UFZ16" s="50"/>
      <c r="UGA16" s="50"/>
      <c r="UGB16" s="50"/>
      <c r="UGC16" s="50"/>
      <c r="UGD16" s="50"/>
      <c r="UGE16" s="50"/>
      <c r="UGF16" s="50"/>
      <c r="UGG16" s="50"/>
      <c r="UGH16" s="50"/>
      <c r="UGI16" s="50"/>
      <c r="UGJ16" s="50"/>
      <c r="UGK16" s="50"/>
      <c r="UGL16" s="50"/>
      <c r="UGM16" s="50"/>
      <c r="UGN16" s="50"/>
      <c r="UGO16" s="50"/>
      <c r="UGP16" s="50"/>
      <c r="UGQ16" s="50"/>
      <c r="UGR16" s="50"/>
      <c r="UGS16" s="50"/>
      <c r="UGT16" s="50"/>
      <c r="UGU16" s="50"/>
      <c r="UGV16" s="50"/>
      <c r="UGW16" s="50"/>
      <c r="UGX16" s="50"/>
      <c r="UGY16" s="50"/>
      <c r="UGZ16" s="50"/>
      <c r="UHA16" s="50"/>
      <c r="UHB16" s="50"/>
      <c r="UHC16" s="50"/>
      <c r="UHD16" s="50"/>
      <c r="UHE16" s="50"/>
      <c r="UHF16" s="50"/>
      <c r="UHG16" s="50"/>
      <c r="UHH16" s="50"/>
      <c r="UHI16" s="50"/>
      <c r="UHJ16" s="50"/>
      <c r="UHK16" s="50"/>
      <c r="UHL16" s="50"/>
      <c r="UHM16" s="50"/>
      <c r="UHN16" s="50"/>
      <c r="UHO16" s="50"/>
      <c r="UHP16" s="50"/>
      <c r="UHQ16" s="50"/>
      <c r="UHR16" s="50"/>
      <c r="UHS16" s="50"/>
      <c r="UHT16" s="50"/>
      <c r="UHU16" s="50"/>
      <c r="UHV16" s="50"/>
      <c r="UHW16" s="50"/>
      <c r="UHX16" s="50"/>
      <c r="UHY16" s="50"/>
      <c r="UHZ16" s="50"/>
      <c r="UIA16" s="50"/>
      <c r="UIB16" s="50"/>
      <c r="UIC16" s="50"/>
      <c r="UID16" s="50"/>
      <c r="UIE16" s="50"/>
      <c r="UIF16" s="50"/>
      <c r="UIG16" s="50"/>
      <c r="UIH16" s="50"/>
      <c r="UII16" s="50"/>
      <c r="UIJ16" s="50"/>
      <c r="UIK16" s="50"/>
      <c r="UIL16" s="50"/>
      <c r="UIM16" s="50"/>
      <c r="UIN16" s="50"/>
      <c r="UIO16" s="50"/>
      <c r="UIP16" s="50"/>
      <c r="UIQ16" s="50"/>
      <c r="UIR16" s="50"/>
      <c r="UIS16" s="50"/>
      <c r="UIT16" s="50"/>
      <c r="UIU16" s="50"/>
      <c r="UIV16" s="50"/>
      <c r="UIW16" s="50"/>
      <c r="UIX16" s="50"/>
      <c r="UIY16" s="50"/>
      <c r="UIZ16" s="50"/>
      <c r="UJA16" s="50"/>
      <c r="UJB16" s="50"/>
      <c r="UJC16" s="50"/>
      <c r="UJD16" s="50"/>
      <c r="UJE16" s="50"/>
      <c r="UJF16" s="50"/>
      <c r="UJG16" s="50"/>
      <c r="UJH16" s="50"/>
      <c r="UJI16" s="50"/>
      <c r="UJJ16" s="50"/>
      <c r="UJK16" s="50"/>
      <c r="UJL16" s="50"/>
      <c r="UJM16" s="50"/>
      <c r="UJN16" s="50"/>
      <c r="UJO16" s="50"/>
      <c r="UJP16" s="50"/>
      <c r="UJQ16" s="50"/>
      <c r="UJR16" s="50"/>
      <c r="UJS16" s="50"/>
      <c r="UJT16" s="50"/>
      <c r="UJU16" s="50"/>
      <c r="UJV16" s="50"/>
      <c r="UJW16" s="50"/>
      <c r="UJX16" s="50"/>
      <c r="UJY16" s="50"/>
      <c r="UJZ16" s="50"/>
      <c r="UKA16" s="50"/>
      <c r="UKB16" s="50"/>
      <c r="UKC16" s="50"/>
      <c r="UKD16" s="50"/>
      <c r="UKE16" s="50"/>
      <c r="UKF16" s="50"/>
      <c r="UKG16" s="50"/>
      <c r="UKH16" s="50"/>
      <c r="UKI16" s="50"/>
      <c r="UKJ16" s="50"/>
      <c r="UKK16" s="50"/>
      <c r="UKL16" s="50"/>
      <c r="UKM16" s="50"/>
      <c r="UKN16" s="50"/>
      <c r="UKO16" s="50"/>
      <c r="UKP16" s="50"/>
      <c r="UKQ16" s="50"/>
      <c r="UKR16" s="50"/>
      <c r="UKS16" s="50"/>
      <c r="UKT16" s="50"/>
      <c r="UKU16" s="50"/>
      <c r="UKV16" s="50"/>
      <c r="UKW16" s="50"/>
      <c r="UKX16" s="50"/>
      <c r="UKY16" s="50"/>
      <c r="UKZ16" s="50"/>
      <c r="ULA16" s="50"/>
      <c r="ULB16" s="50"/>
      <c r="ULC16" s="50"/>
      <c r="ULD16" s="50"/>
      <c r="ULE16" s="50"/>
      <c r="ULF16" s="50"/>
      <c r="ULG16" s="50"/>
      <c r="ULH16" s="50"/>
      <c r="ULI16" s="50"/>
      <c r="ULJ16" s="50"/>
      <c r="ULK16" s="50"/>
      <c r="ULL16" s="50"/>
      <c r="ULM16" s="50"/>
      <c r="ULN16" s="50"/>
      <c r="ULO16" s="50"/>
      <c r="ULP16" s="50"/>
      <c r="ULQ16" s="50"/>
      <c r="ULR16" s="50"/>
      <c r="ULS16" s="50"/>
      <c r="ULT16" s="50"/>
      <c r="ULU16" s="50"/>
      <c r="ULV16" s="50"/>
      <c r="ULW16" s="50"/>
      <c r="ULX16" s="50"/>
      <c r="ULY16" s="50"/>
      <c r="ULZ16" s="50"/>
      <c r="UMA16" s="50"/>
      <c r="UMB16" s="50"/>
      <c r="UMC16" s="50"/>
      <c r="UMD16" s="50"/>
      <c r="UME16" s="50"/>
      <c r="UMF16" s="50"/>
      <c r="UMG16" s="50"/>
      <c r="UMH16" s="50"/>
      <c r="UMI16" s="50"/>
      <c r="UMJ16" s="50"/>
      <c r="UMK16" s="50"/>
      <c r="UML16" s="50"/>
      <c r="UMM16" s="50"/>
      <c r="UMN16" s="50"/>
      <c r="UMO16" s="50"/>
      <c r="UMP16" s="50"/>
      <c r="UMQ16" s="50"/>
      <c r="UMR16" s="50"/>
      <c r="UMS16" s="50"/>
      <c r="UMT16" s="50"/>
      <c r="UMU16" s="50"/>
      <c r="UMV16" s="50"/>
      <c r="UMW16" s="50"/>
      <c r="UMX16" s="50"/>
      <c r="UMY16" s="50"/>
      <c r="UMZ16" s="50"/>
      <c r="UNA16" s="50"/>
      <c r="UNB16" s="50"/>
      <c r="UNC16" s="50"/>
      <c r="UND16" s="50"/>
      <c r="UNE16" s="50"/>
      <c r="UNF16" s="50"/>
      <c r="UNG16" s="50"/>
      <c r="UNH16" s="50"/>
      <c r="UNI16" s="50"/>
      <c r="UNJ16" s="50"/>
      <c r="UNK16" s="50"/>
      <c r="UNL16" s="50"/>
      <c r="UNM16" s="50"/>
      <c r="UNN16" s="50"/>
      <c r="UNO16" s="50"/>
      <c r="UNP16" s="50"/>
      <c r="UNQ16" s="50"/>
      <c r="UNR16" s="50"/>
      <c r="UNS16" s="50"/>
      <c r="UNT16" s="50"/>
      <c r="UNU16" s="50"/>
      <c r="UNV16" s="50"/>
      <c r="UNW16" s="50"/>
      <c r="UNX16" s="50"/>
      <c r="UNY16" s="50"/>
      <c r="UNZ16" s="50"/>
      <c r="UOA16" s="50"/>
      <c r="UOB16" s="50"/>
      <c r="UOC16" s="50"/>
      <c r="UOD16" s="50"/>
      <c r="UOE16" s="50"/>
      <c r="UOF16" s="50"/>
      <c r="UOG16" s="50"/>
      <c r="UOH16" s="50"/>
      <c r="UOI16" s="50"/>
      <c r="UOJ16" s="50"/>
      <c r="UOK16" s="50"/>
      <c r="UOL16" s="50"/>
      <c r="UOM16" s="50"/>
      <c r="UON16" s="50"/>
      <c r="UOO16" s="50"/>
      <c r="UOP16" s="50"/>
      <c r="UOQ16" s="50"/>
      <c r="UOR16" s="50"/>
      <c r="UOS16" s="50"/>
      <c r="UOT16" s="50"/>
      <c r="UOU16" s="50"/>
      <c r="UOV16" s="50"/>
      <c r="UOW16" s="50"/>
      <c r="UOX16" s="50"/>
      <c r="UOY16" s="50"/>
      <c r="UOZ16" s="50"/>
      <c r="UPA16" s="50"/>
      <c r="UPB16" s="50"/>
      <c r="UPC16" s="50"/>
      <c r="UPD16" s="50"/>
      <c r="UPE16" s="50"/>
      <c r="UPF16" s="50"/>
      <c r="UPG16" s="50"/>
      <c r="UPH16" s="50"/>
      <c r="UPI16" s="50"/>
      <c r="UPJ16" s="50"/>
      <c r="UPK16" s="50"/>
      <c r="UPL16" s="50"/>
      <c r="UPM16" s="50"/>
      <c r="UPN16" s="50"/>
      <c r="UPO16" s="50"/>
      <c r="UPP16" s="50"/>
      <c r="UPQ16" s="50"/>
      <c r="UPR16" s="50"/>
      <c r="UPS16" s="50"/>
      <c r="UPT16" s="50"/>
      <c r="UPU16" s="50"/>
      <c r="UPV16" s="50"/>
      <c r="UPW16" s="50"/>
      <c r="UPX16" s="50"/>
      <c r="UPY16" s="50"/>
      <c r="UPZ16" s="50"/>
      <c r="UQA16" s="50"/>
      <c r="UQB16" s="50"/>
      <c r="UQC16" s="50"/>
      <c r="UQD16" s="50"/>
      <c r="UQE16" s="50"/>
      <c r="UQF16" s="50"/>
      <c r="UQG16" s="50"/>
      <c r="UQH16" s="50"/>
      <c r="UQI16" s="50"/>
      <c r="UQJ16" s="50"/>
      <c r="UQK16" s="50"/>
      <c r="UQL16" s="50"/>
      <c r="UQM16" s="50"/>
      <c r="UQN16" s="50"/>
      <c r="UQO16" s="50"/>
      <c r="UQP16" s="50"/>
      <c r="UQQ16" s="50"/>
      <c r="UQR16" s="50"/>
      <c r="UQS16" s="50"/>
      <c r="UQT16" s="50"/>
      <c r="UQU16" s="50"/>
      <c r="UQV16" s="50"/>
      <c r="UQW16" s="50"/>
      <c r="UQX16" s="50"/>
      <c r="UQY16" s="50"/>
      <c r="UQZ16" s="50"/>
      <c r="URA16" s="50"/>
      <c r="URB16" s="50"/>
      <c r="URC16" s="50"/>
      <c r="URD16" s="50"/>
      <c r="URE16" s="50"/>
      <c r="URF16" s="50"/>
      <c r="URG16" s="50"/>
      <c r="URH16" s="50"/>
      <c r="URI16" s="50"/>
      <c r="URJ16" s="50"/>
      <c r="URK16" s="50"/>
      <c r="URL16" s="50"/>
      <c r="URM16" s="50"/>
      <c r="URN16" s="50"/>
      <c r="URO16" s="50"/>
      <c r="URP16" s="50"/>
      <c r="URQ16" s="50"/>
      <c r="URR16" s="50"/>
      <c r="URS16" s="50"/>
      <c r="URT16" s="50"/>
      <c r="URU16" s="50"/>
      <c r="URV16" s="50"/>
      <c r="URW16" s="50"/>
      <c r="URX16" s="50"/>
      <c r="URY16" s="50"/>
      <c r="URZ16" s="50"/>
      <c r="USA16" s="50"/>
      <c r="USB16" s="50"/>
      <c r="USC16" s="50"/>
      <c r="USD16" s="50"/>
      <c r="USE16" s="50"/>
      <c r="USF16" s="50"/>
      <c r="USG16" s="50"/>
      <c r="USH16" s="50"/>
      <c r="USI16" s="50"/>
      <c r="USJ16" s="50"/>
      <c r="USK16" s="50"/>
      <c r="USL16" s="50"/>
      <c r="USM16" s="50"/>
      <c r="USN16" s="50"/>
      <c r="USO16" s="50"/>
      <c r="USP16" s="50"/>
      <c r="USQ16" s="50"/>
      <c r="USR16" s="50"/>
      <c r="USS16" s="50"/>
      <c r="UST16" s="50"/>
      <c r="USU16" s="50"/>
      <c r="USV16" s="50"/>
      <c r="USW16" s="50"/>
      <c r="USX16" s="50"/>
      <c r="USY16" s="50"/>
      <c r="USZ16" s="50"/>
      <c r="UTA16" s="50"/>
      <c r="UTB16" s="50"/>
      <c r="UTC16" s="50"/>
      <c r="UTD16" s="50"/>
      <c r="UTE16" s="50"/>
      <c r="UTF16" s="50"/>
      <c r="UTG16" s="50"/>
      <c r="UTH16" s="50"/>
      <c r="UTI16" s="50"/>
      <c r="UTJ16" s="50"/>
      <c r="UTK16" s="50"/>
      <c r="UTL16" s="50"/>
      <c r="UTM16" s="50"/>
      <c r="UTN16" s="50"/>
      <c r="UTO16" s="50"/>
      <c r="UTP16" s="50"/>
      <c r="UTQ16" s="50"/>
      <c r="UTR16" s="50"/>
      <c r="UTS16" s="50"/>
      <c r="UTT16" s="50"/>
      <c r="UTU16" s="50"/>
      <c r="UTV16" s="50"/>
      <c r="UTW16" s="50"/>
      <c r="UTX16" s="50"/>
      <c r="UTY16" s="50"/>
      <c r="UTZ16" s="50"/>
      <c r="UUA16" s="50"/>
      <c r="UUB16" s="50"/>
      <c r="UUC16" s="50"/>
      <c r="UUD16" s="50"/>
      <c r="UUE16" s="50"/>
      <c r="UUF16" s="50"/>
      <c r="UUG16" s="50"/>
      <c r="UUH16" s="50"/>
      <c r="UUI16" s="50"/>
      <c r="UUJ16" s="50"/>
      <c r="UUK16" s="50"/>
      <c r="UUL16" s="50"/>
      <c r="UUM16" s="50"/>
      <c r="UUN16" s="50"/>
      <c r="UUO16" s="50"/>
      <c r="UUP16" s="50"/>
      <c r="UUQ16" s="50"/>
      <c r="UUR16" s="50"/>
      <c r="UUS16" s="50"/>
      <c r="UUT16" s="50"/>
      <c r="UUU16" s="50"/>
      <c r="UUV16" s="50"/>
      <c r="UUW16" s="50"/>
      <c r="UUX16" s="50"/>
      <c r="UUY16" s="50"/>
      <c r="UUZ16" s="50"/>
      <c r="UVA16" s="50"/>
      <c r="UVB16" s="50"/>
      <c r="UVC16" s="50"/>
      <c r="UVD16" s="50"/>
      <c r="UVE16" s="50"/>
      <c r="UVF16" s="50"/>
      <c r="UVG16" s="50"/>
      <c r="UVH16" s="50"/>
      <c r="UVI16" s="50"/>
      <c r="UVJ16" s="50"/>
      <c r="UVK16" s="50"/>
      <c r="UVL16" s="50"/>
      <c r="UVM16" s="50"/>
      <c r="UVN16" s="50"/>
      <c r="UVO16" s="50"/>
      <c r="UVP16" s="50"/>
      <c r="UVQ16" s="50"/>
      <c r="UVR16" s="50"/>
      <c r="UVS16" s="50"/>
      <c r="UVT16" s="50"/>
      <c r="UVU16" s="50"/>
      <c r="UVV16" s="50"/>
      <c r="UVW16" s="50"/>
      <c r="UVX16" s="50"/>
      <c r="UVY16" s="50"/>
      <c r="UVZ16" s="50"/>
      <c r="UWA16" s="50"/>
      <c r="UWB16" s="50"/>
      <c r="UWC16" s="50"/>
      <c r="UWD16" s="50"/>
      <c r="UWE16" s="50"/>
      <c r="UWF16" s="50"/>
      <c r="UWG16" s="50"/>
      <c r="UWH16" s="50"/>
      <c r="UWI16" s="50"/>
      <c r="UWJ16" s="50"/>
      <c r="UWK16" s="50"/>
      <c r="UWL16" s="50"/>
      <c r="UWM16" s="50"/>
      <c r="UWN16" s="50"/>
      <c r="UWO16" s="50"/>
      <c r="UWP16" s="50"/>
      <c r="UWQ16" s="50"/>
      <c r="UWR16" s="50"/>
      <c r="UWS16" s="50"/>
      <c r="UWT16" s="50"/>
      <c r="UWU16" s="50"/>
      <c r="UWV16" s="50"/>
      <c r="UWW16" s="50"/>
      <c r="UWX16" s="50"/>
      <c r="UWY16" s="50"/>
      <c r="UWZ16" s="50"/>
      <c r="UXA16" s="50"/>
      <c r="UXB16" s="50"/>
      <c r="UXC16" s="50"/>
      <c r="UXD16" s="50"/>
      <c r="UXE16" s="50"/>
      <c r="UXF16" s="50"/>
      <c r="UXG16" s="50"/>
      <c r="UXH16" s="50"/>
      <c r="UXI16" s="50"/>
      <c r="UXJ16" s="50"/>
      <c r="UXK16" s="50"/>
      <c r="UXL16" s="50"/>
      <c r="UXM16" s="50"/>
      <c r="UXN16" s="50"/>
      <c r="UXO16" s="50"/>
      <c r="UXP16" s="50"/>
      <c r="UXQ16" s="50"/>
      <c r="UXR16" s="50"/>
      <c r="UXS16" s="50"/>
      <c r="UXT16" s="50"/>
      <c r="UXU16" s="50"/>
      <c r="UXV16" s="50"/>
      <c r="UXW16" s="50"/>
      <c r="UXX16" s="50"/>
      <c r="UXY16" s="50"/>
      <c r="UXZ16" s="50"/>
      <c r="UYA16" s="50"/>
      <c r="UYB16" s="50"/>
      <c r="UYC16" s="50"/>
      <c r="UYD16" s="50"/>
      <c r="UYE16" s="50"/>
      <c r="UYF16" s="50"/>
      <c r="UYG16" s="50"/>
      <c r="UYH16" s="50"/>
      <c r="UYI16" s="50"/>
      <c r="UYJ16" s="50"/>
      <c r="UYK16" s="50"/>
      <c r="UYL16" s="50"/>
      <c r="UYM16" s="50"/>
      <c r="UYN16" s="50"/>
      <c r="UYO16" s="50"/>
      <c r="UYP16" s="50"/>
      <c r="UYQ16" s="50"/>
      <c r="UYR16" s="50"/>
      <c r="UYS16" s="50"/>
      <c r="UYT16" s="50"/>
      <c r="UYU16" s="50"/>
      <c r="UYV16" s="50"/>
      <c r="UYW16" s="50"/>
      <c r="UYX16" s="50"/>
      <c r="UYY16" s="50"/>
      <c r="UYZ16" s="50"/>
      <c r="UZA16" s="50"/>
      <c r="UZB16" s="50"/>
      <c r="UZC16" s="50"/>
      <c r="UZD16" s="50"/>
      <c r="UZE16" s="50"/>
      <c r="UZF16" s="50"/>
      <c r="UZG16" s="50"/>
      <c r="UZH16" s="50"/>
      <c r="UZI16" s="50"/>
      <c r="UZJ16" s="50"/>
      <c r="UZK16" s="50"/>
      <c r="UZL16" s="50"/>
      <c r="UZM16" s="50"/>
      <c r="UZN16" s="50"/>
      <c r="UZO16" s="50"/>
      <c r="UZP16" s="50"/>
      <c r="UZQ16" s="50"/>
      <c r="UZR16" s="50"/>
      <c r="UZS16" s="50"/>
      <c r="UZT16" s="50"/>
      <c r="UZU16" s="50"/>
      <c r="UZV16" s="50"/>
      <c r="UZW16" s="50"/>
      <c r="UZX16" s="50"/>
      <c r="UZY16" s="50"/>
      <c r="UZZ16" s="50"/>
      <c r="VAA16" s="50"/>
      <c r="VAB16" s="50"/>
      <c r="VAC16" s="50"/>
      <c r="VAD16" s="50"/>
      <c r="VAE16" s="50"/>
      <c r="VAF16" s="50"/>
      <c r="VAG16" s="50"/>
      <c r="VAH16" s="50"/>
      <c r="VAI16" s="50"/>
      <c r="VAJ16" s="50"/>
      <c r="VAK16" s="50"/>
      <c r="VAL16" s="50"/>
      <c r="VAM16" s="50"/>
      <c r="VAN16" s="50"/>
      <c r="VAO16" s="50"/>
      <c r="VAP16" s="50"/>
      <c r="VAQ16" s="50"/>
      <c r="VAR16" s="50"/>
      <c r="VAS16" s="50"/>
      <c r="VAT16" s="50"/>
      <c r="VAU16" s="50"/>
      <c r="VAV16" s="50"/>
      <c r="VAW16" s="50"/>
      <c r="VAX16" s="50"/>
      <c r="VAY16" s="50"/>
      <c r="VAZ16" s="50"/>
      <c r="VBA16" s="50"/>
      <c r="VBB16" s="50"/>
      <c r="VBC16" s="50"/>
      <c r="VBD16" s="50"/>
      <c r="VBE16" s="50"/>
      <c r="VBF16" s="50"/>
      <c r="VBG16" s="50"/>
      <c r="VBH16" s="50"/>
      <c r="VBI16" s="50"/>
      <c r="VBJ16" s="50"/>
      <c r="VBK16" s="50"/>
      <c r="VBL16" s="50"/>
      <c r="VBM16" s="50"/>
      <c r="VBN16" s="50"/>
      <c r="VBO16" s="50"/>
      <c r="VBP16" s="50"/>
      <c r="VBQ16" s="50"/>
      <c r="VBR16" s="50"/>
      <c r="VBS16" s="50"/>
      <c r="VBT16" s="50"/>
      <c r="VBU16" s="50"/>
      <c r="VBV16" s="50"/>
      <c r="VBW16" s="50"/>
      <c r="VBX16" s="50"/>
      <c r="VBY16" s="50"/>
      <c r="VBZ16" s="50"/>
      <c r="VCA16" s="50"/>
      <c r="VCB16" s="50"/>
      <c r="VCC16" s="50"/>
      <c r="VCD16" s="50"/>
      <c r="VCE16" s="50"/>
      <c r="VCF16" s="50"/>
      <c r="VCG16" s="50"/>
      <c r="VCH16" s="50"/>
      <c r="VCI16" s="50"/>
      <c r="VCJ16" s="50"/>
      <c r="VCK16" s="50"/>
      <c r="VCL16" s="50"/>
      <c r="VCM16" s="50"/>
      <c r="VCN16" s="50"/>
      <c r="VCO16" s="50"/>
      <c r="VCP16" s="50"/>
      <c r="VCQ16" s="50"/>
      <c r="VCR16" s="50"/>
      <c r="VCS16" s="50"/>
      <c r="VCT16" s="50"/>
      <c r="VCU16" s="50"/>
      <c r="VCV16" s="50"/>
      <c r="VCW16" s="50"/>
      <c r="VCX16" s="50"/>
      <c r="VCY16" s="50"/>
      <c r="VCZ16" s="50"/>
      <c r="VDA16" s="50"/>
      <c r="VDB16" s="50"/>
      <c r="VDC16" s="50"/>
      <c r="VDD16" s="50"/>
      <c r="VDE16" s="50"/>
      <c r="VDF16" s="50"/>
      <c r="VDG16" s="50"/>
      <c r="VDH16" s="50"/>
      <c r="VDI16" s="50"/>
      <c r="VDJ16" s="50"/>
      <c r="VDK16" s="50"/>
      <c r="VDL16" s="50"/>
      <c r="VDM16" s="50"/>
      <c r="VDN16" s="50"/>
      <c r="VDO16" s="50"/>
      <c r="VDP16" s="50"/>
      <c r="VDQ16" s="50"/>
      <c r="VDR16" s="50"/>
      <c r="VDS16" s="50"/>
      <c r="VDT16" s="50"/>
      <c r="VDU16" s="50"/>
      <c r="VDV16" s="50"/>
      <c r="VDW16" s="50"/>
      <c r="VDX16" s="50"/>
      <c r="VDY16" s="50"/>
      <c r="VDZ16" s="50"/>
      <c r="VEA16" s="50"/>
      <c r="VEB16" s="50"/>
      <c r="VEC16" s="50"/>
      <c r="VED16" s="50"/>
      <c r="VEE16" s="50"/>
      <c r="VEF16" s="50"/>
      <c r="VEG16" s="50"/>
      <c r="VEH16" s="50"/>
      <c r="VEI16" s="50"/>
      <c r="VEJ16" s="50"/>
      <c r="VEK16" s="50"/>
      <c r="VEL16" s="50"/>
      <c r="VEM16" s="50"/>
      <c r="VEN16" s="50"/>
      <c r="VEO16" s="50"/>
      <c r="VEP16" s="50"/>
      <c r="VEQ16" s="50"/>
      <c r="VER16" s="50"/>
      <c r="VES16" s="50"/>
      <c r="VET16" s="50"/>
      <c r="VEU16" s="50"/>
      <c r="VEV16" s="50"/>
      <c r="VEW16" s="50"/>
      <c r="VEX16" s="50"/>
      <c r="VEY16" s="50"/>
      <c r="VEZ16" s="50"/>
      <c r="VFA16" s="50"/>
      <c r="VFB16" s="50"/>
      <c r="VFC16" s="50"/>
      <c r="VFD16" s="50"/>
      <c r="VFE16" s="50"/>
      <c r="VFF16" s="50"/>
      <c r="VFG16" s="50"/>
      <c r="VFH16" s="50"/>
      <c r="VFI16" s="50"/>
      <c r="VFJ16" s="50"/>
      <c r="VFK16" s="50"/>
      <c r="VFL16" s="50"/>
      <c r="VFM16" s="50"/>
      <c r="VFN16" s="50"/>
      <c r="VFO16" s="50"/>
      <c r="VFP16" s="50"/>
      <c r="VFQ16" s="50"/>
      <c r="VFR16" s="50"/>
      <c r="VFS16" s="50"/>
      <c r="VFT16" s="50"/>
      <c r="VFU16" s="50"/>
      <c r="VFV16" s="50"/>
      <c r="VFW16" s="50"/>
      <c r="VFX16" s="50"/>
      <c r="VFY16" s="50"/>
      <c r="VFZ16" s="50"/>
      <c r="VGA16" s="50"/>
      <c r="VGB16" s="50"/>
      <c r="VGC16" s="50"/>
      <c r="VGD16" s="50"/>
      <c r="VGE16" s="50"/>
      <c r="VGF16" s="50"/>
      <c r="VGG16" s="50"/>
      <c r="VGH16" s="50"/>
      <c r="VGI16" s="50"/>
      <c r="VGJ16" s="50"/>
      <c r="VGK16" s="50"/>
      <c r="VGL16" s="50"/>
      <c r="VGM16" s="50"/>
      <c r="VGN16" s="50"/>
      <c r="VGO16" s="50"/>
      <c r="VGP16" s="50"/>
      <c r="VGQ16" s="50"/>
      <c r="VGR16" s="50"/>
      <c r="VGS16" s="50"/>
      <c r="VGT16" s="50"/>
      <c r="VGU16" s="50"/>
      <c r="VGV16" s="50"/>
      <c r="VGW16" s="50"/>
      <c r="VGX16" s="50"/>
      <c r="VGY16" s="50"/>
      <c r="VGZ16" s="50"/>
      <c r="VHA16" s="50"/>
      <c r="VHB16" s="50"/>
      <c r="VHC16" s="50"/>
      <c r="VHD16" s="50"/>
      <c r="VHE16" s="50"/>
      <c r="VHF16" s="50"/>
      <c r="VHG16" s="50"/>
      <c r="VHH16" s="50"/>
      <c r="VHI16" s="50"/>
      <c r="VHJ16" s="50"/>
      <c r="VHK16" s="50"/>
      <c r="VHL16" s="50"/>
      <c r="VHM16" s="50"/>
      <c r="VHN16" s="50"/>
      <c r="VHO16" s="50"/>
      <c r="VHP16" s="50"/>
      <c r="VHQ16" s="50"/>
      <c r="VHR16" s="50"/>
      <c r="VHS16" s="50"/>
      <c r="VHT16" s="50"/>
      <c r="VHU16" s="50"/>
      <c r="VHV16" s="50"/>
      <c r="VHW16" s="50"/>
      <c r="VHX16" s="50"/>
      <c r="VHY16" s="50"/>
      <c r="VHZ16" s="50"/>
      <c r="VIA16" s="50"/>
      <c r="VIB16" s="50"/>
      <c r="VIC16" s="50"/>
      <c r="VID16" s="50"/>
      <c r="VIE16" s="50"/>
      <c r="VIF16" s="50"/>
      <c r="VIG16" s="50"/>
      <c r="VIH16" s="50"/>
      <c r="VII16" s="50"/>
      <c r="VIJ16" s="50"/>
      <c r="VIK16" s="50"/>
      <c r="VIL16" s="50"/>
      <c r="VIM16" s="50"/>
      <c r="VIN16" s="50"/>
      <c r="VIO16" s="50"/>
      <c r="VIP16" s="50"/>
      <c r="VIQ16" s="50"/>
      <c r="VIR16" s="50"/>
      <c r="VIS16" s="50"/>
      <c r="VIT16" s="50"/>
      <c r="VIU16" s="50"/>
      <c r="VIV16" s="50"/>
      <c r="VIW16" s="50"/>
      <c r="VIX16" s="50"/>
      <c r="VIY16" s="50"/>
      <c r="VIZ16" s="50"/>
      <c r="VJA16" s="50"/>
      <c r="VJB16" s="50"/>
      <c r="VJC16" s="50"/>
      <c r="VJD16" s="50"/>
      <c r="VJE16" s="50"/>
      <c r="VJF16" s="50"/>
      <c r="VJG16" s="50"/>
      <c r="VJH16" s="50"/>
      <c r="VJI16" s="50"/>
      <c r="VJJ16" s="50"/>
      <c r="VJK16" s="50"/>
      <c r="VJL16" s="50"/>
      <c r="VJM16" s="50"/>
      <c r="VJN16" s="50"/>
      <c r="VJO16" s="50"/>
      <c r="VJP16" s="50"/>
      <c r="VJQ16" s="50"/>
      <c r="VJR16" s="50"/>
      <c r="VJS16" s="50"/>
      <c r="VJT16" s="50"/>
      <c r="VJU16" s="50"/>
      <c r="VJV16" s="50"/>
      <c r="VJW16" s="50"/>
      <c r="VJX16" s="50"/>
      <c r="VJY16" s="50"/>
      <c r="VJZ16" s="50"/>
      <c r="VKA16" s="50"/>
      <c r="VKB16" s="50"/>
      <c r="VKC16" s="50"/>
      <c r="VKD16" s="50"/>
      <c r="VKE16" s="50"/>
      <c r="VKF16" s="50"/>
      <c r="VKG16" s="50"/>
      <c r="VKH16" s="50"/>
      <c r="VKI16" s="50"/>
      <c r="VKJ16" s="50"/>
      <c r="VKK16" s="50"/>
      <c r="VKL16" s="50"/>
      <c r="VKM16" s="50"/>
      <c r="VKN16" s="50"/>
      <c r="VKO16" s="50"/>
      <c r="VKP16" s="50"/>
      <c r="VKQ16" s="50"/>
      <c r="VKR16" s="50"/>
      <c r="VKS16" s="50"/>
      <c r="VKT16" s="50"/>
      <c r="VKU16" s="50"/>
      <c r="VKV16" s="50"/>
      <c r="VKW16" s="50"/>
      <c r="VKX16" s="50"/>
      <c r="VKY16" s="50"/>
      <c r="VKZ16" s="50"/>
      <c r="VLA16" s="50"/>
      <c r="VLB16" s="50"/>
      <c r="VLC16" s="50"/>
      <c r="VLD16" s="50"/>
      <c r="VLE16" s="50"/>
      <c r="VLF16" s="50"/>
      <c r="VLG16" s="50"/>
      <c r="VLH16" s="50"/>
      <c r="VLI16" s="50"/>
      <c r="VLJ16" s="50"/>
      <c r="VLK16" s="50"/>
      <c r="VLL16" s="50"/>
      <c r="VLM16" s="50"/>
      <c r="VLN16" s="50"/>
      <c r="VLO16" s="50"/>
      <c r="VLP16" s="50"/>
      <c r="VLQ16" s="50"/>
      <c r="VLR16" s="50"/>
      <c r="VLS16" s="50"/>
      <c r="VLT16" s="50"/>
      <c r="VLU16" s="50"/>
      <c r="VLV16" s="50"/>
      <c r="VLW16" s="50"/>
      <c r="VLX16" s="50"/>
      <c r="VLY16" s="50"/>
      <c r="VLZ16" s="50"/>
      <c r="VMA16" s="50"/>
      <c r="VMB16" s="50"/>
      <c r="VMC16" s="50"/>
      <c r="VMD16" s="50"/>
      <c r="VME16" s="50"/>
      <c r="VMF16" s="50"/>
      <c r="VMG16" s="50"/>
      <c r="VMH16" s="50"/>
      <c r="VMI16" s="50"/>
      <c r="VMJ16" s="50"/>
      <c r="VMK16" s="50"/>
      <c r="VML16" s="50"/>
      <c r="VMM16" s="50"/>
      <c r="VMN16" s="50"/>
      <c r="VMO16" s="50"/>
      <c r="VMP16" s="50"/>
      <c r="VMQ16" s="50"/>
      <c r="VMR16" s="50"/>
      <c r="VMS16" s="50"/>
      <c r="VMT16" s="50"/>
      <c r="VMU16" s="50"/>
      <c r="VMV16" s="50"/>
      <c r="VMW16" s="50"/>
      <c r="VMX16" s="50"/>
      <c r="VMY16" s="50"/>
      <c r="VMZ16" s="50"/>
      <c r="VNA16" s="50"/>
      <c r="VNB16" s="50"/>
      <c r="VNC16" s="50"/>
      <c r="VND16" s="50"/>
      <c r="VNE16" s="50"/>
      <c r="VNF16" s="50"/>
      <c r="VNG16" s="50"/>
      <c r="VNH16" s="50"/>
      <c r="VNI16" s="50"/>
      <c r="VNJ16" s="50"/>
      <c r="VNK16" s="50"/>
      <c r="VNL16" s="50"/>
      <c r="VNM16" s="50"/>
      <c r="VNN16" s="50"/>
      <c r="VNO16" s="50"/>
      <c r="VNP16" s="50"/>
      <c r="VNQ16" s="50"/>
      <c r="VNR16" s="50"/>
      <c r="VNS16" s="50"/>
      <c r="VNT16" s="50"/>
      <c r="VNU16" s="50"/>
      <c r="VNV16" s="50"/>
      <c r="VNW16" s="50"/>
      <c r="VNX16" s="50"/>
      <c r="VNY16" s="50"/>
      <c r="VNZ16" s="50"/>
      <c r="VOA16" s="50"/>
      <c r="VOB16" s="50"/>
      <c r="VOC16" s="50"/>
      <c r="VOD16" s="50"/>
      <c r="VOE16" s="50"/>
      <c r="VOF16" s="50"/>
      <c r="VOG16" s="50"/>
      <c r="VOH16" s="50"/>
      <c r="VOI16" s="50"/>
      <c r="VOJ16" s="50"/>
      <c r="VOK16" s="50"/>
      <c r="VOL16" s="50"/>
      <c r="VOM16" s="50"/>
      <c r="VON16" s="50"/>
      <c r="VOO16" s="50"/>
      <c r="VOP16" s="50"/>
      <c r="VOQ16" s="50"/>
      <c r="VOR16" s="50"/>
      <c r="VOS16" s="50"/>
      <c r="VOT16" s="50"/>
      <c r="VOU16" s="50"/>
      <c r="VOV16" s="50"/>
      <c r="VOW16" s="50"/>
      <c r="VOX16" s="50"/>
      <c r="VOY16" s="50"/>
      <c r="VOZ16" s="50"/>
      <c r="VPA16" s="50"/>
      <c r="VPB16" s="50"/>
      <c r="VPC16" s="50"/>
      <c r="VPD16" s="50"/>
      <c r="VPE16" s="50"/>
      <c r="VPF16" s="50"/>
      <c r="VPG16" s="50"/>
      <c r="VPH16" s="50"/>
      <c r="VPI16" s="50"/>
      <c r="VPJ16" s="50"/>
      <c r="VPK16" s="50"/>
      <c r="VPL16" s="50"/>
      <c r="VPM16" s="50"/>
      <c r="VPN16" s="50"/>
      <c r="VPO16" s="50"/>
      <c r="VPP16" s="50"/>
      <c r="VPQ16" s="50"/>
      <c r="VPR16" s="50"/>
      <c r="VPS16" s="50"/>
      <c r="VPT16" s="50"/>
      <c r="VPU16" s="50"/>
      <c r="VPV16" s="50"/>
      <c r="VPW16" s="50"/>
      <c r="VPX16" s="50"/>
      <c r="VPY16" s="50"/>
      <c r="VPZ16" s="50"/>
      <c r="VQA16" s="50"/>
      <c r="VQB16" s="50"/>
      <c r="VQC16" s="50"/>
      <c r="VQD16" s="50"/>
      <c r="VQE16" s="50"/>
      <c r="VQF16" s="50"/>
      <c r="VQG16" s="50"/>
      <c r="VQH16" s="50"/>
      <c r="VQI16" s="50"/>
      <c r="VQJ16" s="50"/>
      <c r="VQK16" s="50"/>
      <c r="VQL16" s="50"/>
      <c r="VQM16" s="50"/>
      <c r="VQN16" s="50"/>
      <c r="VQO16" s="50"/>
      <c r="VQP16" s="50"/>
      <c r="VQQ16" s="50"/>
      <c r="VQR16" s="50"/>
      <c r="VQS16" s="50"/>
      <c r="VQT16" s="50"/>
      <c r="VQU16" s="50"/>
      <c r="VQV16" s="50"/>
      <c r="VQW16" s="50"/>
      <c r="VQX16" s="50"/>
      <c r="VQY16" s="50"/>
      <c r="VQZ16" s="50"/>
      <c r="VRA16" s="50"/>
      <c r="VRB16" s="50"/>
      <c r="VRC16" s="50"/>
      <c r="VRD16" s="50"/>
      <c r="VRE16" s="50"/>
      <c r="VRF16" s="50"/>
      <c r="VRG16" s="50"/>
      <c r="VRH16" s="50"/>
      <c r="VRI16" s="50"/>
      <c r="VRJ16" s="50"/>
      <c r="VRK16" s="50"/>
      <c r="VRL16" s="50"/>
      <c r="VRM16" s="50"/>
      <c r="VRN16" s="50"/>
      <c r="VRO16" s="50"/>
      <c r="VRP16" s="50"/>
      <c r="VRQ16" s="50"/>
      <c r="VRR16" s="50"/>
      <c r="VRS16" s="50"/>
      <c r="VRT16" s="50"/>
      <c r="VRU16" s="50"/>
      <c r="VRV16" s="50"/>
      <c r="VRW16" s="50"/>
      <c r="VRX16" s="50"/>
      <c r="VRY16" s="50"/>
      <c r="VRZ16" s="50"/>
      <c r="VSA16" s="50"/>
      <c r="VSB16" s="50"/>
      <c r="VSC16" s="50"/>
      <c r="VSD16" s="50"/>
      <c r="VSE16" s="50"/>
      <c r="VSF16" s="50"/>
      <c r="VSG16" s="50"/>
      <c r="VSH16" s="50"/>
      <c r="VSI16" s="50"/>
      <c r="VSJ16" s="50"/>
      <c r="VSK16" s="50"/>
      <c r="VSL16" s="50"/>
      <c r="VSM16" s="50"/>
      <c r="VSN16" s="50"/>
      <c r="VSO16" s="50"/>
      <c r="VSP16" s="50"/>
      <c r="VSQ16" s="50"/>
      <c r="VSR16" s="50"/>
      <c r="VSS16" s="50"/>
      <c r="VST16" s="50"/>
      <c r="VSU16" s="50"/>
      <c r="VSV16" s="50"/>
      <c r="VSW16" s="50"/>
      <c r="VSX16" s="50"/>
      <c r="VSY16" s="50"/>
      <c r="VSZ16" s="50"/>
      <c r="VTA16" s="50"/>
      <c r="VTB16" s="50"/>
      <c r="VTC16" s="50"/>
      <c r="VTD16" s="50"/>
      <c r="VTE16" s="50"/>
      <c r="VTF16" s="50"/>
      <c r="VTG16" s="50"/>
      <c r="VTH16" s="50"/>
      <c r="VTI16" s="50"/>
      <c r="VTJ16" s="50"/>
      <c r="VTK16" s="50"/>
      <c r="VTL16" s="50"/>
      <c r="VTM16" s="50"/>
      <c r="VTN16" s="50"/>
      <c r="VTO16" s="50"/>
      <c r="VTP16" s="50"/>
      <c r="VTQ16" s="50"/>
      <c r="VTR16" s="50"/>
      <c r="VTS16" s="50"/>
      <c r="VTT16" s="50"/>
      <c r="VTU16" s="50"/>
      <c r="VTV16" s="50"/>
      <c r="VTW16" s="50"/>
      <c r="VTX16" s="50"/>
      <c r="VTY16" s="50"/>
      <c r="VTZ16" s="50"/>
      <c r="VUA16" s="50"/>
      <c r="VUB16" s="50"/>
      <c r="VUC16" s="50"/>
      <c r="VUD16" s="50"/>
      <c r="VUE16" s="50"/>
      <c r="VUF16" s="50"/>
      <c r="VUG16" s="50"/>
      <c r="VUH16" s="50"/>
      <c r="VUI16" s="50"/>
      <c r="VUJ16" s="50"/>
      <c r="VUK16" s="50"/>
      <c r="VUL16" s="50"/>
      <c r="VUM16" s="50"/>
      <c r="VUN16" s="50"/>
      <c r="VUO16" s="50"/>
      <c r="VUP16" s="50"/>
      <c r="VUQ16" s="50"/>
      <c r="VUR16" s="50"/>
      <c r="VUS16" s="50"/>
      <c r="VUT16" s="50"/>
      <c r="VUU16" s="50"/>
      <c r="VUV16" s="50"/>
      <c r="VUW16" s="50"/>
      <c r="VUX16" s="50"/>
      <c r="VUY16" s="50"/>
      <c r="VUZ16" s="50"/>
      <c r="VVA16" s="50"/>
      <c r="VVB16" s="50"/>
      <c r="VVC16" s="50"/>
      <c r="VVD16" s="50"/>
      <c r="VVE16" s="50"/>
      <c r="VVF16" s="50"/>
      <c r="VVG16" s="50"/>
      <c r="VVH16" s="50"/>
      <c r="VVI16" s="50"/>
      <c r="VVJ16" s="50"/>
      <c r="VVK16" s="50"/>
      <c r="VVL16" s="50"/>
      <c r="VVM16" s="50"/>
      <c r="VVN16" s="50"/>
      <c r="VVO16" s="50"/>
      <c r="VVP16" s="50"/>
      <c r="VVQ16" s="50"/>
      <c r="VVR16" s="50"/>
      <c r="VVS16" s="50"/>
      <c r="VVT16" s="50"/>
      <c r="VVU16" s="50"/>
      <c r="VVV16" s="50"/>
      <c r="VVW16" s="50"/>
      <c r="VVX16" s="50"/>
      <c r="VVY16" s="50"/>
      <c r="VVZ16" s="50"/>
      <c r="VWA16" s="50"/>
      <c r="VWB16" s="50"/>
      <c r="VWC16" s="50"/>
      <c r="VWD16" s="50"/>
      <c r="VWE16" s="50"/>
      <c r="VWF16" s="50"/>
      <c r="VWG16" s="50"/>
      <c r="VWH16" s="50"/>
      <c r="VWI16" s="50"/>
      <c r="VWJ16" s="50"/>
      <c r="VWK16" s="50"/>
      <c r="VWL16" s="50"/>
      <c r="VWM16" s="50"/>
      <c r="VWN16" s="50"/>
      <c r="VWO16" s="50"/>
      <c r="VWP16" s="50"/>
      <c r="VWQ16" s="50"/>
      <c r="VWR16" s="50"/>
      <c r="VWS16" s="50"/>
      <c r="VWT16" s="50"/>
      <c r="VWU16" s="50"/>
      <c r="VWV16" s="50"/>
      <c r="VWW16" s="50"/>
      <c r="VWX16" s="50"/>
      <c r="VWY16" s="50"/>
      <c r="VWZ16" s="50"/>
      <c r="VXA16" s="50"/>
      <c r="VXB16" s="50"/>
      <c r="VXC16" s="50"/>
      <c r="VXD16" s="50"/>
      <c r="VXE16" s="50"/>
      <c r="VXF16" s="50"/>
      <c r="VXG16" s="50"/>
      <c r="VXH16" s="50"/>
      <c r="VXI16" s="50"/>
      <c r="VXJ16" s="50"/>
      <c r="VXK16" s="50"/>
      <c r="VXL16" s="50"/>
      <c r="VXM16" s="50"/>
      <c r="VXN16" s="50"/>
      <c r="VXO16" s="50"/>
      <c r="VXP16" s="50"/>
      <c r="VXQ16" s="50"/>
      <c r="VXR16" s="50"/>
      <c r="VXS16" s="50"/>
      <c r="VXT16" s="50"/>
      <c r="VXU16" s="50"/>
      <c r="VXV16" s="50"/>
      <c r="VXW16" s="50"/>
      <c r="VXX16" s="50"/>
      <c r="VXY16" s="50"/>
      <c r="VXZ16" s="50"/>
      <c r="VYA16" s="50"/>
      <c r="VYB16" s="50"/>
      <c r="VYC16" s="50"/>
      <c r="VYD16" s="50"/>
      <c r="VYE16" s="50"/>
      <c r="VYF16" s="50"/>
      <c r="VYG16" s="50"/>
      <c r="VYH16" s="50"/>
      <c r="VYI16" s="50"/>
      <c r="VYJ16" s="50"/>
      <c r="VYK16" s="50"/>
      <c r="VYL16" s="50"/>
      <c r="VYM16" s="50"/>
      <c r="VYN16" s="50"/>
      <c r="VYO16" s="50"/>
      <c r="VYP16" s="50"/>
      <c r="VYQ16" s="50"/>
      <c r="VYR16" s="50"/>
      <c r="VYS16" s="50"/>
      <c r="VYT16" s="50"/>
      <c r="VYU16" s="50"/>
      <c r="VYV16" s="50"/>
      <c r="VYW16" s="50"/>
      <c r="VYX16" s="50"/>
      <c r="VYY16" s="50"/>
      <c r="VYZ16" s="50"/>
      <c r="VZA16" s="50"/>
      <c r="VZB16" s="50"/>
      <c r="VZC16" s="50"/>
      <c r="VZD16" s="50"/>
      <c r="VZE16" s="50"/>
      <c r="VZF16" s="50"/>
      <c r="VZG16" s="50"/>
      <c r="VZH16" s="50"/>
      <c r="VZI16" s="50"/>
      <c r="VZJ16" s="50"/>
      <c r="VZK16" s="50"/>
      <c r="VZL16" s="50"/>
      <c r="VZM16" s="50"/>
      <c r="VZN16" s="50"/>
      <c r="VZO16" s="50"/>
      <c r="VZP16" s="50"/>
      <c r="VZQ16" s="50"/>
      <c r="VZR16" s="50"/>
      <c r="VZS16" s="50"/>
      <c r="VZT16" s="50"/>
      <c r="VZU16" s="50"/>
      <c r="VZV16" s="50"/>
      <c r="VZW16" s="50"/>
      <c r="VZX16" s="50"/>
      <c r="VZY16" s="50"/>
      <c r="VZZ16" s="50"/>
      <c r="WAA16" s="50"/>
      <c r="WAB16" s="50"/>
      <c r="WAC16" s="50"/>
      <c r="WAD16" s="50"/>
      <c r="WAE16" s="50"/>
      <c r="WAF16" s="50"/>
      <c r="WAG16" s="50"/>
      <c r="WAH16" s="50"/>
      <c r="WAI16" s="50"/>
      <c r="WAJ16" s="50"/>
      <c r="WAK16" s="50"/>
      <c r="WAL16" s="50"/>
      <c r="WAM16" s="50"/>
      <c r="WAN16" s="50"/>
      <c r="WAO16" s="50"/>
      <c r="WAP16" s="50"/>
      <c r="WAQ16" s="50"/>
      <c r="WAR16" s="50"/>
      <c r="WAS16" s="50"/>
      <c r="WAT16" s="50"/>
      <c r="WAU16" s="50"/>
      <c r="WAV16" s="50"/>
      <c r="WAW16" s="50"/>
      <c r="WAX16" s="50"/>
      <c r="WAY16" s="50"/>
      <c r="WAZ16" s="50"/>
      <c r="WBA16" s="50"/>
      <c r="WBB16" s="50"/>
      <c r="WBC16" s="50"/>
      <c r="WBD16" s="50"/>
      <c r="WBE16" s="50"/>
      <c r="WBF16" s="50"/>
      <c r="WBG16" s="50"/>
      <c r="WBH16" s="50"/>
      <c r="WBI16" s="50"/>
      <c r="WBJ16" s="50"/>
      <c r="WBK16" s="50"/>
      <c r="WBL16" s="50"/>
      <c r="WBM16" s="50"/>
      <c r="WBN16" s="50"/>
      <c r="WBO16" s="50"/>
      <c r="WBP16" s="50"/>
      <c r="WBQ16" s="50"/>
      <c r="WBR16" s="50"/>
      <c r="WBS16" s="50"/>
      <c r="WBT16" s="50"/>
      <c r="WBU16" s="50"/>
      <c r="WBV16" s="50"/>
      <c r="WBW16" s="50"/>
      <c r="WBX16" s="50"/>
      <c r="WBY16" s="50"/>
      <c r="WBZ16" s="50"/>
      <c r="WCA16" s="50"/>
      <c r="WCB16" s="50"/>
      <c r="WCC16" s="50"/>
      <c r="WCD16" s="50"/>
      <c r="WCE16" s="50"/>
      <c r="WCF16" s="50"/>
      <c r="WCG16" s="50"/>
      <c r="WCH16" s="50"/>
      <c r="WCI16" s="50"/>
      <c r="WCJ16" s="50"/>
      <c r="WCK16" s="50"/>
      <c r="WCL16" s="50"/>
      <c r="WCM16" s="50"/>
      <c r="WCN16" s="50"/>
      <c r="WCO16" s="50"/>
      <c r="WCP16" s="50"/>
      <c r="WCQ16" s="50"/>
      <c r="WCR16" s="50"/>
      <c r="WCS16" s="50"/>
      <c r="WCT16" s="50"/>
      <c r="WCU16" s="50"/>
      <c r="WCV16" s="50"/>
      <c r="WCW16" s="50"/>
      <c r="WCX16" s="50"/>
      <c r="WCY16" s="50"/>
      <c r="WCZ16" s="50"/>
      <c r="WDA16" s="50"/>
      <c r="WDB16" s="50"/>
      <c r="WDC16" s="50"/>
      <c r="WDD16" s="50"/>
      <c r="WDE16" s="50"/>
      <c r="WDF16" s="50"/>
      <c r="WDG16" s="50"/>
      <c r="WDH16" s="50"/>
      <c r="WDI16" s="50"/>
      <c r="WDJ16" s="50"/>
      <c r="WDK16" s="50"/>
      <c r="WDL16" s="50"/>
      <c r="WDM16" s="50"/>
      <c r="WDN16" s="50"/>
      <c r="WDO16" s="50"/>
      <c r="WDP16" s="50"/>
      <c r="WDQ16" s="50"/>
      <c r="WDR16" s="50"/>
      <c r="WDS16" s="50"/>
      <c r="WDT16" s="50"/>
      <c r="WDU16" s="50"/>
      <c r="WDV16" s="50"/>
      <c r="WDW16" s="50"/>
      <c r="WDX16" s="50"/>
      <c r="WDY16" s="50"/>
      <c r="WDZ16" s="50"/>
      <c r="WEA16" s="50"/>
      <c r="WEB16" s="50"/>
      <c r="WEC16" s="50"/>
      <c r="WED16" s="50"/>
      <c r="WEE16" s="50"/>
      <c r="WEF16" s="50"/>
      <c r="WEG16" s="50"/>
      <c r="WEH16" s="50"/>
      <c r="WEI16" s="50"/>
      <c r="WEJ16" s="50"/>
      <c r="WEK16" s="50"/>
      <c r="WEL16" s="50"/>
      <c r="WEM16" s="50"/>
      <c r="WEN16" s="50"/>
      <c r="WEO16" s="50"/>
      <c r="WEP16" s="50"/>
      <c r="WEQ16" s="50"/>
      <c r="WER16" s="50"/>
      <c r="WES16" s="50"/>
      <c r="WET16" s="50"/>
      <c r="WEU16" s="50"/>
      <c r="WEV16" s="50"/>
      <c r="WEW16" s="50"/>
      <c r="WEX16" s="50"/>
      <c r="WEY16" s="50"/>
      <c r="WEZ16" s="50"/>
      <c r="WFA16" s="50"/>
      <c r="WFB16" s="50"/>
      <c r="WFC16" s="50"/>
      <c r="WFD16" s="50"/>
      <c r="WFE16" s="50"/>
      <c r="WFF16" s="50"/>
      <c r="WFG16" s="50"/>
      <c r="WFH16" s="50"/>
      <c r="WFI16" s="50"/>
      <c r="WFJ16" s="50"/>
      <c r="WFK16" s="50"/>
      <c r="WFL16" s="50"/>
      <c r="WFM16" s="50"/>
      <c r="WFN16" s="50"/>
      <c r="WFO16" s="50"/>
      <c r="WFP16" s="50"/>
      <c r="WFQ16" s="50"/>
      <c r="WFR16" s="50"/>
      <c r="WFS16" s="50"/>
      <c r="WFT16" s="50"/>
      <c r="WFU16" s="50"/>
      <c r="WFV16" s="50"/>
      <c r="WFW16" s="50"/>
      <c r="WFX16" s="50"/>
      <c r="WFY16" s="50"/>
      <c r="WFZ16" s="50"/>
      <c r="WGA16" s="50"/>
      <c r="WGB16" s="50"/>
      <c r="WGC16" s="50"/>
      <c r="WGD16" s="50"/>
      <c r="WGE16" s="50"/>
      <c r="WGF16" s="50"/>
      <c r="WGG16" s="50"/>
      <c r="WGH16" s="50"/>
      <c r="WGI16" s="50"/>
      <c r="WGJ16" s="50"/>
      <c r="WGK16" s="50"/>
      <c r="WGL16" s="50"/>
      <c r="WGM16" s="50"/>
      <c r="WGN16" s="50"/>
      <c r="WGO16" s="50"/>
      <c r="WGP16" s="50"/>
      <c r="WGQ16" s="50"/>
      <c r="WGR16" s="50"/>
      <c r="WGS16" s="50"/>
      <c r="WGT16" s="50"/>
      <c r="WGU16" s="50"/>
      <c r="WGV16" s="50"/>
      <c r="WGW16" s="50"/>
      <c r="WGX16" s="50"/>
      <c r="WGY16" s="50"/>
      <c r="WGZ16" s="50"/>
      <c r="WHA16" s="50"/>
      <c r="WHB16" s="50"/>
      <c r="WHC16" s="50"/>
      <c r="WHD16" s="50"/>
      <c r="WHE16" s="50"/>
      <c r="WHF16" s="50"/>
      <c r="WHG16" s="50"/>
      <c r="WHH16" s="50"/>
      <c r="WHI16" s="50"/>
      <c r="WHJ16" s="50"/>
      <c r="WHK16" s="50"/>
      <c r="WHL16" s="50"/>
      <c r="WHM16" s="50"/>
      <c r="WHN16" s="50"/>
      <c r="WHO16" s="50"/>
      <c r="WHP16" s="50"/>
      <c r="WHQ16" s="50"/>
      <c r="WHR16" s="50"/>
      <c r="WHS16" s="50"/>
      <c r="WHT16" s="50"/>
      <c r="WHU16" s="50"/>
      <c r="WHV16" s="50"/>
      <c r="WHW16" s="50"/>
      <c r="WHX16" s="50"/>
      <c r="WHY16" s="50"/>
      <c r="WHZ16" s="50"/>
      <c r="WIA16" s="50"/>
      <c r="WIB16" s="50"/>
      <c r="WIC16" s="50"/>
      <c r="WID16" s="50"/>
      <c r="WIE16" s="50"/>
      <c r="WIF16" s="50"/>
      <c r="WIG16" s="50"/>
      <c r="WIH16" s="50"/>
      <c r="WII16" s="50"/>
      <c r="WIJ16" s="50"/>
      <c r="WIK16" s="50"/>
      <c r="WIL16" s="50"/>
      <c r="WIM16" s="50"/>
      <c r="WIN16" s="50"/>
      <c r="WIO16" s="50"/>
      <c r="WIP16" s="50"/>
      <c r="WIQ16" s="50"/>
      <c r="WIR16" s="50"/>
      <c r="WIS16" s="50"/>
      <c r="WIT16" s="50"/>
      <c r="WIU16" s="50"/>
      <c r="WIV16" s="50"/>
      <c r="WIW16" s="50"/>
      <c r="WIX16" s="50"/>
      <c r="WIY16" s="50"/>
      <c r="WIZ16" s="50"/>
      <c r="WJA16" s="50"/>
      <c r="WJB16" s="50"/>
      <c r="WJC16" s="50"/>
      <c r="WJD16" s="50"/>
      <c r="WJE16" s="50"/>
      <c r="WJF16" s="50"/>
      <c r="WJG16" s="50"/>
      <c r="WJH16" s="50"/>
      <c r="WJI16" s="50"/>
      <c r="WJJ16" s="50"/>
      <c r="WJK16" s="50"/>
      <c r="WJL16" s="50"/>
      <c r="WJM16" s="50"/>
      <c r="WJN16" s="50"/>
      <c r="WJO16" s="50"/>
      <c r="WJP16" s="50"/>
      <c r="WJQ16" s="50"/>
      <c r="WJR16" s="50"/>
      <c r="WJS16" s="50"/>
      <c r="WJT16" s="50"/>
      <c r="WJU16" s="50"/>
      <c r="WJV16" s="50"/>
      <c r="WJW16" s="50"/>
      <c r="WJX16" s="50"/>
      <c r="WJY16" s="50"/>
      <c r="WJZ16" s="50"/>
      <c r="WKA16" s="50"/>
      <c r="WKB16" s="50"/>
      <c r="WKC16" s="50"/>
      <c r="WKD16" s="50"/>
      <c r="WKE16" s="50"/>
      <c r="WKF16" s="50"/>
      <c r="WKG16" s="50"/>
      <c r="WKH16" s="50"/>
      <c r="WKI16" s="50"/>
      <c r="WKJ16" s="50"/>
      <c r="WKK16" s="50"/>
      <c r="WKL16" s="50"/>
      <c r="WKM16" s="50"/>
      <c r="WKN16" s="50"/>
      <c r="WKO16" s="50"/>
      <c r="WKP16" s="50"/>
      <c r="WKQ16" s="50"/>
      <c r="WKR16" s="50"/>
      <c r="WKS16" s="50"/>
      <c r="WKT16" s="50"/>
      <c r="WKU16" s="50"/>
      <c r="WKV16" s="50"/>
      <c r="WKW16" s="50"/>
      <c r="WKX16" s="50"/>
      <c r="WKY16" s="50"/>
      <c r="WKZ16" s="50"/>
      <c r="WLA16" s="50"/>
      <c r="WLB16" s="50"/>
      <c r="WLC16" s="50"/>
      <c r="WLD16" s="50"/>
      <c r="WLE16" s="50"/>
      <c r="WLF16" s="50"/>
      <c r="WLG16" s="50"/>
      <c r="WLH16" s="50"/>
      <c r="WLI16" s="50"/>
      <c r="WLJ16" s="50"/>
      <c r="WLK16" s="50"/>
      <c r="WLL16" s="50"/>
      <c r="WLM16" s="50"/>
      <c r="WLN16" s="50"/>
      <c r="WLO16" s="50"/>
      <c r="WLP16" s="50"/>
      <c r="WLQ16" s="50"/>
      <c r="WLR16" s="50"/>
      <c r="WLS16" s="50"/>
      <c r="WLT16" s="50"/>
      <c r="WLU16" s="50"/>
      <c r="WLV16" s="50"/>
      <c r="WLW16" s="50"/>
      <c r="WLX16" s="50"/>
      <c r="WLY16" s="50"/>
      <c r="WLZ16" s="50"/>
      <c r="WMA16" s="50"/>
      <c r="WMB16" s="50"/>
      <c r="WMC16" s="50"/>
      <c r="WMD16" s="50"/>
      <c r="WME16" s="50"/>
      <c r="WMF16" s="50"/>
      <c r="WMG16" s="50"/>
      <c r="WMH16" s="50"/>
      <c r="WMI16" s="50"/>
      <c r="WMJ16" s="50"/>
      <c r="WMK16" s="50"/>
      <c r="WML16" s="50"/>
      <c r="WMM16" s="50"/>
      <c r="WMN16" s="50"/>
      <c r="WMO16" s="50"/>
      <c r="WMP16" s="50"/>
      <c r="WMQ16" s="50"/>
      <c r="WMR16" s="50"/>
      <c r="WMS16" s="50"/>
      <c r="WMT16" s="50"/>
      <c r="WMU16" s="50"/>
      <c r="WMV16" s="50"/>
      <c r="WMW16" s="50"/>
      <c r="WMX16" s="50"/>
      <c r="WMY16" s="50"/>
      <c r="WMZ16" s="50"/>
      <c r="WNA16" s="50"/>
      <c r="WNB16" s="50"/>
      <c r="WNC16" s="50"/>
      <c r="WND16" s="50"/>
      <c r="WNE16" s="50"/>
      <c r="WNF16" s="50"/>
      <c r="WNG16" s="50"/>
      <c r="WNH16" s="50"/>
      <c r="WNI16" s="50"/>
      <c r="WNJ16" s="50"/>
      <c r="WNK16" s="50"/>
      <c r="WNL16" s="50"/>
      <c r="WNM16" s="50"/>
      <c r="WNN16" s="50"/>
      <c r="WNO16" s="50"/>
      <c r="WNP16" s="50"/>
      <c r="WNQ16" s="50"/>
      <c r="WNR16" s="50"/>
      <c r="WNS16" s="50"/>
      <c r="WNT16" s="50"/>
      <c r="WNU16" s="50"/>
      <c r="WNV16" s="50"/>
      <c r="WNW16" s="50"/>
      <c r="WNX16" s="50"/>
      <c r="WNY16" s="50"/>
      <c r="WNZ16" s="50"/>
      <c r="WOA16" s="50"/>
      <c r="WOB16" s="50"/>
      <c r="WOC16" s="50"/>
      <c r="WOD16" s="50"/>
      <c r="WOE16" s="50"/>
      <c r="WOF16" s="50"/>
      <c r="WOG16" s="50"/>
      <c r="WOH16" s="50"/>
      <c r="WOI16" s="50"/>
      <c r="WOJ16" s="50"/>
      <c r="WOK16" s="50"/>
      <c r="WOL16" s="50"/>
      <c r="WOM16" s="50"/>
      <c r="WON16" s="50"/>
      <c r="WOO16" s="50"/>
      <c r="WOP16" s="50"/>
      <c r="WOQ16" s="50"/>
      <c r="WOR16" s="50"/>
      <c r="WOS16" s="50"/>
      <c r="WOT16" s="50"/>
      <c r="WOU16" s="50"/>
      <c r="WOV16" s="50"/>
      <c r="WOW16" s="50"/>
      <c r="WOX16" s="50"/>
      <c r="WOY16" s="50"/>
      <c r="WOZ16" s="50"/>
      <c r="WPA16" s="50"/>
      <c r="WPB16" s="50"/>
      <c r="WPC16" s="50"/>
      <c r="WPD16" s="50"/>
      <c r="WPE16" s="50"/>
      <c r="WPF16" s="50"/>
      <c r="WPG16" s="50"/>
      <c r="WPH16" s="50"/>
      <c r="WPI16" s="50"/>
      <c r="WPJ16" s="50"/>
      <c r="WPK16" s="50"/>
      <c r="WPL16" s="50"/>
      <c r="WPM16" s="50"/>
      <c r="WPN16" s="50"/>
      <c r="WPO16" s="50"/>
      <c r="WPP16" s="50"/>
      <c r="WPQ16" s="50"/>
      <c r="WPR16" s="50"/>
      <c r="WPS16" s="50"/>
      <c r="WPT16" s="50"/>
      <c r="WPU16" s="50"/>
      <c r="WPV16" s="50"/>
      <c r="WPW16" s="50"/>
      <c r="WPX16" s="50"/>
      <c r="WPY16" s="50"/>
      <c r="WPZ16" s="50"/>
      <c r="WQA16" s="50"/>
      <c r="WQB16" s="50"/>
      <c r="WQC16" s="50"/>
      <c r="WQD16" s="50"/>
      <c r="WQE16" s="50"/>
      <c r="WQF16" s="50"/>
      <c r="WQG16" s="50"/>
      <c r="WQH16" s="50"/>
      <c r="WQI16" s="50"/>
      <c r="WQJ16" s="50"/>
      <c r="WQK16" s="50"/>
      <c r="WQL16" s="50"/>
      <c r="WQM16" s="50"/>
      <c r="WQN16" s="50"/>
      <c r="WQO16" s="50"/>
      <c r="WQP16" s="50"/>
      <c r="WQQ16" s="50"/>
      <c r="WQR16" s="50"/>
      <c r="WQS16" s="50"/>
      <c r="WQT16" s="50"/>
      <c r="WQU16" s="50"/>
      <c r="WQV16" s="50"/>
      <c r="WQW16" s="50"/>
      <c r="WQX16" s="50"/>
      <c r="WQY16" s="50"/>
      <c r="WQZ16" s="50"/>
      <c r="WRA16" s="50"/>
      <c r="WRB16" s="50"/>
      <c r="WRC16" s="50"/>
      <c r="WRD16" s="50"/>
      <c r="WRE16" s="50"/>
      <c r="WRF16" s="50"/>
      <c r="WRG16" s="50"/>
      <c r="WRH16" s="50"/>
      <c r="WRI16" s="50"/>
      <c r="WRJ16" s="50"/>
      <c r="WRK16" s="50"/>
      <c r="WRL16" s="50"/>
      <c r="WRM16" s="50"/>
      <c r="WRN16" s="50"/>
      <c r="WRO16" s="50"/>
      <c r="WRP16" s="50"/>
      <c r="WRQ16" s="50"/>
      <c r="WRR16" s="50"/>
      <c r="WRS16" s="50"/>
      <c r="WRT16" s="50"/>
      <c r="WRU16" s="50"/>
      <c r="WRV16" s="50"/>
      <c r="WRW16" s="50"/>
      <c r="WRX16" s="50"/>
      <c r="WRY16" s="50"/>
      <c r="WRZ16" s="50"/>
      <c r="WSA16" s="50"/>
      <c r="WSB16" s="50"/>
      <c r="WSC16" s="50"/>
      <c r="WSD16" s="50"/>
      <c r="WSE16" s="50"/>
      <c r="WSF16" s="50"/>
      <c r="WSG16" s="50"/>
      <c r="WSH16" s="50"/>
      <c r="WSI16" s="50"/>
      <c r="WSJ16" s="50"/>
      <c r="WSK16" s="50"/>
      <c r="WSL16" s="50"/>
      <c r="WSM16" s="50"/>
      <c r="WSN16" s="50"/>
      <c r="WSO16" s="50"/>
      <c r="WSP16" s="50"/>
      <c r="WSQ16" s="50"/>
      <c r="WSR16" s="50"/>
      <c r="WSS16" s="50"/>
      <c r="WST16" s="50"/>
      <c r="WSU16" s="50"/>
      <c r="WSV16" s="50"/>
      <c r="WSW16" s="50"/>
      <c r="WSX16" s="50"/>
      <c r="WSY16" s="50"/>
      <c r="WSZ16" s="50"/>
      <c r="WTA16" s="50"/>
      <c r="WTB16" s="50"/>
      <c r="WTC16" s="50"/>
      <c r="WTD16" s="50"/>
      <c r="WTE16" s="50"/>
      <c r="WTF16" s="50"/>
      <c r="WTG16" s="50"/>
      <c r="WTH16" s="50"/>
      <c r="WTI16" s="50"/>
      <c r="WTJ16" s="50"/>
      <c r="WTK16" s="50"/>
      <c r="WTL16" s="50"/>
      <c r="WTM16" s="50"/>
      <c r="WTN16" s="50"/>
      <c r="WTO16" s="50"/>
      <c r="WTP16" s="50"/>
      <c r="WTQ16" s="50"/>
      <c r="WTR16" s="50"/>
      <c r="WTS16" s="50"/>
      <c r="WTT16" s="50"/>
      <c r="WTU16" s="50"/>
      <c r="WTV16" s="50"/>
      <c r="WTW16" s="50"/>
      <c r="WTX16" s="50"/>
      <c r="WTY16" s="50"/>
      <c r="WTZ16" s="50"/>
      <c r="WUA16" s="50"/>
      <c r="WUB16" s="50"/>
      <c r="WUC16" s="50"/>
      <c r="WUD16" s="50"/>
      <c r="WUE16" s="50"/>
      <c r="WUF16" s="50"/>
      <c r="WUG16" s="50"/>
      <c r="WUH16" s="50"/>
      <c r="WUI16" s="50"/>
      <c r="WUJ16" s="50"/>
      <c r="WUK16" s="50"/>
      <c r="WUL16" s="50"/>
      <c r="WUM16" s="50"/>
      <c r="WUN16" s="50"/>
      <c r="WUO16" s="50"/>
      <c r="WUP16" s="50"/>
      <c r="WUQ16" s="50"/>
      <c r="WUR16" s="50"/>
      <c r="WUS16" s="50"/>
      <c r="WUT16" s="50"/>
      <c r="WUU16" s="50"/>
      <c r="WUV16" s="50"/>
      <c r="WUW16" s="50"/>
      <c r="WUX16" s="50"/>
      <c r="WUY16" s="50"/>
      <c r="WUZ16" s="50"/>
      <c r="WVA16" s="50"/>
      <c r="WVB16" s="50"/>
      <c r="WVC16" s="50"/>
      <c r="WVD16" s="50"/>
      <c r="WVE16" s="50"/>
      <c r="WVF16" s="50"/>
      <c r="WVG16" s="50"/>
      <c r="WVH16" s="50"/>
      <c r="WVI16" s="50"/>
      <c r="WVJ16" s="50"/>
      <c r="WVK16" s="50"/>
      <c r="WVL16" s="50"/>
      <c r="WVM16" s="50"/>
      <c r="WVN16" s="50"/>
      <c r="WVO16" s="50"/>
      <c r="WVP16" s="50"/>
      <c r="WVQ16" s="50"/>
      <c r="WVR16" s="50"/>
      <c r="WVS16" s="50"/>
      <c r="WVT16" s="50"/>
      <c r="WVU16" s="50"/>
      <c r="WVV16" s="50"/>
      <c r="WVW16" s="50"/>
      <c r="WVX16" s="50"/>
      <c r="WVY16" s="50"/>
      <c r="WVZ16" s="50"/>
      <c r="WWA16" s="50"/>
      <c r="WWB16" s="50"/>
      <c r="WWC16" s="50"/>
      <c r="WWD16" s="50"/>
      <c r="WWE16" s="50"/>
      <c r="WWF16" s="50"/>
      <c r="WWG16" s="50"/>
      <c r="WWH16" s="50"/>
      <c r="WWI16" s="50"/>
      <c r="WWJ16" s="50"/>
      <c r="WWK16" s="50"/>
      <c r="WWL16" s="50"/>
      <c r="WWM16" s="50"/>
      <c r="WWN16" s="50"/>
      <c r="WWO16" s="50"/>
      <c r="WWP16" s="50"/>
      <c r="WWQ16" s="50"/>
      <c r="WWR16" s="50"/>
      <c r="WWS16" s="50"/>
      <c r="WWT16" s="50"/>
      <c r="WWU16" s="50"/>
      <c r="WWV16" s="50"/>
      <c r="WWW16" s="50"/>
      <c r="WWX16" s="50"/>
      <c r="WWY16" s="50"/>
      <c r="WWZ16" s="50"/>
      <c r="WXA16" s="50"/>
      <c r="WXB16" s="50"/>
      <c r="WXC16" s="50"/>
      <c r="WXD16" s="50"/>
      <c r="WXE16" s="50"/>
      <c r="WXF16" s="50"/>
      <c r="WXG16" s="50"/>
      <c r="WXH16" s="50"/>
      <c r="WXI16" s="50"/>
      <c r="WXJ16" s="50"/>
      <c r="WXK16" s="50"/>
      <c r="WXL16" s="50"/>
      <c r="WXM16" s="50"/>
      <c r="WXN16" s="50"/>
      <c r="WXO16" s="50"/>
      <c r="WXP16" s="50"/>
      <c r="WXQ16" s="50"/>
      <c r="WXR16" s="50"/>
      <c r="WXS16" s="50"/>
      <c r="WXT16" s="50"/>
      <c r="WXU16" s="50"/>
      <c r="WXV16" s="50"/>
      <c r="WXW16" s="50"/>
      <c r="WXX16" s="50"/>
      <c r="WXY16" s="50"/>
      <c r="WXZ16" s="50"/>
      <c r="WYA16" s="50"/>
      <c r="WYB16" s="50"/>
      <c r="WYC16" s="50"/>
      <c r="WYD16" s="50"/>
      <c r="WYE16" s="50"/>
      <c r="WYF16" s="50"/>
      <c r="WYG16" s="50"/>
      <c r="WYH16" s="50"/>
      <c r="WYI16" s="50"/>
      <c r="WYJ16" s="50"/>
      <c r="WYK16" s="50"/>
      <c r="WYL16" s="50"/>
      <c r="WYM16" s="50"/>
      <c r="WYN16" s="50"/>
      <c r="WYO16" s="50"/>
      <c r="WYP16" s="50"/>
      <c r="WYQ16" s="50"/>
      <c r="WYR16" s="50"/>
      <c r="WYS16" s="50"/>
      <c r="WYT16" s="50"/>
      <c r="WYU16" s="50"/>
      <c r="WYV16" s="50"/>
      <c r="WYW16" s="50"/>
      <c r="WYX16" s="50"/>
      <c r="WYY16" s="50"/>
      <c r="WYZ16" s="50"/>
      <c r="WZA16" s="50"/>
      <c r="WZB16" s="50"/>
      <c r="WZC16" s="50"/>
      <c r="WZD16" s="50"/>
      <c r="WZE16" s="50"/>
      <c r="WZF16" s="50"/>
      <c r="WZG16" s="50"/>
      <c r="WZH16" s="50"/>
      <c r="WZI16" s="50"/>
      <c r="WZJ16" s="50"/>
      <c r="WZK16" s="50"/>
      <c r="WZL16" s="50"/>
      <c r="WZM16" s="50"/>
      <c r="WZN16" s="50"/>
      <c r="WZO16" s="50"/>
      <c r="WZP16" s="50"/>
      <c r="WZQ16" s="50"/>
      <c r="WZR16" s="50"/>
      <c r="WZS16" s="50"/>
      <c r="WZT16" s="50"/>
      <c r="WZU16" s="50"/>
      <c r="WZV16" s="50"/>
      <c r="WZW16" s="50"/>
      <c r="WZX16" s="50"/>
      <c r="WZY16" s="50"/>
      <c r="WZZ16" s="50"/>
      <c r="XAA16" s="50"/>
      <c r="XAB16" s="50"/>
      <c r="XAC16" s="50"/>
      <c r="XAD16" s="50"/>
      <c r="XAE16" s="50"/>
      <c r="XAF16" s="50"/>
      <c r="XAG16" s="50"/>
      <c r="XAH16" s="50"/>
      <c r="XAI16" s="50"/>
      <c r="XAJ16" s="50"/>
      <c r="XAK16" s="50"/>
      <c r="XAL16" s="50"/>
      <c r="XAM16" s="50"/>
      <c r="XAN16" s="50"/>
      <c r="XAO16" s="50"/>
      <c r="XAP16" s="50"/>
      <c r="XAQ16" s="50"/>
      <c r="XAR16" s="50"/>
      <c r="XAS16" s="50"/>
      <c r="XAT16" s="50"/>
      <c r="XAU16" s="50"/>
      <c r="XAV16" s="50"/>
      <c r="XAW16" s="50"/>
      <c r="XAX16" s="50"/>
      <c r="XAY16" s="50"/>
      <c r="XAZ16" s="50"/>
      <c r="XBA16" s="50"/>
      <c r="XBB16" s="50"/>
      <c r="XBC16" s="50"/>
      <c r="XBD16" s="50"/>
      <c r="XBE16" s="50"/>
      <c r="XBF16" s="50"/>
      <c r="XBG16" s="50"/>
      <c r="XBH16" s="50"/>
      <c r="XBI16" s="50"/>
      <c r="XBJ16" s="50"/>
      <c r="XBK16" s="50"/>
      <c r="XBL16" s="50"/>
      <c r="XBM16" s="50"/>
      <c r="XBN16" s="50"/>
      <c r="XBO16" s="50"/>
      <c r="XBP16" s="50"/>
      <c r="XBQ16" s="50"/>
      <c r="XBR16" s="50"/>
      <c r="XBS16" s="50"/>
      <c r="XBT16" s="50"/>
      <c r="XBU16" s="50"/>
      <c r="XBV16" s="50"/>
      <c r="XBW16" s="50"/>
      <c r="XBX16" s="50"/>
      <c r="XBY16" s="50"/>
      <c r="XBZ16" s="50"/>
      <c r="XCA16" s="50"/>
      <c r="XCB16" s="50"/>
      <c r="XCC16" s="50"/>
      <c r="XCD16" s="50"/>
      <c r="XCE16" s="50"/>
      <c r="XCF16" s="50"/>
      <c r="XCG16" s="50"/>
      <c r="XCH16" s="50"/>
      <c r="XCI16" s="50"/>
      <c r="XCJ16" s="50"/>
      <c r="XCK16" s="50"/>
      <c r="XCL16" s="50"/>
      <c r="XCM16" s="50"/>
      <c r="XCN16" s="50"/>
      <c r="XCO16" s="50"/>
      <c r="XCP16" s="50"/>
      <c r="XCQ16" s="50"/>
      <c r="XCR16" s="50"/>
      <c r="XCS16" s="50"/>
      <c r="XCT16" s="50"/>
      <c r="XCU16" s="50"/>
      <c r="XCV16" s="50"/>
      <c r="XCW16" s="50"/>
      <c r="XCX16" s="50"/>
      <c r="XCY16" s="50"/>
      <c r="XCZ16" s="50"/>
      <c r="XDA16" s="50"/>
      <c r="XDB16" s="50"/>
      <c r="XDC16" s="50"/>
      <c r="XDD16" s="50"/>
      <c r="XDE16" s="50"/>
      <c r="XDF16" s="50"/>
      <c r="XDG16" s="50"/>
      <c r="XDH16" s="50"/>
      <c r="XDI16" s="50"/>
      <c r="XDJ16" s="50"/>
      <c r="XDK16" s="50"/>
      <c r="XDL16" s="50"/>
      <c r="XDM16" s="50"/>
      <c r="XDN16" s="50"/>
      <c r="XDO16" s="50"/>
      <c r="XDP16" s="50"/>
      <c r="XDQ16" s="50"/>
      <c r="XDR16" s="50"/>
      <c r="XDS16" s="50"/>
      <c r="XDT16" s="50"/>
      <c r="XDU16" s="50"/>
      <c r="XDV16" s="50"/>
      <c r="XDW16" s="50"/>
      <c r="XDX16" s="50"/>
      <c r="XDY16" s="50"/>
      <c r="XDZ16" s="50"/>
      <c r="XEA16" s="50"/>
      <c r="XEB16" s="50"/>
      <c r="XEC16" s="50"/>
      <c r="XED16" s="50"/>
      <c r="XEE16" s="50"/>
      <c r="XEF16" s="50"/>
      <c r="XEG16" s="50"/>
      <c r="XEH16" s="50"/>
      <c r="XEI16" s="50"/>
      <c r="XEJ16" s="50"/>
      <c r="XEK16" s="50"/>
      <c r="XEL16" s="50"/>
      <c r="XEM16" s="50"/>
      <c r="XEN16" s="50"/>
      <c r="XEO16" s="50"/>
      <c r="XEP16" s="50"/>
      <c r="XEQ16" s="50"/>
      <c r="XER16" s="50"/>
      <c r="XES16" s="50"/>
      <c r="XET16" s="50"/>
      <c r="XEU16" s="50"/>
      <c r="XEV16" s="50"/>
      <c r="XEW16" s="50"/>
      <c r="XEX16" s="50"/>
      <c r="XEY16" s="50"/>
      <c r="XEZ16" s="50"/>
    </row>
    <row r="17" spans="1:21" ht="12.75" customHeight="1">
      <c r="A17" s="102" t="s">
        <v>885</v>
      </c>
      <c r="B17" s="82" t="str">
        <f>LEFT(A17,10)</f>
        <v>COM_200202</v>
      </c>
      <c r="C17" s="670" t="str">
        <f>INDEX('AMMO vwFlags'!$C:$C,MATCH($A17&amp;K17,'AMMO vwFlags'!$K:$K,0))</f>
        <v>1</v>
      </c>
      <c r="D17" s="670" t="str">
        <f>INDEX('AMMO vwFlags'!$D:$D,MATCH($A17&amp;$K17,'AMMO vwFlags'!$K:$K,0))</f>
        <v>0</v>
      </c>
      <c r="E17" s="82">
        <f t="shared" si="1"/>
        <v>1</v>
      </c>
      <c r="F17" s="92" t="str">
        <f t="shared" si="3"/>
        <v>Commercial</v>
      </c>
      <c r="G17" s="2001"/>
      <c r="H17" s="2012"/>
      <c r="I17" s="1488" t="str">
        <f>INDEX('AMMO Units'!$D:$D,MATCH(A17,'AMMO Units'!$E:$E,0))</f>
        <v>MT 2021 IECC</v>
      </c>
      <c r="J17" s="1489">
        <f>VALUE(INDEX('AMMO Measures'!H:H,MATCH($A17,'AMMO Measures'!A:A,0)))</f>
        <v>20</v>
      </c>
      <c r="K17" s="1490">
        <v>2025</v>
      </c>
      <c r="L17" s="1491">
        <f>SUMIFS('AMMO Units'!F:F,'AMMO Units'!$A:$A,$K17,'AMMO Units'!$E:$E,$A17)</f>
        <v>2583897.2452659402</v>
      </c>
      <c r="M17" s="2006"/>
      <c r="N17" s="1493">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O17" s="1128">
        <f>SUMIFS('AMMO Savings Rates'!F:F,'AMMO Savings Rates'!$E:$E,$K17,'AMMO Savings Rates'!$D:$D,$A17)</f>
        <v>0.71823782999999997</v>
      </c>
      <c r="P17" s="1984"/>
      <c r="Q17" s="1147">
        <f t="shared" si="2"/>
        <v>2.9629239983736875E-2</v>
      </c>
      <c r="R17" s="1154">
        <f t="shared" si="4"/>
        <v>2.9629239983736875E-2</v>
      </c>
      <c r="U17"/>
    </row>
    <row r="18" spans="1:21" ht="21.75" customHeight="1">
      <c r="A18" s="102" t="s">
        <v>890</v>
      </c>
      <c r="B18" s="82" t="str">
        <f>LEFT(A18,10)</f>
        <v>COM_200202</v>
      </c>
      <c r="C18" s="670" t="str">
        <f>INDEX('AMMO vwFlags'!$C:$C,MATCH($A18&amp;K18,'AMMO vwFlags'!$K:$K,0))</f>
        <v>1</v>
      </c>
      <c r="D18" s="670" t="str">
        <f>INDEX('AMMO vwFlags'!$D:$D,MATCH($A18&amp;$K18,'AMMO vwFlags'!$K:$K,0))</f>
        <v>0</v>
      </c>
      <c r="E18" s="82">
        <f t="shared" si="1"/>
        <v>1</v>
      </c>
      <c r="F18" s="92" t="str">
        <f t="shared" si="3"/>
        <v>Commercial</v>
      </c>
      <c r="G18" s="1969"/>
      <c r="H18" s="2016" t="s">
        <v>579</v>
      </c>
      <c r="I18" s="1494" t="str">
        <f>INDEX('AMMO Units'!$D:$D,MATCH(A18,'AMMO Units'!$E:$E,0))</f>
        <v>OR 2021 OEESC</v>
      </c>
      <c r="J18" s="1486">
        <f>VALUE(INDEX('AMMO Measures'!H:H,MATCH($A18,'AMMO Measures'!A:A,0)))</f>
        <v>20</v>
      </c>
      <c r="K18" s="1495">
        <v>2024</v>
      </c>
      <c r="L18" s="1496">
        <f>SUMIFS('AMMO Units'!F:F,'AMMO Units'!$A:$A,$K18,'AMMO Units'!$E:$E,$A18)</f>
        <v>16991307.904609151</v>
      </c>
      <c r="M18" s="2005"/>
      <c r="N18" s="1492">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O18" s="1118">
        <f>SUMIFS('AMMO Savings Rates'!F:F,'AMMO Savings Rates'!$E:$E,$K18,'AMMO Savings Rates'!$D:$D,$A18)</f>
        <v>0.20064504999999999</v>
      </c>
      <c r="P18" s="2020" t="s">
        <v>2527</v>
      </c>
      <c r="Q18" s="1149">
        <f t="shared" si="2"/>
        <v>5.4429238291019345E-2</v>
      </c>
      <c r="R18" s="1156">
        <f t="shared" si="4"/>
        <v>5.4429238291019345E-2</v>
      </c>
      <c r="U18"/>
    </row>
    <row r="19" spans="1:21" ht="15">
      <c r="A19" s="102" t="s">
        <v>890</v>
      </c>
      <c r="B19" s="82" t="str">
        <f>LEFT(A19,10)</f>
        <v>COM_200202</v>
      </c>
      <c r="C19" s="670" t="str">
        <f>INDEX('AMMO vwFlags'!$C:$C,MATCH($A19&amp;K19,'AMMO vwFlags'!$K:$K,0))</f>
        <v>1</v>
      </c>
      <c r="D19" s="670" t="str">
        <f>INDEX('AMMO vwFlags'!$D:$D,MATCH($A19&amp;$K19,'AMMO vwFlags'!$K:$K,0))</f>
        <v>0</v>
      </c>
      <c r="E19" s="82">
        <f t="shared" si="1"/>
        <v>1</v>
      </c>
      <c r="F19" s="92" t="str">
        <f t="shared" si="3"/>
        <v>Commercial</v>
      </c>
      <c r="G19" s="1969"/>
      <c r="H19" s="2017"/>
      <c r="I19" s="1109" t="str">
        <f>INDEX('AMMO Units'!$D:$D,MATCH(A19,'AMMO Units'!$E:$E,0))</f>
        <v>OR 2021 OEESC</v>
      </c>
      <c r="J19" s="1110">
        <f>VALUE(INDEX('AMMO Measures'!H:H,MATCH($A19,'AMMO Measures'!A:A,0)))</f>
        <v>20</v>
      </c>
      <c r="K19" s="1111">
        <v>2025</v>
      </c>
      <c r="L19" s="1112">
        <f>SUMIFS('AMMO Units'!F:F,'AMMO Units'!$A:$A,$K19,'AMMO Units'!$E:$E,$A19)</f>
        <v>18153927.83450054</v>
      </c>
      <c r="M19" s="2005"/>
      <c r="N19" s="113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O19" s="1114">
        <f>SUMIFS('AMMO Savings Rates'!F:F,'AMMO Savings Rates'!$E:$E,$K19,'AMMO Savings Rates'!$D:$D,$A19)</f>
        <v>0.20573759</v>
      </c>
      <c r="P19" s="2008"/>
      <c r="Q19" s="1147">
        <f t="shared" si="2"/>
        <v>5.962951124503231E-2</v>
      </c>
      <c r="R19" s="1154">
        <f t="shared" si="4"/>
        <v>5.962951124503231E-2</v>
      </c>
      <c r="U19"/>
    </row>
    <row r="20" spans="1:21" ht="12.75" customHeight="1">
      <c r="A20" s="102" t="s">
        <v>891</v>
      </c>
      <c r="B20" s="82" t="str">
        <f t="shared" si="0"/>
        <v>COM_200202</v>
      </c>
      <c r="C20" s="670" t="str">
        <f>INDEX('AMMO vwFlags'!$C:$C,MATCH($A20&amp;K20,'AMMO vwFlags'!$K:$K,0))</f>
        <v>1</v>
      </c>
      <c r="D20" s="670" t="str">
        <f>INDEX('AMMO vwFlags'!$D:$D,MATCH($A20&amp;$K20,'AMMO vwFlags'!$K:$K,0))</f>
        <v>0</v>
      </c>
      <c r="E20" s="82">
        <f t="shared" si="1"/>
        <v>1</v>
      </c>
      <c r="F20" s="92" t="str">
        <f t="shared" si="3"/>
        <v>Commercial</v>
      </c>
      <c r="G20" s="1969"/>
      <c r="H20" s="2018"/>
      <c r="I20" s="1126" t="str">
        <f>INDEX('AMMO Units'!$D:$D,MATCH(A20,'AMMO Units'!$E:$E,0))</f>
        <v>OR 2023 OEESC</v>
      </c>
      <c r="J20" s="1110">
        <f>VALUE(INDEX('AMMO Measures'!H:H,MATCH($A20,'AMMO Measures'!A:A,0)))</f>
        <v>20</v>
      </c>
      <c r="K20" s="1127">
        <v>2024</v>
      </c>
      <c r="L20" s="1112">
        <f>SUMIFS('AMMO Units'!F:F,'AMMO Units'!$A:$A,$K20,'AMMO Units'!$E:$E,$A20)</f>
        <v>4091552.4051232701</v>
      </c>
      <c r="M20" s="2005"/>
      <c r="N20" s="1134">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O20" s="1114">
        <f>SUMIFS('AMMO Savings Rates'!F:F,'AMMO Savings Rates'!$E:$E,$K20,'AMMO Savings Rates'!$D:$D,$A20)</f>
        <v>0.73515525999999998</v>
      </c>
      <c r="P20" s="2015" t="s">
        <v>2526</v>
      </c>
      <c r="Q20" s="1147">
        <f t="shared" si="2"/>
        <v>4.802243569905109E-2</v>
      </c>
      <c r="R20" s="1154">
        <f t="shared" si="4"/>
        <v>4.802243569905109E-2</v>
      </c>
      <c r="U20"/>
    </row>
    <row r="21" spans="1:21" ht="12.75" customHeight="1">
      <c r="A21" s="102" t="s">
        <v>891</v>
      </c>
      <c r="B21" s="82" t="str">
        <f t="shared" si="0"/>
        <v>COM_200202</v>
      </c>
      <c r="C21" s="670" t="str">
        <f>INDEX('AMMO vwFlags'!$C:$C,MATCH($A21&amp;K21,'AMMO vwFlags'!$K:$K,0))</f>
        <v>1</v>
      </c>
      <c r="D21" s="670" t="str">
        <f>INDEX('AMMO vwFlags'!$D:$D,MATCH($A21&amp;$K21,'AMMO vwFlags'!$K:$K,0))</f>
        <v>0</v>
      </c>
      <c r="E21" s="82">
        <f t="shared" si="1"/>
        <v>1</v>
      </c>
      <c r="F21" s="92" t="str">
        <f t="shared" si="3"/>
        <v>Commercial</v>
      </c>
      <c r="G21" s="1969"/>
      <c r="H21" s="2019"/>
      <c r="I21" s="1497" t="str">
        <f>INDEX('AMMO Units'!$D:$D,MATCH(A21,'AMMO Units'!$E:$E,0))</f>
        <v>OR 2023 OEESC</v>
      </c>
      <c r="J21" s="1498">
        <f>VALUE(INDEX('AMMO Measures'!H:H,MATCH($A21,'AMMO Measures'!A:A,0)))</f>
        <v>20</v>
      </c>
      <c r="K21" s="1499">
        <v>2025</v>
      </c>
      <c r="L21" s="1500">
        <f>SUMIFS('AMMO Units'!F:F,'AMMO Units'!$A:$A,$K21,'AMMO Units'!$E:$E,$A21)</f>
        <v>10665432.602769069</v>
      </c>
      <c r="M21" s="2005"/>
      <c r="N21" s="1493">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O21" s="1128">
        <f>SUMIFS('AMMO Savings Rates'!F:F,'AMMO Savings Rates'!$E:$E,$K21,'AMMO Savings Rates'!$D:$D,$A21)</f>
        <v>0.74564668999999995</v>
      </c>
      <c r="P21" s="1984"/>
      <c r="Q21" s="1147">
        <f t="shared" si="2"/>
        <v>0.12696633009859051</v>
      </c>
      <c r="R21" s="1154">
        <f t="shared" si="4"/>
        <v>0.12696633009859051</v>
      </c>
      <c r="U21"/>
    </row>
    <row r="22" spans="1:21" ht="14.85" customHeight="1">
      <c r="A22" s="102" t="s">
        <v>703</v>
      </c>
      <c r="B22" s="82" t="str">
        <f t="shared" si="0"/>
        <v>COM_200202</v>
      </c>
      <c r="C22" s="670" t="str">
        <f>INDEX('AMMO vwFlags'!$C:$C,MATCH($A22&amp;K22,'AMMO vwFlags'!$K:$K,0))</f>
        <v>1</v>
      </c>
      <c r="D22" s="670" t="str">
        <f>INDEX('AMMO vwFlags'!$D:$D,MATCH($A22&amp;$K22,'AMMO vwFlags'!$K:$K,0))</f>
        <v>0</v>
      </c>
      <c r="E22" s="82">
        <f t="shared" si="1"/>
        <v>1</v>
      </c>
      <c r="F22" s="92" t="str">
        <f t="shared" si="3"/>
        <v>Commercial</v>
      </c>
      <c r="G22" s="1969"/>
      <c r="H22" s="1977" t="s">
        <v>585</v>
      </c>
      <c r="I22" s="1501" t="str">
        <f>INDEX('AMMO Units'!$D:$D,MATCH(A22,'AMMO Units'!$E:$E,0))</f>
        <v>WA 2021 WSEC</v>
      </c>
      <c r="J22" s="1502">
        <f>VALUE(INDEX('AMMO Measures'!H:H,MATCH($A22,'AMMO Measures'!A:A,0)))</f>
        <v>20</v>
      </c>
      <c r="K22" s="1503">
        <v>2024</v>
      </c>
      <c r="L22" s="1507">
        <f>SUMIFS('AMMO Units'!F:F,'AMMO Units'!$A:$A,$K22,'AMMO Units'!$E:$E,$A22)</f>
        <v>8168743.6196891703</v>
      </c>
      <c r="M22" s="2005"/>
      <c r="N22" s="1134">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O22" s="1240">
        <f>SUMIFS('AMMO Savings Rates'!F:F,'AMMO Savings Rates'!$E:$E,$K22,'AMMO Savings Rates'!$D:$D,$A22)</f>
        <v>0.56383269000000003</v>
      </c>
      <c r="P22" s="1983" t="s">
        <v>2526</v>
      </c>
      <c r="Q22" s="1150">
        <f t="shared" si="2"/>
        <v>7.353303887969613E-2</v>
      </c>
      <c r="R22" s="1157">
        <f t="shared" si="4"/>
        <v>7.353303887969613E-2</v>
      </c>
      <c r="U22"/>
    </row>
    <row r="23" spans="1:21" ht="14.85" customHeight="1">
      <c r="A23" s="102" t="s">
        <v>703</v>
      </c>
      <c r="B23" s="82" t="str">
        <f t="shared" si="0"/>
        <v>COM_200202</v>
      </c>
      <c r="C23" s="670" t="str">
        <f>INDEX('AMMO vwFlags'!$C:$C,MATCH($A23&amp;K23,'AMMO vwFlags'!$K:$K,0))</f>
        <v>1</v>
      </c>
      <c r="D23" s="670" t="str">
        <f>INDEX('AMMO vwFlags'!$D:$D,MATCH($A23&amp;$K23,'AMMO vwFlags'!$K:$K,0))</f>
        <v>0</v>
      </c>
      <c r="E23" s="82">
        <f t="shared" si="1"/>
        <v>1</v>
      </c>
      <c r="F23" s="92" t="str">
        <f t="shared" si="3"/>
        <v>Commercial</v>
      </c>
      <c r="G23" s="1969"/>
      <c r="H23" s="1970"/>
      <c r="I23" s="1504" t="str">
        <f>INDEX('AMMO Units'!$D:$D,MATCH(A23,'AMMO Units'!$E:$E,0))</f>
        <v>WA 2021 WSEC</v>
      </c>
      <c r="J23" s="1505">
        <f>VALUE(INDEX('AMMO Measures'!H:H,MATCH($A23,'AMMO Measures'!A:A,0)))</f>
        <v>20</v>
      </c>
      <c r="K23" s="1506">
        <v>2025</v>
      </c>
      <c r="L23" s="1132">
        <f>SUMIFS('AMMO Units'!F:F,'AMMO Units'!$A:$A,$K23,'AMMO Units'!$E:$E,$A23)</f>
        <v>22957810.233306769</v>
      </c>
      <c r="M23" s="2005"/>
      <c r="N23" s="1134">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0.13985600000000001</v>
      </c>
      <c r="O23" s="1241">
        <f>SUMIFS('AMMO Savings Rates'!F:F,'AMMO Savings Rates'!$E:$E,$K23,'AMMO Savings Rates'!$D:$D,$A23)</f>
        <v>0.58023716000000003</v>
      </c>
      <c r="P23" s="1984"/>
      <c r="Q23" s="1147">
        <f t="shared" si="2"/>
        <v>0.2126733133560752</v>
      </c>
      <c r="R23" s="1154">
        <f t="shared" si="4"/>
        <v>0.2126733133560752</v>
      </c>
      <c r="U23"/>
    </row>
    <row r="24" spans="1:21" ht="39.75" customHeight="1">
      <c r="A24" s="102" t="s">
        <v>70</v>
      </c>
      <c r="B24" s="82" t="str">
        <f t="shared" si="0"/>
        <v>RES_200601</v>
      </c>
      <c r="C24" s="670" t="str">
        <f>INDEX('AMMO vwFlags'!$C:$C,MATCH($A24&amp;K24,'AMMO vwFlags'!$K:$K,0))</f>
        <v>1</v>
      </c>
      <c r="D24" s="670" t="str">
        <f>INDEX('AMMO vwFlags'!$D:$D,MATCH($A24&amp;$K24,'AMMO vwFlags'!$K:$K,0))</f>
        <v>0</v>
      </c>
      <c r="E24" s="82">
        <f t="shared" si="1"/>
        <v>1</v>
      </c>
      <c r="F24" s="469" t="str">
        <f t="shared" si="3"/>
        <v>Residential</v>
      </c>
      <c r="G24" s="1989" t="s">
        <v>2480</v>
      </c>
      <c r="H24" s="1992" t="s">
        <v>581</v>
      </c>
      <c r="I24" s="1136" t="str">
        <f>INDEX('AMMO Units'!$D:$D,MATCH(A24,'AMMO Units'!$E:$E,0))</f>
        <v>IECC 2018</v>
      </c>
      <c r="J24" s="1517">
        <f>VALUE(INDEX('AMMO Measures'!H:H,MATCH($A24,'AMMO Measures'!A:A,0)))</f>
        <v>45</v>
      </c>
      <c r="K24" s="1136">
        <v>2024</v>
      </c>
      <c r="L24" s="840">
        <f>SUMIFS('AMMO Units'!F:F,'AMMO Units'!$A:$A,$K24,'AMMO Units'!$E:$E,$A24)</f>
        <v>1995.5894775300001</v>
      </c>
      <c r="M24" s="1972" t="s">
        <v>2485</v>
      </c>
      <c r="N24" s="775">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O24" s="1518">
        <f>SUMIFS('AMMO Savings Rates'!F:F,'AMMO Savings Rates'!$E:$E,$K24,'AMMO Savings Rates'!$D:$D,$A24)</f>
        <v>1041.86170055</v>
      </c>
      <c r="P24" s="1993" t="s">
        <v>2483</v>
      </c>
      <c r="Q24" s="1526">
        <f t="shared" si="2"/>
        <v>3.3193899550771004E-2</v>
      </c>
      <c r="R24" s="1527">
        <f t="shared" si="4"/>
        <v>3.3193899550771004E-2</v>
      </c>
      <c r="U24"/>
    </row>
    <row r="25" spans="1:21" ht="27.75" customHeight="1">
      <c r="A25" s="102" t="s">
        <v>70</v>
      </c>
      <c r="B25" s="82" t="str">
        <f t="shared" si="0"/>
        <v>RES_200601</v>
      </c>
      <c r="C25" s="670" t="str">
        <f>INDEX('AMMO vwFlags'!$C:$C,MATCH($A25&amp;K25,'AMMO vwFlags'!$K:$K,0))</f>
        <v>1</v>
      </c>
      <c r="D25" s="670" t="str">
        <f>INDEX('AMMO vwFlags'!$D:$D,MATCH($A25&amp;$K25,'AMMO vwFlags'!$K:$K,0))</f>
        <v>0</v>
      </c>
      <c r="E25" s="82">
        <f t="shared" si="1"/>
        <v>1</v>
      </c>
      <c r="F25" s="469" t="str">
        <f t="shared" si="3"/>
        <v>Residential</v>
      </c>
      <c r="G25" s="1990"/>
      <c r="H25" s="1992"/>
      <c r="I25" s="843" t="str">
        <f>INDEX('AMMO Units'!$D:$D,MATCH(A25,'AMMO Units'!$E:$E,0))</f>
        <v>IECC 2018</v>
      </c>
      <c r="J25" s="1426">
        <f>VALUE(INDEX('AMMO Measures'!H:H,MATCH($A25,'AMMO Measures'!A:A,0)))</f>
        <v>45</v>
      </c>
      <c r="K25" s="1137">
        <v>2025</v>
      </c>
      <c r="L25" s="1214">
        <f>SUMIFS('AMMO Units'!F:F,'AMMO Units'!$A:$A,$K25,'AMMO Units'!$E:$E,$A25)</f>
        <v>2029.6713465600001</v>
      </c>
      <c r="M25" s="1973"/>
      <c r="N25" s="1167">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O25" s="1519">
        <f>SUMIFS('AMMO Savings Rates'!F:F,'AMMO Savings Rates'!$E:$E,$K25,'AMMO Savings Rates'!$D:$D,$A25)</f>
        <v>1041.86170055</v>
      </c>
      <c r="P25" s="1994"/>
      <c r="Q25" s="1152">
        <f t="shared" si="2"/>
        <v>3.3760804793468817E-2</v>
      </c>
      <c r="R25" s="1159">
        <f t="shared" si="4"/>
        <v>3.3760804793468817E-2</v>
      </c>
      <c r="U25"/>
    </row>
    <row r="26" spans="1:21" ht="36.75" customHeight="1">
      <c r="A26" s="102" t="s">
        <v>71</v>
      </c>
      <c r="B26" s="82" t="s">
        <v>221</v>
      </c>
      <c r="C26" s="670" t="str">
        <f>INDEX('AMMO vwFlags'!$C:$C,MATCH($A26&amp;K26,'AMMO vwFlags'!$K:$K,0))</f>
        <v>1</v>
      </c>
      <c r="D26" s="670" t="str">
        <f>INDEX('AMMO vwFlags'!$D:$D,MATCH($A26&amp;$K26,'AMMO vwFlags'!$K:$K,0))</f>
        <v>0</v>
      </c>
      <c r="E26" s="82">
        <f t="shared" si="1"/>
        <v>1</v>
      </c>
      <c r="F26" s="469" t="s">
        <v>207</v>
      </c>
      <c r="G26" s="1990"/>
      <c r="H26" s="1995" t="s">
        <v>577</v>
      </c>
      <c r="I26" s="1510" t="str">
        <f>INDEX('AMMO Units'!$D:$D,MATCH(A26,'AMMO Units'!$E:$E,0))</f>
        <v>IECC 2018</v>
      </c>
      <c r="J26" s="1511">
        <f>VALUE(INDEX('AMMO Measures'!H:H,MATCH($A26,'AMMO Measures'!A:A,0)))</f>
        <v>45</v>
      </c>
      <c r="K26" s="1512">
        <v>2024</v>
      </c>
      <c r="L26" s="1515">
        <f>SUMIFS('AMMO Units'!F:F,'AMMO Units'!$A:$A,$K26,'AMMO Units'!$E:$E,$A26)</f>
        <v>1395.5670927199999</v>
      </c>
      <c r="M26" s="1973"/>
      <c r="N26" s="1508">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0.13985600000000001</v>
      </c>
      <c r="O26" s="1520">
        <f>SUMIFS('AMMO Savings Rates'!F:F,'AMMO Savings Rates'!$E:$E,$K26,'AMMO Savings Rates'!$D:$D,$A26)</f>
        <v>502.73330859999999</v>
      </c>
      <c r="P26" s="1982" t="s">
        <v>2483</v>
      </c>
      <c r="Q26" s="1528">
        <f t="shared" si="2"/>
        <v>1.1201221295043848E-2</v>
      </c>
      <c r="R26" s="1529">
        <f t="shared" si="4"/>
        <v>1.1201221295043848E-2</v>
      </c>
      <c r="U26"/>
    </row>
    <row r="27" spans="1:21" ht="35.25" customHeight="1">
      <c r="A27" s="102" t="s">
        <v>71</v>
      </c>
      <c r="B27" s="82" t="s">
        <v>221</v>
      </c>
      <c r="C27" s="670" t="str">
        <f>INDEX('AMMO vwFlags'!$C:$C,MATCH($A27&amp;K27,'AMMO vwFlags'!$K:$K,0))</f>
        <v>1</v>
      </c>
      <c r="D27" s="670" t="str">
        <f>INDEX('AMMO vwFlags'!$D:$D,MATCH($A27&amp;$K27,'AMMO vwFlags'!$K:$K,0))</f>
        <v>0</v>
      </c>
      <c r="E27" s="82">
        <f t="shared" si="1"/>
        <v>1</v>
      </c>
      <c r="F27" s="469" t="s">
        <v>207</v>
      </c>
      <c r="G27" s="1990"/>
      <c r="H27" s="1967"/>
      <c r="I27" s="843" t="str">
        <f>INDEX('AMMO Units'!$D:$D,MATCH(A27,'AMMO Units'!$E:$E,0))</f>
        <v>IECC 2018</v>
      </c>
      <c r="J27" s="1426">
        <f>VALUE(INDEX('AMMO Measures'!H:H,MATCH($A27,'AMMO Measures'!A:A,0)))</f>
        <v>45</v>
      </c>
      <c r="K27" s="1513">
        <v>2025</v>
      </c>
      <c r="L27" s="846">
        <f>SUMIFS('AMMO Units'!F:F,'AMMO Units'!$A:$A,$K27,'AMMO Units'!$E:$E,$A27)</f>
        <v>1369.65549698</v>
      </c>
      <c r="M27" s="1973"/>
      <c r="N27" s="773">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O27" s="849">
        <f>SUMIFS('AMMO Savings Rates'!F:F,'AMMO Savings Rates'!$E:$E,$K27,'AMMO Savings Rates'!$D:$D,$A27)</f>
        <v>502.73330859999999</v>
      </c>
      <c r="P27" s="1976"/>
      <c r="Q27" s="1151">
        <f t="shared" si="2"/>
        <v>1.0993247404354175E-2</v>
      </c>
      <c r="R27" s="1158">
        <f t="shared" si="4"/>
        <v>1.0993247404354175E-2</v>
      </c>
      <c r="U27"/>
    </row>
    <row r="28" spans="1:21" ht="15">
      <c r="A28" s="102" t="s">
        <v>967</v>
      </c>
      <c r="B28" s="82" t="str">
        <f t="shared" ref="B28:B47" si="5">LEFT(A28,10)</f>
        <v>RES_200601</v>
      </c>
      <c r="C28" s="670" t="str">
        <f>INDEX('AMMO vwFlags'!$C:$C,MATCH($A28&amp;K28,'AMMO vwFlags'!$K:$K,0))</f>
        <v>1</v>
      </c>
      <c r="D28" s="670" t="str">
        <f>INDEX('AMMO vwFlags'!$D:$D,MATCH($A28&amp;$K28,'AMMO vwFlags'!$K:$K,0))</f>
        <v>0</v>
      </c>
      <c r="E28" s="82">
        <f t="shared" si="1"/>
        <v>1</v>
      </c>
      <c r="F28" s="469" t="str">
        <f t="shared" ref="F28:F47" si="6">IF(LEFT(A28,3)="Res","Residential",IF(LEFT(A28,3)="Ind","industrial",IF(LEFT(A28,3)="Com","Commercial",IF(LEFT(A28,3)="AGR","Agriculture",""))))</f>
        <v>Residential</v>
      </c>
      <c r="G28" s="1990"/>
      <c r="H28" s="1996"/>
      <c r="I28" s="843" t="str">
        <f>INDEX('AMMO Units'!$D:$D,MATCH(A28,'AMMO Units'!$E:$E,0))</f>
        <v>IECC 2021</v>
      </c>
      <c r="J28" s="1426">
        <f>VALUE(INDEX('AMMO Measures'!H:H,MATCH($A28,'AMMO Measures'!A:A,0)))</f>
        <v>45</v>
      </c>
      <c r="K28" s="1513">
        <v>2024</v>
      </c>
      <c r="L28" s="846">
        <f>SUMIFS('AMMO Units'!F:F,'AMMO Units'!$A:$A,$K28,'AMMO Units'!$E:$E,$A28)</f>
        <v>1395.5670927199999</v>
      </c>
      <c r="M28" s="1973"/>
      <c r="N28" s="773">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0.13985600000000001</v>
      </c>
      <c r="O28" s="849">
        <f>SUMIFS('AMMO Savings Rates'!F:F,'AMMO Savings Rates'!$E:$E,$K28,'AMMO Savings Rates'!$D:$D,$A28)</f>
        <v>400.08</v>
      </c>
      <c r="P28" s="1985"/>
      <c r="Q28" s="1151">
        <f t="shared" si="2"/>
        <v>8.914039589301927E-3</v>
      </c>
      <c r="R28" s="1158">
        <f t="shared" si="4"/>
        <v>8.914039589301927E-3</v>
      </c>
      <c r="U28"/>
    </row>
    <row r="29" spans="1:21" ht="15">
      <c r="A29" s="102" t="s">
        <v>967</v>
      </c>
      <c r="B29" s="82" t="str">
        <f t="shared" si="5"/>
        <v>RES_200601</v>
      </c>
      <c r="C29" s="670" t="str">
        <f>INDEX('AMMO vwFlags'!$C:$C,MATCH($A29&amp;K29,'AMMO vwFlags'!$K:$K,0))</f>
        <v>1</v>
      </c>
      <c r="D29" s="670" t="str">
        <f>INDEX('AMMO vwFlags'!$D:$D,MATCH($A29&amp;$K29,'AMMO vwFlags'!$K:$K,0))</f>
        <v>0</v>
      </c>
      <c r="E29" s="82">
        <f t="shared" si="1"/>
        <v>1</v>
      </c>
      <c r="F29" s="469" t="str">
        <f t="shared" si="6"/>
        <v>Residential</v>
      </c>
      <c r="G29" s="1990"/>
      <c r="H29" s="1997"/>
      <c r="I29" s="1138" t="str">
        <f>INDEX('AMMO Units'!$D:$D,MATCH(A29,'AMMO Units'!$E:$E,0))</f>
        <v>IECC 2021</v>
      </c>
      <c r="J29" s="1521">
        <f>VALUE(INDEX('AMMO Measures'!H:H,MATCH($A29,'AMMO Measures'!A:A,0)))</f>
        <v>45</v>
      </c>
      <c r="K29" s="1514">
        <v>2025</v>
      </c>
      <c r="L29" s="1139">
        <f>SUMIFS('AMMO Units'!F:F,'AMMO Units'!$A:$A,$K29,'AMMO Units'!$E:$E,$A29)</f>
        <v>1369.65549698</v>
      </c>
      <c r="M29" s="1973"/>
      <c r="N29" s="1509">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O29" s="1522">
        <f>SUMIFS('AMMO Savings Rates'!F:F,'AMMO Savings Rates'!$E:$E,$K29,'AMMO Savings Rates'!$D:$D,$A29)</f>
        <v>400.08</v>
      </c>
      <c r="P29" s="1998"/>
      <c r="Q29" s="1530">
        <f t="shared" si="2"/>
        <v>8.748531967738447E-3</v>
      </c>
      <c r="R29" s="1531">
        <f t="shared" si="4"/>
        <v>8.748531967738447E-3</v>
      </c>
      <c r="U29"/>
    </row>
    <row r="30" spans="1:21" ht="30.75" customHeight="1">
      <c r="A30" s="102" t="s">
        <v>866</v>
      </c>
      <c r="B30" s="82" t="str">
        <f t="shared" si="5"/>
        <v>RES_200601</v>
      </c>
      <c r="C30" s="670" t="str">
        <f>INDEX('AMMO vwFlags'!$C:$C,MATCH($A30&amp;K30,'AMMO vwFlags'!$K:$K,0))</f>
        <v>1</v>
      </c>
      <c r="D30" s="670" t="str">
        <f>INDEX('AMMO vwFlags'!$D:$D,MATCH($A30&amp;$K30,'AMMO vwFlags'!$K:$K,0))</f>
        <v>0</v>
      </c>
      <c r="E30" s="82">
        <f t="shared" si="1"/>
        <v>1</v>
      </c>
      <c r="F30" s="469" t="str">
        <f t="shared" si="6"/>
        <v>Residential</v>
      </c>
      <c r="G30" s="1990"/>
      <c r="H30" s="1995" t="s">
        <v>579</v>
      </c>
      <c r="I30" s="1510" t="str">
        <f>INDEX('AMMO Units'!$D:$D,MATCH(A30,'AMMO Units'!$E:$E,0))</f>
        <v>Or. Specialty Code 2021</v>
      </c>
      <c r="J30" s="1511">
        <f>VALUE(INDEX('AMMO Measures'!H:H,MATCH($A30,'AMMO Measures'!A:A,0)))</f>
        <v>45</v>
      </c>
      <c r="K30" s="1512">
        <v>2024</v>
      </c>
      <c r="L30" s="1515">
        <f>SUMIFS('AMMO Units'!F:F,'AMMO Units'!$A:$A,$K30,'AMMO Units'!$E:$E,$A30)</f>
        <v>2779.6640409299998</v>
      </c>
      <c r="M30" s="1973"/>
      <c r="N30" s="1508">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O30" s="1520">
        <f>SUMIFS('AMMO Savings Rates'!F:F,'AMMO Savings Rates'!$E:$E,$K30,'AMMO Savings Rates'!$D:$D,$A30)</f>
        <v>310</v>
      </c>
      <c r="P30" s="1982" t="s">
        <v>2483</v>
      </c>
      <c r="Q30" s="1528">
        <f t="shared" si="2"/>
        <v>1.3757230042645533E-2</v>
      </c>
      <c r="R30" s="1529">
        <f t="shared" si="4"/>
        <v>1.3757230042645533E-2</v>
      </c>
      <c r="U30"/>
    </row>
    <row r="31" spans="1:21" ht="30.75" customHeight="1">
      <c r="A31" s="102" t="s">
        <v>866</v>
      </c>
      <c r="B31" s="82" t="str">
        <f t="shared" si="5"/>
        <v>RES_200601</v>
      </c>
      <c r="C31" s="670" t="str">
        <f>INDEX('AMMO vwFlags'!$C:$C,MATCH($A31&amp;K31,'AMMO vwFlags'!$K:$K,0))</f>
        <v>1</v>
      </c>
      <c r="D31" s="670" t="str">
        <f>INDEX('AMMO vwFlags'!$D:$D,MATCH($A31&amp;$K31,'AMMO vwFlags'!$K:$K,0))</f>
        <v>0</v>
      </c>
      <c r="E31" s="82">
        <f t="shared" si="1"/>
        <v>1</v>
      </c>
      <c r="F31" s="469" t="str">
        <f t="shared" si="6"/>
        <v>Residential</v>
      </c>
      <c r="G31" s="1990"/>
      <c r="H31" s="1967"/>
      <c r="I31" s="843" t="str">
        <f>INDEX('AMMO Units'!$D:$D,MATCH(A31,'AMMO Units'!$E:$E,0))</f>
        <v>Or. Specialty Code 2021</v>
      </c>
      <c r="J31" s="1426">
        <f>VALUE(INDEX('AMMO Measures'!H:H,MATCH($A31,'AMMO Measures'!A:A,0)))</f>
        <v>45</v>
      </c>
      <c r="K31" s="1513">
        <v>2025</v>
      </c>
      <c r="L31" s="846">
        <f>SUMIFS('AMMO Units'!F:F,'AMMO Units'!$A:$A,$K31,'AMMO Units'!$E:$E,$A31)</f>
        <v>2887.2787053000002</v>
      </c>
      <c r="M31" s="1973"/>
      <c r="N31" s="773">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O31" s="849">
        <f>SUMIFS('AMMO Savings Rates'!F:F,'AMMO Savings Rates'!$E:$E,$K31,'AMMO Savings Rates'!$D:$D,$A31)</f>
        <v>310</v>
      </c>
      <c r="P31" s="1976"/>
      <c r="Q31" s="1151">
        <f t="shared" si="2"/>
        <v>1.4289841060344225E-2</v>
      </c>
      <c r="R31" s="1158">
        <f t="shared" si="4"/>
        <v>1.4289841060344225E-2</v>
      </c>
      <c r="U31"/>
    </row>
    <row r="32" spans="1:21" ht="15">
      <c r="A32" s="102" t="s">
        <v>971</v>
      </c>
      <c r="B32" s="82" t="str">
        <f t="shared" si="5"/>
        <v>RES_200601</v>
      </c>
      <c r="C32" s="670" t="str">
        <f>INDEX('AMMO vwFlags'!$C:$C,MATCH($A32&amp;K32,'AMMO vwFlags'!$K:$K,0))</f>
        <v>1</v>
      </c>
      <c r="D32" s="670" t="str">
        <f>INDEX('AMMO vwFlags'!$D:$D,MATCH($A32&amp;$K32,'AMMO vwFlags'!$K:$K,0))</f>
        <v>0</v>
      </c>
      <c r="E32" s="82">
        <f t="shared" si="1"/>
        <v>1</v>
      </c>
      <c r="F32" s="469" t="str">
        <f t="shared" si="6"/>
        <v>Residential</v>
      </c>
      <c r="G32" s="1990"/>
      <c r="H32" s="1996"/>
      <c r="I32" s="843" t="str">
        <f>INDEX('AMMO Units'!$D:$D,MATCH(A32,'AMMO Units'!$E:$E,0))</f>
        <v>Or. Specialty Code 2023</v>
      </c>
      <c r="J32" s="1426">
        <f>VALUE(INDEX('AMMO Measures'!H:H,MATCH($A32,'AMMO Measures'!A:A,0)))</f>
        <v>45</v>
      </c>
      <c r="K32" s="1513">
        <v>2024</v>
      </c>
      <c r="L32" s="846">
        <f>SUMIFS('AMMO Units'!F:F,'AMMO Units'!$A:$A,$K32,'AMMO Units'!$E:$E,$A32)</f>
        <v>1387.06489291</v>
      </c>
      <c r="M32" s="1973"/>
      <c r="N32" s="773">
        <f>IF(Selection!$A$2="regional",1,IF($L32=0,0,
( INDEX(Allocation!$B:$B,MATCH(K32,Allocation!$A:$A,0)) * INDEX(UnitsFunderShareAllocation!$C:$C, MATCH($A32&amp;K32,UnitsFunderShareAllocation!$H:$H,0))
+ INDEX(Allocation!$C:$C,MATCH(K32,Allocation!$A:$A,0)) * INDEX(UnitsFunderShareAllocation!$D:$D, MATCH($A32&amp;K32,UnitsFunderShareAllocation!$H:$H,0))
+ INDEX(Allocation!$D:$D,MATCH(K32,Allocation!$A:$A,0)) * INDEX(UnitsFunderShareAllocation!$E:$E, MATCH($A32&amp;K32,UnitsFunderShareAllocation!$H:$H,0))
+ INDEX(Allocation!$E:$E,MATCH(K32,Allocation!$A:$A,0)) * INDEX(UnitsFunderShareAllocation!$F:$F, MATCH($A32&amp;K32,UnitsFunderShareAllocation!$H:$H,0)))
))</f>
        <v>0.13985600000000001</v>
      </c>
      <c r="O32" s="849">
        <f>SUMIFS('AMMO Savings Rates'!F:F,'AMMO Savings Rates'!$E:$E,$K32,'AMMO Savings Rates'!$D:$D,$A32)</f>
        <v>195</v>
      </c>
      <c r="P32" s="1999"/>
      <c r="Q32" s="1151">
        <f t="shared" si="2"/>
        <v>4.3182560267408772E-3</v>
      </c>
      <c r="R32" s="1158">
        <f t="shared" si="4"/>
        <v>4.3182560267408772E-3</v>
      </c>
      <c r="T32" s="126"/>
      <c r="U32"/>
    </row>
    <row r="33" spans="1:21" ht="15">
      <c r="A33" s="102" t="s">
        <v>971</v>
      </c>
      <c r="B33" s="82" t="str">
        <f t="shared" si="5"/>
        <v>RES_200601</v>
      </c>
      <c r="C33" s="670" t="str">
        <f>INDEX('AMMO vwFlags'!$C:$C,MATCH($A33&amp;K33,'AMMO vwFlags'!$K:$K,0))</f>
        <v>1</v>
      </c>
      <c r="D33" s="670" t="str">
        <f>INDEX('AMMO vwFlags'!$D:$D,MATCH($A33&amp;$K33,'AMMO vwFlags'!$K:$K,0))</f>
        <v>0</v>
      </c>
      <c r="E33" s="82">
        <f t="shared" si="1"/>
        <v>1</v>
      </c>
      <c r="F33" s="469" t="str">
        <f t="shared" si="6"/>
        <v>Residential</v>
      </c>
      <c r="G33" s="1990"/>
      <c r="H33" s="1997"/>
      <c r="I33" s="1138" t="str">
        <f>INDEX('AMMO Units'!$D:$D,MATCH(A33,'AMMO Units'!$E:$E,0))</f>
        <v>Or. Specialty Code 2023</v>
      </c>
      <c r="J33" s="1521">
        <f>VALUE(INDEX('AMMO Measures'!H:H,MATCH($A33,'AMMO Measures'!A:A,0)))</f>
        <v>45</v>
      </c>
      <c r="K33" s="1514">
        <v>2025</v>
      </c>
      <c r="L33" s="1139">
        <f>SUMIFS('AMMO Units'!F:F,'AMMO Units'!$A:$A,$K33,'AMMO Units'!$E:$E,$A33)</f>
        <v>2881.5301915599998</v>
      </c>
      <c r="M33" s="1973"/>
      <c r="N33" s="1509">
        <f>IF(Selection!$A$2="regional",1,IF($L33=0,0,
( INDEX(Allocation!$B:$B,MATCH(K33,Allocation!$A:$A,0)) * INDEX(UnitsFunderShareAllocation!$C:$C, MATCH($A33&amp;K33,UnitsFunderShareAllocation!$H:$H,0))
+ INDEX(Allocation!$C:$C,MATCH(K33,Allocation!$A:$A,0)) * INDEX(UnitsFunderShareAllocation!$D:$D, MATCH($A33&amp;K33,UnitsFunderShareAllocation!$H:$H,0))
+ INDEX(Allocation!$D:$D,MATCH(K33,Allocation!$A:$A,0)) * INDEX(UnitsFunderShareAllocation!$E:$E, MATCH($A33&amp;K33,UnitsFunderShareAllocation!$H:$H,0))
+ INDEX(Allocation!$E:$E,MATCH(K33,Allocation!$A:$A,0)) * INDEX(UnitsFunderShareAllocation!$F:$F, MATCH($A33&amp;K33,UnitsFunderShareAllocation!$H:$H,0)))
))</f>
        <v>0.13985600000000001</v>
      </c>
      <c r="O33" s="849">
        <f>SUMIFS('AMMO Savings Rates'!F:F,'AMMO Savings Rates'!$E:$E,$K33,'AMMO Savings Rates'!$D:$D,$A33)</f>
        <v>195</v>
      </c>
      <c r="P33" s="2000"/>
      <c r="Q33" s="1530">
        <f t="shared" si="2"/>
        <v>8.9708745276037664E-3</v>
      </c>
      <c r="R33" s="1531">
        <f t="shared" si="4"/>
        <v>8.9708745276037664E-3</v>
      </c>
      <c r="T33" s="126"/>
      <c r="U33"/>
    </row>
    <row r="34" spans="1:21" ht="15">
      <c r="A34" s="102" t="s">
        <v>972</v>
      </c>
      <c r="B34" s="82" t="str">
        <f t="shared" si="5"/>
        <v>RES_200601</v>
      </c>
      <c r="C34" s="670" t="str">
        <f>INDEX('AMMO vwFlags'!$C:$C,MATCH($A34&amp;K34,'AMMO vwFlags'!$K:$K,0))</f>
        <v>1</v>
      </c>
      <c r="D34" s="670" t="str">
        <f>INDEX('AMMO vwFlags'!$D:$D,MATCH($A34&amp;$K34,'AMMO vwFlags'!$K:$K,0))</f>
        <v>0</v>
      </c>
      <c r="E34" s="82">
        <f t="shared" si="1"/>
        <v>1</v>
      </c>
      <c r="F34" s="469" t="str">
        <f t="shared" si="6"/>
        <v>Residential</v>
      </c>
      <c r="G34" s="1990"/>
      <c r="H34" s="1967" t="s">
        <v>585</v>
      </c>
      <c r="I34" s="1140" t="str">
        <f>INDEX('AMMO Units'!$D:$D,MATCH(A34,'AMMO Units'!$E:$E,0))</f>
        <v>WSEC 2021</v>
      </c>
      <c r="J34" s="1511">
        <f>VALUE(INDEX('AMMO Measures'!H:H,MATCH($A34,'AMMO Measures'!A:A,0)))</f>
        <v>45</v>
      </c>
      <c r="K34" s="1512">
        <v>2024</v>
      </c>
      <c r="L34" s="1516">
        <f>0.9*3993.42873349884</f>
        <v>3594.0858601489558</v>
      </c>
      <c r="M34" s="1973"/>
      <c r="N34" s="773">
        <f>IF(Selection!$A$2="regional",1,IF($L34=0,0,
( INDEX(Allocation!$B:$B,MATCH(K34,Allocation!$A:$A,0)) * INDEX(UnitsFunderShareAllocation!$C:$C, MATCH($A34&amp;K34,UnitsFunderShareAllocation!$H:$H,0))
+ INDEX(Allocation!$C:$C,MATCH(K34,Allocation!$A:$A,0)) * INDEX(UnitsFunderShareAllocation!$D:$D, MATCH($A34&amp;K34,UnitsFunderShareAllocation!$H:$H,0))
+ INDEX(Allocation!$D:$D,MATCH(K34,Allocation!$A:$A,0)) * INDEX(UnitsFunderShareAllocation!$E:$E, MATCH($A34&amp;K34,UnitsFunderShareAllocation!$H:$H,0))
+ INDEX(Allocation!$E:$E,MATCH(K34,Allocation!$A:$A,0)) * INDEX(UnitsFunderShareAllocation!$F:$F, MATCH($A34&amp;K34,UnitsFunderShareAllocation!$H:$H,0)))
))</f>
        <v>0.13985600000000001</v>
      </c>
      <c r="O34" s="1523">
        <f>SUMIFS('AMMO Savings Rates'!F:F,'AMMO Savings Rates'!$E:$E,$K34,'AMMO Savings Rates'!$D:$D,$A34)</f>
        <v>542</v>
      </c>
      <c r="P34" s="1943" t="s">
        <v>2484</v>
      </c>
      <c r="Q34" s="1528">
        <f t="shared" si="2"/>
        <v>3.1100310942339025E-2</v>
      </c>
      <c r="R34" s="1529">
        <f t="shared" si="4"/>
        <v>3.1100310942339025E-2</v>
      </c>
      <c r="U34"/>
    </row>
    <row r="35" spans="1:21" ht="15">
      <c r="A35" s="102" t="s">
        <v>972</v>
      </c>
      <c r="B35" s="82" t="str">
        <f t="shared" si="5"/>
        <v>RES_200601</v>
      </c>
      <c r="C35" s="670" t="str">
        <f>INDEX('AMMO vwFlags'!$C:$C,MATCH($A35&amp;K35,'AMMO vwFlags'!$K:$K,0))</f>
        <v>1</v>
      </c>
      <c r="D35" s="670" t="str">
        <f>INDEX('AMMO vwFlags'!$D:$D,MATCH($A35&amp;$K35,'AMMO vwFlags'!$K:$K,0))</f>
        <v>0</v>
      </c>
      <c r="E35" s="82">
        <f t="shared" si="1"/>
        <v>1</v>
      </c>
      <c r="F35" s="469" t="str">
        <f t="shared" si="6"/>
        <v>Residential</v>
      </c>
      <c r="G35" s="1991"/>
      <c r="H35" s="1968"/>
      <c r="I35" s="843" t="str">
        <f>INDEX('AMMO Units'!$D:$D,MATCH(A35,'AMMO Units'!$E:$E,0))</f>
        <v>WSEC 2021</v>
      </c>
      <c r="J35" s="1524">
        <f>VALUE(INDEX('AMMO Measures'!H:H,MATCH($A35,'AMMO Measures'!A:A,0)))</f>
        <v>45</v>
      </c>
      <c r="K35" s="1525">
        <v>2025</v>
      </c>
      <c r="L35" s="857">
        <f>SUMIFS('AMMO Units'!F:F,'AMMO Units'!$A:$A,$K35,'AMMO Units'!$E:$E,$A35)</f>
        <v>6179.4166657899996</v>
      </c>
      <c r="M35" s="1973"/>
      <c r="N35" s="774">
        <f>IF(Selection!$A$2="regional",1,IF($L35=0,0,
( INDEX(Allocation!$B:$B,MATCH(K35,Allocation!$A:$A,0)) * INDEX(UnitsFunderShareAllocation!$C:$C, MATCH($A35&amp;K35,UnitsFunderShareAllocation!$H:$H,0))
+ INDEX(Allocation!$C:$C,MATCH(K35,Allocation!$A:$A,0)) * INDEX(UnitsFunderShareAllocation!$D:$D, MATCH($A35&amp;K35,UnitsFunderShareAllocation!$H:$H,0))
+ INDEX(Allocation!$D:$D,MATCH(K35,Allocation!$A:$A,0)) * INDEX(UnitsFunderShareAllocation!$E:$E, MATCH($A35&amp;K35,UnitsFunderShareAllocation!$H:$H,0))
+ INDEX(Allocation!$E:$E,MATCH(K35,Allocation!$A:$A,0)) * INDEX(UnitsFunderShareAllocation!$F:$F, MATCH($A35&amp;K35,UnitsFunderShareAllocation!$H:$H,0)))
))</f>
        <v>0.13985600000000001</v>
      </c>
      <c r="O35" s="1428">
        <f>SUMIFS('AMMO Savings Rates'!F:F,'AMMO Savings Rates'!$E:$E,$K35,'AMMO Savings Rates'!$D:$D,$A35)</f>
        <v>542</v>
      </c>
      <c r="P35" s="1944"/>
      <c r="Q35" s="1439">
        <f t="shared" si="2"/>
        <v>5.3471671859385117E-2</v>
      </c>
      <c r="R35" s="1440">
        <f t="shared" si="4"/>
        <v>5.3471671859385117E-2</v>
      </c>
      <c r="U35"/>
    </row>
    <row r="36" spans="1:21" ht="35.25" customHeight="1">
      <c r="A36" s="102" t="s">
        <v>58</v>
      </c>
      <c r="B36" s="82" t="str">
        <f>LEFT(A36,10)</f>
        <v>RES_201301</v>
      </c>
      <c r="C36" s="670" t="str">
        <f>INDEX('AMMO vwFlags'!$C:$C,MATCH($A36&amp;K36,'AMMO vwFlags'!$K:$K,0))</f>
        <v>1</v>
      </c>
      <c r="D36" s="670" t="str">
        <f>INDEX('AMMO vwFlags'!$D:$D,MATCH($A36&amp;$K36,'AMMO vwFlags'!$K:$K,0))</f>
        <v>0</v>
      </c>
      <c r="E36" s="82">
        <f t="shared" si="1"/>
        <v>1</v>
      </c>
      <c r="F36" s="92" t="str">
        <f t="shared" si="6"/>
        <v>Residential</v>
      </c>
      <c r="G36" s="1969" t="s">
        <v>2481</v>
      </c>
      <c r="H36" s="1971" t="s">
        <v>581</v>
      </c>
      <c r="I36" s="1532" t="str">
        <f>INDEX('AMMO Units'!$D:$D,MATCH(A36,'AMMO Units'!$E:$E,0))</f>
        <v>IECC 2018</v>
      </c>
      <c r="J36" s="1418">
        <f>VALUE(INDEX('AMMO Measures'!H:H,MATCH($A36,'AMMO Measures'!A:A,0)))</f>
        <v>45</v>
      </c>
      <c r="K36" s="1119">
        <v>2024</v>
      </c>
      <c r="L36" s="1419">
        <f>SUMIFS('AMMO Units'!F:F,'AMMO Units'!$A:$A,$K36,'AMMO Units'!$E:$E,$A36)</f>
        <v>12275.443942960001</v>
      </c>
      <c r="M36" s="1972" t="s">
        <v>2486</v>
      </c>
      <c r="N36" s="1134">
        <f>IF(Selection!$A$2="regional",1,IF($L36=0,0,
( INDEX(Allocation!$B:$B,MATCH(K36,Allocation!$A:$A,0)) * INDEX(UnitsFunderShareAllocation!$C:$C, MATCH($A36&amp;K36,UnitsFunderShareAllocation!$H:$H,0))
+ INDEX(Allocation!$C:$C,MATCH(K36,Allocation!$A:$A,0)) * INDEX(UnitsFunderShareAllocation!$D:$D, MATCH($A36&amp;K36,UnitsFunderShareAllocation!$H:$H,0))
+ INDEX(Allocation!$D:$D,MATCH(K36,Allocation!$A:$A,0)) * INDEX(UnitsFunderShareAllocation!$E:$E, MATCH($A36&amp;K36,UnitsFunderShareAllocation!$H:$H,0))
+ INDEX(Allocation!$E:$E,MATCH(K36,Allocation!$A:$A,0)) * INDEX(UnitsFunderShareAllocation!$F:$F, MATCH($A36&amp;K36,UnitsFunderShareAllocation!$H:$H,0)))
))</f>
        <v>0.13985600000000001</v>
      </c>
      <c r="O36" s="1547">
        <f>SUMIFS('AMMO Savings Rates'!F:F,'AMMO Savings Rates'!$E:$E,$K36,'AMMO Savings Rates'!$D:$D,$A36)</f>
        <v>645.91485203000002</v>
      </c>
      <c r="P36" s="1975" t="s">
        <v>2483</v>
      </c>
      <c r="Q36" s="1541">
        <f t="shared" si="2"/>
        <v>0.12658710704776083</v>
      </c>
      <c r="R36" s="1542">
        <f t="shared" si="4"/>
        <v>0.12658710704776083</v>
      </c>
      <c r="U36"/>
    </row>
    <row r="37" spans="1:21" ht="34.5" customHeight="1">
      <c r="A37" s="102" t="s">
        <v>58</v>
      </c>
      <c r="B37" s="82" t="str">
        <f>LEFT(A37,10)</f>
        <v>RES_201301</v>
      </c>
      <c r="C37" s="670" t="str">
        <f>INDEX('AMMO vwFlags'!$C:$C,MATCH($A37&amp;K37,'AMMO vwFlags'!$K:$K,0))</f>
        <v>1</v>
      </c>
      <c r="D37" s="670" t="str">
        <f>INDEX('AMMO vwFlags'!$D:$D,MATCH($A37&amp;$K37,'AMMO vwFlags'!$K:$K,0))</f>
        <v>0</v>
      </c>
      <c r="E37" s="82">
        <f t="shared" si="1"/>
        <v>1</v>
      </c>
      <c r="F37" s="92" t="str">
        <f t="shared" si="6"/>
        <v>Residential</v>
      </c>
      <c r="G37" s="1969"/>
      <c r="H37" s="1969"/>
      <c r="I37" s="1413" t="str">
        <f>INDEX('AMMO Units'!$D:$D,MATCH(A37,'AMMO Units'!$E:$E,0))</f>
        <v>IECC 2018</v>
      </c>
      <c r="J37" s="1533">
        <f>VALUE(INDEX('AMMO Measures'!H:H,MATCH($A37,'AMMO Measures'!A:A,0)))</f>
        <v>45</v>
      </c>
      <c r="K37" s="1123">
        <v>2025</v>
      </c>
      <c r="L37" s="1415">
        <f>SUMIFS('AMMO Units'!F:F,'AMMO Units'!$A:$A,$K37,'AMMO Units'!$E:$E,$A37)</f>
        <v>12996.256502259999</v>
      </c>
      <c r="M37" s="1973"/>
      <c r="N37" s="1482">
        <f>IF(Selection!$A$2="regional",1,IF($L37=0,0,
( INDEX(Allocation!$B:$B,MATCH(K37,Allocation!$A:$A,0)) * INDEX(UnitsFunderShareAllocation!$C:$C, MATCH($A37&amp;K37,UnitsFunderShareAllocation!$H:$H,0))
+ INDEX(Allocation!$C:$C,MATCH(K37,Allocation!$A:$A,0)) * INDEX(UnitsFunderShareAllocation!$D:$D, MATCH($A37&amp;K37,UnitsFunderShareAllocation!$H:$H,0))
+ INDEX(Allocation!$D:$D,MATCH(K37,Allocation!$A:$A,0)) * INDEX(UnitsFunderShareAllocation!$E:$E, MATCH($A37&amp;K37,UnitsFunderShareAllocation!$H:$H,0))
+ INDEX(Allocation!$E:$E,MATCH(K37,Allocation!$A:$A,0)) * INDEX(UnitsFunderShareAllocation!$F:$F, MATCH($A37&amp;K37,UnitsFunderShareAllocation!$H:$H,0)))
))</f>
        <v>0.13985600000000001</v>
      </c>
      <c r="O37" s="1548">
        <f>SUMIFS('AMMO Savings Rates'!F:F,'AMMO Savings Rates'!$E:$E,$K37,'AMMO Savings Rates'!$D:$D,$A37)</f>
        <v>645.91485203000002</v>
      </c>
      <c r="P37" s="1976"/>
      <c r="Q37" s="1148">
        <f t="shared" si="2"/>
        <v>0.13402028641214617</v>
      </c>
      <c r="R37" s="1155">
        <f t="shared" si="4"/>
        <v>0.13402028641214617</v>
      </c>
      <c r="U37"/>
    </row>
    <row r="38" spans="1:21" ht="15">
      <c r="A38" s="49" t="s">
        <v>59</v>
      </c>
      <c r="B38" s="82" t="str">
        <f t="shared" si="5"/>
        <v>RES_201301</v>
      </c>
      <c r="C38" s="670" t="str">
        <f>INDEX('AMMO vwFlags'!$C:$C,MATCH($A38&amp;K38,'AMMO vwFlags'!$K:$K,0))</f>
        <v>1</v>
      </c>
      <c r="D38" s="670" t="str">
        <f>INDEX('AMMO vwFlags'!$D:$D,MATCH($A38&amp;$K38,'AMMO vwFlags'!$K:$K,0))</f>
        <v>0</v>
      </c>
      <c r="E38" s="82">
        <f t="shared" si="1"/>
        <v>1</v>
      </c>
      <c r="F38" s="92" t="str">
        <f t="shared" si="6"/>
        <v>Residential</v>
      </c>
      <c r="G38" s="1969"/>
      <c r="H38" s="1977" t="s">
        <v>577</v>
      </c>
      <c r="I38" s="1534" t="str">
        <f>INDEX('AMMO Units'!$D:$D,MATCH(A38,'AMMO Units'!$E:$E,0))</f>
        <v>IECC 2018</v>
      </c>
      <c r="J38" s="1535">
        <f>VALUE(INDEX('AMMO Measures'!H:H,MATCH($A38,'AMMO Measures'!A:A,0)))</f>
        <v>45</v>
      </c>
      <c r="K38" s="1503">
        <v>2024</v>
      </c>
      <c r="L38" s="1130">
        <f>SUMIFS('AMMO Units'!F:F,'AMMO Units'!$A:$A,$K38,'AMMO Units'!$E:$E,$A38)</f>
        <v>2233.9316688700001</v>
      </c>
      <c r="M38" s="1973"/>
      <c r="N38" s="1492">
        <f>IF(Selection!$A$2="regional",1,IF($L38=0,0,
( INDEX(Allocation!$B:$B,MATCH(K38,Allocation!$A:$A,0)) * INDEX(UnitsFunderShareAllocation!$C:$C, MATCH($A38&amp;K38,UnitsFunderShareAllocation!$H:$H,0))
+ INDEX(Allocation!$C:$C,MATCH(K38,Allocation!$A:$A,0)) * INDEX(UnitsFunderShareAllocation!$D:$D, MATCH($A38&amp;K38,UnitsFunderShareAllocation!$H:$H,0))
+ INDEX(Allocation!$D:$D,MATCH(K38,Allocation!$A:$A,0)) * INDEX(UnitsFunderShareAllocation!$E:$E, MATCH($A38&amp;K38,UnitsFunderShareAllocation!$H:$H,0))
+ INDEX(Allocation!$E:$E,MATCH(K38,Allocation!$A:$A,0)) * INDEX(UnitsFunderShareAllocation!$F:$F, MATCH($A38&amp;K38,UnitsFunderShareAllocation!$H:$H,0)))
))</f>
        <v>0.13985600000000001</v>
      </c>
      <c r="O38" s="1549">
        <f>SUMIFS('AMMO Savings Rates'!F:F,'AMMO Savings Rates'!$E:$E,$K38,'AMMO Savings Rates'!$D:$D,$A38)</f>
        <v>853.47449904999996</v>
      </c>
      <c r="P38" s="1976" t="s">
        <v>2483</v>
      </c>
      <c r="Q38" s="1543">
        <f t="shared" si="2"/>
        <v>3.0439494149038522E-2</v>
      </c>
      <c r="R38" s="1544">
        <f t="shared" si="4"/>
        <v>3.0439494149038522E-2</v>
      </c>
      <c r="U38"/>
    </row>
    <row r="39" spans="1:21" ht="24" customHeight="1">
      <c r="A39" s="49" t="s">
        <v>59</v>
      </c>
      <c r="B39" s="82" t="str">
        <f t="shared" si="5"/>
        <v>RES_201301</v>
      </c>
      <c r="C39" s="670" t="str">
        <f>INDEX('AMMO vwFlags'!$C:$C,MATCH($A39&amp;K39,'AMMO vwFlags'!$K:$K,0))</f>
        <v>1</v>
      </c>
      <c r="D39" s="670" t="str">
        <f>INDEX('AMMO vwFlags'!$D:$D,MATCH($A39&amp;$K39,'AMMO vwFlags'!$K:$K,0))</f>
        <v>0</v>
      </c>
      <c r="E39" s="82">
        <f t="shared" si="1"/>
        <v>1</v>
      </c>
      <c r="F39" s="92" t="str">
        <f t="shared" si="6"/>
        <v>Residential</v>
      </c>
      <c r="G39" s="1969"/>
      <c r="H39" s="1978"/>
      <c r="I39" s="1122" t="str">
        <f>INDEX('AMMO Units'!$D:$D,MATCH(A39,'AMMO Units'!$E:$E,0))</f>
        <v>IECC 2018</v>
      </c>
      <c r="J39" s="1418">
        <f>VALUE(INDEX('AMMO Measures'!H:H,MATCH($A39,'AMMO Measures'!A:A,0)))</f>
        <v>45</v>
      </c>
      <c r="K39" s="1536">
        <v>2025</v>
      </c>
      <c r="L39" s="1131">
        <f>SUMIFS('AMMO Units'!F:F,'AMMO Units'!$A:$A,$K39,'AMMO Units'!$E:$E,$A39)</f>
        <v>2365.1078618500001</v>
      </c>
      <c r="M39" s="1973"/>
      <c r="N39" s="1134">
        <f>IF(Selection!$A$2="regional",1,IF($L39=0,0,
( INDEX(Allocation!$B:$B,MATCH(K39,Allocation!$A:$A,0)) * INDEX(UnitsFunderShareAllocation!$C:$C, MATCH($A39&amp;K39,UnitsFunderShareAllocation!$H:$H,0))
+ INDEX(Allocation!$C:$C,MATCH(K39,Allocation!$A:$A,0)) * INDEX(UnitsFunderShareAllocation!$D:$D, MATCH($A39&amp;K39,UnitsFunderShareAllocation!$H:$H,0))
+ INDEX(Allocation!$D:$D,MATCH(K39,Allocation!$A:$A,0)) * INDEX(UnitsFunderShareAllocation!$E:$E, MATCH($A39&amp;K39,UnitsFunderShareAllocation!$H:$H,0))
+ INDEX(Allocation!$E:$E,MATCH(K39,Allocation!$A:$A,0)) * INDEX(UnitsFunderShareAllocation!$F:$F, MATCH($A39&amp;K39,UnitsFunderShareAllocation!$H:$H,0)))
))</f>
        <v>0.13985600000000001</v>
      </c>
      <c r="O39" s="1550">
        <f>SUMIFS('AMMO Savings Rates'!F:F,'AMMO Savings Rates'!$E:$E,$K39,'AMMO Savings Rates'!$D:$D,$A39)</f>
        <v>853.47449904999996</v>
      </c>
      <c r="P39" s="1976"/>
      <c r="Q39" s="1147">
        <f t="shared" si="2"/>
        <v>3.2226897503559039E-2</v>
      </c>
      <c r="R39" s="1154">
        <f t="shared" si="4"/>
        <v>3.2226897503559039E-2</v>
      </c>
      <c r="U39"/>
    </row>
    <row r="40" spans="1:21" ht="15">
      <c r="A40" s="49" t="s">
        <v>60</v>
      </c>
      <c r="B40" s="82" t="str">
        <f t="shared" si="5"/>
        <v>RES_201301</v>
      </c>
      <c r="C40" s="670" t="str">
        <f>INDEX('AMMO vwFlags'!$C:$C,MATCH($A40&amp;K40,'AMMO vwFlags'!$K:$K,0))</f>
        <v>1</v>
      </c>
      <c r="D40" s="670" t="str">
        <f>INDEX('AMMO vwFlags'!$D:$D,MATCH($A40&amp;$K40,'AMMO vwFlags'!$K:$K,0))</f>
        <v>0</v>
      </c>
      <c r="E40" s="82">
        <f t="shared" si="1"/>
        <v>1</v>
      </c>
      <c r="F40" s="92" t="str">
        <f t="shared" si="6"/>
        <v>Residential</v>
      </c>
      <c r="G40" s="1969"/>
      <c r="H40" s="1979"/>
      <c r="I40" s="1537" t="str">
        <f>INDEX('AMMO Units'!$D:$D,MATCH(A40,'AMMO Units'!$E:$E,0))</f>
        <v>IECC 2021</v>
      </c>
      <c r="J40" s="1418">
        <f>VALUE(INDEX('AMMO Measures'!H:H,MATCH($A40,'AMMO Measures'!A:A,0)))</f>
        <v>45</v>
      </c>
      <c r="K40" s="1536">
        <v>2024</v>
      </c>
      <c r="L40" s="1131">
        <f>SUMIFS('AMMO Units'!F:F,'AMMO Units'!$A:$A,$K40,'AMMO Units'!$E:$E,$A40)</f>
        <v>2233.9316688700001</v>
      </c>
      <c r="M40" s="1973"/>
      <c r="N40" s="1134">
        <f>IF(Selection!$A$2="regional",1,IF($L40=0,0,
( INDEX(Allocation!$B:$B,MATCH(K40,Allocation!$A:$A,0)) * INDEX(UnitsFunderShareAllocation!$C:$C, MATCH($A40&amp;K40,UnitsFunderShareAllocation!$H:$H,0))
+ INDEX(Allocation!$C:$C,MATCH(K40,Allocation!$A:$A,0)) * INDEX(UnitsFunderShareAllocation!$D:$D, MATCH($A40&amp;K40,UnitsFunderShareAllocation!$H:$H,0))
+ INDEX(Allocation!$D:$D,MATCH(K40,Allocation!$A:$A,0)) * INDEX(UnitsFunderShareAllocation!$E:$E, MATCH($A40&amp;K40,UnitsFunderShareAllocation!$H:$H,0))
+ INDEX(Allocation!$E:$E,MATCH(K40,Allocation!$A:$A,0)) * INDEX(UnitsFunderShareAllocation!$F:$F, MATCH($A40&amp;K40,UnitsFunderShareAllocation!$H:$H,0)))
))</f>
        <v>0.13985600000000001</v>
      </c>
      <c r="O40" s="1550">
        <f>SUMIFS('AMMO Savings Rates'!F:F,'AMMO Savings Rates'!$E:$E,$K40,'AMMO Savings Rates'!$D:$D,$A40)</f>
        <v>301.28945943999997</v>
      </c>
      <c r="P40" s="1985" t="s">
        <v>2808</v>
      </c>
      <c r="Q40" s="1147">
        <f t="shared" si="2"/>
        <v>1.074560370344888E-2</v>
      </c>
      <c r="R40" s="1154">
        <f t="shared" si="4"/>
        <v>1.074560370344888E-2</v>
      </c>
      <c r="U40"/>
    </row>
    <row r="41" spans="1:21" ht="15">
      <c r="A41" s="49" t="s">
        <v>60</v>
      </c>
      <c r="B41" s="82" t="str">
        <f t="shared" si="5"/>
        <v>RES_201301</v>
      </c>
      <c r="C41" s="670" t="str">
        <f>INDEX('AMMO vwFlags'!$C:$C,MATCH($A41&amp;K41,'AMMO vwFlags'!$K:$K,0))</f>
        <v>1</v>
      </c>
      <c r="D41" s="670" t="str">
        <f>INDEX('AMMO vwFlags'!$D:$D,MATCH($A41&amp;$K41,'AMMO vwFlags'!$K:$K,0))</f>
        <v>0</v>
      </c>
      <c r="E41" s="82">
        <f t="shared" si="1"/>
        <v>1</v>
      </c>
      <c r="F41" s="92" t="str">
        <f t="shared" si="6"/>
        <v>Residential</v>
      </c>
      <c r="G41" s="1969"/>
      <c r="H41" s="1980"/>
      <c r="I41" s="1413" t="str">
        <f>INDEX('AMMO Units'!$D:$D,MATCH(A41,'AMMO Units'!$E:$E,0))</f>
        <v>IECC 2021</v>
      </c>
      <c r="J41" s="1533">
        <f>VALUE(INDEX('AMMO Measures'!H:H,MATCH($A41,'AMMO Measures'!A:A,0)))</f>
        <v>45</v>
      </c>
      <c r="K41" s="1538">
        <v>2025</v>
      </c>
      <c r="L41" s="1415">
        <f>SUMIFS('AMMO Units'!F:F,'AMMO Units'!$A:$A,$K41,'AMMO Units'!$E:$E,$A41)</f>
        <v>2365.1078618500001</v>
      </c>
      <c r="M41" s="1973"/>
      <c r="N41" s="1493">
        <f>IF(Selection!$A$2="regional",1,IF($L41=0,0,
( INDEX(Allocation!$B:$B,MATCH(K41,Allocation!$A:$A,0)) * INDEX(UnitsFunderShareAllocation!$C:$C, MATCH($A41&amp;K41,UnitsFunderShareAllocation!$H:$H,0))
+ INDEX(Allocation!$C:$C,MATCH(K41,Allocation!$A:$A,0)) * INDEX(UnitsFunderShareAllocation!$D:$D, MATCH($A41&amp;K41,UnitsFunderShareAllocation!$H:$H,0))
+ INDEX(Allocation!$D:$D,MATCH(K41,Allocation!$A:$A,0)) * INDEX(UnitsFunderShareAllocation!$E:$E, MATCH($A41&amp;K41,UnitsFunderShareAllocation!$H:$H,0))
+ INDEX(Allocation!$E:$E,MATCH(K41,Allocation!$A:$A,0)) * INDEX(UnitsFunderShareAllocation!$F:$F, MATCH($A41&amp;K41,UnitsFunderShareAllocation!$H:$H,0)))
))</f>
        <v>0.13985600000000001</v>
      </c>
      <c r="O41" s="1551">
        <f>SUMIFS('AMMO Savings Rates'!F:F,'AMMO Savings Rates'!$E:$E,$K41,'AMMO Savings Rates'!$D:$D,$A41)</f>
        <v>301.28945943999997</v>
      </c>
      <c r="P41" s="1986"/>
      <c r="Q41" s="1545">
        <f t="shared" si="2"/>
        <v>1.1376584231963981E-2</v>
      </c>
      <c r="R41" s="1546">
        <f t="shared" si="4"/>
        <v>1.1376584231963981E-2</v>
      </c>
      <c r="U41"/>
    </row>
    <row r="42" spans="1:21" ht="33" customHeight="1">
      <c r="A42" s="102" t="s">
        <v>61</v>
      </c>
      <c r="B42" s="82" t="str">
        <f t="shared" si="5"/>
        <v>RES_201301</v>
      </c>
      <c r="C42" s="670" t="str">
        <f>INDEX('AMMO vwFlags'!$C:$C,MATCH($A42&amp;K42,'AMMO vwFlags'!$K:$K,0))</f>
        <v>1</v>
      </c>
      <c r="D42" s="670" t="str">
        <f>INDEX('AMMO vwFlags'!$D:$D,MATCH($A42&amp;$K42,'AMMO vwFlags'!$K:$K,0))</f>
        <v>0</v>
      </c>
      <c r="E42" s="82">
        <f t="shared" si="1"/>
        <v>1</v>
      </c>
      <c r="F42" s="92" t="str">
        <f t="shared" si="6"/>
        <v>Residential</v>
      </c>
      <c r="G42" s="1969"/>
      <c r="H42" s="1977" t="s">
        <v>579</v>
      </c>
      <c r="I42" s="1534" t="str">
        <f>INDEX('AMMO Units'!$D:$D,MATCH(A42,'AMMO Units'!$E:$E,0))</f>
        <v>Or. Specialty Code 2021</v>
      </c>
      <c r="J42" s="1535">
        <f>VALUE(INDEX('AMMO Measures'!H:H,MATCH($A42,'AMMO Measures'!A:A,0)))</f>
        <v>45</v>
      </c>
      <c r="K42" s="1117">
        <v>2024</v>
      </c>
      <c r="L42" s="1552">
        <f>SUMIFS('AMMO Units'!F:F,'AMMO Units'!$A:$A,$K42,'AMMO Units'!$E:$E,$A42)*0.9</f>
        <v>8111.5752886739992</v>
      </c>
      <c r="M42" s="1973"/>
      <c r="N42" s="1492">
        <f>IF(Selection!$A$2="regional",1,IF($L42=0,0,
( INDEX(Allocation!$B:$B,MATCH(K42,Allocation!$A:$A,0)) * INDEX(UnitsFunderShareAllocation!$C:$C, MATCH($A42&amp;K42,UnitsFunderShareAllocation!$H:$H,0))
+ INDEX(Allocation!$C:$C,MATCH(K42,Allocation!$A:$A,0)) * INDEX(UnitsFunderShareAllocation!$D:$D, MATCH($A42&amp;K42,UnitsFunderShareAllocation!$H:$H,0))
+ INDEX(Allocation!$D:$D,MATCH(K42,Allocation!$A:$A,0)) * INDEX(UnitsFunderShareAllocation!$E:$E, MATCH($A42&amp;K42,UnitsFunderShareAllocation!$H:$H,0))
+ INDEX(Allocation!$E:$E,MATCH(K42,Allocation!$A:$A,0)) * INDEX(UnitsFunderShareAllocation!$F:$F, MATCH($A42&amp;K42,UnitsFunderShareAllocation!$H:$H,0)))
))</f>
        <v>0.13985600000000001</v>
      </c>
      <c r="O42" s="1547">
        <f>SUMIFS('AMMO Savings Rates'!F:F,'AMMO Savings Rates'!$E:$E,$K42,'AMMO Savings Rates'!$D:$D,$A42)</f>
        <v>169.58165966000001</v>
      </c>
      <c r="P42" s="1982" t="s">
        <v>2483</v>
      </c>
      <c r="Q42" s="1543">
        <f t="shared" si="2"/>
        <v>2.1961453570076048E-2</v>
      </c>
      <c r="R42" s="1544">
        <f t="shared" si="4"/>
        <v>2.1961453570076048E-2</v>
      </c>
      <c r="U42"/>
    </row>
    <row r="43" spans="1:21" ht="31.5" customHeight="1">
      <c r="A43" s="102" t="s">
        <v>61</v>
      </c>
      <c r="B43" s="82" t="str">
        <f t="shared" si="5"/>
        <v>RES_201301</v>
      </c>
      <c r="C43" s="670" t="str">
        <f>INDEX('AMMO vwFlags'!$C:$C,MATCH($A43&amp;K43,'AMMO vwFlags'!$K:$K,0))</f>
        <v>1</v>
      </c>
      <c r="D43" s="670" t="str">
        <f>INDEX('AMMO vwFlags'!$D:$D,MATCH($A43&amp;$K43,'AMMO vwFlags'!$K:$K,0))</f>
        <v>0</v>
      </c>
      <c r="E43" s="82">
        <f t="shared" si="1"/>
        <v>1</v>
      </c>
      <c r="F43" s="92" t="str">
        <f t="shared" si="6"/>
        <v>Residential</v>
      </c>
      <c r="G43" s="1969"/>
      <c r="H43" s="1978"/>
      <c r="I43" s="1122" t="str">
        <f>INDEX('AMMO Units'!$D:$D,MATCH(A43,'AMMO Units'!$E:$E,0))</f>
        <v>Or. Specialty Code 2021</v>
      </c>
      <c r="J43" s="1418">
        <f>VALUE(INDEX('AMMO Measures'!H:H,MATCH($A43,'AMMO Measures'!A:A,0)))</f>
        <v>45</v>
      </c>
      <c r="K43" s="1121">
        <v>2025</v>
      </c>
      <c r="L43" s="1553">
        <f>SUMIFS('AMMO Units'!F:F,'AMMO Units'!$A:$A,$K43,'AMMO Units'!$E:$E,$A43)*0.9</f>
        <v>8587.885992462001</v>
      </c>
      <c r="M43" s="1973"/>
      <c r="N43" s="1134">
        <f>IF(Selection!$A$2="regional",1,IF($L43=0,0,
( INDEX(Allocation!$B:$B,MATCH(K43,Allocation!$A:$A,0)) * INDEX(UnitsFunderShareAllocation!$C:$C, MATCH($A43&amp;K43,UnitsFunderShareAllocation!$H:$H,0))
+ INDEX(Allocation!$C:$C,MATCH(K43,Allocation!$A:$A,0)) * INDEX(UnitsFunderShareAllocation!$D:$D, MATCH($A43&amp;K43,UnitsFunderShareAllocation!$H:$H,0))
+ INDEX(Allocation!$D:$D,MATCH(K43,Allocation!$A:$A,0)) * INDEX(UnitsFunderShareAllocation!$E:$E, MATCH($A43&amp;K43,UnitsFunderShareAllocation!$H:$H,0))
+ INDEX(Allocation!$E:$E,MATCH(K43,Allocation!$A:$A,0)) * INDEX(UnitsFunderShareAllocation!$F:$F, MATCH($A43&amp;K43,UnitsFunderShareAllocation!$H:$H,0)))
))</f>
        <v>0.13985600000000001</v>
      </c>
      <c r="O43" s="1550">
        <f>SUMIFS('AMMO Savings Rates'!F:F,'AMMO Savings Rates'!$E:$E,$K43,'AMMO Savings Rates'!$D:$D,$A43)</f>
        <v>169.58165966000001</v>
      </c>
      <c r="P43" s="1976"/>
      <c r="Q43" s="1147">
        <f t="shared" si="2"/>
        <v>2.3251027423970515E-2</v>
      </c>
      <c r="R43" s="1154">
        <f t="shared" si="4"/>
        <v>2.3251027423970515E-2</v>
      </c>
      <c r="U43"/>
    </row>
    <row r="44" spans="1:21" ht="15">
      <c r="A44" s="49" t="s">
        <v>62</v>
      </c>
      <c r="B44" s="82" t="str">
        <f t="shared" si="5"/>
        <v>RES_201301</v>
      </c>
      <c r="C44" s="670" t="str">
        <f>INDEX('AMMO vwFlags'!$C:$C,MATCH($A44&amp;K44,'AMMO vwFlags'!$K:$K,0))</f>
        <v>1</v>
      </c>
      <c r="D44" s="670" t="str">
        <f>INDEX('AMMO vwFlags'!$D:$D,MATCH($A44&amp;$K44,'AMMO vwFlags'!$K:$K,0))</f>
        <v>0</v>
      </c>
      <c r="E44" s="82">
        <f t="shared" si="1"/>
        <v>1</v>
      </c>
      <c r="F44" s="92" t="str">
        <f t="shared" si="6"/>
        <v>Residential</v>
      </c>
      <c r="G44" s="1969"/>
      <c r="H44" s="1979"/>
      <c r="I44" s="1537" t="str">
        <f>INDEX('AMMO Units'!$D:$D,MATCH(A44,'AMMO Units'!$E:$E,0))</f>
        <v>Or. Specialty Code 2023</v>
      </c>
      <c r="J44" s="1418">
        <f>VALUE(INDEX('AMMO Measures'!H:H,MATCH($A44,'AMMO Measures'!A:A,0)))</f>
        <v>45</v>
      </c>
      <c r="K44" s="1121">
        <v>2024</v>
      </c>
      <c r="L44" s="1553">
        <f>SUMIFS('AMMO Units'!F:F,'AMMO Units'!$A:$A,$K44,'AMMO Units'!$E:$E,$A44)*0.9</f>
        <v>4047.712652835</v>
      </c>
      <c r="M44" s="1973"/>
      <c r="N44" s="1134">
        <f>IF(Selection!$A$2="regional",1,IF($L44=0,0,
( INDEX(Allocation!$B:$B,MATCH(K44,Allocation!$A:$A,0)) * INDEX(UnitsFunderShareAllocation!$C:$C, MATCH($A44&amp;K44,UnitsFunderShareAllocation!$H:$H,0))
+ INDEX(Allocation!$C:$C,MATCH(K44,Allocation!$A:$A,0)) * INDEX(UnitsFunderShareAllocation!$D:$D, MATCH($A44&amp;K44,UnitsFunderShareAllocation!$H:$H,0))
+ INDEX(Allocation!$D:$D,MATCH(K44,Allocation!$A:$A,0)) * INDEX(UnitsFunderShareAllocation!$E:$E, MATCH($A44&amp;K44,UnitsFunderShareAllocation!$H:$H,0))
+ INDEX(Allocation!$E:$E,MATCH(K44,Allocation!$A:$A,0)) * INDEX(UnitsFunderShareAllocation!$F:$F, MATCH($A44&amp;K44,UnitsFunderShareAllocation!$H:$H,0)))
))</f>
        <v>0.13985600000000001</v>
      </c>
      <c r="O44" s="1550">
        <f>SUMIFS('AMMO Savings Rates'!F:F,'AMMO Savings Rates'!$E:$E,$K44,'AMMO Savings Rates'!$D:$D,$A44)</f>
        <v>225.61462945</v>
      </c>
      <c r="P44" s="1987" t="s">
        <v>2809</v>
      </c>
      <c r="Q44" s="1147">
        <f t="shared" ref="Q44:Q46" si="7">L44*N44*O44/8760000</f>
        <v>1.4579879280949842E-2</v>
      </c>
      <c r="R44" s="1154">
        <f t="shared" si="4"/>
        <v>1.4579879280949842E-2</v>
      </c>
      <c r="U44"/>
    </row>
    <row r="45" spans="1:21" ht="15">
      <c r="A45" s="49" t="s">
        <v>62</v>
      </c>
      <c r="B45" s="82" t="str">
        <f t="shared" si="5"/>
        <v>RES_201301</v>
      </c>
      <c r="C45" s="670" t="str">
        <f>INDEX('AMMO vwFlags'!$C:$C,MATCH($A45&amp;K45,'AMMO vwFlags'!$K:$K,0))</f>
        <v>1</v>
      </c>
      <c r="D45" s="670" t="str">
        <f>INDEX('AMMO vwFlags'!$D:$D,MATCH($A45&amp;$K45,'AMMO vwFlags'!$K:$K,0))</f>
        <v>0</v>
      </c>
      <c r="E45" s="82">
        <f t="shared" si="1"/>
        <v>1</v>
      </c>
      <c r="F45" s="92" t="str">
        <f t="shared" si="6"/>
        <v>Residential</v>
      </c>
      <c r="G45" s="1969"/>
      <c r="H45" s="1981"/>
      <c r="I45" s="1124" t="str">
        <f>INDEX('AMMO Units'!$D:$D,MATCH(A45,'AMMO Units'!$E:$E,0))</f>
        <v>Or. Specialty Code 2023</v>
      </c>
      <c r="J45" s="1539">
        <f>VALUE(INDEX('AMMO Measures'!H:H,MATCH($A45,'AMMO Measures'!A:A,0)))</f>
        <v>45</v>
      </c>
      <c r="K45" s="1125">
        <v>2025</v>
      </c>
      <c r="L45" s="1554">
        <f>SUMIFS('AMMO Units'!F:F,'AMMO Units'!$A:$A,$K45,'AMMO Units'!$E:$E,$A45)*0.9</f>
        <v>8570.7876844530001</v>
      </c>
      <c r="M45" s="1973"/>
      <c r="N45" s="1493">
        <f>IF(Selection!$A$2="regional",1,IF($L45=0,0,
( INDEX(Allocation!$B:$B,MATCH(K45,Allocation!$A:$A,0)) * INDEX(UnitsFunderShareAllocation!$C:$C, MATCH($A45&amp;K45,UnitsFunderShareAllocation!$H:$H,0))
+ INDEX(Allocation!$C:$C,MATCH(K45,Allocation!$A:$A,0)) * INDEX(UnitsFunderShareAllocation!$D:$D, MATCH($A45&amp;K45,UnitsFunderShareAllocation!$H:$H,0))
+ INDEX(Allocation!$D:$D,MATCH(K45,Allocation!$A:$A,0)) * INDEX(UnitsFunderShareAllocation!$E:$E, MATCH($A45&amp;K45,UnitsFunderShareAllocation!$H:$H,0))
+ INDEX(Allocation!$E:$E,MATCH(K45,Allocation!$A:$A,0)) * INDEX(UnitsFunderShareAllocation!$F:$F, MATCH($A45&amp;K45,UnitsFunderShareAllocation!$H:$H,0)))
))</f>
        <v>0.13985600000000001</v>
      </c>
      <c r="O45" s="1550">
        <f>SUMIFS('AMMO Savings Rates'!F:F,'AMMO Savings Rates'!$E:$E,$K45,'AMMO Savings Rates'!$D:$D,$A45)</f>
        <v>225.61462945</v>
      </c>
      <c r="P45" s="1988"/>
      <c r="Q45" s="1545">
        <f t="shared" si="7"/>
        <v>3.0872016000062213E-2</v>
      </c>
      <c r="R45" s="1546">
        <f t="shared" ref="R45:R47" si="8">Q45</f>
        <v>3.0872016000062213E-2</v>
      </c>
      <c r="U45"/>
    </row>
    <row r="46" spans="1:21" ht="15">
      <c r="A46" s="49" t="s">
        <v>399</v>
      </c>
      <c r="B46" s="82" t="str">
        <f t="shared" si="5"/>
        <v>RES_201301</v>
      </c>
      <c r="C46" s="670" t="str">
        <f>INDEX('AMMO vwFlags'!$C:$C,MATCH($A46&amp;K46,'AMMO vwFlags'!$K:$K,0))</f>
        <v>1</v>
      </c>
      <c r="D46" s="670" t="str">
        <f>INDEX('AMMO vwFlags'!$D:$D,MATCH($A46&amp;$K46,'AMMO vwFlags'!$K:$K,0))</f>
        <v>0</v>
      </c>
      <c r="E46" s="82">
        <f t="shared" si="1"/>
        <v>1</v>
      </c>
      <c r="F46" s="92" t="str">
        <f t="shared" si="6"/>
        <v>Residential</v>
      </c>
      <c r="G46" s="1969"/>
      <c r="H46" s="1978" t="s">
        <v>585</v>
      </c>
      <c r="I46" s="1417" t="str">
        <f>INDEX('AMMO Units'!$D:$D,MATCH(A46,'AMMO Units'!$E:$E,0))</f>
        <v>WSEC 2021</v>
      </c>
      <c r="J46" s="1418">
        <f>VALUE(INDEX('AMMO Measures'!H:H,MATCH($A46,'AMMO Measures'!A:A,0)))</f>
        <v>45</v>
      </c>
      <c r="K46" s="1119">
        <v>2024</v>
      </c>
      <c r="L46" s="1516">
        <f>11578.1258978836*0.8</f>
        <v>9262.5007183068792</v>
      </c>
      <c r="M46" s="1973"/>
      <c r="N46" s="1134">
        <f>IF(Selection!$A$2="regional",1,IF($L46=0,0,
( INDEX(Allocation!$B:$B,MATCH(K46,Allocation!$A:$A,0)) * INDEX(UnitsFunderShareAllocation!$C:$C, MATCH($A46&amp;K46,UnitsFunderShareAllocation!$H:$H,0))
+ INDEX(Allocation!$C:$C,MATCH(K46,Allocation!$A:$A,0)) * INDEX(UnitsFunderShareAllocation!$D:$D, MATCH($A46&amp;K46,UnitsFunderShareAllocation!$H:$H,0))
+ INDEX(Allocation!$D:$D,MATCH(K46,Allocation!$A:$A,0)) * INDEX(UnitsFunderShareAllocation!$E:$E, MATCH($A46&amp;K46,UnitsFunderShareAllocation!$H:$H,0))
+ INDEX(Allocation!$E:$E,MATCH(K46,Allocation!$A:$A,0)) * INDEX(UnitsFunderShareAllocation!$F:$F, MATCH($A46&amp;K46,UnitsFunderShareAllocation!$H:$H,0)))
))</f>
        <v>0.13985600000000001</v>
      </c>
      <c r="O46" s="1443">
        <v>1340.9655839999989</v>
      </c>
      <c r="P46" s="1945" t="s">
        <v>2484</v>
      </c>
      <c r="Q46" s="1149">
        <f t="shared" si="7"/>
        <v>0.1983000771539758</v>
      </c>
      <c r="R46" s="1156">
        <f t="shared" si="8"/>
        <v>0.1983000771539758</v>
      </c>
      <c r="U46"/>
    </row>
    <row r="47" spans="1:21" ht="15">
      <c r="A47" s="49" t="s">
        <v>399</v>
      </c>
      <c r="B47" s="82" t="str">
        <f t="shared" si="5"/>
        <v>RES_201301</v>
      </c>
      <c r="C47" s="670" t="str">
        <f>INDEX('AMMO vwFlags'!$C:$C,MATCH($A47&amp;K47,'AMMO vwFlags'!$K:$K,0))</f>
        <v>1</v>
      </c>
      <c r="D47" s="670" t="str">
        <f>INDEX('AMMO vwFlags'!$D:$D,MATCH($A47&amp;$K47,'AMMO vwFlags'!$K:$K,0))</f>
        <v>0</v>
      </c>
      <c r="E47" s="82">
        <f t="shared" si="1"/>
        <v>1</v>
      </c>
      <c r="F47" s="92" t="str">
        <f t="shared" si="6"/>
        <v>Residential</v>
      </c>
      <c r="G47" s="1970"/>
      <c r="H47" s="1970"/>
      <c r="I47" s="1504" t="str">
        <f>INDEX('AMMO Units'!$D:$D,MATCH(A47,'AMMO Units'!$E:$E,0))</f>
        <v>WSEC 2021</v>
      </c>
      <c r="J47" s="1540">
        <f>VALUE(INDEX('AMMO Measures'!H:H,MATCH($A47,'AMMO Measures'!A:A,0)))</f>
        <v>45</v>
      </c>
      <c r="K47" s="1421">
        <v>2025</v>
      </c>
      <c r="L47" s="1132">
        <f>SUMIFS('AMMO Units'!F:F,'AMMO Units'!$A:$A,$K47,'AMMO Units'!$E:$E,$A47)</f>
        <v>18386.98804095</v>
      </c>
      <c r="M47" s="1974"/>
      <c r="N47" s="1135">
        <f>IF(Selection!$A$2="regional",1,IF($L47=0,0,
( INDEX(Allocation!$B:$B,MATCH(K47,Allocation!$A:$A,0)) * INDEX(UnitsFunderShareAllocation!$C:$C, MATCH($A47&amp;K47,UnitsFunderShareAllocation!$H:$H,0))
+ INDEX(Allocation!$C:$C,MATCH(K47,Allocation!$A:$A,0)) * INDEX(UnitsFunderShareAllocation!$D:$D, MATCH($A47&amp;K47,UnitsFunderShareAllocation!$H:$H,0))
+ INDEX(Allocation!$D:$D,MATCH(K47,Allocation!$A:$A,0)) * INDEX(UnitsFunderShareAllocation!$E:$E, MATCH($A47&amp;K47,UnitsFunderShareAllocation!$H:$H,0))
+ INDEX(Allocation!$E:$E,MATCH(K47,Allocation!$A:$A,0)) * INDEX(UnitsFunderShareAllocation!$F:$F, MATCH($A47&amp;K47,UnitsFunderShareAllocation!$H:$H,0)))
))</f>
        <v>0.13985600000000001</v>
      </c>
      <c r="O47" s="1448">
        <f>O46</f>
        <v>1340.9655839999989</v>
      </c>
      <c r="P47" s="1946"/>
      <c r="Q47" s="1441">
        <f>L47*N47*O47/8760000</f>
        <v>0.39364543745116215</v>
      </c>
      <c r="R47" s="1442">
        <f t="shared" si="8"/>
        <v>0.39364543745116215</v>
      </c>
      <c r="U47"/>
    </row>
    <row r="48" spans="1:21" ht="19.5" customHeight="1">
      <c r="F48" s="49"/>
      <c r="G48" s="467" t="s">
        <v>2810</v>
      </c>
      <c r="L48" s="50"/>
      <c r="M48" s="50"/>
      <c r="N48" s="51"/>
      <c r="R48" s="50"/>
      <c r="S48" s="655"/>
    </row>
    <row r="49" spans="1:19" ht="12.75" customHeight="1">
      <c r="F49" s="49"/>
      <c r="G49" s="44" t="s">
        <v>671</v>
      </c>
      <c r="H49" s="210"/>
      <c r="I49" s="210"/>
      <c r="J49" s="210"/>
      <c r="K49" s="210"/>
      <c r="L49" s="210"/>
      <c r="M49" s="210"/>
      <c r="N49" s="230"/>
      <c r="R49" s="50"/>
      <c r="S49" s="655"/>
    </row>
    <row r="50" spans="1:19" ht="12.75" customHeight="1">
      <c r="F50" s="49"/>
      <c r="G50" s="209" t="s">
        <v>772</v>
      </c>
      <c r="L50" s="50"/>
      <c r="M50" s="50"/>
      <c r="N50" s="51"/>
      <c r="O50" s="240"/>
      <c r="P50" s="51"/>
      <c r="R50" s="50"/>
      <c r="S50" s="655"/>
    </row>
    <row r="51" spans="1:19" ht="16.5" customHeight="1">
      <c r="F51" s="49"/>
      <c r="G51" s="1947" t="s">
        <v>2781</v>
      </c>
      <c r="H51" s="1948"/>
      <c r="I51" s="1948"/>
      <c r="J51" s="1948"/>
      <c r="K51" s="1948"/>
      <c r="L51" s="1948"/>
      <c r="M51" s="1948"/>
      <c r="N51" s="1949"/>
      <c r="O51" s="240"/>
      <c r="P51" s="51"/>
      <c r="R51" s="50"/>
      <c r="S51" s="655"/>
    </row>
    <row r="52" spans="1:19" ht="16.5" customHeight="1">
      <c r="F52" s="49"/>
      <c r="G52" s="1950"/>
      <c r="H52" s="1951"/>
      <c r="I52" s="1951"/>
      <c r="J52" s="1951"/>
      <c r="K52" s="1951"/>
      <c r="L52" s="1951"/>
      <c r="M52" s="1951"/>
      <c r="N52" s="1952"/>
      <c r="R52" s="50"/>
      <c r="S52" s="655"/>
    </row>
    <row r="53" spans="1:19" ht="16.5" customHeight="1">
      <c r="F53" s="49"/>
      <c r="G53" s="1950"/>
      <c r="H53" s="1951"/>
      <c r="I53" s="1951"/>
      <c r="J53" s="1951"/>
      <c r="K53" s="1951"/>
      <c r="L53" s="1951"/>
      <c r="M53" s="1951"/>
      <c r="N53" s="1952"/>
      <c r="O53" s="51"/>
      <c r="R53" s="50"/>
      <c r="S53" s="655"/>
    </row>
    <row r="54" spans="1:19" ht="16.5" customHeight="1">
      <c r="F54" s="49"/>
      <c r="G54" s="1950"/>
      <c r="H54" s="1951"/>
      <c r="I54" s="1951"/>
      <c r="J54" s="1951"/>
      <c r="K54" s="1951"/>
      <c r="L54" s="1951"/>
      <c r="M54" s="1951"/>
      <c r="N54" s="1952"/>
      <c r="R54" s="50"/>
      <c r="S54" s="655"/>
    </row>
    <row r="55" spans="1:19" ht="16.5" customHeight="1">
      <c r="F55" s="49"/>
      <c r="G55" s="1950"/>
      <c r="H55" s="1951"/>
      <c r="I55" s="1951"/>
      <c r="J55" s="1951"/>
      <c r="K55" s="1951"/>
      <c r="L55" s="1951"/>
      <c r="M55" s="1951"/>
      <c r="N55" s="1952"/>
      <c r="R55" s="50"/>
      <c r="S55" s="655"/>
    </row>
    <row r="56" spans="1:19" ht="16.5" customHeight="1">
      <c r="F56" s="49"/>
      <c r="G56" s="1950"/>
      <c r="H56" s="1951"/>
      <c r="I56" s="1951"/>
      <c r="J56" s="1951"/>
      <c r="K56" s="1951"/>
      <c r="L56" s="1951"/>
      <c r="M56" s="1951"/>
      <c r="N56" s="1952"/>
      <c r="R56" s="50"/>
      <c r="S56" s="655"/>
    </row>
    <row r="57" spans="1:19" ht="16.5" customHeight="1">
      <c r="F57" s="49"/>
      <c r="G57" s="1953"/>
      <c r="H57" s="1954"/>
      <c r="I57" s="1954"/>
      <c r="J57" s="1954"/>
      <c r="K57" s="1954"/>
      <c r="L57" s="1954"/>
      <c r="M57" s="1954"/>
      <c r="N57" s="1955"/>
      <c r="R57" s="50"/>
      <c r="S57" s="655"/>
    </row>
    <row r="58" spans="1:19" customFormat="1" ht="16.5" customHeight="1">
      <c r="A58" s="49"/>
      <c r="B58" s="49"/>
      <c r="C58" s="49"/>
      <c r="D58" s="49"/>
      <c r="E58" s="49"/>
      <c r="F58" s="49"/>
      <c r="S58" s="383"/>
    </row>
    <row r="59" spans="1:19" ht="12.75" customHeight="1">
      <c r="F59" s="49"/>
      <c r="G59" s="209" t="s">
        <v>775</v>
      </c>
      <c r="L59" s="50"/>
      <c r="M59" s="50"/>
      <c r="N59" s="51"/>
      <c r="O59" s="240"/>
      <c r="P59" s="51"/>
      <c r="R59" s="50"/>
      <c r="S59" s="656"/>
    </row>
    <row r="60" spans="1:19" ht="18" customHeight="1">
      <c r="F60" s="49"/>
      <c r="G60" s="1956" t="s">
        <v>2782</v>
      </c>
      <c r="H60" s="1957"/>
      <c r="I60" s="1957"/>
      <c r="J60" s="1958"/>
      <c r="K60" s="1957"/>
      <c r="L60" s="1957"/>
      <c r="M60" s="1958"/>
      <c r="N60" s="1959"/>
      <c r="O60" s="240"/>
      <c r="P60" s="51"/>
      <c r="R60" s="50"/>
      <c r="S60" s="655"/>
    </row>
    <row r="61" spans="1:19" ht="18" customHeight="1">
      <c r="F61" s="49"/>
      <c r="G61" s="1960"/>
      <c r="H61" s="1961"/>
      <c r="I61" s="1961"/>
      <c r="J61" s="1961"/>
      <c r="K61" s="1961"/>
      <c r="L61" s="1961"/>
      <c r="M61" s="1961"/>
      <c r="N61" s="1962"/>
      <c r="O61" s="240"/>
      <c r="P61" s="51"/>
      <c r="R61" s="50"/>
      <c r="S61" s="655"/>
    </row>
    <row r="62" spans="1:19" ht="18" customHeight="1">
      <c r="F62" s="49"/>
      <c r="G62" s="1963"/>
      <c r="H62" s="1934"/>
      <c r="I62" s="1934"/>
      <c r="J62" s="1934"/>
      <c r="K62" s="1934"/>
      <c r="L62" s="1934"/>
      <c r="M62" s="1934"/>
      <c r="N62" s="1935"/>
      <c r="O62" s="240"/>
      <c r="P62" s="51"/>
      <c r="R62" s="50"/>
      <c r="S62" s="655"/>
    </row>
    <row r="63" spans="1:19" ht="18" customHeight="1">
      <c r="F63" s="49"/>
      <c r="G63" s="1936"/>
      <c r="H63" s="1937"/>
      <c r="I63" s="1937"/>
      <c r="J63" s="1937"/>
      <c r="K63" s="1937"/>
      <c r="L63" s="1937"/>
      <c r="M63" s="1937"/>
      <c r="N63" s="1938"/>
      <c r="O63" s="240"/>
      <c r="P63" s="51"/>
      <c r="R63" s="50"/>
      <c r="S63" s="655"/>
    </row>
    <row r="64" spans="1:19" ht="18" customHeight="1">
      <c r="F64" s="49"/>
      <c r="G64" s="1936"/>
      <c r="H64" s="1937"/>
      <c r="I64" s="1937"/>
      <c r="J64" s="1937"/>
      <c r="K64" s="1937"/>
      <c r="L64" s="1937"/>
      <c r="M64" s="1937"/>
      <c r="N64" s="1938"/>
      <c r="O64" s="240"/>
      <c r="P64" s="51"/>
      <c r="R64" s="50"/>
      <c r="S64" s="655"/>
    </row>
    <row r="65" spans="1:19" ht="18" customHeight="1">
      <c r="F65" s="49"/>
      <c r="G65" s="1936"/>
      <c r="H65" s="1937"/>
      <c r="I65" s="1937"/>
      <c r="J65" s="1937"/>
      <c r="K65" s="1937"/>
      <c r="L65" s="1937"/>
      <c r="M65" s="1937"/>
      <c r="N65" s="1938"/>
      <c r="O65" s="240"/>
      <c r="P65" s="51"/>
      <c r="R65" s="50"/>
      <c r="S65" s="655"/>
    </row>
    <row r="66" spans="1:19" ht="18" customHeight="1">
      <c r="F66" s="49"/>
      <c r="G66" s="1939"/>
      <c r="H66" s="1940"/>
      <c r="I66" s="1940"/>
      <c r="J66" s="1940"/>
      <c r="K66" s="1940"/>
      <c r="L66" s="1940"/>
      <c r="M66" s="1940"/>
      <c r="N66" s="1941"/>
      <c r="O66" s="240"/>
      <c r="P66" s="51"/>
      <c r="R66" s="50"/>
      <c r="S66" s="655"/>
    </row>
    <row r="67" spans="1:19" customFormat="1" ht="12.75" customHeight="1">
      <c r="A67" s="49"/>
      <c r="B67" s="49"/>
      <c r="C67" s="49"/>
      <c r="D67" s="49"/>
      <c r="E67" s="49"/>
      <c r="F67" s="49"/>
      <c r="S67" s="383"/>
    </row>
    <row r="68" spans="1:19" ht="12.75" customHeight="1">
      <c r="F68" s="49"/>
      <c r="G68" s="209" t="s">
        <v>776</v>
      </c>
      <c r="L68" s="50"/>
      <c r="M68" s="50"/>
      <c r="N68" s="51"/>
      <c r="R68" s="50"/>
      <c r="S68" s="655"/>
    </row>
    <row r="69" spans="1:19" ht="12.75" customHeight="1">
      <c r="F69" s="49"/>
      <c r="G69" s="1947" t="s">
        <v>2528</v>
      </c>
      <c r="H69" s="1948"/>
      <c r="I69" s="1948"/>
      <c r="J69" s="1948"/>
      <c r="K69" s="1948"/>
      <c r="L69" s="1948"/>
      <c r="M69" s="1948"/>
      <c r="N69" s="1949"/>
      <c r="R69" s="50"/>
      <c r="S69" s="655"/>
    </row>
    <row r="70" spans="1:19" ht="12.75" customHeight="1">
      <c r="F70" s="49"/>
      <c r="G70" s="1950"/>
      <c r="H70" s="1951"/>
      <c r="I70" s="1951"/>
      <c r="J70" s="1951"/>
      <c r="K70" s="1951"/>
      <c r="L70" s="1951"/>
      <c r="M70" s="1951"/>
      <c r="N70" s="1952"/>
      <c r="R70" s="50"/>
      <c r="S70" s="655"/>
    </row>
    <row r="71" spans="1:19" ht="12.75" customHeight="1">
      <c r="F71" s="49"/>
      <c r="G71" s="1950"/>
      <c r="H71" s="1951"/>
      <c r="I71" s="1951"/>
      <c r="J71" s="1951"/>
      <c r="K71" s="1951"/>
      <c r="L71" s="1951"/>
      <c r="M71" s="1951"/>
      <c r="N71" s="1952"/>
      <c r="R71" s="50"/>
      <c r="S71" s="655"/>
    </row>
    <row r="72" spans="1:19" ht="12.75" customHeight="1">
      <c r="F72" s="49"/>
      <c r="G72" s="1953"/>
      <c r="H72" s="1954"/>
      <c r="I72" s="1954"/>
      <c r="J72" s="1954"/>
      <c r="K72" s="1954"/>
      <c r="L72" s="1954"/>
      <c r="M72" s="1954"/>
      <c r="N72" s="1955"/>
      <c r="R72" s="50"/>
      <c r="S72" s="655"/>
    </row>
    <row r="73" spans="1:19" ht="12.75" customHeight="1">
      <c r="F73" s="49"/>
      <c r="L73" s="50"/>
      <c r="M73" s="50"/>
      <c r="N73" s="51"/>
      <c r="R73" s="50"/>
      <c r="S73" s="655"/>
    </row>
    <row r="74" spans="1:19" ht="12.75" customHeight="1">
      <c r="F74" s="49"/>
      <c r="G74" s="44" t="s">
        <v>1091</v>
      </c>
      <c r="L74" s="50"/>
      <c r="M74" s="50"/>
      <c r="N74" s="51"/>
      <c r="R74" s="50"/>
      <c r="S74" s="655"/>
    </row>
    <row r="75" spans="1:19" ht="12.75" customHeight="1">
      <c r="F75" s="49"/>
      <c r="G75" s="209" t="s">
        <v>774</v>
      </c>
      <c r="L75" s="50"/>
      <c r="M75" s="50"/>
      <c r="N75" s="51"/>
      <c r="R75" s="50"/>
      <c r="S75" s="655"/>
    </row>
    <row r="76" spans="1:19" ht="18.75" customHeight="1">
      <c r="F76" s="49"/>
      <c r="G76" s="1963" t="s">
        <v>2812</v>
      </c>
      <c r="H76" s="1934"/>
      <c r="I76" s="1934"/>
      <c r="J76" s="1934"/>
      <c r="K76" s="1934"/>
      <c r="L76" s="1934"/>
      <c r="M76" s="1934"/>
      <c r="N76" s="1935"/>
      <c r="R76" s="50"/>
      <c r="S76" s="655"/>
    </row>
    <row r="77" spans="1:19" ht="18.75" customHeight="1">
      <c r="F77" s="49"/>
      <c r="G77" s="1936"/>
      <c r="H77" s="1937"/>
      <c r="I77" s="1937"/>
      <c r="J77" s="1937"/>
      <c r="K77" s="1937"/>
      <c r="L77" s="1937"/>
      <c r="M77" s="1937"/>
      <c r="N77" s="1938"/>
      <c r="R77" s="50"/>
      <c r="S77" s="655"/>
    </row>
    <row r="78" spans="1:19" ht="18.75" customHeight="1">
      <c r="F78" s="49"/>
      <c r="G78" s="1936"/>
      <c r="H78" s="1937"/>
      <c r="I78" s="1937"/>
      <c r="J78" s="1937"/>
      <c r="K78" s="1937"/>
      <c r="L78" s="1937"/>
      <c r="M78" s="1937"/>
      <c r="N78" s="1938"/>
      <c r="R78" s="50"/>
      <c r="S78" s="655"/>
    </row>
    <row r="79" spans="1:19" ht="15">
      <c r="F79" s="49"/>
      <c r="G79" s="1964"/>
      <c r="H79" s="1965"/>
      <c r="I79" s="1965"/>
      <c r="J79" s="1965"/>
      <c r="K79" s="1965"/>
      <c r="L79" s="1965"/>
      <c r="M79" s="1965"/>
      <c r="N79" s="1966"/>
      <c r="R79" s="50"/>
      <c r="S79" s="655"/>
    </row>
    <row r="80" spans="1:19" customFormat="1" ht="30.6" customHeight="1">
      <c r="A80" s="49"/>
      <c r="B80" s="49"/>
      <c r="C80" s="49"/>
      <c r="D80" s="49"/>
      <c r="E80" s="49"/>
      <c r="F80" s="49"/>
      <c r="S80" s="383"/>
    </row>
    <row r="81" spans="6:19" ht="12.75" customHeight="1">
      <c r="F81" s="49"/>
      <c r="G81" s="209" t="s">
        <v>776</v>
      </c>
      <c r="L81" s="50"/>
      <c r="M81" s="50"/>
      <c r="N81" s="51"/>
      <c r="R81" s="50"/>
      <c r="S81" s="655"/>
    </row>
    <row r="82" spans="6:19" ht="12.75" customHeight="1">
      <c r="F82" s="49"/>
      <c r="G82" s="1933" t="s">
        <v>2811</v>
      </c>
      <c r="H82" s="1934"/>
      <c r="I82" s="1934"/>
      <c r="J82" s="1934"/>
      <c r="K82" s="1934"/>
      <c r="L82" s="1934"/>
      <c r="M82" s="1934"/>
      <c r="N82" s="1935"/>
      <c r="R82" s="50"/>
      <c r="S82" s="655"/>
    </row>
    <row r="83" spans="6:19" ht="12.75" customHeight="1">
      <c r="F83" s="49"/>
      <c r="G83" s="1936"/>
      <c r="H83" s="1937"/>
      <c r="I83" s="1937"/>
      <c r="J83" s="1937"/>
      <c r="K83" s="1937"/>
      <c r="L83" s="1937"/>
      <c r="M83" s="1937"/>
      <c r="N83" s="1938"/>
      <c r="R83" s="50"/>
      <c r="S83" s="655"/>
    </row>
    <row r="84" spans="6:19" ht="12.75" customHeight="1">
      <c r="F84" s="49"/>
      <c r="G84" s="1936"/>
      <c r="H84" s="1937"/>
      <c r="I84" s="1937"/>
      <c r="J84" s="1937"/>
      <c r="K84" s="1937"/>
      <c r="L84" s="1937"/>
      <c r="M84" s="1937"/>
      <c r="N84" s="1938"/>
      <c r="R84" s="50"/>
      <c r="S84" s="655"/>
    </row>
    <row r="85" spans="6:19" ht="12.75" customHeight="1">
      <c r="F85" s="49"/>
      <c r="G85" s="1936"/>
      <c r="H85" s="1937"/>
      <c r="I85" s="1937"/>
      <c r="J85" s="1937"/>
      <c r="K85" s="1937"/>
      <c r="L85" s="1937"/>
      <c r="M85" s="1937"/>
      <c r="N85" s="1938"/>
      <c r="R85" s="50"/>
      <c r="S85" s="655"/>
    </row>
    <row r="86" spans="6:19" ht="12.75" customHeight="1">
      <c r="F86" s="49"/>
      <c r="G86" s="1936"/>
      <c r="H86" s="1937"/>
      <c r="I86" s="1937"/>
      <c r="J86" s="1937"/>
      <c r="K86" s="1937"/>
      <c r="L86" s="1937"/>
      <c r="M86" s="1937"/>
      <c r="N86" s="1938"/>
      <c r="R86" s="50"/>
      <c r="S86" s="655"/>
    </row>
    <row r="87" spans="6:19" ht="12.75" customHeight="1">
      <c r="F87" s="49"/>
      <c r="G87" s="1936"/>
      <c r="H87" s="1937"/>
      <c r="I87" s="1937"/>
      <c r="J87" s="1937"/>
      <c r="K87" s="1937"/>
      <c r="L87" s="1937"/>
      <c r="M87" s="1937"/>
      <c r="N87" s="1938"/>
      <c r="R87" s="50"/>
      <c r="S87" s="655"/>
    </row>
    <row r="88" spans="6:19" ht="12.75" customHeight="1">
      <c r="F88" s="49"/>
      <c r="G88" s="1936"/>
      <c r="H88" s="1937"/>
      <c r="I88" s="1937"/>
      <c r="J88" s="1937"/>
      <c r="K88" s="1937"/>
      <c r="L88" s="1937"/>
      <c r="M88" s="1937"/>
      <c r="N88" s="1938"/>
      <c r="R88" s="50"/>
      <c r="S88" s="655"/>
    </row>
    <row r="89" spans="6:19" ht="12.75" customHeight="1">
      <c r="F89" s="49"/>
      <c r="G89" s="1936"/>
      <c r="H89" s="1937"/>
      <c r="I89" s="1937"/>
      <c r="J89" s="1937"/>
      <c r="K89" s="1937"/>
      <c r="L89" s="1937"/>
      <c r="M89" s="1937"/>
      <c r="N89" s="1938"/>
      <c r="R89" s="50"/>
      <c r="S89" s="655"/>
    </row>
    <row r="90" spans="6:19" ht="12.75" customHeight="1">
      <c r="F90" s="49"/>
      <c r="G90" s="1936"/>
      <c r="H90" s="1937"/>
      <c r="I90" s="1937"/>
      <c r="J90" s="1937"/>
      <c r="K90" s="1937"/>
      <c r="L90" s="1937"/>
      <c r="M90" s="1937"/>
      <c r="N90" s="1938"/>
      <c r="R90" s="50"/>
      <c r="S90" s="655"/>
    </row>
    <row r="91" spans="6:19" ht="12.75" customHeight="1">
      <c r="F91" s="49"/>
      <c r="G91" s="1936"/>
      <c r="H91" s="1937"/>
      <c r="I91" s="1937"/>
      <c r="J91" s="1937"/>
      <c r="K91" s="1937"/>
      <c r="L91" s="1937"/>
      <c r="M91" s="1937"/>
      <c r="N91" s="1938"/>
      <c r="R91" s="50"/>
      <c r="S91" s="655"/>
    </row>
    <row r="92" spans="6:19" ht="12.75" customHeight="1">
      <c r="F92" s="49"/>
      <c r="G92" s="1936"/>
      <c r="H92" s="1937"/>
      <c r="I92" s="1937"/>
      <c r="J92" s="1937"/>
      <c r="K92" s="1937"/>
      <c r="L92" s="1937"/>
      <c r="M92" s="1937"/>
      <c r="N92" s="1938"/>
      <c r="R92" s="50"/>
      <c r="S92" s="655"/>
    </row>
    <row r="93" spans="6:19" ht="12.75" customHeight="1">
      <c r="F93" s="49"/>
      <c r="G93" s="1936"/>
      <c r="H93" s="1937"/>
      <c r="I93" s="1937"/>
      <c r="J93" s="1937"/>
      <c r="K93" s="1937"/>
      <c r="L93" s="1937"/>
      <c r="M93" s="1937"/>
      <c r="N93" s="1938"/>
      <c r="R93" s="50"/>
      <c r="S93" s="655"/>
    </row>
    <row r="94" spans="6:19" ht="12.75" customHeight="1">
      <c r="F94" s="49"/>
      <c r="G94" s="1936"/>
      <c r="H94" s="1937"/>
      <c r="I94" s="1937"/>
      <c r="J94" s="1937"/>
      <c r="K94" s="1937"/>
      <c r="L94" s="1937"/>
      <c r="M94" s="1937"/>
      <c r="N94" s="1938"/>
      <c r="R94" s="50"/>
      <c r="S94" s="655"/>
    </row>
    <row r="95" spans="6:19" ht="12.75" customHeight="1">
      <c r="F95" s="49"/>
      <c r="G95" s="1936"/>
      <c r="H95" s="1937"/>
      <c r="I95" s="1937"/>
      <c r="J95" s="1937"/>
      <c r="K95" s="1937"/>
      <c r="L95" s="1937"/>
      <c r="M95" s="1937"/>
      <c r="N95" s="1938"/>
      <c r="R95" s="50"/>
      <c r="S95" s="655"/>
    </row>
    <row r="96" spans="6:19" ht="12.75" customHeight="1">
      <c r="F96" s="49"/>
      <c r="G96" s="1936"/>
      <c r="H96" s="1937"/>
      <c r="I96" s="1937"/>
      <c r="J96" s="1937"/>
      <c r="K96" s="1937"/>
      <c r="L96" s="1937"/>
      <c r="M96" s="1937"/>
      <c r="N96" s="1938"/>
      <c r="R96" s="50"/>
      <c r="S96" s="655"/>
    </row>
    <row r="97" spans="6:19" ht="12.75" customHeight="1">
      <c r="F97" s="49"/>
      <c r="G97" s="1936"/>
      <c r="H97" s="1937"/>
      <c r="I97" s="1937"/>
      <c r="J97" s="1937"/>
      <c r="K97" s="1937"/>
      <c r="L97" s="1937"/>
      <c r="M97" s="1937"/>
      <c r="N97" s="1938"/>
      <c r="R97" s="50"/>
      <c r="S97" s="655"/>
    </row>
    <row r="98" spans="6:19" ht="12.75" customHeight="1">
      <c r="F98" s="49"/>
      <c r="G98" s="1936"/>
      <c r="H98" s="1937"/>
      <c r="I98" s="1937"/>
      <c r="J98" s="1937"/>
      <c r="K98" s="1937"/>
      <c r="L98" s="1937"/>
      <c r="M98" s="1937"/>
      <c r="N98" s="1938"/>
      <c r="R98" s="50"/>
      <c r="S98" s="655"/>
    </row>
    <row r="99" spans="6:19" ht="12.75" customHeight="1">
      <c r="F99" s="49"/>
      <c r="G99" s="1936"/>
      <c r="H99" s="1937"/>
      <c r="I99" s="1937"/>
      <c r="J99" s="1937"/>
      <c r="K99" s="1937"/>
      <c r="L99" s="1937"/>
      <c r="M99" s="1937"/>
      <c r="N99" s="1938"/>
      <c r="R99" s="50"/>
      <c r="S99" s="655"/>
    </row>
    <row r="100" spans="6:19" ht="12.75" customHeight="1">
      <c r="F100" s="49"/>
      <c r="G100" s="1936"/>
      <c r="H100" s="1937"/>
      <c r="I100" s="1937"/>
      <c r="J100" s="1937"/>
      <c r="K100" s="1937"/>
      <c r="L100" s="1937"/>
      <c r="M100" s="1937"/>
      <c r="N100" s="1938"/>
      <c r="R100" s="50"/>
      <c r="S100" s="655"/>
    </row>
    <row r="101" spans="6:19" ht="12.75" customHeight="1">
      <c r="F101" s="49"/>
      <c r="G101" s="1936"/>
      <c r="H101" s="1937"/>
      <c r="I101" s="1937"/>
      <c r="J101" s="1937"/>
      <c r="K101" s="1937"/>
      <c r="L101" s="1937"/>
      <c r="M101" s="1937"/>
      <c r="N101" s="1938"/>
      <c r="R101" s="50"/>
      <c r="S101" s="655"/>
    </row>
    <row r="102" spans="6:19" ht="12.75" customHeight="1">
      <c r="F102" s="49"/>
      <c r="G102" s="1936"/>
      <c r="H102" s="1937"/>
      <c r="I102" s="1937"/>
      <c r="J102" s="1937"/>
      <c r="K102" s="1937"/>
      <c r="L102" s="1937"/>
      <c r="M102" s="1937"/>
      <c r="N102" s="1938"/>
      <c r="R102" s="50"/>
      <c r="S102" s="655"/>
    </row>
    <row r="103" spans="6:19" ht="12.75" customHeight="1">
      <c r="G103" s="1936"/>
      <c r="H103" s="1937"/>
      <c r="I103" s="1937"/>
      <c r="J103" s="1937"/>
      <c r="K103" s="1937"/>
      <c r="L103" s="1937"/>
      <c r="M103" s="1937"/>
      <c r="N103" s="1938"/>
    </row>
    <row r="104" spans="6:19" ht="12.75" customHeight="1">
      <c r="G104" s="1939"/>
      <c r="H104" s="1940"/>
      <c r="I104" s="1940"/>
      <c r="J104" s="1940"/>
      <c r="K104" s="1940"/>
      <c r="L104" s="1940"/>
      <c r="M104" s="1940"/>
      <c r="N104" s="1941"/>
    </row>
    <row r="108" spans="6:19" ht="12.75" hidden="1" customHeight="1">
      <c r="G108" s="54" t="s">
        <v>2270</v>
      </c>
    </row>
    <row r="109" spans="6:19" ht="12.75" hidden="1" customHeight="1">
      <c r="G109" s="47" t="s">
        <v>2274</v>
      </c>
      <c r="H109" s="47"/>
      <c r="I109" s="47"/>
      <c r="J109" s="47"/>
      <c r="K109" s="47"/>
      <c r="L109" s="47"/>
      <c r="M109" s="47"/>
      <c r="N109" s="47"/>
      <c r="O109" s="47"/>
      <c r="P109" s="47"/>
      <c r="Q109" s="47"/>
    </row>
    <row r="110" spans="6:19" ht="12.75" hidden="1" customHeight="1">
      <c r="G110" s="428"/>
      <c r="H110" s="384">
        <v>2006</v>
      </c>
      <c r="I110" s="384">
        <v>2009</v>
      </c>
      <c r="J110" s="384"/>
      <c r="K110" s="384">
        <v>2012</v>
      </c>
      <c r="L110" s="384">
        <v>2015</v>
      </c>
      <c r="M110" s="384">
        <v>2018</v>
      </c>
      <c r="N110" s="384">
        <v>2021</v>
      </c>
      <c r="O110" s="384">
        <v>2024</v>
      </c>
      <c r="P110" s="384">
        <v>2027</v>
      </c>
      <c r="Q110" s="384">
        <v>2030</v>
      </c>
    </row>
    <row r="111" spans="6:19" ht="12.75" hidden="1" customHeight="1">
      <c r="G111" s="427" t="s">
        <v>445</v>
      </c>
      <c r="H111" s="430">
        <v>1</v>
      </c>
      <c r="I111" s="430">
        <v>0.86799999999999999</v>
      </c>
      <c r="J111" s="430"/>
      <c r="K111" s="430">
        <v>0.82</v>
      </c>
      <c r="L111" s="430"/>
      <c r="M111" s="430">
        <v>0.69599999999999995</v>
      </c>
      <c r="N111" s="385"/>
      <c r="O111" s="385"/>
      <c r="P111" s="385"/>
      <c r="Q111" s="385"/>
    </row>
    <row r="112" spans="6:19" ht="38.25" hidden="1">
      <c r="G112" s="427" t="s">
        <v>2271</v>
      </c>
      <c r="H112" s="431">
        <v>1</v>
      </c>
      <c r="I112" s="431">
        <v>0.91</v>
      </c>
      <c r="J112" s="431"/>
      <c r="K112" s="431">
        <v>0.83</v>
      </c>
      <c r="L112" s="431">
        <v>0.74</v>
      </c>
      <c r="M112" s="431">
        <v>0.65</v>
      </c>
      <c r="N112" s="385">
        <v>0.56000000000000005</v>
      </c>
      <c r="O112" s="385">
        <v>0.48</v>
      </c>
      <c r="P112" s="385">
        <v>0.39</v>
      </c>
      <c r="Q112" s="385">
        <v>0.3</v>
      </c>
    </row>
    <row r="113" spans="7:17" ht="38.25" hidden="1">
      <c r="G113" s="427" t="s">
        <v>2272</v>
      </c>
      <c r="H113" s="431">
        <v>1</v>
      </c>
      <c r="I113" s="431">
        <v>0.86</v>
      </c>
      <c r="J113" s="431"/>
      <c r="K113" s="431">
        <v>0.74</v>
      </c>
      <c r="L113" s="431">
        <v>0.64</v>
      </c>
      <c r="M113" s="431">
        <v>0.55000000000000004</v>
      </c>
      <c r="N113" s="385">
        <v>0.47</v>
      </c>
      <c r="O113" s="385">
        <v>0.41</v>
      </c>
      <c r="P113" s="385">
        <v>0.35</v>
      </c>
      <c r="Q113" s="385">
        <v>0.3</v>
      </c>
    </row>
    <row r="114" spans="7:17" ht="12.75" hidden="1" customHeight="1">
      <c r="H114" s="51"/>
      <c r="I114" s="51"/>
      <c r="J114" s="51"/>
      <c r="K114" s="441"/>
      <c r="L114" s="442"/>
      <c r="M114" s="493" t="s">
        <v>2523</v>
      </c>
      <c r="N114" s="443">
        <v>0.61</v>
      </c>
      <c r="O114" s="387">
        <v>0.5</v>
      </c>
      <c r="P114" s="387">
        <v>0.39</v>
      </c>
      <c r="Q114" s="387">
        <v>0.3</v>
      </c>
    </row>
    <row r="115" spans="7:17" ht="12.75" hidden="1" customHeight="1"/>
    <row r="116" spans="7:17" ht="12.75" hidden="1" customHeight="1"/>
    <row r="117" spans="7:17" ht="12.75" hidden="1" customHeight="1">
      <c r="G117" s="50" t="s">
        <v>2273</v>
      </c>
      <c r="N117" s="142" t="s">
        <v>2013</v>
      </c>
    </row>
    <row r="118" spans="7:17" ht="12.75" hidden="1" customHeight="1">
      <c r="G118" s="436" t="s">
        <v>1898</v>
      </c>
      <c r="H118" s="437" t="s">
        <v>2275</v>
      </c>
      <c r="I118" s="438" t="s">
        <v>2276</v>
      </c>
      <c r="J118" s="660"/>
      <c r="K118" s="439"/>
      <c r="M118" s="440" t="s">
        <v>2524</v>
      </c>
      <c r="N118" s="440" t="s">
        <v>2281</v>
      </c>
    </row>
    <row r="119" spans="7:17" ht="12.75" hidden="1" customHeight="1">
      <c r="G119" s="384" t="s">
        <v>2006</v>
      </c>
      <c r="H119" s="384">
        <v>70</v>
      </c>
      <c r="I119" s="428">
        <v>36</v>
      </c>
      <c r="J119" s="661"/>
      <c r="K119" s="429"/>
      <c r="M119" s="494">
        <f>I119*(1-$M$137)</f>
        <v>31.551724137931036</v>
      </c>
      <c r="N119" s="444">
        <f>I119-M119</f>
        <v>4.4482758620689644</v>
      </c>
    </row>
    <row r="120" spans="7:17" ht="12.75" hidden="1" customHeight="1">
      <c r="G120" s="384" t="s">
        <v>2012</v>
      </c>
      <c r="H120" s="384">
        <v>14</v>
      </c>
      <c r="I120" s="428">
        <v>8</v>
      </c>
      <c r="J120" s="661"/>
      <c r="K120" s="429"/>
      <c r="M120" s="494">
        <f t="shared" ref="M120:M136" si="9">I120*(1-$M$137)</f>
        <v>7.0114942528735638</v>
      </c>
      <c r="N120" s="444">
        <f t="shared" ref="N120:N136" si="10">I120-M120</f>
        <v>0.98850574712643624</v>
      </c>
    </row>
    <row r="121" spans="7:17" ht="12.75" hidden="1" customHeight="1">
      <c r="G121" s="384" t="s">
        <v>1998</v>
      </c>
      <c r="H121" s="384">
        <v>40</v>
      </c>
      <c r="I121" s="428">
        <v>27</v>
      </c>
      <c r="J121" s="661"/>
      <c r="K121" s="429" t="s">
        <v>2277</v>
      </c>
      <c r="M121" s="494">
        <f t="shared" si="9"/>
        <v>23.663793103448278</v>
      </c>
      <c r="N121" s="444">
        <f t="shared" si="10"/>
        <v>3.3362068965517224</v>
      </c>
    </row>
    <row r="122" spans="7:17" ht="12.75" hidden="1" customHeight="1">
      <c r="G122" s="384" t="s">
        <v>2000</v>
      </c>
      <c r="H122" s="384">
        <v>39</v>
      </c>
      <c r="I122" s="428">
        <v>22</v>
      </c>
      <c r="J122" s="661"/>
      <c r="K122" s="429" t="s">
        <v>2277</v>
      </c>
      <c r="M122" s="494">
        <f t="shared" si="9"/>
        <v>19.2816091954023</v>
      </c>
      <c r="N122" s="444">
        <f t="shared" si="10"/>
        <v>2.7183908045976999</v>
      </c>
    </row>
    <row r="123" spans="7:17" ht="12.75" hidden="1" customHeight="1">
      <c r="G123" s="384" t="s">
        <v>1999</v>
      </c>
      <c r="H123" s="384">
        <v>43</v>
      </c>
      <c r="I123" s="428">
        <v>26</v>
      </c>
      <c r="J123" s="661"/>
      <c r="K123" s="429" t="s">
        <v>2277</v>
      </c>
      <c r="M123" s="494">
        <f t="shared" si="9"/>
        <v>22.787356321839081</v>
      </c>
      <c r="N123" s="444">
        <f t="shared" si="10"/>
        <v>3.2126436781609193</v>
      </c>
    </row>
    <row r="124" spans="7:17" ht="12.75" hidden="1" customHeight="1">
      <c r="G124" s="384" t="s">
        <v>2002</v>
      </c>
      <c r="H124" s="384">
        <v>47</v>
      </c>
      <c r="I124" s="428">
        <v>37</v>
      </c>
      <c r="J124" s="661"/>
      <c r="K124" s="429"/>
      <c r="M124" s="494">
        <f t="shared" si="9"/>
        <v>32.428160919540232</v>
      </c>
      <c r="N124" s="444">
        <f t="shared" si="10"/>
        <v>4.5718390804597675</v>
      </c>
      <c r="P124" s="1942" t="s">
        <v>2282</v>
      </c>
    </row>
    <row r="125" spans="7:17" ht="12.75" hidden="1" customHeight="1">
      <c r="G125" s="384" t="s">
        <v>2278</v>
      </c>
      <c r="H125" s="384">
        <v>52</v>
      </c>
      <c r="I125" s="428">
        <v>36</v>
      </c>
      <c r="J125" s="661"/>
      <c r="K125" s="429" t="s">
        <v>2277</v>
      </c>
      <c r="M125" s="494">
        <f t="shared" si="9"/>
        <v>31.551724137931036</v>
      </c>
      <c r="N125" s="444">
        <f t="shared" si="10"/>
        <v>4.4482758620689644</v>
      </c>
      <c r="P125" s="1942"/>
    </row>
    <row r="126" spans="7:17" ht="12.75" hidden="1" customHeight="1">
      <c r="G126" s="384" t="s">
        <v>2004</v>
      </c>
      <c r="H126" s="384">
        <v>125</v>
      </c>
      <c r="I126" s="428">
        <v>103</v>
      </c>
      <c r="J126" s="661"/>
      <c r="K126" s="429"/>
      <c r="M126" s="494">
        <f t="shared" si="9"/>
        <v>90.272988505747136</v>
      </c>
      <c r="N126" s="444">
        <f t="shared" si="10"/>
        <v>12.727011494252864</v>
      </c>
    </row>
    <row r="127" spans="7:17" ht="12.75" hidden="1" customHeight="1">
      <c r="G127" s="384" t="s">
        <v>2010</v>
      </c>
      <c r="H127" s="384">
        <v>98</v>
      </c>
      <c r="I127" s="428">
        <v>75</v>
      </c>
      <c r="J127" s="661"/>
      <c r="K127" s="429" t="s">
        <v>2277</v>
      </c>
      <c r="M127" s="494">
        <f t="shared" si="9"/>
        <v>65.732758620689665</v>
      </c>
      <c r="N127" s="444">
        <f t="shared" si="10"/>
        <v>9.2672413793103345</v>
      </c>
    </row>
    <row r="128" spans="7:17" ht="12.75" hidden="1" customHeight="1">
      <c r="G128" s="384" t="s">
        <v>2005</v>
      </c>
      <c r="H128" s="384">
        <v>74</v>
      </c>
      <c r="I128" s="428">
        <v>65</v>
      </c>
      <c r="J128" s="661"/>
      <c r="K128" s="429"/>
      <c r="M128" s="494">
        <f t="shared" si="9"/>
        <v>56.968390804597703</v>
      </c>
      <c r="N128" s="444">
        <f t="shared" si="10"/>
        <v>8.0316091954022966</v>
      </c>
    </row>
    <row r="129" spans="7:14" ht="12.75" hidden="1" customHeight="1">
      <c r="G129" s="384" t="s">
        <v>2003</v>
      </c>
      <c r="H129" s="384">
        <v>174</v>
      </c>
      <c r="I129" s="428">
        <v>123</v>
      </c>
      <c r="J129" s="661"/>
      <c r="K129" s="429"/>
      <c r="M129" s="494">
        <f t="shared" si="9"/>
        <v>107.80172413793105</v>
      </c>
      <c r="N129" s="444">
        <f t="shared" si="10"/>
        <v>15.198275862068954</v>
      </c>
    </row>
    <row r="130" spans="7:14" ht="12.75" hidden="1" customHeight="1">
      <c r="G130" s="384" t="s">
        <v>2007</v>
      </c>
      <c r="H130" s="384">
        <v>76</v>
      </c>
      <c r="I130" s="428">
        <v>35</v>
      </c>
      <c r="J130" s="661"/>
      <c r="K130" s="429"/>
      <c r="M130" s="494">
        <f t="shared" si="9"/>
        <v>30.675287356321842</v>
      </c>
      <c r="N130" s="444">
        <f t="shared" si="10"/>
        <v>4.3247126436781578</v>
      </c>
    </row>
    <row r="131" spans="7:14" ht="12.75" hidden="1" customHeight="1">
      <c r="G131" s="384" t="s">
        <v>2279</v>
      </c>
      <c r="H131" s="384">
        <v>47</v>
      </c>
      <c r="I131" s="428">
        <v>31</v>
      </c>
      <c r="J131" s="661"/>
      <c r="K131" s="429" t="s">
        <v>2277</v>
      </c>
      <c r="M131" s="494">
        <f t="shared" si="9"/>
        <v>27.169540229885058</v>
      </c>
      <c r="N131" s="444">
        <f t="shared" si="10"/>
        <v>3.8304597701149419</v>
      </c>
    </row>
    <row r="132" spans="7:14" ht="12.75" hidden="1" customHeight="1">
      <c r="G132" s="384" t="s">
        <v>1068</v>
      </c>
      <c r="H132" s="384">
        <v>202</v>
      </c>
      <c r="I132" s="428">
        <v>163</v>
      </c>
      <c r="J132" s="661"/>
      <c r="K132" s="429"/>
      <c r="M132" s="494">
        <f t="shared" si="9"/>
        <v>142.85919540229887</v>
      </c>
      <c r="N132" s="444">
        <f t="shared" si="10"/>
        <v>20.140804597701134</v>
      </c>
    </row>
    <row r="133" spans="7:14" ht="12.75" hidden="1" customHeight="1">
      <c r="G133" s="384" t="s">
        <v>2008</v>
      </c>
      <c r="H133" s="384">
        <v>437</v>
      </c>
      <c r="I133" s="428">
        <v>353</v>
      </c>
      <c r="J133" s="661"/>
      <c r="K133" s="429"/>
      <c r="M133" s="494">
        <f t="shared" si="9"/>
        <v>309.38218390804599</v>
      </c>
      <c r="N133" s="444">
        <f t="shared" si="10"/>
        <v>43.617816091954012</v>
      </c>
    </row>
    <row r="134" spans="7:14" ht="12.75" hidden="1" customHeight="1">
      <c r="G134" s="384" t="s">
        <v>2011</v>
      </c>
      <c r="H134" s="384">
        <v>69</v>
      </c>
      <c r="I134" s="428">
        <v>57</v>
      </c>
      <c r="J134" s="661"/>
      <c r="K134" s="429" t="s">
        <v>2277</v>
      </c>
      <c r="M134" s="494">
        <f t="shared" si="9"/>
        <v>49.956896551724142</v>
      </c>
      <c r="N134" s="444">
        <f t="shared" si="10"/>
        <v>7.0431034482758577</v>
      </c>
    </row>
    <row r="135" spans="7:14" ht="12.75" hidden="1" customHeight="1">
      <c r="G135" s="384" t="s">
        <v>2001</v>
      </c>
      <c r="H135" s="384">
        <v>48</v>
      </c>
      <c r="I135" s="428">
        <v>37</v>
      </c>
      <c r="J135" s="661"/>
      <c r="K135" s="429"/>
      <c r="M135" s="494">
        <f t="shared" si="9"/>
        <v>32.428160919540232</v>
      </c>
      <c r="N135" s="444">
        <f t="shared" si="10"/>
        <v>4.5718390804597675</v>
      </c>
    </row>
    <row r="136" spans="7:14" ht="12.75" hidden="1" customHeight="1">
      <c r="G136" s="384" t="s">
        <v>2009</v>
      </c>
      <c r="H136" s="384">
        <v>588</v>
      </c>
      <c r="I136" s="428">
        <v>479</v>
      </c>
      <c r="J136" s="661"/>
      <c r="K136" s="429"/>
      <c r="M136" s="494">
        <f t="shared" si="9"/>
        <v>419.81321839080465</v>
      </c>
      <c r="N136" s="444">
        <f t="shared" si="10"/>
        <v>59.18678160919535</v>
      </c>
    </row>
    <row r="137" spans="7:14" ht="12.75" hidden="1" customHeight="1">
      <c r="G137" s="432"/>
      <c r="H137" s="433"/>
      <c r="I137" s="434" t="s">
        <v>2280</v>
      </c>
      <c r="J137" s="662"/>
      <c r="K137" s="435"/>
      <c r="M137" s="495">
        <f>(M111-N114)/M111</f>
        <v>0.12356321839080456</v>
      </c>
    </row>
    <row r="138" spans="7:14" ht="38.25" hidden="1">
      <c r="M138" s="496" t="s">
        <v>2525</v>
      </c>
    </row>
  </sheetData>
  <autoFilter ref="A11:XEZ57" xr:uid="{00000000-0001-0000-1400-000000000000}"/>
  <dataConsolidate/>
  <mergeCells count="49">
    <mergeCell ref="H2:R2"/>
    <mergeCell ref="A10:E10"/>
    <mergeCell ref="F10:K10"/>
    <mergeCell ref="L10:N10"/>
    <mergeCell ref="O10:P10"/>
    <mergeCell ref="Q10:R10"/>
    <mergeCell ref="G12:G23"/>
    <mergeCell ref="H12:H13"/>
    <mergeCell ref="M12:M23"/>
    <mergeCell ref="P12:P13"/>
    <mergeCell ref="H14:H17"/>
    <mergeCell ref="P14:P15"/>
    <mergeCell ref="P16:P17"/>
    <mergeCell ref="H18:H21"/>
    <mergeCell ref="P18:P19"/>
    <mergeCell ref="P20:P21"/>
    <mergeCell ref="G24:G35"/>
    <mergeCell ref="H24:H25"/>
    <mergeCell ref="M24:M35"/>
    <mergeCell ref="P24:P25"/>
    <mergeCell ref="H26:H29"/>
    <mergeCell ref="P26:P27"/>
    <mergeCell ref="H30:H33"/>
    <mergeCell ref="P30:P31"/>
    <mergeCell ref="P28:P29"/>
    <mergeCell ref="P32:P33"/>
    <mergeCell ref="H42:H45"/>
    <mergeCell ref="P42:P43"/>
    <mergeCell ref="H46:H47"/>
    <mergeCell ref="H22:H23"/>
    <mergeCell ref="P22:P23"/>
    <mergeCell ref="P40:P41"/>
    <mergeCell ref="P44:P45"/>
    <mergeCell ref="G82:N104"/>
    <mergeCell ref="P124:P125"/>
    <mergeCell ref="P34:P35"/>
    <mergeCell ref="P46:P47"/>
    <mergeCell ref="G51:N57"/>
    <mergeCell ref="G60:N66"/>
    <mergeCell ref="G69:N72"/>
    <mergeCell ref="G76:N78"/>
    <mergeCell ref="G79:N79"/>
    <mergeCell ref="H34:H35"/>
    <mergeCell ref="G36:G47"/>
    <mergeCell ref="H36:H37"/>
    <mergeCell ref="M36:M47"/>
    <mergeCell ref="P36:P37"/>
    <mergeCell ref="H38:H41"/>
    <mergeCell ref="P38:P39"/>
  </mergeCells>
  <hyperlinks>
    <hyperlink ref="G1" location="'2024-2025 Summary'!C1" display="Summary Page" xr:uid="{041473AF-CA52-437A-AFA7-48A810050863}"/>
  </hyperlinks>
  <pageMargins left="0.7" right="0.7" top="0.75" bottom="0.75" header="0.3" footer="0.3"/>
  <pageSetup scale="10" orientation="portrait"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filterMode="1">
    <tabColor rgb="FF7FCDE8"/>
    <pageSetUpPr fitToPage="1"/>
  </sheetPr>
  <dimension ref="A1:U97"/>
  <sheetViews>
    <sheetView showGridLines="0" topLeftCell="G1" zoomScale="90" zoomScaleNormal="90" zoomScaleSheetLayoutView="90" workbookViewId="0">
      <selection activeCell="P37" sqref="P37"/>
    </sheetView>
  </sheetViews>
  <sheetFormatPr defaultColWidth="18.5703125" defaultRowHeight="12.75" customHeight="1" outlineLevelRow="1" outlineLevelCol="1"/>
  <cols>
    <col min="1" max="1" width="20" style="49" hidden="1" customWidth="1" outlineLevel="1"/>
    <col min="2" max="2" width="16.42578125" style="49" hidden="1" customWidth="1" outlineLevel="1"/>
    <col min="3" max="3" width="19" style="49" hidden="1" customWidth="1" outlineLevel="1"/>
    <col min="4" max="4" width="12.42578125" style="49" hidden="1" customWidth="1" outlineLevel="1"/>
    <col min="5" max="5" width="17.5703125" style="49" hidden="1" customWidth="1" outlineLevel="1"/>
    <col min="6" max="6" width="16.5703125" style="50" hidden="1" customWidth="1" outlineLevel="1"/>
    <col min="7" max="7" width="17.42578125" style="50" customWidth="1" collapsed="1"/>
    <col min="8" max="8" width="16.5703125" style="50" customWidth="1"/>
    <col min="9" max="9" width="24.140625" style="50" customWidth="1"/>
    <col min="10" max="10" width="19.42578125" style="50" customWidth="1"/>
    <col min="11" max="11" width="10.42578125" style="50" customWidth="1"/>
    <col min="12" max="13" width="14.5703125" style="51" customWidth="1"/>
    <col min="14" max="14" width="14.42578125" style="50" customWidth="1"/>
    <col min="15" max="15" width="9.42578125" style="50" customWidth="1"/>
    <col min="16" max="16" width="72.5703125" style="50" customWidth="1"/>
    <col min="17" max="17" width="8.5703125" style="50" customWidth="1"/>
    <col min="18" max="18" width="11.42578125" style="52" customWidth="1"/>
    <col min="19" max="19" width="18.5703125" style="122" customWidth="1"/>
    <col min="20" max="16384" width="18.5703125" style="50"/>
  </cols>
  <sheetData>
    <row r="1" spans="1:21" ht="12.75" customHeight="1">
      <c r="G1" s="26" t="s">
        <v>557</v>
      </c>
      <c r="L1" s="50"/>
      <c r="M1" s="50"/>
    </row>
    <row r="2" spans="1:21" ht="36.75" customHeight="1">
      <c r="A2" s="9" t="s">
        <v>2652</v>
      </c>
      <c r="G2" s="966" t="s">
        <v>755</v>
      </c>
      <c r="H2" s="1915" t="s">
        <v>2728</v>
      </c>
      <c r="I2" s="1915"/>
      <c r="J2" s="1915"/>
      <c r="K2" s="1915"/>
      <c r="L2" s="1915"/>
      <c r="M2" s="1915"/>
      <c r="N2" s="1915"/>
      <c r="O2" s="1915"/>
      <c r="P2" s="1915"/>
      <c r="Q2" s="1915"/>
      <c r="R2" s="1915"/>
    </row>
    <row r="3" spans="1:21" customFormat="1" ht="15">
      <c r="A3" s="9"/>
      <c r="B3" s="9">
        <v>2024</v>
      </c>
      <c r="C3" s="9">
        <v>2025</v>
      </c>
      <c r="D3" s="9">
        <v>2024</v>
      </c>
      <c r="E3" s="9">
        <v>2025</v>
      </c>
      <c r="S3" s="383"/>
    </row>
    <row r="4" spans="1:21" ht="15" hidden="1" outlineLevel="1">
      <c r="A4" s="667" t="e">
        <f>(B4/(SUM(B4:C4)))*D4+ (C4/SUM(B4:C4))*E4</f>
        <v>#DIV/0!</v>
      </c>
      <c r="B4" s="668">
        <f>SUMIFS($R$12:$R$23,$F$12:$F$23,"Residential",$K$12:$K$23, 2024)</f>
        <v>0</v>
      </c>
      <c r="C4" s="668">
        <f>SUMIFS($R$12:$R$23,$F$12:$F$23,"Residential",$K$12:$K$23, 2025)</f>
        <v>0</v>
      </c>
      <c r="D4" s="667" t="e" cm="1">
        <f t="array" ref="D4">SUMPRODUCT($J$12:$J$23,$R$12:$R$23,--($F$12:$F$23="Residential"),--($K$12:$K$23=2024))/SUMIFS($R$12:$R$23,$F$12:$F$23,"Residential",$K$12:$K$23, 2024)</f>
        <v>#DIV/0!</v>
      </c>
      <c r="E4" s="667" t="e" cm="1">
        <f t="array" ref="E4">SUMPRODUCT($J$12:$J$23,$R$12:$R$23,--($F$12:$F$23="Residential"),--($K$12:$K$23=2025))/SUMIFS($R$12:$R$23,$F$12:$F$23,"Residential",$K$12:$K$23, 2025)</f>
        <v>#DIV/0!</v>
      </c>
      <c r="G4"/>
      <c r="H4"/>
      <c r="I4"/>
      <c r="J4"/>
      <c r="K4"/>
      <c r="L4" s="468"/>
      <c r="M4" s="50"/>
    </row>
    <row r="5" spans="1:21" customFormat="1" ht="15" hidden="1" outlineLevel="1">
      <c r="A5" s="667" t="e">
        <f>(B5/(SUM(B5:C5)))*D5+ (C5/SUM(B5:C5))*E5</f>
        <v>#DIV/0!</v>
      </c>
      <c r="B5" s="668">
        <f>SUMIFS($R$12:$R$23,$F$12:$F$23,"Commercial",$K$12:$K$23, 2024)</f>
        <v>0</v>
      </c>
      <c r="C5" s="668">
        <f>SUMIFS($R$12:$R$23,$F$12:$F$23,"Commercial",$K$12:$K$23, 2025)</f>
        <v>0</v>
      </c>
      <c r="D5" s="667" t="e" cm="1">
        <f t="array" ref="D5">SUMPRODUCT($J$12:$J$23,$R$12:$R$23,--($F$12:$F$23="Commercial"),--($K$12:$K$23=2024))/SUMIFS($R$12:$R$23,$F$12:$F$23,"Commercial",$K$12:$K$23, 2024)</f>
        <v>#DIV/0!</v>
      </c>
      <c r="E5" s="667" t="e" cm="1">
        <f t="array" ref="E5">SUMPRODUCT($J$12:$J$23,$R$12:$R$23,--($F$12:$F$23="Commercial"),--($K$12:$K$23=2025))/SUMIFS($R$12:$R$23,$F$12:$F$23,"Commercial",$K$12:$K$23, 2025)</f>
        <v>#DIV/0!</v>
      </c>
      <c r="L5" s="470"/>
      <c r="M5" s="51"/>
      <c r="N5" s="50"/>
      <c r="O5" s="50"/>
      <c r="S5" s="383"/>
    </row>
    <row r="6" spans="1:21" customFormat="1" ht="15" hidden="1" outlineLevel="1">
      <c r="A6" s="9"/>
      <c r="B6" s="9">
        <v>2026</v>
      </c>
      <c r="C6" s="9">
        <v>2027</v>
      </c>
      <c r="D6" s="9">
        <v>2026</v>
      </c>
      <c r="E6" s="9">
        <v>2027</v>
      </c>
      <c r="L6" s="471"/>
      <c r="S6" s="383"/>
    </row>
    <row r="7" spans="1:21" customFormat="1" ht="15" hidden="1" outlineLevel="1">
      <c r="A7" s="667">
        <f>(B7/(SUM(B7:C7)))*D7+ (C7/SUM(B7:C7))*E7</f>
        <v>44.999999999999993</v>
      </c>
      <c r="B7" s="668">
        <f>SUMIFS($R$12:$R$23,$F$12:$F$23,"Residential",$K$12:$K$23, 2026)</f>
        <v>1.0569584287627969</v>
      </c>
      <c r="C7" s="668">
        <f>SUMIFS($R$12:$R$23,$F$12:$F$23,"Residential",$K$12:$K$23, 2027)</f>
        <v>1.0717057135739236</v>
      </c>
      <c r="D7" s="667" cm="1">
        <f t="array" ref="D7">SUMPRODUCT($J$12:$J$23,$R$12:$R$23,--($F$12:$F$23="Residential"),--($K$12:$K$23=2026))/SUMIFS($R$12:$R$23,$F$12:$F$23,"Residential",$K$12:$K$23, 2026)</f>
        <v>45</v>
      </c>
      <c r="E7" s="667" cm="1">
        <f t="array" ref="E7">SUMPRODUCT($J$12:$J$23,$R$12:$R$23,--($F$12:$F$23="Residential"),--($K$12:$K$23=2027))/SUMIFS($R$12:$R$23,$F$12:$F$23,"Residential",$K$12:$K$23, 2027)</f>
        <v>45</v>
      </c>
      <c r="L7" s="473"/>
      <c r="M7" s="51"/>
      <c r="N7" s="50"/>
      <c r="O7" s="50"/>
      <c r="S7" s="383"/>
    </row>
    <row r="8" spans="1:21" customFormat="1" ht="15" hidden="1" outlineLevel="1">
      <c r="A8" s="667">
        <f>(B8/(SUM(B8:C8)))*D8+ (C8/SUM(B8:C8))*E8</f>
        <v>20</v>
      </c>
      <c r="B8" s="668">
        <f>SUMIFS($R$12:$R$23,$F$12:$F$23,"Commercial",$K$12:$K$23, 2026)</f>
        <v>0.73285569270405271</v>
      </c>
      <c r="C8" s="668">
        <f>SUMIFS($R$12:$R$23,$F$12:$F$23,"Commercial",$K$12:$K$23, 2027)</f>
        <v>0.78889772270565728</v>
      </c>
      <c r="D8" s="667" cm="1">
        <f t="array" ref="D8">SUMPRODUCT($J$12:$J$23,$R$12:$R$23,--($F$12:$F$23="Commercial"),--($K$12:$K$23=2026))/SUMIFS($R$12:$R$23,$F$12:$F$23,"Commercial",$K$12:$K$23, 2026)</f>
        <v>20</v>
      </c>
      <c r="E8" s="667" cm="1">
        <f t="array" ref="E8">SUMPRODUCT($J$12:$J$23,$R$12:$R$23,--($F$12:$F$23="Commercial"),--($K$12:$K$23=2027))/SUMIFS($R$12:$R$23,$F$12:$F$23,"Commercial",$K$12:$K$23, 2027)</f>
        <v>20</v>
      </c>
      <c r="L8" s="473"/>
      <c r="M8" s="51"/>
      <c r="N8" s="50"/>
      <c r="O8" s="50"/>
      <c r="S8" s="383"/>
    </row>
    <row r="9" spans="1:21" ht="47.85" hidden="1" customHeight="1" outlineLevel="1">
      <c r="F9"/>
      <c r="G9"/>
      <c r="H9"/>
      <c r="I9"/>
      <c r="J9"/>
      <c r="K9"/>
      <c r="L9"/>
      <c r="M9"/>
      <c r="N9"/>
      <c r="O9"/>
      <c r="P9"/>
      <c r="Q9"/>
      <c r="R9"/>
    </row>
    <row r="10" spans="1:21" s="47" customFormat="1" ht="15.75" customHeight="1" collapsed="1">
      <c r="A10" s="1701" t="s">
        <v>125</v>
      </c>
      <c r="B10" s="1702"/>
      <c r="C10" s="1702"/>
      <c r="D10" s="1702"/>
      <c r="E10" s="1702"/>
      <c r="F10" s="1720" t="s">
        <v>7</v>
      </c>
      <c r="G10" s="1722"/>
      <c r="H10" s="1722"/>
      <c r="I10" s="1722"/>
      <c r="J10" s="1722"/>
      <c r="K10" s="1722"/>
      <c r="L10" s="1717" t="s">
        <v>122</v>
      </c>
      <c r="M10" s="1718"/>
      <c r="N10" s="1719"/>
      <c r="O10" s="1802" t="s">
        <v>123</v>
      </c>
      <c r="P10" s="1803"/>
      <c r="Q10" s="1862" t="s">
        <v>124</v>
      </c>
      <c r="R10" s="1864"/>
      <c r="S10" s="120"/>
    </row>
    <row r="11" spans="1:21" s="125" customFormat="1" ht="65.25" customHeight="1" thickBot="1">
      <c r="A11" s="1004" t="s">
        <v>0</v>
      </c>
      <c r="B11" s="1005" t="s">
        <v>10</v>
      </c>
      <c r="C11" s="1005" t="s">
        <v>1</v>
      </c>
      <c r="D11" s="1005" t="s">
        <v>2</v>
      </c>
      <c r="E11" s="1005" t="s">
        <v>187</v>
      </c>
      <c r="F11" s="1006" t="s">
        <v>3</v>
      </c>
      <c r="G11" s="1007" t="s">
        <v>3</v>
      </c>
      <c r="H11" s="1007" t="s">
        <v>444</v>
      </c>
      <c r="I11" s="1007" t="s">
        <v>2820</v>
      </c>
      <c r="J11" s="1007" t="s">
        <v>834</v>
      </c>
      <c r="K11" s="1007" t="s">
        <v>8</v>
      </c>
      <c r="L11" s="978" t="s">
        <v>2478</v>
      </c>
      <c r="M11" s="977" t="s">
        <v>2474</v>
      </c>
      <c r="N11" s="979" t="str">
        <f>"Service Territory (State): "&amp;Selection!A2</f>
        <v>Service Territory (State): Puget Sound Energy</v>
      </c>
      <c r="O11" s="978" t="s">
        <v>451</v>
      </c>
      <c r="P11" s="979" t="s">
        <v>121</v>
      </c>
      <c r="Q11" s="715" t="s">
        <v>2683</v>
      </c>
      <c r="R11" s="716" t="s">
        <v>2283</v>
      </c>
      <c r="S11" s="654"/>
    </row>
    <row r="12" spans="1:21" ht="14.85" hidden="1" customHeight="1" thickTop="1">
      <c r="A12" s="102" t="s">
        <v>703</v>
      </c>
      <c r="B12" s="82" t="str">
        <f t="shared" ref="B12:B15" si="0">LEFT(A12,10)</f>
        <v>COM_200202</v>
      </c>
      <c r="C12" s="670" t="e">
        <f>INDEX('AMMO vwFlags'!$C:$C,MATCH($A12&amp;K12,'AMMO vwFlags'!$K:$K,0))</f>
        <v>#N/A</v>
      </c>
      <c r="D12" s="670" t="e">
        <f>INDEX('AMMO vwFlags'!$D:$D,MATCH($A12&amp;$K12,'AMMO vwFlags'!$K:$K,0))</f>
        <v>#N/A</v>
      </c>
      <c r="E12" s="82">
        <f t="shared" ref="E12:E23" si="1">COUNTIFS($A:$A,$A12,$K:$K,$K12)</f>
        <v>0</v>
      </c>
      <c r="F12" s="92" t="str">
        <f t="shared" ref="F12:F15" si="2">IF(LEFT(A12,3)="Res","Residential",IF(LEFT(A12,3)="Ind","industrial",IF(LEFT(A12,3)="Com","Commercial",IF(LEFT(A12,3)="AGR","Agriculture",""))))</f>
        <v>Commercial</v>
      </c>
      <c r="G12" s="1969" t="s">
        <v>445</v>
      </c>
      <c r="H12" s="1978" t="s">
        <v>585</v>
      </c>
      <c r="I12" s="1129"/>
      <c r="J12" s="1110"/>
      <c r="K12" s="1119"/>
      <c r="L12" s="1130"/>
      <c r="M12" s="2036" t="s">
        <v>2786</v>
      </c>
      <c r="N12" s="1429"/>
      <c r="O12" s="1240"/>
      <c r="P12" s="1983" t="s">
        <v>2526</v>
      </c>
      <c r="Q12" s="1150">
        <f t="shared" ref="Q12:Q19" si="3">L12*N12*O12/8760000</f>
        <v>0</v>
      </c>
      <c r="R12" s="1157">
        <f t="shared" ref="R12:R19" si="4">Q12</f>
        <v>0</v>
      </c>
      <c r="U12"/>
    </row>
    <row r="13" spans="1:21" ht="14.85" hidden="1" customHeight="1">
      <c r="A13" s="102" t="s">
        <v>703</v>
      </c>
      <c r="B13" s="82" t="str">
        <f t="shared" ref="B13:B14" si="5">LEFT(A13,10)</f>
        <v>COM_200202</v>
      </c>
      <c r="C13" s="670" t="e">
        <f>INDEX('AMMO vwFlags'!$C:$C,MATCH($A13&amp;K13,'AMMO vwFlags'!$K:$K,0))</f>
        <v>#N/A</v>
      </c>
      <c r="D13" s="670" t="e">
        <f>INDEX('AMMO vwFlags'!$D:$D,MATCH($A13&amp;$K13,'AMMO vwFlags'!$K:$K,0))</f>
        <v>#N/A</v>
      </c>
      <c r="E13" s="82">
        <f t="shared" si="1"/>
        <v>0</v>
      </c>
      <c r="F13" s="92" t="str">
        <f t="shared" si="2"/>
        <v>Commercial</v>
      </c>
      <c r="G13" s="1969"/>
      <c r="H13" s="1978"/>
      <c r="I13" s="1122"/>
      <c r="J13" s="1110"/>
      <c r="K13" s="1121"/>
      <c r="L13" s="1131"/>
      <c r="M13" s="2036"/>
      <c r="N13" s="1430"/>
      <c r="O13" s="1241"/>
      <c r="P13" s="1984"/>
      <c r="Q13" s="1147">
        <f t="shared" si="3"/>
        <v>0</v>
      </c>
      <c r="R13" s="1154">
        <f t="shared" si="4"/>
        <v>0</v>
      </c>
      <c r="U13"/>
    </row>
    <row r="14" spans="1:21" ht="31.5" customHeight="1" thickTop="1">
      <c r="A14" s="102" t="s">
        <v>703</v>
      </c>
      <c r="B14" s="82" t="str">
        <f t="shared" si="5"/>
        <v>COM_200202</v>
      </c>
      <c r="C14" s="670" t="str">
        <f>INDEX('AMMO vwFlags'!$C:$C,MATCH($A14&amp;K14,'AMMO vwFlags'!$K:$K,0))</f>
        <v>1</v>
      </c>
      <c r="D14" s="670" t="str">
        <f>INDEX('AMMO vwFlags'!$D:$D,MATCH($A14&amp;$K14,'AMMO vwFlags'!$K:$K,0))</f>
        <v>0</v>
      </c>
      <c r="E14" s="82">
        <f t="shared" si="1"/>
        <v>1</v>
      </c>
      <c r="F14" s="92" t="str">
        <f t="shared" si="2"/>
        <v>Commercial</v>
      </c>
      <c r="G14" s="1969"/>
      <c r="H14" s="1978"/>
      <c r="I14" s="1122" t="str">
        <f>INDEX('AMMO Units'!$D:$D,MATCH(A14,'AMMO Units'!$E:$E,0))</f>
        <v>WA 2021 WSEC</v>
      </c>
      <c r="J14" s="1110">
        <f>VALUE(INDEX('AMMO Measures'!H:H,MATCH($A14,'AMMO Measures'!A:A,0)))</f>
        <v>20</v>
      </c>
      <c r="K14" s="1121">
        <v>2026</v>
      </c>
      <c r="L14" s="1131">
        <f>SUMIFS('AMMO Units'!F:F,'AMMO Units'!$A:$A,$K14,'AMMO Units'!$E:$E,$A14)</f>
        <v>36948329.762397438</v>
      </c>
      <c r="M14" s="2036"/>
      <c r="N14" s="1430">
        <f>INDEX(Allocation!$B$17:$B$18,MATCH("Commercial",Allocation!$A$17:$A$18,0))</f>
        <v>0.29584330172057355</v>
      </c>
      <c r="O14" s="1241">
        <f>SUMIFS('AMMO Savings Rates'!F:F,'AMMO Savings Rates'!$E:$E,$K14,'AMMO Savings Rates'!$D:$D,$A14)</f>
        <v>0.58730813999999998</v>
      </c>
      <c r="P14" s="1984"/>
      <c r="Q14" s="1147">
        <f t="shared" si="3"/>
        <v>0.73285569270405271</v>
      </c>
      <c r="R14" s="1154">
        <f t="shared" si="4"/>
        <v>0.73285569270405271</v>
      </c>
      <c r="U14"/>
    </row>
    <row r="15" spans="1:21" ht="31.5" customHeight="1">
      <c r="A15" s="102" t="s">
        <v>703</v>
      </c>
      <c r="B15" s="82" t="str">
        <f t="shared" si="0"/>
        <v>COM_200202</v>
      </c>
      <c r="C15" s="670" t="str">
        <f>INDEX('AMMO vwFlags'!$C:$C,MATCH($A15&amp;K15,'AMMO vwFlags'!$K:$K,0))</f>
        <v>1</v>
      </c>
      <c r="D15" s="670" t="str">
        <f>INDEX('AMMO vwFlags'!$D:$D,MATCH($A15&amp;$K15,'AMMO vwFlags'!$K:$K,0))</f>
        <v>0</v>
      </c>
      <c r="E15" s="82">
        <f t="shared" si="1"/>
        <v>1</v>
      </c>
      <c r="F15" s="92" t="str">
        <f t="shared" si="2"/>
        <v>Commercial</v>
      </c>
      <c r="G15" s="1969"/>
      <c r="H15" s="1980"/>
      <c r="I15" s="1413" t="str">
        <f>INDEX('AMMO Units'!$D:$D,MATCH(A15,'AMMO Units'!$E:$E,0))</f>
        <v>WA 2021 WSEC</v>
      </c>
      <c r="J15" s="1414">
        <f>VALUE(INDEX('AMMO Measures'!H:H,MATCH($A15,'AMMO Measures'!A:A,0)))</f>
        <v>20</v>
      </c>
      <c r="K15" s="1123">
        <v>2027</v>
      </c>
      <c r="L15" s="1415">
        <f>SUMIFS('AMMO Units'!F:F,'AMMO Units'!$A:$A,$K15,'AMMO Units'!$E:$E,$A15)</f>
        <v>39475338.740869597</v>
      </c>
      <c r="M15" s="2036"/>
      <c r="N15" s="1431">
        <f>INDEX(Allocation!$B$17:$B$18,MATCH("Commercial",Allocation!$A$17:$A$18,0))</f>
        <v>0.29584330172057355</v>
      </c>
      <c r="O15" s="1416">
        <f>SUMIFS('AMMO Savings Rates'!F:F,'AMMO Savings Rates'!$E:$E,$K15,'AMMO Savings Rates'!$D:$D,$A15)</f>
        <v>0.59174855000000004</v>
      </c>
      <c r="P15" s="1984"/>
      <c r="Q15" s="1148">
        <f t="shared" si="3"/>
        <v>0.78889772270565728</v>
      </c>
      <c r="R15" s="1155">
        <f t="shared" si="4"/>
        <v>0.78889772270565728</v>
      </c>
      <c r="U15"/>
    </row>
    <row r="16" spans="1:21" ht="15" hidden="1">
      <c r="A16" s="102" t="s">
        <v>972</v>
      </c>
      <c r="B16" s="82" t="str">
        <f t="shared" ref="B16:B23" si="6">LEFT(A16,10)</f>
        <v>RES_200601</v>
      </c>
      <c r="C16" s="670" t="e">
        <f>INDEX('AMMO vwFlags'!$C:$C,MATCH($A16&amp;K16,'AMMO vwFlags'!$K:$K,0))</f>
        <v>#N/A</v>
      </c>
      <c r="D16" s="670" t="e">
        <f>INDEX('AMMO vwFlags'!$D:$D,MATCH($A16&amp;$K16,'AMMO vwFlags'!$K:$K,0))</f>
        <v>#N/A</v>
      </c>
      <c r="E16" s="82">
        <f t="shared" si="1"/>
        <v>0</v>
      </c>
      <c r="F16" s="469" t="str">
        <f t="shared" ref="F16:F23" si="7">IF(LEFT(A16,3)="Res","Residential",IF(LEFT(A16,3)="Ind","industrial",IF(LEFT(A16,3)="Com","Commercial",IF(LEFT(A16,3)="AGR","Agriculture",""))))</f>
        <v>Residential</v>
      </c>
      <c r="G16" s="2043" t="s">
        <v>2784</v>
      </c>
      <c r="H16" s="2047" t="s">
        <v>585</v>
      </c>
      <c r="I16" s="1422"/>
      <c r="J16" s="1423"/>
      <c r="K16" s="1424"/>
      <c r="L16" s="1555"/>
      <c r="M16" s="2037" t="s">
        <v>2787</v>
      </c>
      <c r="N16" s="1432"/>
      <c r="O16" s="1425"/>
      <c r="P16" s="2045" t="s">
        <v>2785</v>
      </c>
      <c r="Q16" s="1437">
        <f t="shared" si="3"/>
        <v>0</v>
      </c>
      <c r="R16" s="1438">
        <f t="shared" si="4"/>
        <v>0</v>
      </c>
      <c r="U16"/>
    </row>
    <row r="17" spans="1:21" ht="22.5" hidden="1" customHeight="1">
      <c r="A17" s="102" t="s">
        <v>972</v>
      </c>
      <c r="B17" s="82" t="str">
        <f t="shared" ref="B17:B18" si="8">LEFT(A17,10)</f>
        <v>RES_200601</v>
      </c>
      <c r="C17" s="670" t="e">
        <f>INDEX('AMMO vwFlags'!$C:$C,MATCH($A17&amp;K17,'AMMO vwFlags'!$K:$K,0))</f>
        <v>#N/A</v>
      </c>
      <c r="D17" s="670" t="e">
        <f>INDEX('AMMO vwFlags'!$D:$D,MATCH($A17&amp;$K17,'AMMO vwFlags'!$K:$K,0))</f>
        <v>#N/A</v>
      </c>
      <c r="E17" s="82">
        <f t="shared" si="1"/>
        <v>0</v>
      </c>
      <c r="F17" s="469" t="str">
        <f t="shared" si="7"/>
        <v>Residential</v>
      </c>
      <c r="G17" s="1990"/>
      <c r="H17" s="1968"/>
      <c r="I17" s="843"/>
      <c r="J17" s="1426"/>
      <c r="K17" s="1137"/>
      <c r="L17" s="846"/>
      <c r="M17" s="2038"/>
      <c r="N17" s="1433"/>
      <c r="O17" s="849"/>
      <c r="P17" s="2042"/>
      <c r="Q17" s="1151">
        <f t="shared" si="3"/>
        <v>0</v>
      </c>
      <c r="R17" s="1158">
        <f t="shared" si="4"/>
        <v>0</v>
      </c>
      <c r="U17"/>
    </row>
    <row r="18" spans="1:21" ht="31.5" customHeight="1">
      <c r="A18" s="102" t="s">
        <v>972</v>
      </c>
      <c r="B18" s="82" t="str">
        <f t="shared" si="8"/>
        <v>RES_200601</v>
      </c>
      <c r="C18" s="670" t="str">
        <f>INDEX('AMMO vwFlags'!$C:$C,MATCH($A18&amp;K18,'AMMO vwFlags'!$K:$K,0))</f>
        <v>1</v>
      </c>
      <c r="D18" s="670" t="str">
        <f>INDEX('AMMO vwFlags'!$D:$D,MATCH($A18&amp;$K18,'AMMO vwFlags'!$K:$K,0))</f>
        <v>0</v>
      </c>
      <c r="E18" s="82">
        <f t="shared" si="1"/>
        <v>1</v>
      </c>
      <c r="F18" s="469" t="str">
        <f t="shared" si="7"/>
        <v>Residential</v>
      </c>
      <c r="G18" s="1990"/>
      <c r="H18" s="1968"/>
      <c r="I18" s="843" t="str">
        <f>INDEX('AMMO Units'!$D:$D,MATCH(A18,'AMMO Units'!$E:$E,0))</f>
        <v>WSEC 2021</v>
      </c>
      <c r="J18" s="1426">
        <f>VALUE(INDEX('AMMO Measures'!H:H,MATCH($A18,'AMMO Measures'!A:A,0)))</f>
        <v>45</v>
      </c>
      <c r="K18" s="1137">
        <v>2026</v>
      </c>
      <c r="L18" s="846">
        <f>SUMIFS('AMMO Units'!F:F,'AMMO Units'!$A:$A,$K18,'AMMO Units'!$E:$E,$A18)</f>
        <v>6273.2482618200002</v>
      </c>
      <c r="M18" s="2038"/>
      <c r="N18" s="1433">
        <f>INDEX(Allocation!$B$17:$B$18,MATCH("Residential",Allocation!$A$17:$A$18,0))</f>
        <v>0.323180071748433</v>
      </c>
      <c r="O18" s="849">
        <f>SUMIFS('AMMO Savings Rates'!F:F,'AMMO Savings Rates'!$E:$E,$K18,'AMMO Savings Rates'!$D:$D,$A18)</f>
        <v>542</v>
      </c>
      <c r="P18" s="2042"/>
      <c r="Q18" s="1151">
        <f t="shared" si="3"/>
        <v>0.12543889751781853</v>
      </c>
      <c r="R18" s="1158">
        <f t="shared" si="4"/>
        <v>0.12543889751781853</v>
      </c>
      <c r="U18"/>
    </row>
    <row r="19" spans="1:21" ht="31.5" customHeight="1">
      <c r="A19" s="102" t="s">
        <v>972</v>
      </c>
      <c r="B19" s="82" t="str">
        <f t="shared" si="6"/>
        <v>RES_200601</v>
      </c>
      <c r="C19" s="670" t="str">
        <f>INDEX('AMMO vwFlags'!$C:$C,MATCH($A19&amp;K19,'AMMO vwFlags'!$K:$K,0))</f>
        <v>1</v>
      </c>
      <c r="D19" s="670" t="str">
        <f>INDEX('AMMO vwFlags'!$D:$D,MATCH($A19&amp;$K19,'AMMO vwFlags'!$K:$K,0))</f>
        <v>0</v>
      </c>
      <c r="E19" s="82">
        <f t="shared" si="1"/>
        <v>1</v>
      </c>
      <c r="F19" s="469" t="str">
        <f t="shared" si="7"/>
        <v>Residential</v>
      </c>
      <c r="G19" s="2044"/>
      <c r="H19" s="2048"/>
      <c r="I19" s="1427" t="str">
        <f>INDEX('AMMO Units'!$D:$D,MATCH(A19,'AMMO Units'!$E:$E,0))</f>
        <v>WSEC 2021</v>
      </c>
      <c r="J19" s="1144">
        <f>VALUE(INDEX('AMMO Measures'!H:H,MATCH($A19,'AMMO Measures'!A:A,0)))</f>
        <v>45</v>
      </c>
      <c r="K19" s="1145">
        <v>2027</v>
      </c>
      <c r="L19" s="857">
        <f>SUMIFS('AMMO Units'!F:F,'AMMO Units'!$A:$A,$K19,'AMMO Units'!$E:$E,$A19)</f>
        <v>6402.5524718200004</v>
      </c>
      <c r="M19" s="2039"/>
      <c r="N19" s="1434">
        <f>INDEX(Allocation!$B$17:$B$18,MATCH("Residential",Allocation!$A$17:$A$18,0))</f>
        <v>0.323180071748433</v>
      </c>
      <c r="O19" s="1428">
        <f>SUMIFS('AMMO Savings Rates'!F:F,'AMMO Savings Rates'!$E:$E,$K19,'AMMO Savings Rates'!$D:$D,$A19)</f>
        <v>542</v>
      </c>
      <c r="P19" s="1946"/>
      <c r="Q19" s="1439">
        <f t="shared" si="3"/>
        <v>0.12802444440993321</v>
      </c>
      <c r="R19" s="1440">
        <f t="shared" si="4"/>
        <v>0.12802444440993321</v>
      </c>
      <c r="U19"/>
    </row>
    <row r="20" spans="1:21" ht="21.75" hidden="1" customHeight="1">
      <c r="A20" s="49" t="s">
        <v>399</v>
      </c>
      <c r="B20" s="82" t="str">
        <f t="shared" si="6"/>
        <v>RES_201301</v>
      </c>
      <c r="C20" s="670" t="e">
        <f>INDEX('AMMO vwFlags'!$C:$C,MATCH($A20&amp;K20,'AMMO vwFlags'!$K:$K,0))</f>
        <v>#N/A</v>
      </c>
      <c r="D20" s="670" t="e">
        <f>INDEX('AMMO vwFlags'!$D:$D,MATCH($A20&amp;$K20,'AMMO vwFlags'!$K:$K,0))</f>
        <v>#N/A</v>
      </c>
      <c r="E20" s="82">
        <f t="shared" si="1"/>
        <v>0</v>
      </c>
      <c r="F20" s="92" t="str">
        <f t="shared" si="7"/>
        <v>Residential</v>
      </c>
      <c r="G20" s="1969" t="s">
        <v>2783</v>
      </c>
      <c r="H20" s="1978" t="s">
        <v>585</v>
      </c>
      <c r="I20" s="1417"/>
      <c r="J20" s="1418"/>
      <c r="K20" s="1119"/>
      <c r="L20" s="1516"/>
      <c r="M20" s="2038" t="s">
        <v>2787</v>
      </c>
      <c r="N20" s="1435"/>
      <c r="O20" s="1443"/>
      <c r="P20" s="1945" t="s">
        <v>2785</v>
      </c>
      <c r="Q20" s="1149">
        <f t="shared" ref="Q20:Q21" si="9">L20*N20*O20/8760000</f>
        <v>0</v>
      </c>
      <c r="R20" s="1156">
        <f t="shared" ref="R20:R23" si="10">Q20</f>
        <v>0</v>
      </c>
      <c r="U20"/>
    </row>
    <row r="21" spans="1:21" ht="15" hidden="1">
      <c r="A21" s="49" t="s">
        <v>399</v>
      </c>
      <c r="B21" s="82" t="str">
        <f t="shared" ref="B21:B22" si="11">LEFT(A21,10)</f>
        <v>RES_201301</v>
      </c>
      <c r="C21" s="670" t="e">
        <f>INDEX('AMMO vwFlags'!$C:$C,MATCH($A21&amp;K21,'AMMO vwFlags'!$K:$K,0))</f>
        <v>#N/A</v>
      </c>
      <c r="D21" s="670" t="e">
        <f>INDEX('AMMO vwFlags'!$D:$D,MATCH($A21&amp;$K21,'AMMO vwFlags'!$K:$K,0))</f>
        <v>#N/A</v>
      </c>
      <c r="E21" s="82">
        <f t="shared" si="1"/>
        <v>0</v>
      </c>
      <c r="F21" s="92" t="str">
        <f t="shared" si="7"/>
        <v>Residential</v>
      </c>
      <c r="G21" s="1969"/>
      <c r="H21" s="1969"/>
      <c r="I21" s="1122"/>
      <c r="J21" s="1418"/>
      <c r="K21" s="1121"/>
      <c r="L21" s="1131"/>
      <c r="M21" s="2038"/>
      <c r="N21" s="1430"/>
      <c r="O21" s="1444"/>
      <c r="P21" s="2042"/>
      <c r="Q21" s="1147">
        <f t="shared" si="9"/>
        <v>0</v>
      </c>
      <c r="R21" s="1154">
        <f t="shared" si="10"/>
        <v>0</v>
      </c>
      <c r="U21"/>
    </row>
    <row r="22" spans="1:21" ht="31.5" customHeight="1">
      <c r="A22" s="49" t="s">
        <v>399</v>
      </c>
      <c r="B22" s="82" t="str">
        <f t="shared" si="11"/>
        <v>RES_201301</v>
      </c>
      <c r="C22" s="670" t="str">
        <f>INDEX('AMMO vwFlags'!$C:$C,MATCH($A22&amp;K22,'AMMO vwFlags'!$K:$K,0))</f>
        <v>1</v>
      </c>
      <c r="D22" s="670" t="str">
        <f>INDEX('AMMO vwFlags'!$D:$D,MATCH($A22&amp;$K22,'AMMO vwFlags'!$K:$K,0))</f>
        <v>0</v>
      </c>
      <c r="E22" s="82">
        <f t="shared" si="1"/>
        <v>1</v>
      </c>
      <c r="F22" s="92" t="str">
        <f t="shared" si="7"/>
        <v>Residential</v>
      </c>
      <c r="G22" s="1969"/>
      <c r="H22" s="1969"/>
      <c r="I22" s="1122" t="str">
        <f>INDEX('AMMO Units'!$D:$D,MATCH(A22,'AMMO Units'!$E:$E,0))</f>
        <v>WSEC 2021</v>
      </c>
      <c r="J22" s="1418">
        <f>VALUE(INDEX('AMMO Measures'!H:H,MATCH($A22,'AMMO Measures'!A:A,0)))</f>
        <v>45</v>
      </c>
      <c r="K22" s="1121">
        <v>2026</v>
      </c>
      <c r="L22" s="1131">
        <f>SUMIFS('AMMO Units'!F:F,'AMMO Units'!$A:$A,$K22,'AMMO Units'!$E:$E,$A22)</f>
        <v>18829.286630089999</v>
      </c>
      <c r="M22" s="2038"/>
      <c r="N22" s="1430">
        <f>INDEX(Allocation!$B$17:$B$18,MATCH("Residential",Allocation!$A$17:$A$18,0))</f>
        <v>0.323180071748433</v>
      </c>
      <c r="O22" s="1444">
        <v>1340.9655839999989</v>
      </c>
      <c r="P22" s="2042"/>
      <c r="Q22" s="1147">
        <f>L22*N22*O22/8760000</f>
        <v>0.93151953124497833</v>
      </c>
      <c r="R22" s="1154">
        <f t="shared" si="10"/>
        <v>0.93151953124497833</v>
      </c>
      <c r="U22"/>
    </row>
    <row r="23" spans="1:21" ht="31.5" customHeight="1">
      <c r="A23" s="49" t="s">
        <v>399</v>
      </c>
      <c r="B23" s="82" t="str">
        <f t="shared" si="6"/>
        <v>RES_201301</v>
      </c>
      <c r="C23" s="670" t="str">
        <f>INDEX('AMMO vwFlags'!$C:$C,MATCH($A23&amp;K23,'AMMO vwFlags'!$K:$K,0))</f>
        <v>1</v>
      </c>
      <c r="D23" s="670" t="str">
        <f>INDEX('AMMO vwFlags'!$D:$D,MATCH($A23&amp;$K23,'AMMO vwFlags'!$K:$K,0))</f>
        <v>0</v>
      </c>
      <c r="E23" s="82">
        <f t="shared" si="1"/>
        <v>1</v>
      </c>
      <c r="F23" s="463" t="str">
        <f t="shared" si="7"/>
        <v>Residential</v>
      </c>
      <c r="G23" s="1970"/>
      <c r="H23" s="2041"/>
      <c r="I23" s="1420" t="str">
        <f>INDEX('AMMO Units'!$D:$D,MATCH(A23,'AMMO Units'!$E:$E,0))</f>
        <v>WSEC 2021</v>
      </c>
      <c r="J23" s="1420">
        <f>VALUE(INDEX('AMMO Measures'!H:H,MATCH($A23,'AMMO Measures'!A:A,0)))</f>
        <v>45</v>
      </c>
      <c r="K23" s="1421">
        <v>2027</v>
      </c>
      <c r="L23" s="1132">
        <f>SUMIFS('AMMO Units'!F:F,'AMMO Units'!$A:$A,$K23,'AMMO Units'!$E:$E,$A23)</f>
        <v>19075.118136050001</v>
      </c>
      <c r="M23" s="2040"/>
      <c r="N23" s="1436">
        <f>INDEX(Allocation!$B$17:$B$18,MATCH("Residential",Allocation!$A$17:$A$18,0))</f>
        <v>0.323180071748433</v>
      </c>
      <c r="O23" s="1448">
        <v>1340.9655839999989</v>
      </c>
      <c r="P23" s="1946"/>
      <c r="Q23" s="1441">
        <f t="shared" ref="Q23" si="12">L23*N23*O23/8760000</f>
        <v>0.94368126916399031</v>
      </c>
      <c r="R23" s="1442">
        <f t="shared" si="10"/>
        <v>0.94368126916399031</v>
      </c>
      <c r="U23"/>
    </row>
    <row r="24" spans="1:21" ht="19.5" hidden="1" customHeight="1">
      <c r="F24" s="49"/>
      <c r="G24" s="467" t="s">
        <v>2482</v>
      </c>
      <c r="L24" s="50"/>
      <c r="M24" s="50"/>
      <c r="N24" s="51"/>
      <c r="R24" s="50"/>
      <c r="S24" s="655"/>
    </row>
    <row r="25" spans="1:21" ht="12.75" hidden="1" customHeight="1">
      <c r="F25" s="49"/>
      <c r="G25" s="44" t="s">
        <v>671</v>
      </c>
      <c r="H25" s="210"/>
      <c r="I25" s="210"/>
      <c r="J25" s="210"/>
      <c r="K25" s="210"/>
      <c r="L25" s="210"/>
      <c r="M25" s="210"/>
      <c r="N25" s="230"/>
      <c r="R25" s="50"/>
      <c r="S25" s="655"/>
    </row>
    <row r="26" spans="1:21" ht="12.75" hidden="1" customHeight="1">
      <c r="F26" s="49"/>
      <c r="G26" s="209" t="s">
        <v>772</v>
      </c>
      <c r="L26" s="50"/>
      <c r="M26" s="50"/>
      <c r="N26" s="51"/>
      <c r="O26" s="240"/>
      <c r="P26" s="51"/>
      <c r="R26" s="50"/>
      <c r="S26" s="655"/>
    </row>
    <row r="27" spans="1:21" ht="16.5" hidden="1" customHeight="1">
      <c r="F27" s="49"/>
      <c r="G27" s="1919" t="s">
        <v>2799</v>
      </c>
      <c r="H27" s="2021"/>
      <c r="I27" s="2021"/>
      <c r="J27" s="2021"/>
      <c r="K27" s="2021"/>
      <c r="L27" s="2021"/>
      <c r="M27" s="2021"/>
      <c r="N27" s="2022"/>
      <c r="O27" s="240"/>
      <c r="P27" s="51"/>
      <c r="R27" s="50"/>
      <c r="S27" s="655"/>
    </row>
    <row r="28" spans="1:21" ht="16.5" hidden="1" customHeight="1">
      <c r="F28" s="49"/>
      <c r="G28" s="2023"/>
      <c r="H28" s="2024"/>
      <c r="I28" s="2024"/>
      <c r="J28" s="2024"/>
      <c r="K28" s="2024"/>
      <c r="L28" s="2024"/>
      <c r="M28" s="2024"/>
      <c r="N28" s="2025"/>
      <c r="R28" s="50"/>
      <c r="S28" s="655"/>
    </row>
    <row r="29" spans="1:21" ht="16.5" hidden="1" customHeight="1">
      <c r="F29" s="49"/>
      <c r="G29" s="2023"/>
      <c r="H29" s="2024"/>
      <c r="I29" s="2024"/>
      <c r="J29" s="2024"/>
      <c r="K29" s="2024"/>
      <c r="L29" s="2024"/>
      <c r="M29" s="2024"/>
      <c r="N29" s="2025"/>
      <c r="O29" s="51"/>
      <c r="R29" s="50"/>
      <c r="S29" s="655"/>
    </row>
    <row r="30" spans="1:21" ht="16.5" hidden="1" customHeight="1">
      <c r="F30" s="49"/>
      <c r="G30" s="2023"/>
      <c r="H30" s="2024"/>
      <c r="I30" s="2024"/>
      <c r="J30" s="2024"/>
      <c r="K30" s="2024"/>
      <c r="L30" s="2024"/>
      <c r="M30" s="2024"/>
      <c r="N30" s="2025"/>
      <c r="R30" s="50"/>
      <c r="S30" s="655"/>
    </row>
    <row r="31" spans="1:21" ht="16.5" hidden="1" customHeight="1">
      <c r="F31" s="49"/>
      <c r="G31" s="2026"/>
      <c r="H31" s="2027"/>
      <c r="I31" s="2027"/>
      <c r="J31" s="2027"/>
      <c r="K31" s="2027"/>
      <c r="L31" s="2027"/>
      <c r="M31" s="2027"/>
      <c r="N31" s="2028"/>
      <c r="R31" s="50"/>
      <c r="S31" s="655"/>
    </row>
    <row r="32" spans="1:21" customFormat="1" ht="16.5" customHeight="1">
      <c r="A32" s="49"/>
      <c r="B32" s="49"/>
      <c r="C32" s="49"/>
      <c r="D32" s="49"/>
      <c r="E32" s="49"/>
      <c r="F32" s="49"/>
      <c r="S32" s="383"/>
    </row>
    <row r="33" spans="1:19" ht="12.75" customHeight="1">
      <c r="F33" s="49"/>
      <c r="G33" s="209" t="s">
        <v>775</v>
      </c>
      <c r="L33" s="50"/>
      <c r="M33" s="50"/>
      <c r="N33" s="51"/>
      <c r="O33" s="240"/>
      <c r="P33" s="51"/>
      <c r="R33" s="50"/>
      <c r="S33" s="656"/>
    </row>
    <row r="34" spans="1:19" ht="18" customHeight="1">
      <c r="F34" s="49"/>
      <c r="G34" s="2030" t="s">
        <v>2798</v>
      </c>
      <c r="H34" s="1742"/>
      <c r="I34" s="1742"/>
      <c r="J34" s="2031"/>
      <c r="K34" s="1742"/>
      <c r="L34" s="1742"/>
      <c r="M34" s="2031"/>
      <c r="N34" s="2032"/>
      <c r="O34" s="240"/>
      <c r="P34" s="51"/>
      <c r="R34" s="50"/>
      <c r="S34" s="655"/>
    </row>
    <row r="35" spans="1:19" ht="18" customHeight="1">
      <c r="F35" s="49"/>
      <c r="G35" s="2033"/>
      <c r="H35" s="2034"/>
      <c r="I35" s="2034"/>
      <c r="J35" s="2034"/>
      <c r="K35" s="2034"/>
      <c r="L35" s="2034"/>
      <c r="M35" s="2034"/>
      <c r="N35" s="2035"/>
      <c r="O35" s="240"/>
      <c r="P35" s="51"/>
      <c r="R35" s="50"/>
      <c r="S35" s="655"/>
    </row>
    <row r="36" spans="1:19" ht="18" customHeight="1">
      <c r="F36" s="49"/>
      <c r="G36" s="2029"/>
      <c r="H36" s="2021"/>
      <c r="I36" s="2021"/>
      <c r="J36" s="2021"/>
      <c r="K36" s="2021"/>
      <c r="L36" s="2021"/>
      <c r="M36" s="2021"/>
      <c r="N36" s="2022"/>
      <c r="O36" s="240"/>
      <c r="P36" s="51"/>
      <c r="R36" s="50"/>
      <c r="S36" s="655"/>
    </row>
    <row r="37" spans="1:19" ht="18" customHeight="1">
      <c r="F37" s="49"/>
      <c r="G37" s="2023"/>
      <c r="H37" s="2024"/>
      <c r="I37" s="2024"/>
      <c r="J37" s="2024"/>
      <c r="K37" s="2024"/>
      <c r="L37" s="2024"/>
      <c r="M37" s="2024"/>
      <c r="N37" s="2025"/>
      <c r="O37" s="240"/>
      <c r="P37" s="51"/>
      <c r="R37" s="50"/>
      <c r="S37" s="655"/>
    </row>
    <row r="38" spans="1:19" ht="18" customHeight="1">
      <c r="F38" s="49"/>
      <c r="G38" s="2026"/>
      <c r="H38" s="2027"/>
      <c r="I38" s="2027"/>
      <c r="J38" s="2027"/>
      <c r="K38" s="2027"/>
      <c r="L38" s="2027"/>
      <c r="M38" s="2027"/>
      <c r="N38" s="2028"/>
      <c r="O38" s="240"/>
      <c r="P38" s="51"/>
      <c r="R38" s="50"/>
      <c r="S38" s="655"/>
    </row>
    <row r="39" spans="1:19" customFormat="1" ht="12.75" customHeight="1">
      <c r="A39" s="49"/>
      <c r="B39" s="49"/>
      <c r="C39" s="49"/>
      <c r="D39" s="49"/>
      <c r="E39" s="49"/>
      <c r="F39" s="49"/>
      <c r="S39" s="383"/>
    </row>
    <row r="40" spans="1:19" ht="12.75" customHeight="1">
      <c r="F40" s="49"/>
      <c r="G40" s="209" t="s">
        <v>776</v>
      </c>
      <c r="L40" s="50"/>
      <c r="M40" s="50"/>
      <c r="N40" s="51"/>
      <c r="R40" s="50"/>
      <c r="S40" s="655"/>
    </row>
    <row r="41" spans="1:19" ht="12.75" customHeight="1">
      <c r="F41" s="49"/>
      <c r="G41" s="1919" t="s">
        <v>2528</v>
      </c>
      <c r="H41" s="2021"/>
      <c r="I41" s="2021"/>
      <c r="J41" s="2021"/>
      <c r="K41" s="2021"/>
      <c r="L41" s="2021"/>
      <c r="M41" s="2021"/>
      <c r="N41" s="2022"/>
      <c r="R41" s="50"/>
      <c r="S41" s="655"/>
    </row>
    <row r="42" spans="1:19" ht="12.75" customHeight="1">
      <c r="F42" s="49"/>
      <c r="G42" s="2023"/>
      <c r="H42" s="2024"/>
      <c r="I42" s="2024"/>
      <c r="J42" s="2024"/>
      <c r="K42" s="2024"/>
      <c r="L42" s="2024"/>
      <c r="M42" s="2024"/>
      <c r="N42" s="2025"/>
      <c r="R42" s="50"/>
      <c r="S42" s="655"/>
    </row>
    <row r="43" spans="1:19" ht="12.75" customHeight="1">
      <c r="F43" s="49"/>
      <c r="G43" s="2023"/>
      <c r="H43" s="2024"/>
      <c r="I43" s="2024"/>
      <c r="J43" s="2024"/>
      <c r="K43" s="2024"/>
      <c r="L43" s="2024"/>
      <c r="M43" s="2024"/>
      <c r="N43" s="2025"/>
      <c r="R43" s="50"/>
      <c r="S43" s="655"/>
    </row>
    <row r="44" spans="1:19" ht="12.75" customHeight="1">
      <c r="F44" s="49"/>
      <c r="G44" s="2026"/>
      <c r="H44" s="2027"/>
      <c r="I44" s="2027"/>
      <c r="J44" s="2027"/>
      <c r="K44" s="2027"/>
      <c r="L44" s="2027"/>
      <c r="M44" s="2027"/>
      <c r="N44" s="2028"/>
      <c r="R44" s="50"/>
      <c r="S44" s="655"/>
    </row>
    <row r="45" spans="1:19" ht="12.75" customHeight="1">
      <c r="F45" s="49"/>
      <c r="L45" s="50"/>
      <c r="M45" s="50"/>
      <c r="N45" s="51"/>
      <c r="R45" s="50"/>
      <c r="S45" s="655"/>
    </row>
    <row r="46" spans="1:19" ht="12.75" customHeight="1">
      <c r="F46" s="49"/>
      <c r="G46" s="44" t="s">
        <v>1091</v>
      </c>
      <c r="L46" s="50"/>
      <c r="M46" s="50"/>
      <c r="N46" s="51"/>
      <c r="R46" s="50"/>
      <c r="S46" s="655"/>
    </row>
    <row r="47" spans="1:19" ht="12.75" customHeight="1">
      <c r="F47" s="49"/>
      <c r="G47" s="209" t="s">
        <v>774</v>
      </c>
      <c r="L47" s="50"/>
      <c r="M47" s="50"/>
      <c r="N47" s="51"/>
      <c r="R47" s="50"/>
      <c r="S47" s="655"/>
    </row>
    <row r="48" spans="1:19" ht="18.75" customHeight="1">
      <c r="F48" s="49"/>
      <c r="G48" s="2029" t="s">
        <v>2796</v>
      </c>
      <c r="H48" s="2021"/>
      <c r="I48" s="2021"/>
      <c r="J48" s="2021"/>
      <c r="K48" s="2021"/>
      <c r="L48" s="2021"/>
      <c r="M48" s="2021"/>
      <c r="N48" s="2022"/>
      <c r="R48" s="50"/>
      <c r="S48" s="655"/>
    </row>
    <row r="49" spans="1:19" ht="18.75" customHeight="1">
      <c r="F49" s="49"/>
      <c r="G49" s="2023"/>
      <c r="H49" s="2024"/>
      <c r="I49" s="2024"/>
      <c r="J49" s="2024"/>
      <c r="K49" s="2024"/>
      <c r="L49" s="2024"/>
      <c r="M49" s="2024"/>
      <c r="N49" s="2025"/>
      <c r="R49" s="50"/>
      <c r="S49" s="655"/>
    </row>
    <row r="50" spans="1:19" ht="15">
      <c r="F50" s="49"/>
      <c r="G50" s="1964"/>
      <c r="H50" s="1965"/>
      <c r="I50" s="1965"/>
      <c r="J50" s="1965"/>
      <c r="K50" s="1965"/>
      <c r="L50" s="1965"/>
      <c r="M50" s="1965"/>
      <c r="N50" s="1966"/>
      <c r="R50" s="50"/>
      <c r="S50" s="655"/>
    </row>
    <row r="51" spans="1:19" customFormat="1" ht="30.6" customHeight="1">
      <c r="A51" s="49"/>
      <c r="B51" s="49"/>
      <c r="C51" s="49"/>
      <c r="D51" s="49"/>
      <c r="E51" s="49"/>
      <c r="F51" s="49"/>
      <c r="S51" s="383"/>
    </row>
    <row r="52" spans="1:19" ht="12.75" customHeight="1">
      <c r="F52" s="49"/>
      <c r="G52" s="209" t="s">
        <v>776</v>
      </c>
      <c r="L52" s="50"/>
      <c r="M52" s="50"/>
      <c r="N52" s="51"/>
      <c r="R52" s="50"/>
      <c r="S52" s="655"/>
    </row>
    <row r="53" spans="1:19" ht="12.75" customHeight="1">
      <c r="F53" s="49"/>
      <c r="G53" s="2046" t="s">
        <v>2797</v>
      </c>
      <c r="H53" s="2021"/>
      <c r="I53" s="2021"/>
      <c r="J53" s="2021"/>
      <c r="K53" s="2021"/>
      <c r="L53" s="2021"/>
      <c r="M53" s="2021"/>
      <c r="N53" s="2022"/>
      <c r="R53" s="50"/>
      <c r="S53" s="655"/>
    </row>
    <row r="54" spans="1:19" ht="12.75" customHeight="1">
      <c r="F54" s="49"/>
      <c r="G54" s="2023"/>
      <c r="H54" s="2024"/>
      <c r="I54" s="2024"/>
      <c r="J54" s="2024"/>
      <c r="K54" s="2024"/>
      <c r="L54" s="2024"/>
      <c r="M54" s="2024"/>
      <c r="N54" s="2025"/>
      <c r="R54" s="50"/>
      <c r="S54" s="655"/>
    </row>
    <row r="55" spans="1:19" ht="12.75" customHeight="1">
      <c r="F55" s="49"/>
      <c r="G55" s="2023"/>
      <c r="H55" s="2024"/>
      <c r="I55" s="2024"/>
      <c r="J55" s="2024"/>
      <c r="K55" s="2024"/>
      <c r="L55" s="2024"/>
      <c r="M55" s="2024"/>
      <c r="N55" s="2025"/>
      <c r="R55" s="50"/>
      <c r="S55" s="655"/>
    </row>
    <row r="56" spans="1:19" ht="12.75" customHeight="1">
      <c r="F56" s="49"/>
      <c r="G56" s="2023"/>
      <c r="H56" s="2024"/>
      <c r="I56" s="2024"/>
      <c r="J56" s="2024"/>
      <c r="K56" s="2024"/>
      <c r="L56" s="2024"/>
      <c r="M56" s="2024"/>
      <c r="N56" s="2025"/>
      <c r="R56" s="50"/>
      <c r="S56" s="655"/>
    </row>
    <row r="57" spans="1:19" ht="12.75" customHeight="1">
      <c r="F57" s="49"/>
      <c r="G57" s="2023"/>
      <c r="H57" s="2024"/>
      <c r="I57" s="2024"/>
      <c r="J57" s="2024"/>
      <c r="K57" s="2024"/>
      <c r="L57" s="2024"/>
      <c r="M57" s="2024"/>
      <c r="N57" s="2025"/>
      <c r="R57" s="50"/>
      <c r="S57" s="655"/>
    </row>
    <row r="58" spans="1:19" ht="12.75" customHeight="1">
      <c r="F58" s="49"/>
      <c r="G58" s="2023"/>
      <c r="H58" s="2024"/>
      <c r="I58" s="2024"/>
      <c r="J58" s="2024"/>
      <c r="K58" s="2024"/>
      <c r="L58" s="2024"/>
      <c r="M58" s="2024"/>
      <c r="N58" s="2025"/>
      <c r="R58" s="50"/>
      <c r="S58" s="655"/>
    </row>
    <row r="59" spans="1:19" ht="12.75" customHeight="1">
      <c r="F59" s="49"/>
      <c r="G59" s="2023"/>
      <c r="H59" s="2024"/>
      <c r="I59" s="2024"/>
      <c r="J59" s="2024"/>
      <c r="K59" s="2024"/>
      <c r="L59" s="2024"/>
      <c r="M59" s="2024"/>
      <c r="N59" s="2025"/>
      <c r="R59" s="50"/>
      <c r="S59" s="655"/>
    </row>
    <row r="60" spans="1:19" ht="12.75" customHeight="1">
      <c r="F60" s="49"/>
      <c r="G60" s="2023"/>
      <c r="H60" s="2024"/>
      <c r="I60" s="2024"/>
      <c r="J60" s="2024"/>
      <c r="K60" s="2024"/>
      <c r="L60" s="2024"/>
      <c r="M60" s="2024"/>
      <c r="N60" s="2025"/>
      <c r="R60" s="50"/>
      <c r="S60" s="655"/>
    </row>
    <row r="61" spans="1:19" ht="12.75" customHeight="1">
      <c r="F61" s="49"/>
      <c r="G61" s="2023"/>
      <c r="H61" s="2024"/>
      <c r="I61" s="2024"/>
      <c r="J61" s="2024"/>
      <c r="K61" s="2024"/>
      <c r="L61" s="2024"/>
      <c r="M61" s="2024"/>
      <c r="N61" s="2025"/>
      <c r="R61" s="50"/>
      <c r="S61" s="655"/>
    </row>
    <row r="62" spans="1:19" ht="12.75" customHeight="1">
      <c r="G62" s="2023"/>
      <c r="H62" s="2024"/>
      <c r="I62" s="2024"/>
      <c r="J62" s="2024"/>
      <c r="K62" s="2024"/>
      <c r="L62" s="2024"/>
      <c r="M62" s="2024"/>
      <c r="N62" s="2025"/>
    </row>
    <row r="63" spans="1:19" ht="12.75" customHeight="1">
      <c r="G63" s="2026"/>
      <c r="H63" s="2027"/>
      <c r="I63" s="2027"/>
      <c r="J63" s="2027"/>
      <c r="K63" s="2027"/>
      <c r="L63" s="2027"/>
      <c r="M63" s="2027"/>
      <c r="N63" s="2028"/>
    </row>
    <row r="67" spans="7:17" ht="12.75" hidden="1" customHeight="1">
      <c r="G67" s="54" t="s">
        <v>2270</v>
      </c>
    </row>
    <row r="68" spans="7:17" ht="12.75" hidden="1" customHeight="1">
      <c r="G68" s="47" t="s">
        <v>2274</v>
      </c>
      <c r="H68" s="47"/>
      <c r="I68" s="47"/>
      <c r="J68" s="47"/>
      <c r="K68" s="47"/>
      <c r="L68" s="47"/>
      <c r="M68" s="47"/>
      <c r="N68" s="47"/>
      <c r="O68" s="47"/>
      <c r="P68" s="47"/>
      <c r="Q68" s="47"/>
    </row>
    <row r="69" spans="7:17" ht="12.75" hidden="1" customHeight="1">
      <c r="G69" s="428"/>
      <c r="H69" s="384">
        <v>2006</v>
      </c>
      <c r="I69" s="384">
        <v>2009</v>
      </c>
      <c r="J69" s="384"/>
      <c r="K69" s="384">
        <v>2012</v>
      </c>
      <c r="L69" s="384">
        <v>2015</v>
      </c>
      <c r="M69" s="384">
        <v>2018</v>
      </c>
      <c r="N69" s="384">
        <v>2021</v>
      </c>
      <c r="O69" s="384">
        <v>2024</v>
      </c>
      <c r="P69" s="384">
        <v>2027</v>
      </c>
      <c r="Q69" s="384">
        <v>2030</v>
      </c>
    </row>
    <row r="70" spans="7:17" ht="12.75" hidden="1" customHeight="1">
      <c r="G70" s="427" t="s">
        <v>445</v>
      </c>
      <c r="H70" s="430">
        <v>1</v>
      </c>
      <c r="I70" s="430">
        <v>0.86799999999999999</v>
      </c>
      <c r="J70" s="430"/>
      <c r="K70" s="430">
        <v>0.82</v>
      </c>
      <c r="L70" s="430"/>
      <c r="M70" s="430">
        <v>0.69599999999999995</v>
      </c>
      <c r="N70" s="385"/>
      <c r="O70" s="385"/>
      <c r="P70" s="385"/>
      <c r="Q70" s="385"/>
    </row>
    <row r="71" spans="7:17" ht="38.25" hidden="1">
      <c r="G71" s="427" t="s">
        <v>2271</v>
      </c>
      <c r="H71" s="431">
        <v>1</v>
      </c>
      <c r="I71" s="431">
        <v>0.91</v>
      </c>
      <c r="J71" s="431"/>
      <c r="K71" s="431">
        <v>0.83</v>
      </c>
      <c r="L71" s="431">
        <v>0.74</v>
      </c>
      <c r="M71" s="431">
        <v>0.65</v>
      </c>
      <c r="N71" s="385">
        <v>0.56000000000000005</v>
      </c>
      <c r="O71" s="385">
        <v>0.48</v>
      </c>
      <c r="P71" s="385">
        <v>0.39</v>
      </c>
      <c r="Q71" s="385">
        <v>0.3</v>
      </c>
    </row>
    <row r="72" spans="7:17" ht="38.25" hidden="1">
      <c r="G72" s="427" t="s">
        <v>2272</v>
      </c>
      <c r="H72" s="431">
        <v>1</v>
      </c>
      <c r="I72" s="431">
        <v>0.86</v>
      </c>
      <c r="J72" s="431"/>
      <c r="K72" s="431">
        <v>0.74</v>
      </c>
      <c r="L72" s="431">
        <v>0.64</v>
      </c>
      <c r="M72" s="431">
        <v>0.55000000000000004</v>
      </c>
      <c r="N72" s="385">
        <v>0.47</v>
      </c>
      <c r="O72" s="385">
        <v>0.41</v>
      </c>
      <c r="P72" s="385">
        <v>0.35</v>
      </c>
      <c r="Q72" s="385">
        <v>0.3</v>
      </c>
    </row>
    <row r="73" spans="7:17" ht="12.75" hidden="1" customHeight="1">
      <c r="H73" s="51"/>
      <c r="I73" s="51"/>
      <c r="J73" s="51"/>
      <c r="K73" s="441"/>
      <c r="L73" s="442"/>
      <c r="M73" s="493" t="s">
        <v>2523</v>
      </c>
      <c r="N73" s="443">
        <v>0.61</v>
      </c>
      <c r="O73" s="387">
        <v>0.5</v>
      </c>
      <c r="P73" s="387">
        <v>0.39</v>
      </c>
      <c r="Q73" s="387">
        <v>0.3</v>
      </c>
    </row>
    <row r="74" spans="7:17" ht="12.75" hidden="1" customHeight="1"/>
    <row r="75" spans="7:17" ht="12.75" hidden="1" customHeight="1"/>
    <row r="76" spans="7:17" ht="12.75" hidden="1" customHeight="1">
      <c r="G76" s="50" t="s">
        <v>2273</v>
      </c>
      <c r="N76" s="142" t="s">
        <v>2013</v>
      </c>
    </row>
    <row r="77" spans="7:17" ht="12.75" hidden="1" customHeight="1">
      <c r="G77" s="436" t="s">
        <v>1898</v>
      </c>
      <c r="H77" s="437" t="s">
        <v>2275</v>
      </c>
      <c r="I77" s="438" t="s">
        <v>2276</v>
      </c>
      <c r="J77" s="660"/>
      <c r="K77" s="439"/>
      <c r="M77" s="440" t="s">
        <v>2524</v>
      </c>
      <c r="N77" s="440" t="s">
        <v>2281</v>
      </c>
    </row>
    <row r="78" spans="7:17" ht="12.75" hidden="1" customHeight="1">
      <c r="G78" s="384" t="s">
        <v>2006</v>
      </c>
      <c r="H78" s="384">
        <v>70</v>
      </c>
      <c r="I78" s="428">
        <v>36</v>
      </c>
      <c r="J78" s="661"/>
      <c r="K78" s="429"/>
      <c r="M78" s="494">
        <f>I78*(1-$M$96)</f>
        <v>31.551724137931036</v>
      </c>
      <c r="N78" s="444">
        <f>I78-M78</f>
        <v>4.4482758620689644</v>
      </c>
    </row>
    <row r="79" spans="7:17" ht="12.75" hidden="1" customHeight="1">
      <c r="G79" s="384" t="s">
        <v>2012</v>
      </c>
      <c r="H79" s="384">
        <v>14</v>
      </c>
      <c r="I79" s="428">
        <v>8</v>
      </c>
      <c r="J79" s="661"/>
      <c r="K79" s="429"/>
      <c r="M79" s="494">
        <f t="shared" ref="M79:M95" si="13">I79*(1-$M$96)</f>
        <v>7.0114942528735638</v>
      </c>
      <c r="N79" s="444">
        <f t="shared" ref="N79:N95" si="14">I79-M79</f>
        <v>0.98850574712643624</v>
      </c>
    </row>
    <row r="80" spans="7:17" ht="12.75" hidden="1" customHeight="1">
      <c r="G80" s="384" t="s">
        <v>1998</v>
      </c>
      <c r="H80" s="384">
        <v>40</v>
      </c>
      <c r="I80" s="428">
        <v>27</v>
      </c>
      <c r="J80" s="661"/>
      <c r="K80" s="429" t="s">
        <v>2277</v>
      </c>
      <c r="M80" s="494">
        <f t="shared" si="13"/>
        <v>23.663793103448278</v>
      </c>
      <c r="N80" s="444">
        <f t="shared" si="14"/>
        <v>3.3362068965517224</v>
      </c>
    </row>
    <row r="81" spans="7:16" ht="12.75" hidden="1" customHeight="1">
      <c r="G81" s="384" t="s">
        <v>2000</v>
      </c>
      <c r="H81" s="384">
        <v>39</v>
      </c>
      <c r="I81" s="428">
        <v>22</v>
      </c>
      <c r="J81" s="661"/>
      <c r="K81" s="429" t="s">
        <v>2277</v>
      </c>
      <c r="M81" s="494">
        <f t="shared" si="13"/>
        <v>19.2816091954023</v>
      </c>
      <c r="N81" s="444">
        <f t="shared" si="14"/>
        <v>2.7183908045976999</v>
      </c>
    </row>
    <row r="82" spans="7:16" ht="12.75" hidden="1" customHeight="1">
      <c r="G82" s="384" t="s">
        <v>1999</v>
      </c>
      <c r="H82" s="384">
        <v>43</v>
      </c>
      <c r="I82" s="428">
        <v>26</v>
      </c>
      <c r="J82" s="661"/>
      <c r="K82" s="429" t="s">
        <v>2277</v>
      </c>
      <c r="M82" s="494">
        <f t="shared" si="13"/>
        <v>22.787356321839081</v>
      </c>
      <c r="N82" s="444">
        <f t="shared" si="14"/>
        <v>3.2126436781609193</v>
      </c>
    </row>
    <row r="83" spans="7:16" ht="12.75" hidden="1" customHeight="1">
      <c r="G83" s="384" t="s">
        <v>2002</v>
      </c>
      <c r="H83" s="384">
        <v>47</v>
      </c>
      <c r="I83" s="428">
        <v>37</v>
      </c>
      <c r="J83" s="661"/>
      <c r="K83" s="429"/>
      <c r="M83" s="494">
        <f t="shared" si="13"/>
        <v>32.428160919540232</v>
      </c>
      <c r="N83" s="444">
        <f t="shared" si="14"/>
        <v>4.5718390804597675</v>
      </c>
      <c r="P83" s="1942" t="s">
        <v>2282</v>
      </c>
    </row>
    <row r="84" spans="7:16" ht="12.75" hidden="1" customHeight="1">
      <c r="G84" s="384" t="s">
        <v>2278</v>
      </c>
      <c r="H84" s="384">
        <v>52</v>
      </c>
      <c r="I84" s="428">
        <v>36</v>
      </c>
      <c r="J84" s="661"/>
      <c r="K84" s="429" t="s">
        <v>2277</v>
      </c>
      <c r="M84" s="494">
        <f t="shared" si="13"/>
        <v>31.551724137931036</v>
      </c>
      <c r="N84" s="444">
        <f t="shared" si="14"/>
        <v>4.4482758620689644</v>
      </c>
      <c r="P84" s="1942"/>
    </row>
    <row r="85" spans="7:16" ht="12.75" hidden="1" customHeight="1">
      <c r="G85" s="384" t="s">
        <v>2004</v>
      </c>
      <c r="H85" s="384">
        <v>125</v>
      </c>
      <c r="I85" s="428">
        <v>103</v>
      </c>
      <c r="J85" s="661"/>
      <c r="K85" s="429"/>
      <c r="M85" s="494">
        <f t="shared" si="13"/>
        <v>90.272988505747136</v>
      </c>
      <c r="N85" s="444">
        <f t="shared" si="14"/>
        <v>12.727011494252864</v>
      </c>
    </row>
    <row r="86" spans="7:16" ht="12.75" hidden="1" customHeight="1">
      <c r="G86" s="384" t="s">
        <v>2010</v>
      </c>
      <c r="H86" s="384">
        <v>98</v>
      </c>
      <c r="I86" s="428">
        <v>75</v>
      </c>
      <c r="J86" s="661"/>
      <c r="K86" s="429" t="s">
        <v>2277</v>
      </c>
      <c r="M86" s="494">
        <f t="shared" si="13"/>
        <v>65.732758620689665</v>
      </c>
      <c r="N86" s="444">
        <f t="shared" si="14"/>
        <v>9.2672413793103345</v>
      </c>
    </row>
    <row r="87" spans="7:16" ht="12.75" hidden="1" customHeight="1">
      <c r="G87" s="384" t="s">
        <v>2005</v>
      </c>
      <c r="H87" s="384">
        <v>74</v>
      </c>
      <c r="I87" s="428">
        <v>65</v>
      </c>
      <c r="J87" s="661"/>
      <c r="K87" s="429"/>
      <c r="M87" s="494">
        <f t="shared" si="13"/>
        <v>56.968390804597703</v>
      </c>
      <c r="N87" s="444">
        <f t="shared" si="14"/>
        <v>8.0316091954022966</v>
      </c>
    </row>
    <row r="88" spans="7:16" ht="12.75" hidden="1" customHeight="1">
      <c r="G88" s="384" t="s">
        <v>2003</v>
      </c>
      <c r="H88" s="384">
        <v>174</v>
      </c>
      <c r="I88" s="428">
        <v>123</v>
      </c>
      <c r="J88" s="661"/>
      <c r="K88" s="429"/>
      <c r="M88" s="494">
        <f t="shared" si="13"/>
        <v>107.80172413793105</v>
      </c>
      <c r="N88" s="444">
        <f t="shared" si="14"/>
        <v>15.198275862068954</v>
      </c>
    </row>
    <row r="89" spans="7:16" ht="12.75" hidden="1" customHeight="1">
      <c r="G89" s="384" t="s">
        <v>2007</v>
      </c>
      <c r="H89" s="384">
        <v>76</v>
      </c>
      <c r="I89" s="428">
        <v>35</v>
      </c>
      <c r="J89" s="661"/>
      <c r="K89" s="429"/>
      <c r="M89" s="494">
        <f t="shared" si="13"/>
        <v>30.675287356321842</v>
      </c>
      <c r="N89" s="444">
        <f t="shared" si="14"/>
        <v>4.3247126436781578</v>
      </c>
    </row>
    <row r="90" spans="7:16" ht="12.75" hidden="1" customHeight="1">
      <c r="G90" s="384" t="s">
        <v>2279</v>
      </c>
      <c r="H90" s="384">
        <v>47</v>
      </c>
      <c r="I90" s="428">
        <v>31</v>
      </c>
      <c r="J90" s="661"/>
      <c r="K90" s="429" t="s">
        <v>2277</v>
      </c>
      <c r="M90" s="494">
        <f t="shared" si="13"/>
        <v>27.169540229885058</v>
      </c>
      <c r="N90" s="444">
        <f t="shared" si="14"/>
        <v>3.8304597701149419</v>
      </c>
    </row>
    <row r="91" spans="7:16" ht="12.75" hidden="1" customHeight="1">
      <c r="G91" s="384" t="s">
        <v>1068</v>
      </c>
      <c r="H91" s="384">
        <v>202</v>
      </c>
      <c r="I91" s="428">
        <v>163</v>
      </c>
      <c r="J91" s="661"/>
      <c r="K91" s="429"/>
      <c r="M91" s="494">
        <f t="shared" si="13"/>
        <v>142.85919540229887</v>
      </c>
      <c r="N91" s="444">
        <f t="shared" si="14"/>
        <v>20.140804597701134</v>
      </c>
    </row>
    <row r="92" spans="7:16" ht="12.75" hidden="1" customHeight="1">
      <c r="G92" s="384" t="s">
        <v>2008</v>
      </c>
      <c r="H92" s="384">
        <v>437</v>
      </c>
      <c r="I92" s="428">
        <v>353</v>
      </c>
      <c r="J92" s="661"/>
      <c r="K92" s="429"/>
      <c r="M92" s="494">
        <f t="shared" si="13"/>
        <v>309.38218390804599</v>
      </c>
      <c r="N92" s="444">
        <f t="shared" si="14"/>
        <v>43.617816091954012</v>
      </c>
    </row>
    <row r="93" spans="7:16" ht="12.75" hidden="1" customHeight="1">
      <c r="G93" s="384" t="s">
        <v>2011</v>
      </c>
      <c r="H93" s="384">
        <v>69</v>
      </c>
      <c r="I93" s="428">
        <v>57</v>
      </c>
      <c r="J93" s="661"/>
      <c r="K93" s="429" t="s">
        <v>2277</v>
      </c>
      <c r="M93" s="494">
        <f t="shared" si="13"/>
        <v>49.956896551724142</v>
      </c>
      <c r="N93" s="444">
        <f t="shared" si="14"/>
        <v>7.0431034482758577</v>
      </c>
    </row>
    <row r="94" spans="7:16" ht="12.75" hidden="1" customHeight="1">
      <c r="G94" s="384" t="s">
        <v>2001</v>
      </c>
      <c r="H94" s="384">
        <v>48</v>
      </c>
      <c r="I94" s="428">
        <v>37</v>
      </c>
      <c r="J94" s="661"/>
      <c r="K94" s="429"/>
      <c r="M94" s="494">
        <f t="shared" si="13"/>
        <v>32.428160919540232</v>
      </c>
      <c r="N94" s="444">
        <f t="shared" si="14"/>
        <v>4.5718390804597675</v>
      </c>
    </row>
    <row r="95" spans="7:16" ht="12.75" hidden="1" customHeight="1">
      <c r="G95" s="384" t="s">
        <v>2009</v>
      </c>
      <c r="H95" s="384">
        <v>588</v>
      </c>
      <c r="I95" s="428">
        <v>479</v>
      </c>
      <c r="J95" s="661"/>
      <c r="K95" s="429"/>
      <c r="M95" s="494">
        <f t="shared" si="13"/>
        <v>419.81321839080465</v>
      </c>
      <c r="N95" s="444">
        <f t="shared" si="14"/>
        <v>59.18678160919535</v>
      </c>
    </row>
    <row r="96" spans="7:16" ht="12.75" hidden="1" customHeight="1">
      <c r="G96" s="432"/>
      <c r="H96" s="433"/>
      <c r="I96" s="434" t="s">
        <v>2280</v>
      </c>
      <c r="J96" s="662"/>
      <c r="K96" s="435"/>
      <c r="M96" s="495">
        <f>(M70-N73)/M70</f>
        <v>0.12356321839080456</v>
      </c>
    </row>
    <row r="97" spans="13:13" ht="38.25" hidden="1">
      <c r="M97" s="496" t="s">
        <v>2525</v>
      </c>
    </row>
  </sheetData>
  <autoFilter ref="A11:XEZ31" xr:uid="{00000000-0001-0000-1400-000000000000}">
    <filterColumn colId="10">
      <customFilters>
        <customFilter operator="notEqual" val=" "/>
      </customFilters>
    </filterColumn>
  </autoFilter>
  <sortState xmlns:xlrd2="http://schemas.microsoft.com/office/spreadsheetml/2017/richdata2" ref="A12:R23">
    <sortCondition ref="H12:H23"/>
    <sortCondition ref="G12:G23"/>
  </sortState>
  <dataConsolidate/>
  <mergeCells count="25">
    <mergeCell ref="G53:N63"/>
    <mergeCell ref="P83:P84"/>
    <mergeCell ref="G27:N31"/>
    <mergeCell ref="Q10:R10"/>
    <mergeCell ref="O10:P10"/>
    <mergeCell ref="H12:H15"/>
    <mergeCell ref="H16:H19"/>
    <mergeCell ref="A10:E10"/>
    <mergeCell ref="F10:K10"/>
    <mergeCell ref="L10:N10"/>
    <mergeCell ref="P12:P15"/>
    <mergeCell ref="G16:G19"/>
    <mergeCell ref="P16:P19"/>
    <mergeCell ref="H2:R2"/>
    <mergeCell ref="G50:N50"/>
    <mergeCell ref="G41:N44"/>
    <mergeCell ref="G48:N49"/>
    <mergeCell ref="G34:N38"/>
    <mergeCell ref="G12:G15"/>
    <mergeCell ref="G20:G23"/>
    <mergeCell ref="M12:M15"/>
    <mergeCell ref="M16:M19"/>
    <mergeCell ref="M20:M23"/>
    <mergeCell ref="H20:H23"/>
    <mergeCell ref="P20:P23"/>
  </mergeCells>
  <phoneticPr fontId="119" type="noConversion"/>
  <hyperlinks>
    <hyperlink ref="G1" location="'2024-2025 Summary'!C1" display="Summary Page" xr:uid="{59365460-7FF2-49F1-B150-01B71E544D4C}"/>
  </hyperlinks>
  <pageMargins left="0.7" right="0.7" top="0.75" bottom="0.75" header="0.3" footer="0.3"/>
  <pageSetup scale="10" orientation="portrait" r:id="rId1"/>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filterMode="1">
    <tabColor rgb="FF7FCDE8"/>
    <pageSetUpPr fitToPage="1"/>
  </sheetPr>
  <dimension ref="A1:V47"/>
  <sheetViews>
    <sheetView showGridLines="0" topLeftCell="F1" zoomScale="90" zoomScaleNormal="90" workbookViewId="0">
      <selection activeCell="V36" sqref="V36"/>
    </sheetView>
  </sheetViews>
  <sheetFormatPr defaultColWidth="19.42578125" defaultRowHeight="12.75" customHeight="1" outlineLevelRow="1" outlineLevelCol="1"/>
  <cols>
    <col min="1" max="1" width="29.42578125" style="49" hidden="1" customWidth="1" outlineLevel="1"/>
    <col min="2" max="2" width="11.42578125" style="49" hidden="1" customWidth="1" outlineLevel="1"/>
    <col min="3" max="3" width="15.140625" style="49" hidden="1" customWidth="1" outlineLevel="1"/>
    <col min="4" max="4" width="7.42578125" style="49" hidden="1" customWidth="1" outlineLevel="1"/>
    <col min="5" max="5" width="8.42578125" style="49" hidden="1" customWidth="1" outlineLevel="1"/>
    <col min="6" max="6" width="13.42578125" style="50" customWidth="1" collapsed="1"/>
    <col min="7" max="7" width="33" style="50" customWidth="1"/>
    <col min="8" max="8" width="35.5703125" style="50" customWidth="1"/>
    <col min="9" max="9" width="26.28515625" style="50" hidden="1" customWidth="1"/>
    <col min="10" max="10" width="10.42578125" style="50" customWidth="1"/>
    <col min="11" max="11" width="12.42578125" style="50" customWidth="1"/>
    <col min="12" max="12" width="12.5703125" style="51" customWidth="1"/>
    <col min="13" max="13" width="14.5703125" style="51" customWidth="1"/>
    <col min="14" max="14" width="15.5703125" style="51" customWidth="1"/>
    <col min="15" max="15" width="12.5703125" style="50" customWidth="1"/>
    <col min="16" max="16" width="11.5703125" style="50" customWidth="1"/>
    <col min="17" max="17" width="13.42578125" style="50" customWidth="1"/>
    <col min="18" max="18" width="11.42578125" style="50" customWidth="1"/>
    <col min="19" max="19" width="11.5703125" style="50" hidden="1" customWidth="1"/>
    <col min="20" max="20" width="12.42578125" style="236" customWidth="1"/>
    <col min="21" max="16384" width="19.42578125" style="50"/>
  </cols>
  <sheetData>
    <row r="1" spans="1:22" ht="12.75" customHeight="1">
      <c r="F1" s="26" t="s">
        <v>557</v>
      </c>
    </row>
    <row r="2" spans="1:22" ht="44.1" customHeight="1">
      <c r="A2" s="9" t="s">
        <v>2652</v>
      </c>
      <c r="F2" s="966" t="s">
        <v>1236</v>
      </c>
      <c r="G2" s="1915" t="str">
        <f>INDEX('AMMO Measures'!$I:$I, MATCH(B15,'AMMO Measures'!K:K,0))</f>
        <v>To affect permanent market change as part of Market Transformation, NEEA provides market intelligence, product and performance data and technical expertise to influence and accelerate the adoption of more stringent appliance and equipment standards at a state and federal level.</v>
      </c>
      <c r="H2" s="1915"/>
      <c r="I2" s="1915"/>
      <c r="J2" s="1915"/>
      <c r="K2" s="1915"/>
      <c r="L2" s="1915"/>
      <c r="M2" s="1915"/>
      <c r="N2" s="1915"/>
      <c r="O2" s="1915"/>
      <c r="P2" s="1915"/>
      <c r="Q2" s="1915"/>
      <c r="R2" s="1915"/>
      <c r="S2" s="1915"/>
      <c r="T2" s="1915"/>
    </row>
    <row r="3" spans="1:22" ht="36.75" hidden="1" customHeight="1" outlineLevel="1">
      <c r="A3" s="9"/>
      <c r="B3" s="9">
        <v>2024</v>
      </c>
      <c r="C3" s="9">
        <v>2025</v>
      </c>
      <c r="D3" s="9">
        <v>2024</v>
      </c>
      <c r="E3" s="9">
        <v>2025</v>
      </c>
      <c r="F3" s="122"/>
    </row>
    <row r="4" spans="1:22" ht="15" hidden="1" outlineLevel="1">
      <c r="A4" s="667">
        <f>(B4/(SUM(B4:C4)))*D4+ (C4/SUM(B4:C4))*E4</f>
        <v>6</v>
      </c>
      <c r="B4" s="668">
        <f>SUMIFS($T$15:$T$29,$F$15:$F$29,"Residential",$K$15:$K$29, 2024)</f>
        <v>2.717257828527855E-2</v>
      </c>
      <c r="C4" s="668">
        <f>SUMIFS($T$15:$T$29,$F$15:$F$29,"Residential",$K$15:$K$29, 2025)</f>
        <v>2.7548879427969124E-2</v>
      </c>
      <c r="D4" s="667" cm="1">
        <f t="array" ref="D4">SUMPRODUCT($J$15:$J$22,$T$15:$T$22,--($F$15:$F$22="Residential"),--($K$15:$K$22=2024))/SUMIFS($T$15:$T$22,$F$15:$F$22,"Residential",$K$15:$K$22, 2024)</f>
        <v>6</v>
      </c>
      <c r="E4" s="667" cm="1">
        <f t="array" ref="E4">SUMPRODUCT($J$15:$J$22,$T$15:$T$22,--($F$15:$F$22="Residential"),--($K$15:$K$22=2025))/SUMIFS($T$15:$T$22,$F$15:$F$22,"Residential",$K$15:$K$22, 2025)</f>
        <v>5.9999999999999991</v>
      </c>
      <c r="F4"/>
      <c r="G4"/>
      <c r="H4"/>
      <c r="I4" s="659"/>
      <c r="J4"/>
    </row>
    <row r="5" spans="1:22" ht="36.75" hidden="1" customHeight="1" outlineLevel="1">
      <c r="A5" s="667">
        <f>(B5/(SUM(B5:C5)))*D5+ (C5/SUM(B5:C5))*E5</f>
        <v>6</v>
      </c>
      <c r="B5" s="668">
        <f>SUMIFS($T$15:$T$29,$F$15:$F$29,"Commercial",$K$15:$K$29, 2024)</f>
        <v>7.0407618310564773E-2</v>
      </c>
      <c r="C5" s="668">
        <f>SUMIFS($T$15:$T$29,$F$15:$F$29,"Commercial",$K$15:$K$29, 2025)</f>
        <v>7.1385529127624359E-2</v>
      </c>
      <c r="D5" s="667" cm="1">
        <f t="array" ref="D5">SUMPRODUCT($J$15:$J$22,$T$15:$T$22,--($F$15:$F$22="Commercial"),--($K$15:$K$22=2024))/SUMIFS($T$15:$T$22,$F$15:$F$22,"Commercial",$K$15:$K$22, 2024)</f>
        <v>6</v>
      </c>
      <c r="E5" s="667" cm="1">
        <f t="array" ref="E5">SUMPRODUCT($J$15:$J$22,$T$15:$T$22,--($F$15:$F$22="Commercial"),--($K$15:$K$22=2025))/SUMIFS($T$15:$T$22,$F$15:$F$22,"Commercial",$K$15:$K$22, 2025)</f>
        <v>6</v>
      </c>
      <c r="F5"/>
      <c r="G5"/>
      <c r="H5"/>
      <c r="I5" s="470">
        <v>2026</v>
      </c>
      <c r="J5"/>
    </row>
    <row r="6" spans="1:22" ht="36.75" hidden="1" customHeight="1" outlineLevel="1">
      <c r="A6" s="667" t="e">
        <f>(B6/(SUM(B6:C6)))*D6+ (C6/SUM(B6:C6))*E6</f>
        <v>#DIV/0!</v>
      </c>
      <c r="B6" s="668">
        <f>SUMIFS($T$15:$T$29,$F$15:$F$29,"Industrial",$K$15:$K$29, 2024)</f>
        <v>0</v>
      </c>
      <c r="C6" s="668">
        <f>SUMIFS($T$15:$T$29,$F$15:$F$29,"Industrial",$K$15:$K$29, 2025)</f>
        <v>0</v>
      </c>
      <c r="D6" s="667" t="e" cm="1">
        <f t="array" ref="D6">SUMPRODUCT($J$15:$J$22,$T$15:$T$22,--($F$15:$F$22="Industrial"),--($K$15:$K$22=2024))/SUMIFS($T$15:$T$22,$F$15:$F$22,"Industrial",$K$15:$K$22, 2024)</f>
        <v>#DIV/0!</v>
      </c>
      <c r="E6" s="667" t="e" cm="1">
        <f t="array" ref="E6">SUMPRODUCT($J$15:$J$22,$T$15:$T$22,--($F$15:$F$22="Industrial"),--($K$15:$K$22=2025))/SUMIFS($T$15:$T$22,$F$15:$F$22,"Industrial",$K$15:$K$22, 2025)</f>
        <v>#DIV/0!</v>
      </c>
      <c r="F6"/>
      <c r="G6"/>
      <c r="H6"/>
      <c r="I6" s="471">
        <f>SUMIFS($T$14:$T$29,$K$14:$K$29,I$5)</f>
        <v>0.10028862051533843</v>
      </c>
      <c r="J6"/>
    </row>
    <row r="7" spans="1:22" ht="15" hidden="1" outlineLevel="1">
      <c r="A7" s="9"/>
      <c r="B7" s="9">
        <v>2026</v>
      </c>
      <c r="C7" s="9">
        <v>2027</v>
      </c>
      <c r="D7" s="9">
        <v>2026</v>
      </c>
      <c r="E7" s="9">
        <v>2027</v>
      </c>
      <c r="F7"/>
      <c r="G7"/>
      <c r="H7"/>
      <c r="I7" s="472">
        <f>SUMIFS(Estimates!$D:$D,Estimates!$E:$E,I$5,Estimates!$A:$A,Selection!$A$2,Estimates!$C:$C,"standards")</f>
        <v>0</v>
      </c>
      <c r="J7"/>
    </row>
    <row r="8" spans="1:22" ht="15" hidden="1" outlineLevel="1">
      <c r="A8" s="667">
        <f>(B8/(SUM(B8:C8)))*D8+ (C8/SUM(B8:C8))*E8</f>
        <v>6</v>
      </c>
      <c r="B8" s="668">
        <f>SUMIFS($T$15:$T$29,$F$15:$F$29,"Residential",$K$15:$K$29, 2026)</f>
        <v>2.7925180570654483E-2</v>
      </c>
      <c r="C8" s="668">
        <f>SUMIFS($T$15:$T$29,$F$15:$F$29,"Residential",$K$15:$K$29, 2027)</f>
        <v>2.1212241462058558E-2</v>
      </c>
      <c r="D8" s="667" cm="1">
        <f t="array" ref="D8">SUMPRODUCT($J$15:$J$22,$T$15:$T$22,--($F$15:$F$22="Residential"),--($K$15:$K$22=2026))/SUMIFS($T$15:$T$22,$F$15:$F$22,"Residential",$K$15:$K$22, 2026)</f>
        <v>5.9999999999999991</v>
      </c>
      <c r="E8" s="667" cm="1">
        <f t="array" ref="E8">SUMPRODUCT($J$15:$J$22,$T$15:$T$22,--($F$15:$F$22="Residential"),--($K$15:$K$22=2027))/SUMIFS($T$15:$T$22,$F$15:$F$22,"Residential",$K$15:$K$22, 2027)</f>
        <v>6.0000000000000009</v>
      </c>
      <c r="F8"/>
      <c r="G8"/>
      <c r="H8"/>
      <c r="I8" s="476">
        <f>I6-I7</f>
        <v>0.10028862051533843</v>
      </c>
      <c r="J8"/>
    </row>
    <row r="9" spans="1:22" ht="15" hidden="1" outlineLevel="1">
      <c r="A9" s="667">
        <f>(B9/(SUM(B9:C9)))*D9+ (C9/SUM(B9:C9))*E9</f>
        <v>6</v>
      </c>
      <c r="B9" s="668">
        <f>SUMIFS($T$15:$T$29,$F$15:$F$29,"Commercial",$K$15:$K$29, 2026)</f>
        <v>7.2363439944683958E-2</v>
      </c>
      <c r="C9" s="668">
        <f>SUMIFS($T$15:$T$29,$F$15:$F$29,"Commercial",$K$15:$K$29, 2027)</f>
        <v>5.5039986179224759E-2</v>
      </c>
      <c r="D9" s="667" cm="1">
        <f t="array" ref="D9">SUMPRODUCT($J$15:$J$22,$T$15:$T$22,--($F$15:$F$22="Commercial"),--($K$15:$K$22=2026))/SUMIFS($T$15:$T$22,$F$15:$F$22,"Commercial",$K$15:$K$22, 2026)</f>
        <v>6</v>
      </c>
      <c r="E9" s="667" cm="1">
        <f t="array" ref="E9">SUMPRODUCT($J$15:$J$22,$T$15:$T$22,--($F$15:$F$22="Commercial"),--($K$15:$K$22=2027))/SUMIFS($T$15:$T$22,$F$15:$F$22,"Commercial",$K$15:$K$22, 2027)</f>
        <v>6</v>
      </c>
      <c r="F9"/>
      <c r="G9"/>
      <c r="H9"/>
    </row>
    <row r="10" spans="1:22" hidden="1" outlineLevel="1">
      <c r="A10" s="667" t="e">
        <f>(B10/(SUM(B10:C10)))*D10+ (C10/SUM(B10:C10))*E10</f>
        <v>#DIV/0!</v>
      </c>
      <c r="B10" s="668">
        <f>SUMIFS($T$15:$T$29,$F$15:$F$29,"Industrial",$K$15:$K$29, 2026)</f>
        <v>0</v>
      </c>
      <c r="C10" s="668">
        <f>SUMIFS($T$15:$T$29,$F$15:$F$29,"Industrial",$K$15:$K$29, 2027)</f>
        <v>0</v>
      </c>
      <c r="D10" s="667" t="e" cm="1">
        <f t="array" ref="D10">SUMPRODUCT($J$15:$J$22,$T$15:$T$22,--($F$15:$F$22="Industrial"),--($K$15:$K$22=2026))/SUMIFS($T$15:$T$22,$F$15:$F$22,"Industrial",$K$15:$K$22, 2026)</f>
        <v>#DIV/0!</v>
      </c>
      <c r="E10" s="667" t="e" cm="1">
        <f t="array" ref="E10">SUMPRODUCT($J$15:$J$22,$T$15:$T$22,--($F$15:$F$22="Industrial"),--($K$15:$K$22=2027))/SUMIFS($T$15:$T$22,$F$15:$F$22,"Industrial",$K$15:$K$22, 2027)</f>
        <v>#DIV/0!</v>
      </c>
      <c r="F10" s="474"/>
      <c r="G10" s="476"/>
      <c r="H10" s="476"/>
      <c r="I10" s="476"/>
      <c r="J10" s="476"/>
    </row>
    <row r="11" spans="1:22" hidden="1" outlineLevel="1">
      <c r="F11" s="2049"/>
      <c r="G11" s="2049"/>
      <c r="H11" s="2049"/>
    </row>
    <row r="12" spans="1:22" ht="24.75" customHeight="1" collapsed="1">
      <c r="F12" s="1302" t="s">
        <v>2743</v>
      </c>
    </row>
    <row r="13" spans="1:22" ht="15.75" customHeight="1">
      <c r="A13" s="2054" t="s">
        <v>125</v>
      </c>
      <c r="B13" s="2055"/>
      <c r="C13" s="2055"/>
      <c r="D13" s="2055"/>
      <c r="E13" s="2055"/>
      <c r="F13" s="1720" t="s">
        <v>7</v>
      </c>
      <c r="G13" s="1722"/>
      <c r="H13" s="1722"/>
      <c r="I13" s="1722"/>
      <c r="J13" s="1722"/>
      <c r="K13" s="1722"/>
      <c r="L13" s="1916" t="s">
        <v>122</v>
      </c>
      <c r="M13" s="1917"/>
      <c r="N13" s="1917"/>
      <c r="O13" s="1918"/>
      <c r="P13" s="1930" t="s">
        <v>123</v>
      </c>
      <c r="Q13" s="1931"/>
      <c r="R13" s="2051" t="s">
        <v>124</v>
      </c>
      <c r="S13" s="2052"/>
      <c r="T13" s="2053"/>
    </row>
    <row r="14" spans="1:22" s="125" customFormat="1" ht="60" customHeight="1" thickBot="1">
      <c r="A14" s="1209" t="s">
        <v>0</v>
      </c>
      <c r="B14" s="1210" t="s">
        <v>10</v>
      </c>
      <c r="C14" s="1210" t="s">
        <v>1</v>
      </c>
      <c r="D14" s="1210" t="s">
        <v>2</v>
      </c>
      <c r="E14" s="1210" t="s">
        <v>187</v>
      </c>
      <c r="F14" s="975" t="s">
        <v>3</v>
      </c>
      <c r="G14" s="974" t="s">
        <v>4</v>
      </c>
      <c r="H14" s="974" t="s">
        <v>5</v>
      </c>
      <c r="I14" s="974" t="s">
        <v>6</v>
      </c>
      <c r="J14" s="974" t="s">
        <v>834</v>
      </c>
      <c r="K14" s="974" t="s">
        <v>8</v>
      </c>
      <c r="L14" s="975" t="s">
        <v>11</v>
      </c>
      <c r="M14" s="974" t="s">
        <v>2738</v>
      </c>
      <c r="N14" s="974" t="s">
        <v>120</v>
      </c>
      <c r="O14" s="771" t="str">
        <f>"Funder Share: "&amp;Selection!A2&amp;" "&amp;Selection!A3</f>
        <v>Funder Share: Puget Sound Energy Washington</v>
      </c>
      <c r="P14" s="981" t="s">
        <v>451</v>
      </c>
      <c r="Q14" s="976" t="s">
        <v>121</v>
      </c>
      <c r="R14" s="764" t="s">
        <v>2683</v>
      </c>
      <c r="S14" s="763" t="s">
        <v>2675</v>
      </c>
      <c r="T14" s="716" t="s">
        <v>2283</v>
      </c>
    </row>
    <row r="15" spans="1:22" s="1193" customFormat="1" ht="13.5" thickTop="1">
      <c r="A15" s="918" t="s">
        <v>1625</v>
      </c>
      <c r="B15" s="916" t="str">
        <f t="shared" ref="B15:B16" si="0">LEFT(A15,10)</f>
        <v>RES_201402</v>
      </c>
      <c r="C15" s="917" t="str">
        <f>INDEX('AMMO vwFlags'!$C:$C,MATCH($A15&amp;K15,'AMMO vwFlags'!$K:$K,0))</f>
        <v>0</v>
      </c>
      <c r="D15" s="917" t="str">
        <f>INDEX('AMMO vwFlags'!$D:$D,MATCH($A15&amp;$K15,'AMMO vwFlags'!$K:$K,0))</f>
        <v>1</v>
      </c>
      <c r="E15" s="916">
        <f t="shared" ref="E15:E22" si="1">COUNTIFS($A:$A,$A15,$K:$K,$K15)</f>
        <v>1</v>
      </c>
      <c r="F15" s="92" t="str">
        <f t="shared" ref="F15:F29" si="2">IF(LEFT(A15,3)="RES","Residential",IF(LEFT(A15,3)="IND","industrial",IF(LEFT(A15,3)="COM","Commercial",IF(LEFT(A15,3)="AGR","Agriculture",""))))</f>
        <v>Residential</v>
      </c>
      <c r="G15" s="1187" t="str">
        <f>INDEX('AMMO Measures'!B:B,MATCH($A15,'AMMO Measures'!$A:$A,0))</f>
        <v>Consumer Products (Standards)</v>
      </c>
      <c r="H15" s="1188" t="str">
        <f>INDEX('AMMO Units'!$C:$C,MATCH($A15,'AMMO Units'!$E:$E,0))</f>
        <v>Uninterruptible Power Supplies</v>
      </c>
      <c r="I15" s="1188" t="str">
        <f>INDEX('AMMO Units'!$D:$D,MATCH($A15,'AMMO Units'!$E:$E,0))</f>
        <v>Residential Applications</v>
      </c>
      <c r="J15" s="1189">
        <f>VALUE(INDEX('AMMO Measures'!H:H,MATCH($A15,'AMMO Measures'!A:A,0)))</f>
        <v>6</v>
      </c>
      <c r="K15" s="906">
        <v>2024</v>
      </c>
      <c r="L15" s="900">
        <f>SUMIFS('AMMO Units'!F:F,'AMMO Units'!$A:$A,$K15,'AMMO Units'!$E:$E,$A15)</f>
        <v>52158.810765189999</v>
      </c>
      <c r="M15" s="1300" t="s">
        <v>2739</v>
      </c>
      <c r="N15" s="2065" t="s">
        <v>2741</v>
      </c>
      <c r="O15" s="773">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1190">
        <f>SUMIFS('AMMO Savings Rates'!F:F,'AMMO Savings Rates'!$E:$E,$K15,'AMMO Savings Rates'!$D:$D,$A15)</f>
        <v>32.630683519999998</v>
      </c>
      <c r="Q15" s="2056" t="s">
        <v>2742</v>
      </c>
      <c r="R15" s="1191">
        <f>(L15)*O15*P15/8760000</f>
        <v>2.717257828527855E-2</v>
      </c>
      <c r="S15" s="1192"/>
      <c r="T15" s="907">
        <f t="shared" ref="T15:T26" si="3">R15-S15</f>
        <v>2.717257828527855E-2</v>
      </c>
      <c r="V15" s="1194"/>
    </row>
    <row r="16" spans="1:22" s="1193" customFormat="1" ht="15" customHeight="1">
      <c r="A16" s="918" t="s">
        <v>1625</v>
      </c>
      <c r="B16" s="916" t="str">
        <f t="shared" si="0"/>
        <v>RES_201402</v>
      </c>
      <c r="C16" s="917" t="str">
        <f>INDEX('AMMO vwFlags'!$C:$C,MATCH($A16&amp;K16,'AMMO vwFlags'!$K:$K,0))</f>
        <v>0</v>
      </c>
      <c r="D16" s="917" t="str">
        <f>INDEX('AMMO vwFlags'!$D:$D,MATCH($A16&amp;$K16,'AMMO vwFlags'!$K:$K,0))</f>
        <v>1</v>
      </c>
      <c r="E16" s="916">
        <f t="shared" si="1"/>
        <v>1</v>
      </c>
      <c r="F16" s="92" t="str">
        <f t="shared" si="2"/>
        <v>Residential</v>
      </c>
      <c r="G16" s="1187" t="str">
        <f>INDEX('AMMO Measures'!B:B,MATCH($A16,'AMMO Measures'!$A:$A,0))</f>
        <v>Consumer Products (Standards)</v>
      </c>
      <c r="H16" s="1188" t="str">
        <f>INDEX('AMMO Units'!$C:$C,MATCH($A16,'AMMO Units'!$E:$E,0))</f>
        <v>Uninterruptible Power Supplies</v>
      </c>
      <c r="I16" s="1188" t="str">
        <f>INDEX('AMMO Units'!$D:$D,MATCH($A16,'AMMO Units'!$E:$E,0))</f>
        <v>Residential Applications</v>
      </c>
      <c r="J16" s="1189">
        <f>VALUE(INDEX('AMMO Measures'!H:H,MATCH($A16,'AMMO Measures'!A:A,0)))</f>
        <v>6</v>
      </c>
      <c r="K16" s="906">
        <v>2025</v>
      </c>
      <c r="L16" s="900">
        <f>SUMIFS('AMMO Units'!F:F,'AMMO Units'!$A:$A,$K16,'AMMO Units'!$E:$E,$A16)</f>
        <v>52881.135304520001</v>
      </c>
      <c r="M16" s="1300" t="s">
        <v>2739</v>
      </c>
      <c r="N16" s="2066"/>
      <c r="O16" s="2">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1195">
        <f>SUMIFS('AMMO Savings Rates'!F:F,'AMMO Savings Rates'!$E:$E,$K16,'AMMO Savings Rates'!$D:$D,$A16)</f>
        <v>32.630683519999998</v>
      </c>
      <c r="Q16" s="2057"/>
      <c r="R16" s="1191">
        <f>(L16)*O16*P16/8760000</f>
        <v>2.7548879427969124E-2</v>
      </c>
      <c r="S16" s="1192"/>
      <c r="T16" s="907">
        <f t="shared" si="3"/>
        <v>2.7548879427969124E-2</v>
      </c>
    </row>
    <row r="17" spans="1:20" s="1193" customFormat="1" ht="15" customHeight="1">
      <c r="A17" s="918" t="s">
        <v>1625</v>
      </c>
      <c r="B17" s="916" t="str">
        <f t="shared" ref="B17:B18" si="4">LEFT(A17,10)</f>
        <v>RES_201402</v>
      </c>
      <c r="C17" s="917" t="str">
        <f>INDEX('AMMO vwFlags'!$C:$C,MATCH($A17&amp;K17,'AMMO vwFlags'!$K:$K,0))</f>
        <v>0</v>
      </c>
      <c r="D17" s="917" t="str">
        <f>INDEX('AMMO vwFlags'!$D:$D,MATCH($A17&amp;$K17,'AMMO vwFlags'!$K:$K,0))</f>
        <v>1</v>
      </c>
      <c r="E17" s="916">
        <f t="shared" si="1"/>
        <v>1</v>
      </c>
      <c r="F17" s="92" t="str">
        <f t="shared" si="2"/>
        <v>Residential</v>
      </c>
      <c r="G17" s="1187" t="str">
        <f>INDEX('AMMO Measures'!B:B,MATCH($A17,'AMMO Measures'!$A:$A,0))</f>
        <v>Consumer Products (Standards)</v>
      </c>
      <c r="H17" s="1188" t="str">
        <f>INDEX('AMMO Units'!$C:$C,MATCH($A17,'AMMO Units'!$E:$E,0))</f>
        <v>Uninterruptible Power Supplies</v>
      </c>
      <c r="I17" s="1188" t="str">
        <f>INDEX('AMMO Units'!$D:$D,MATCH($A17,'AMMO Units'!$E:$E,0))</f>
        <v>Residential Applications</v>
      </c>
      <c r="J17" s="1189">
        <f>VALUE(INDEX('AMMO Measures'!H:H,MATCH($A17,'AMMO Measures'!A:A,0)))</f>
        <v>6</v>
      </c>
      <c r="K17" s="906">
        <v>2026</v>
      </c>
      <c r="L17" s="900">
        <f>SUMIFS('AMMO Units'!F:F,'AMMO Units'!$A:$A,$K17,'AMMO Units'!$E:$E,$A17)</f>
        <v>53603.459843839999</v>
      </c>
      <c r="M17" s="1300" t="s">
        <v>2739</v>
      </c>
      <c r="N17" s="2066"/>
      <c r="O17" s="2">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P17" s="1195">
        <f>SUMIFS('AMMO Savings Rates'!F:F,'AMMO Savings Rates'!$E:$E,$K17,'AMMO Savings Rates'!$D:$D,$A17)</f>
        <v>32.630683519999998</v>
      </c>
      <c r="Q17" s="2057"/>
      <c r="R17" s="1191">
        <f t="shared" ref="R17:R26" si="5">(L17)*O17*P17/8760000</f>
        <v>2.7925180570654483E-2</v>
      </c>
      <c r="S17" s="1192"/>
      <c r="T17" s="907">
        <f t="shared" si="3"/>
        <v>2.7925180570654483E-2</v>
      </c>
    </row>
    <row r="18" spans="1:20" s="1193" customFormat="1" ht="15" customHeight="1">
      <c r="A18" s="918" t="s">
        <v>1625</v>
      </c>
      <c r="B18" s="916" t="str">
        <f t="shared" si="4"/>
        <v>RES_201402</v>
      </c>
      <c r="C18" s="917" t="str">
        <f>INDEX('AMMO vwFlags'!$C:$C,MATCH($A18&amp;K18,'AMMO vwFlags'!$K:$K,0))</f>
        <v>0</v>
      </c>
      <c r="D18" s="917" t="str">
        <f>INDEX('AMMO vwFlags'!$D:$D,MATCH($A18&amp;$K18,'AMMO vwFlags'!$K:$K,0))</f>
        <v>1</v>
      </c>
      <c r="E18" s="916">
        <f t="shared" si="1"/>
        <v>1</v>
      </c>
      <c r="F18" s="92" t="str">
        <f t="shared" si="2"/>
        <v>Residential</v>
      </c>
      <c r="G18" s="1187" t="str">
        <f>INDEX('AMMO Measures'!B:B,MATCH($A18,'AMMO Measures'!$A:$A,0))</f>
        <v>Consumer Products (Standards)</v>
      </c>
      <c r="H18" s="1188" t="str">
        <f>INDEX('AMMO Units'!$C:$C,MATCH($A18,'AMMO Units'!$E:$E,0))</f>
        <v>Uninterruptible Power Supplies</v>
      </c>
      <c r="I18" s="1188" t="str">
        <f>INDEX('AMMO Units'!$D:$D,MATCH($A18,'AMMO Units'!$E:$E,0))</f>
        <v>Residential Applications</v>
      </c>
      <c r="J18" s="1189">
        <f>VALUE(INDEX('AMMO Measures'!H:H,MATCH($A18,'AMMO Measures'!A:A,0)))</f>
        <v>6</v>
      </c>
      <c r="K18" s="906">
        <v>2027</v>
      </c>
      <c r="L18" s="900">
        <f>SUMIFS('AMMO Units'!F:F,'AMMO Units'!$A:$A,$K18,'AMMO Units'!$E:$E,$A18)</f>
        <v>29196.151244739998</v>
      </c>
      <c r="M18" s="1300" t="s">
        <v>2739</v>
      </c>
      <c r="N18" s="2066"/>
      <c r="O18" s="2">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P18" s="1195">
        <f>SUMIFS('AMMO Savings Rates'!F:F,'AMMO Savings Rates'!$E:$E,$K18,'AMMO Savings Rates'!$D:$D,$A18)</f>
        <v>45.507602990000002</v>
      </c>
      <c r="Q18" s="2057"/>
      <c r="R18" s="1191">
        <f t="shared" si="5"/>
        <v>2.1212241462058558E-2</v>
      </c>
      <c r="S18" s="1192"/>
      <c r="T18" s="907">
        <f t="shared" si="3"/>
        <v>2.1212241462058558E-2</v>
      </c>
    </row>
    <row r="19" spans="1:20" s="1197" customFormat="1" ht="15" customHeight="1">
      <c r="A19" s="918" t="s">
        <v>1587</v>
      </c>
      <c r="B19" s="916" t="s">
        <v>2053</v>
      </c>
      <c r="C19" s="917" t="str">
        <f>INDEX('AMMO vwFlags'!$C:$C,MATCH($A19&amp;K19,'AMMO vwFlags'!$K:$K,0))</f>
        <v>0</v>
      </c>
      <c r="D19" s="917" t="str">
        <f>INDEX('AMMO vwFlags'!$D:$D,MATCH($A19&amp;$K19,'AMMO vwFlags'!$K:$K,0))</f>
        <v>1</v>
      </c>
      <c r="E19" s="916">
        <f t="shared" si="1"/>
        <v>1</v>
      </c>
      <c r="F19" s="92" t="str">
        <f t="shared" si="2"/>
        <v>Commercial</v>
      </c>
      <c r="G19" s="1187" t="str">
        <f>INDEX('AMMO Measures'!B:B,MATCH($A19,'AMMO Measures'!$A:$A,0))</f>
        <v>Non-residential Products (Standards)</v>
      </c>
      <c r="H19" s="1188" t="str">
        <f>INDEX('AMMO Units'!$C:$C,MATCH($A19,'AMMO Units'!$E:$E,0))</f>
        <v>Uninterruptible Power Supplies</v>
      </c>
      <c r="I19" s="1188" t="s">
        <v>1275</v>
      </c>
      <c r="J19" s="1189">
        <f>VALUE(INDEX('AMMO Measures'!H:H,MATCH($A19,'AMMO Measures'!A:A,0)))</f>
        <v>6</v>
      </c>
      <c r="K19" s="906">
        <v>2024</v>
      </c>
      <c r="L19" s="900">
        <f>SUMIFS('AMMO Units'!F:F,'AMMO Units'!$A:$A,$K19,'AMMO Units'!$E:$E,$A19)</f>
        <v>135854.56573862999</v>
      </c>
      <c r="M19" s="1300" t="s">
        <v>2739</v>
      </c>
      <c r="N19" s="2066"/>
      <c r="O19" s="2">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P19" s="1195">
        <f>SUMIFS('AMMO Savings Rates'!F:F,'AMMO Savings Rates'!$E:$E,$K19,'AMMO Savings Rates'!$D:$D,$A19)</f>
        <v>32.461487609999999</v>
      </c>
      <c r="Q19" s="2057"/>
      <c r="R19" s="1191">
        <f t="shared" si="5"/>
        <v>7.0407618310564773E-2</v>
      </c>
      <c r="S19" s="1192"/>
      <c r="T19" s="907">
        <f t="shared" si="3"/>
        <v>7.0407618310564773E-2</v>
      </c>
    </row>
    <row r="20" spans="1:20" s="1197" customFormat="1" ht="15" customHeight="1">
      <c r="A20" s="918" t="s">
        <v>1587</v>
      </c>
      <c r="B20" s="916" t="s">
        <v>2053</v>
      </c>
      <c r="C20" s="917" t="str">
        <f>INDEX('AMMO vwFlags'!$C:$C,MATCH($A20&amp;K20,'AMMO vwFlags'!$K:$K,0))</f>
        <v>0</v>
      </c>
      <c r="D20" s="917" t="str">
        <f>INDEX('AMMO vwFlags'!$D:$D,MATCH($A20&amp;$K20,'AMMO vwFlags'!$K:$K,0))</f>
        <v>1</v>
      </c>
      <c r="E20" s="916">
        <f t="shared" si="1"/>
        <v>1</v>
      </c>
      <c r="F20" s="92" t="str">
        <f t="shared" si="2"/>
        <v>Commercial</v>
      </c>
      <c r="G20" s="1187" t="str">
        <f>INDEX('AMMO Measures'!B:B,MATCH($A20,'AMMO Measures'!$A:$A,0))</f>
        <v>Non-residential Products (Standards)</v>
      </c>
      <c r="H20" s="1188" t="str">
        <f>INDEX('AMMO Units'!$C:$C,MATCH($A20,'AMMO Units'!$E:$E,0))</f>
        <v>Uninterruptible Power Supplies</v>
      </c>
      <c r="I20" s="1188" t="s">
        <v>1275</v>
      </c>
      <c r="J20" s="1189">
        <f>VALUE(INDEX('AMMO Measures'!H:H,MATCH($A20,'AMMO Measures'!A:A,0)))</f>
        <v>6</v>
      </c>
      <c r="K20" s="906">
        <v>2025</v>
      </c>
      <c r="L20" s="900">
        <f>SUMIFS('AMMO Units'!F:F,'AMMO Units'!$A:$A,$K20,'AMMO Units'!$E:$E,$A20)</f>
        <v>137741.48724756</v>
      </c>
      <c r="M20" s="1300" t="s">
        <v>2739</v>
      </c>
      <c r="N20" s="2066"/>
      <c r="O20" s="2">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P20" s="1195">
        <f>SUMIFS('AMMO Savings Rates'!F:F,'AMMO Savings Rates'!$E:$E,$K20,'AMMO Savings Rates'!$D:$D,$A20)</f>
        <v>32.461487609999999</v>
      </c>
      <c r="Q20" s="2057"/>
      <c r="R20" s="1191">
        <f t="shared" si="5"/>
        <v>7.1385529127624359E-2</v>
      </c>
      <c r="S20" s="1192"/>
      <c r="T20" s="907">
        <f t="shared" si="3"/>
        <v>7.1385529127624359E-2</v>
      </c>
    </row>
    <row r="21" spans="1:20" s="1197" customFormat="1" ht="15" customHeight="1">
      <c r="A21" s="918" t="s">
        <v>1587</v>
      </c>
      <c r="B21" s="916" t="s">
        <v>2053</v>
      </c>
      <c r="C21" s="917" t="str">
        <f>INDEX('AMMO vwFlags'!$C:$C,MATCH($A21&amp;K21,'AMMO vwFlags'!$K:$K,0))</f>
        <v>0</v>
      </c>
      <c r="D21" s="917" t="str">
        <f>INDEX('AMMO vwFlags'!$D:$D,MATCH($A21&amp;$K21,'AMMO vwFlags'!$K:$K,0))</f>
        <v>1</v>
      </c>
      <c r="E21" s="916">
        <f t="shared" si="1"/>
        <v>1</v>
      </c>
      <c r="F21" s="92" t="str">
        <f t="shared" si="2"/>
        <v>Commercial</v>
      </c>
      <c r="G21" s="1187" t="str">
        <f>INDEX('AMMO Measures'!B:B,MATCH($A21,'AMMO Measures'!$A:$A,0))</f>
        <v>Non-residential Products (Standards)</v>
      </c>
      <c r="H21" s="1188" t="str">
        <f>INDEX('AMMO Units'!$C:$C,MATCH($A21,'AMMO Units'!$E:$E,0))</f>
        <v>Uninterruptible Power Supplies</v>
      </c>
      <c r="I21" s="1188" t="s">
        <v>1275</v>
      </c>
      <c r="J21" s="1189">
        <f>VALUE(INDEX('AMMO Measures'!H:H,MATCH($A21,'AMMO Measures'!A:A,0)))</f>
        <v>6</v>
      </c>
      <c r="K21" s="906">
        <v>2026</v>
      </c>
      <c r="L21" s="900">
        <f>SUMIFS('AMMO Units'!F:F,'AMMO Units'!$A:$A,$K21,'AMMO Units'!$E:$E,$A21)</f>
        <v>139628.40875649001</v>
      </c>
      <c r="M21" s="1300" t="s">
        <v>2739</v>
      </c>
      <c r="N21" s="2066"/>
      <c r="O21" s="2">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P21" s="1195">
        <f>SUMIFS('AMMO Savings Rates'!F:F,'AMMO Savings Rates'!$E:$E,$K21,'AMMO Savings Rates'!$D:$D,$A21)</f>
        <v>32.461487609999999</v>
      </c>
      <c r="Q21" s="2057"/>
      <c r="R21" s="1191">
        <f t="shared" si="5"/>
        <v>7.2363439944683958E-2</v>
      </c>
      <c r="S21" s="1192"/>
      <c r="T21" s="907">
        <f t="shared" si="3"/>
        <v>7.2363439944683958E-2</v>
      </c>
    </row>
    <row r="22" spans="1:20" s="1197" customFormat="1" ht="15" customHeight="1">
      <c r="A22" s="918" t="s">
        <v>1587</v>
      </c>
      <c r="B22" s="916" t="s">
        <v>2053</v>
      </c>
      <c r="C22" s="917" t="str">
        <f>INDEX('AMMO vwFlags'!$C:$C,MATCH($A22&amp;K22,'AMMO vwFlags'!$K:$K,0))</f>
        <v>0</v>
      </c>
      <c r="D22" s="917" t="str">
        <f>INDEX('AMMO vwFlags'!$D:$D,MATCH($A22&amp;$K22,'AMMO vwFlags'!$K:$K,0))</f>
        <v>1</v>
      </c>
      <c r="E22" s="916">
        <f t="shared" si="1"/>
        <v>1</v>
      </c>
      <c r="F22" s="92" t="str">
        <f t="shared" si="2"/>
        <v>Commercial</v>
      </c>
      <c r="G22" s="1187" t="str">
        <f>INDEX('AMMO Measures'!B:B,MATCH($A22,'AMMO Measures'!$A:$A,0))</f>
        <v>Non-residential Products (Standards)</v>
      </c>
      <c r="H22" s="1188" t="str">
        <f>INDEX('AMMO Units'!$C:$C,MATCH($A22,'AMMO Units'!$E:$E,0))</f>
        <v>Uninterruptible Power Supplies</v>
      </c>
      <c r="I22" s="1188" t="s">
        <v>1275</v>
      </c>
      <c r="J22" s="1189">
        <f>VALUE(INDEX('AMMO Measures'!H:H,MATCH($A22,'AMMO Measures'!A:A,0)))</f>
        <v>6</v>
      </c>
      <c r="K22" s="906">
        <v>2027</v>
      </c>
      <c r="L22" s="900">
        <f>SUMIFS('AMMO Units'!F:F,'AMMO Units'!$A:$A,$K22,'AMMO Units'!$E:$E,$A22)</f>
        <v>76067.337116149996</v>
      </c>
      <c r="M22" s="1300" t="s">
        <v>2739</v>
      </c>
      <c r="N22" s="2066"/>
      <c r="O22" s="2">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P22" s="1195">
        <f>SUMIFS('AMMO Savings Rates'!F:F,'AMMO Savings Rates'!$E:$E,$K22,'AMMO Savings Rates'!$D:$D,$A22)</f>
        <v>45.321378009999997</v>
      </c>
      <c r="Q22" s="2057"/>
      <c r="R22" s="1191">
        <f t="shared" si="5"/>
        <v>5.5039986179224759E-2</v>
      </c>
      <c r="S22" s="1192"/>
      <c r="T22" s="907">
        <f t="shared" si="3"/>
        <v>5.5039986179224759E-2</v>
      </c>
    </row>
    <row r="23" spans="1:20" s="1197" customFormat="1" ht="15" hidden="1" customHeight="1">
      <c r="A23" s="918"/>
      <c r="B23" s="916" t="str">
        <f>LEFT(A23,10)</f>
        <v/>
      </c>
      <c r="C23" s="917" t="e">
        <f>INDEX('AMMO vwFlags'!$C:$C,MATCH($A23&amp;K23,'AMMO vwFlags'!$K:$K,0))</f>
        <v>#N/A</v>
      </c>
      <c r="D23" s="917" t="e">
        <f>INDEX('AMMO vwFlags'!$D:$D,MATCH($A23&amp;$K23,'AMMO vwFlags'!$K:$K,0))</f>
        <v>#N/A</v>
      </c>
      <c r="E23" s="916">
        <f t="shared" ref="E23:E26" si="6">COUNTIFS($A:$A,$A23,$K:$K,$K23)</f>
        <v>0</v>
      </c>
      <c r="F23" s="92" t="str">
        <f t="shared" si="2"/>
        <v/>
      </c>
      <c r="G23" s="1187" t="e">
        <f>INDEX('AMMO Measures'!B:B,MATCH($A23,'AMMO Measures'!$A:$A,0))</f>
        <v>#N/A</v>
      </c>
      <c r="H23" s="1188" t="e">
        <f>INDEX('AMMO Units'!$C:$C,MATCH($A23,'AMMO Units'!$E:$E,0))</f>
        <v>#N/A</v>
      </c>
      <c r="I23" s="1188" t="e">
        <f>INDEX('AMMO Units'!$D:$D,MATCH($A23,'AMMO Units'!$E:$E,0))</f>
        <v>#N/A</v>
      </c>
      <c r="J23" s="1189" t="e">
        <f>VALUE(INDEX('AMMO Measures'!H:H,MATCH($A23,'AMMO Measures'!A:A,0)))</f>
        <v>#N/A</v>
      </c>
      <c r="K23" s="906">
        <v>2024</v>
      </c>
      <c r="L23" s="900">
        <f>SUMIFS('AMMO Units'!F:F,'AMMO Units'!$A:$A,$K23,'AMMO Units'!$E:$E,$A23)</f>
        <v>0</v>
      </c>
      <c r="M23" s="1300" t="s">
        <v>2740</v>
      </c>
      <c r="N23" s="2066"/>
      <c r="O23" s="2">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v>
      </c>
      <c r="P23" s="1195">
        <f>SUMIFS('AMMO Savings Rates'!F:F,'AMMO Savings Rates'!$E:$E,$K23,'AMMO Savings Rates'!$D:$D,$A23)</f>
        <v>0</v>
      </c>
      <c r="Q23" s="2057"/>
      <c r="R23" s="1191">
        <f t="shared" ref="R23" si="7">(L23)*O23*P23/8760000</f>
        <v>0</v>
      </c>
      <c r="S23" s="1192"/>
      <c r="T23" s="907">
        <f t="shared" ref="T23" si="8">R23-S23</f>
        <v>0</v>
      </c>
    </row>
    <row r="24" spans="1:20" s="1197" customFormat="1" ht="15" hidden="1" customHeight="1">
      <c r="A24" s="918"/>
      <c r="B24" s="916" t="str">
        <f>LEFT(A24,10)</f>
        <v/>
      </c>
      <c r="C24" s="917" t="e">
        <f>INDEX('AMMO vwFlags'!$C:$C,MATCH($A24&amp;K24,'AMMO vwFlags'!$K:$K,0))</f>
        <v>#N/A</v>
      </c>
      <c r="D24" s="917" t="e">
        <f>INDEX('AMMO vwFlags'!$D:$D,MATCH($A24&amp;$K24,'AMMO vwFlags'!$K:$K,0))</f>
        <v>#N/A</v>
      </c>
      <c r="E24" s="916">
        <f t="shared" si="6"/>
        <v>0</v>
      </c>
      <c r="F24" s="92" t="str">
        <f t="shared" si="2"/>
        <v/>
      </c>
      <c r="G24" s="1187" t="e">
        <f>INDEX('AMMO Measures'!B:B,MATCH($A24,'AMMO Measures'!$A:$A,0))</f>
        <v>#N/A</v>
      </c>
      <c r="H24" s="1188" t="e">
        <f>INDEX('AMMO Units'!$C:$C,MATCH($A24,'AMMO Units'!$E:$E,0))</f>
        <v>#N/A</v>
      </c>
      <c r="I24" s="1188" t="e">
        <f>INDEX('AMMO Units'!$D:$D,MATCH($A24,'AMMO Units'!$E:$E,0))</f>
        <v>#N/A</v>
      </c>
      <c r="J24" s="1189" t="e">
        <f>VALUE(INDEX('AMMO Measures'!H:H,MATCH($A24,'AMMO Measures'!A:A,0)))</f>
        <v>#N/A</v>
      </c>
      <c r="K24" s="906">
        <v>2025</v>
      </c>
      <c r="L24" s="900">
        <f>SUMIFS('AMMO Units'!F:F,'AMMO Units'!$A:$A,$K24,'AMMO Units'!$E:$E,$A24)</f>
        <v>0</v>
      </c>
      <c r="M24" s="1300" t="s">
        <v>2740</v>
      </c>
      <c r="N24" s="2066"/>
      <c r="O24" s="2">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v>
      </c>
      <c r="P24" s="1195">
        <f>SUMIFS('AMMO Savings Rates'!F:F,'AMMO Savings Rates'!$E:$E,$K24,'AMMO Savings Rates'!$D:$D,$A24)</f>
        <v>0</v>
      </c>
      <c r="Q24" s="2057"/>
      <c r="R24" s="1191">
        <f t="shared" si="5"/>
        <v>0</v>
      </c>
      <c r="S24" s="1192"/>
      <c r="T24" s="907">
        <f t="shared" si="3"/>
        <v>0</v>
      </c>
    </row>
    <row r="25" spans="1:20" s="1197" customFormat="1" ht="15" hidden="1" customHeight="1">
      <c r="A25" s="918"/>
      <c r="B25" s="916" t="str">
        <f t="shared" ref="B25:B26" si="9">LEFT(A25,10)</f>
        <v/>
      </c>
      <c r="C25" s="917" t="e">
        <f>INDEX('AMMO vwFlags'!$C:$C,MATCH($A25&amp;K25,'AMMO vwFlags'!$K:$K,0))</f>
        <v>#N/A</v>
      </c>
      <c r="D25" s="917" t="e">
        <f>INDEX('AMMO vwFlags'!$D:$D,MATCH($A25&amp;$K25,'AMMO vwFlags'!$K:$K,0))</f>
        <v>#N/A</v>
      </c>
      <c r="E25" s="916">
        <f t="shared" si="6"/>
        <v>0</v>
      </c>
      <c r="F25" s="92" t="str">
        <f t="shared" si="2"/>
        <v/>
      </c>
      <c r="G25" s="1187" t="e">
        <f>INDEX('AMMO Measures'!B:B,MATCH($A25,'AMMO Measures'!$A:$A,0))</f>
        <v>#N/A</v>
      </c>
      <c r="H25" s="1188" t="e">
        <f>INDEX('AMMO Units'!$C:$C,MATCH($A25,'AMMO Units'!$E:$E,0))</f>
        <v>#N/A</v>
      </c>
      <c r="I25" s="1188" t="e">
        <f>INDEX('AMMO Units'!$D:$D,MATCH($A25,'AMMO Units'!$E:$E,0))</f>
        <v>#N/A</v>
      </c>
      <c r="J25" s="1189" t="e">
        <f>VALUE(INDEX('AMMO Measures'!H:H,MATCH($A25,'AMMO Measures'!A:A,0)))</f>
        <v>#N/A</v>
      </c>
      <c r="K25" s="906">
        <v>2026</v>
      </c>
      <c r="L25" s="900">
        <f>SUMIFS('AMMO Units'!F:F,'AMMO Units'!$A:$A,$K25,'AMMO Units'!$E:$E,$A25)</f>
        <v>0</v>
      </c>
      <c r="M25" s="1300" t="s">
        <v>2740</v>
      </c>
      <c r="N25" s="2066"/>
      <c r="O25" s="2">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v>
      </c>
      <c r="P25" s="1195">
        <f>SUMIFS('AMMO Savings Rates'!F:F,'AMMO Savings Rates'!$E:$E,$K25,'AMMO Savings Rates'!$D:$D,$A25)</f>
        <v>0</v>
      </c>
      <c r="Q25" s="2057"/>
      <c r="R25" s="1191">
        <f t="shared" si="5"/>
        <v>0</v>
      </c>
      <c r="S25" s="1192"/>
      <c r="T25" s="907">
        <f t="shared" si="3"/>
        <v>0</v>
      </c>
    </row>
    <row r="26" spans="1:20" s="1197" customFormat="1" ht="15" hidden="1" customHeight="1">
      <c r="A26" s="1251"/>
      <c r="B26" s="1252" t="str">
        <f t="shared" si="9"/>
        <v/>
      </c>
      <c r="C26" s="1253" t="e">
        <f>INDEX('AMMO vwFlags'!$C:$C,MATCH($A26&amp;K26,'AMMO vwFlags'!$K:$K,0))</f>
        <v>#N/A</v>
      </c>
      <c r="D26" s="1253" t="e">
        <f>INDEX('AMMO vwFlags'!$D:$D,MATCH($A26&amp;$K26,'AMMO vwFlags'!$K:$K,0))</f>
        <v>#N/A</v>
      </c>
      <c r="E26" s="1252">
        <f t="shared" si="6"/>
        <v>0</v>
      </c>
      <c r="F26" s="463" t="str">
        <f t="shared" si="2"/>
        <v/>
      </c>
      <c r="G26" s="1200" t="e">
        <f>INDEX('AMMO Measures'!B:B,MATCH($A26,'AMMO Measures'!$A:$A,0))</f>
        <v>#N/A</v>
      </c>
      <c r="H26" s="1201" t="e">
        <f>INDEX('AMMO Units'!$C:$C,MATCH($A26,'AMMO Units'!$E:$E,0))</f>
        <v>#N/A</v>
      </c>
      <c r="I26" s="1201" t="e">
        <f>INDEX('AMMO Units'!$D:$D,MATCH($A26,'AMMO Units'!$E:$E,0))</f>
        <v>#N/A</v>
      </c>
      <c r="J26" s="1202" t="e">
        <f>VALUE(INDEX('AMMO Measures'!H:H,MATCH($A26,'AMMO Measures'!A:A,0)))</f>
        <v>#N/A</v>
      </c>
      <c r="K26" s="1180">
        <v>2027</v>
      </c>
      <c r="L26" s="911">
        <f>SUMIFS('AMMO Units'!F:F,'AMMO Units'!$A:$A,$K26,'AMMO Units'!$E:$E,$A26)</f>
        <v>0</v>
      </c>
      <c r="M26" s="1301" t="s">
        <v>2740</v>
      </c>
      <c r="N26" s="2067"/>
      <c r="O26" s="774">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v>
      </c>
      <c r="P26" s="1206">
        <f>SUMIFS('AMMO Savings Rates'!F:F,'AMMO Savings Rates'!$E:$E,$K26,'AMMO Savings Rates'!$D:$D,$A26)</f>
        <v>0</v>
      </c>
      <c r="Q26" s="2058"/>
      <c r="R26" s="1207">
        <f t="shared" si="5"/>
        <v>0</v>
      </c>
      <c r="S26" s="1208"/>
      <c r="T26" s="1184">
        <f t="shared" si="3"/>
        <v>0</v>
      </c>
    </row>
    <row r="27" spans="1:20" s="1197" customFormat="1" hidden="1">
      <c r="A27" s="918"/>
      <c r="B27" s="916"/>
      <c r="C27" s="917"/>
      <c r="D27" s="917"/>
      <c r="E27" s="916"/>
      <c r="F27" s="407" t="str">
        <f t="shared" si="2"/>
        <v/>
      </c>
      <c r="G27" s="1242"/>
      <c r="H27" s="1243"/>
      <c r="I27" s="1243"/>
      <c r="J27" s="1244"/>
      <c r="K27" s="899"/>
      <c r="L27" s="1245"/>
      <c r="M27" s="890"/>
      <c r="N27" s="1246"/>
      <c r="O27" s="773"/>
      <c r="P27" s="1247"/>
      <c r="Q27" s="1248"/>
      <c r="R27" s="1249"/>
      <c r="S27" s="1250"/>
      <c r="T27" s="903"/>
    </row>
    <row r="28" spans="1:20" s="1197" customFormat="1" hidden="1">
      <c r="A28" s="918"/>
      <c r="B28" s="916"/>
      <c r="C28" s="917"/>
      <c r="D28" s="917"/>
      <c r="E28" s="916"/>
      <c r="F28" s="92" t="str">
        <f t="shared" si="2"/>
        <v/>
      </c>
      <c r="G28" s="1187"/>
      <c r="H28" s="1188"/>
      <c r="I28" s="1188"/>
      <c r="J28" s="1189"/>
      <c r="K28" s="906"/>
      <c r="L28" s="900"/>
      <c r="M28" s="872"/>
      <c r="N28" s="1196"/>
      <c r="O28" s="2"/>
      <c r="P28" s="1195"/>
      <c r="Q28" s="1198"/>
      <c r="R28" s="1191"/>
      <c r="S28" s="1192"/>
      <c r="T28" s="907"/>
    </row>
    <row r="29" spans="1:20" s="1197" customFormat="1" hidden="1">
      <c r="A29" s="918"/>
      <c r="B29" s="916"/>
      <c r="C29" s="917"/>
      <c r="D29" s="917"/>
      <c r="E29" s="916"/>
      <c r="F29" s="1199" t="str">
        <f t="shared" si="2"/>
        <v/>
      </c>
      <c r="G29" s="1200"/>
      <c r="H29" s="1201"/>
      <c r="I29" s="1201"/>
      <c r="J29" s="1202"/>
      <c r="K29" s="1203"/>
      <c r="L29" s="911"/>
      <c r="M29" s="1204"/>
      <c r="N29" s="1205"/>
      <c r="O29" s="774"/>
      <c r="P29" s="1206"/>
      <c r="Q29" s="1181"/>
      <c r="R29" s="1207"/>
      <c r="S29" s="1208"/>
      <c r="T29" s="1184"/>
    </row>
    <row r="30" spans="1:20" s="47" customFormat="1">
      <c r="A30" s="390"/>
      <c r="B30" s="390"/>
      <c r="C30" s="390"/>
      <c r="D30" s="390"/>
      <c r="E30" s="390"/>
      <c r="F30" s="227"/>
      <c r="G30" s="227"/>
      <c r="H30" s="227"/>
      <c r="I30" s="227"/>
      <c r="J30" s="227"/>
      <c r="K30" s="281"/>
      <c r="L30" s="282"/>
      <c r="M30" s="282"/>
      <c r="N30" s="282"/>
      <c r="O30" s="284"/>
      <c r="P30" s="393"/>
      <c r="Q30" s="283"/>
      <c r="R30" s="232"/>
      <c r="S30" s="232"/>
      <c r="T30" s="285"/>
    </row>
    <row r="31" spans="1:20" ht="13.5" thickBot="1">
      <c r="F31" s="128" t="s">
        <v>922</v>
      </c>
      <c r="G31" s="128"/>
      <c r="H31" s="128"/>
      <c r="I31" s="128"/>
      <c r="J31" s="128"/>
      <c r="K31" s="128"/>
      <c r="L31" s="128"/>
      <c r="M31" s="128"/>
      <c r="N31" s="128"/>
      <c r="O31" s="128"/>
      <c r="P31" s="128"/>
      <c r="Q31" s="128"/>
      <c r="R31" s="128"/>
      <c r="S31" s="128"/>
      <c r="T31" s="237"/>
    </row>
    <row r="32" spans="1:20" ht="13.5" thickTop="1">
      <c r="F32" s="228"/>
      <c r="G32" s="228"/>
      <c r="H32" s="228"/>
      <c r="I32" s="228"/>
      <c r="J32" s="228"/>
      <c r="K32" s="228"/>
      <c r="L32" s="228"/>
      <c r="M32" s="228"/>
      <c r="N32" s="228"/>
      <c r="O32" s="228"/>
      <c r="P32" s="228"/>
      <c r="Q32" s="228"/>
      <c r="R32" s="228"/>
      <c r="S32" s="228"/>
      <c r="T32" s="238"/>
    </row>
    <row r="34" spans="6:11" ht="12.75" customHeight="1">
      <c r="F34" s="2050" t="s">
        <v>2088</v>
      </c>
      <c r="G34" s="2050"/>
      <c r="H34" s="422"/>
      <c r="I34" s="422"/>
      <c r="J34" s="424"/>
    </row>
    <row r="35" spans="6:11" ht="12.75" customHeight="1">
      <c r="F35" s="2060" t="s">
        <v>2089</v>
      </c>
      <c r="G35" s="2060"/>
      <c r="H35" s="2060"/>
      <c r="I35" s="2060"/>
      <c r="J35" s="424"/>
    </row>
    <row r="36" spans="6:11" ht="97.5" customHeight="1">
      <c r="F36" s="2063" t="s">
        <v>2090</v>
      </c>
      <c r="G36" s="2063"/>
      <c r="H36" s="2063"/>
      <c r="I36" s="2063"/>
      <c r="J36" s="2063"/>
      <c r="K36" s="2063"/>
    </row>
    <row r="37" spans="6:11" ht="12.6" customHeight="1">
      <c r="F37" s="477" t="s">
        <v>2489</v>
      </c>
      <c r="G37" s="423"/>
      <c r="H37" s="423"/>
      <c r="I37" s="423"/>
      <c r="J37" s="424"/>
    </row>
    <row r="38" spans="6:11" ht="12.75" hidden="1" customHeight="1">
      <c r="F38" s="421" t="s">
        <v>1250</v>
      </c>
      <c r="G38" s="422"/>
      <c r="H38" s="422"/>
      <c r="I38" s="422"/>
      <c r="J38" s="424"/>
    </row>
    <row r="39" spans="6:11" ht="12.75" hidden="1" customHeight="1">
      <c r="F39" s="2060" t="s">
        <v>2089</v>
      </c>
      <c r="G39" s="2060"/>
      <c r="H39" s="2060"/>
      <c r="I39" s="2060"/>
      <c r="J39" s="424"/>
    </row>
    <row r="40" spans="6:11" ht="94.5" hidden="1" customHeight="1">
      <c r="F40" s="2064" t="s">
        <v>2091</v>
      </c>
      <c r="G40" s="2064"/>
      <c r="H40" s="2064"/>
      <c r="I40" s="2064"/>
      <c r="J40" s="424"/>
    </row>
    <row r="41" spans="6:11" ht="12.75" customHeight="1">
      <c r="F41" s="423"/>
      <c r="G41" s="423"/>
      <c r="H41" s="423"/>
      <c r="I41" s="423"/>
      <c r="J41" s="424"/>
    </row>
    <row r="42" spans="6:11" ht="12.75" hidden="1" customHeight="1">
      <c r="F42" s="421" t="s">
        <v>1254</v>
      </c>
      <c r="G42" s="422"/>
      <c r="H42" s="422"/>
      <c r="I42" s="422"/>
      <c r="J42" s="424"/>
    </row>
    <row r="43" spans="6:11" ht="12.75" hidden="1" customHeight="1">
      <c r="F43" s="2060" t="s">
        <v>2089</v>
      </c>
      <c r="G43" s="2060"/>
      <c r="H43" s="2060"/>
      <c r="I43" s="2060"/>
      <c r="J43" s="424"/>
    </row>
    <row r="44" spans="6:11" ht="76.5" hidden="1" customHeight="1">
      <c r="F44" s="2063" t="s">
        <v>2092</v>
      </c>
      <c r="G44" s="2063"/>
      <c r="H44" s="2063"/>
      <c r="I44" s="2063"/>
      <c r="J44" s="2063"/>
      <c r="K44" s="2063"/>
    </row>
    <row r="45" spans="6:11" ht="12.75" customHeight="1">
      <c r="F45" s="2061"/>
      <c r="G45" s="2061"/>
      <c r="H45" s="2061"/>
      <c r="I45" s="2061"/>
      <c r="J45" s="424"/>
    </row>
    <row r="46" spans="6:11" ht="12.75" customHeight="1">
      <c r="F46" s="2062"/>
      <c r="G46" s="2062"/>
      <c r="H46" s="2062"/>
      <c r="I46" s="2062"/>
      <c r="J46" s="424"/>
    </row>
    <row r="47" spans="6:11" ht="12.75" customHeight="1">
      <c r="F47" s="2059"/>
      <c r="G47" s="2059"/>
      <c r="H47" s="2059"/>
      <c r="I47" s="2059"/>
      <c r="J47" s="424"/>
    </row>
  </sheetData>
  <autoFilter ref="A14:T29" xr:uid="{93681A45-9BB3-43A7-8548-A43949362DCA}">
    <filterColumn colId="10">
      <customFilters>
        <customFilter operator="notEqual" val=" "/>
      </customFilters>
    </filterColumn>
    <sortState xmlns:xlrd2="http://schemas.microsoft.com/office/spreadsheetml/2017/richdata2" ref="A15:T16">
      <sortCondition ref="K14:K16"/>
    </sortState>
  </autoFilter>
  <dataConsolidate/>
  <mergeCells count="19">
    <mergeCell ref="F40:I40"/>
    <mergeCell ref="F39:I39"/>
    <mergeCell ref="F36:K36"/>
    <mergeCell ref="F35:I35"/>
    <mergeCell ref="N15:N26"/>
    <mergeCell ref="F47:I47"/>
    <mergeCell ref="F43:I43"/>
    <mergeCell ref="F45:I45"/>
    <mergeCell ref="F46:I46"/>
    <mergeCell ref="F44:K44"/>
    <mergeCell ref="F11:H11"/>
    <mergeCell ref="F34:G34"/>
    <mergeCell ref="G2:T2"/>
    <mergeCell ref="R13:T13"/>
    <mergeCell ref="A13:E13"/>
    <mergeCell ref="F13:K13"/>
    <mergeCell ref="L13:O13"/>
    <mergeCell ref="P13:Q13"/>
    <mergeCell ref="Q15:Q26"/>
  </mergeCells>
  <phoneticPr fontId="119" type="noConversion"/>
  <hyperlinks>
    <hyperlink ref="F1" location="'2024-2025 Summary'!C1" display="Summary Page" xr:uid="{D8E3003B-0BEE-4A53-8248-FF2D970738F5}"/>
    <hyperlink ref="F37" r:id="rId1" xr:uid="{CEF6D9D7-9F80-4498-A367-0056C1266B92}"/>
  </hyperlinks>
  <pageMargins left="0.7" right="0.7" top="0.75" bottom="0.75" header="0.3" footer="0.3"/>
  <pageSetup scale="10" orientation="portrait"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C000"/>
  </sheetPr>
  <dimension ref="A1:T28"/>
  <sheetViews>
    <sheetView showGridLines="0" topLeftCell="F1" zoomScale="90" zoomScaleNormal="90" workbookViewId="0">
      <selection activeCell="F4" sqref="F4:J4"/>
    </sheetView>
  </sheetViews>
  <sheetFormatPr defaultColWidth="9.42578125" defaultRowHeight="12.75" outlineLevelCol="1"/>
  <cols>
    <col min="1" max="1" width="6" style="47" hidden="1" customWidth="1" outlineLevel="1"/>
    <col min="2" max="2" width="16.42578125" style="47" hidden="1" customWidth="1" outlineLevel="1"/>
    <col min="3" max="3" width="13.42578125" style="47" hidden="1" customWidth="1" outlineLevel="1"/>
    <col min="4" max="4" width="11.42578125" style="47" hidden="1" customWidth="1" outlineLevel="1"/>
    <col min="5" max="5" width="12.5703125" style="47" hidden="1" customWidth="1" outlineLevel="1"/>
    <col min="6" max="6" width="16.42578125" style="47" customWidth="1" collapsed="1"/>
    <col min="7" max="7" width="30.42578125" style="47" customWidth="1"/>
    <col min="8" max="8" width="32" style="47" customWidth="1"/>
    <col min="9" max="9" width="8.42578125" style="47" customWidth="1"/>
    <col min="10" max="10" width="8" style="47" customWidth="1"/>
    <col min="11" max="12" width="14.5703125" style="47" customWidth="1"/>
    <col min="13" max="13" width="30.5703125" style="47" customWidth="1"/>
    <col min="14" max="14" width="12.5703125" style="47" customWidth="1"/>
    <col min="15" max="15" width="13.5703125" style="47" customWidth="1"/>
    <col min="16" max="16" width="12" style="47" customWidth="1"/>
    <col min="17" max="17" width="14.5703125" style="47" customWidth="1"/>
    <col min="18" max="18" width="8.5703125" style="47" customWidth="1"/>
    <col min="19" max="19" width="10.5703125" style="47" customWidth="1"/>
    <col min="20" max="16384" width="9.42578125" style="47"/>
  </cols>
  <sheetData>
    <row r="1" spans="1:20" ht="15">
      <c r="F1" s="26" t="s">
        <v>557</v>
      </c>
    </row>
    <row r="2" spans="1:20" ht="41.25" customHeight="1">
      <c r="F2" s="966" t="s">
        <v>1951</v>
      </c>
      <c r="G2" s="2081" t="str">
        <f>INDEX('AMMO Measures'!$I:$I, MATCH(B13,'AMMO Measures'!K:K,0))</f>
        <v>Commercial Secondary Windows become established as the standard product and practice for addressing poor performing windows in commercial buildings.</v>
      </c>
      <c r="H2" s="2081"/>
      <c r="I2" s="2081"/>
      <c r="J2" s="2081"/>
      <c r="K2" s="2081"/>
      <c r="L2" s="2081"/>
      <c r="M2" s="2081"/>
      <c r="N2" s="2081"/>
      <c r="O2" s="2081"/>
      <c r="P2" s="2081"/>
      <c r="Q2" s="2081"/>
      <c r="R2" s="2081"/>
      <c r="S2" s="2081"/>
      <c r="T2" s="2081"/>
    </row>
    <row r="3" spans="1:20" ht="15">
      <c r="F3" s="633"/>
      <c r="G3" s="468"/>
      <c r="H3" s="468"/>
      <c r="I3" s="468"/>
      <c r="J3" s="468"/>
    </row>
    <row r="4" spans="1:20">
      <c r="F4" s="1881" t="s">
        <v>2487</v>
      </c>
      <c r="G4" s="1881"/>
      <c r="H4" s="1881"/>
      <c r="I4" s="1881"/>
      <c r="J4" s="1881"/>
    </row>
    <row r="5" spans="1:20" ht="41.25" customHeight="1">
      <c r="A5" s="9" t="s">
        <v>2652</v>
      </c>
      <c r="G5" s="470">
        <v>2024</v>
      </c>
      <c r="H5" s="470">
        <v>2025</v>
      </c>
      <c r="I5" s="470">
        <v>2026</v>
      </c>
      <c r="J5" s="470">
        <v>2027</v>
      </c>
    </row>
    <row r="6" spans="1:20" ht="41.25" customHeight="1">
      <c r="A6" s="667" t="e">
        <f>(B6/(SUM(B6:C6)))*D6+ (C6/SUM(B6:C6))*E6</f>
        <v>#DIV/0!</v>
      </c>
      <c r="B6" s="668">
        <f>SUMIFS($T$13:$T$16,$K$13:$K$16, 2024)</f>
        <v>0</v>
      </c>
      <c r="C6" s="668">
        <f>SUMIFS($T$13:$T$16,$K$13:$K$16, 2025)</f>
        <v>0</v>
      </c>
      <c r="D6" s="669" t="e" cm="1">
        <f t="array" ref="D6">SUMPRODUCT($J$13:$J$16,$T$13:$T$16,--($K$13:$K$16=2024))/SUMIFS($T$13:$T$16,$K$13:$K$16, 2024)</f>
        <v>#DIV/0!</v>
      </c>
      <c r="E6" s="667" t="e" cm="1">
        <f t="array" ref="E6">SUMPRODUCT($J$13:$J$16,$T$13:$T$16,--($K$13:$K$16=2025))/SUMIFS($T$13:$T$16,$K$13:$K$16, 2025)</f>
        <v>#DIV/0!</v>
      </c>
      <c r="F6" s="474" t="s">
        <v>634</v>
      </c>
      <c r="G6" s="471">
        <f>SUMIFS($T$11:$T$16,$J$11:$J$16,G$5)</f>
        <v>0</v>
      </c>
      <c r="H6" s="471">
        <f t="shared" ref="H6:J6" si="0">SUMIFS($T$11:$T$16,$J$11:$J$16,H$5)</f>
        <v>0</v>
      </c>
      <c r="I6" s="471">
        <f t="shared" si="0"/>
        <v>0</v>
      </c>
      <c r="J6" s="471">
        <f t="shared" si="0"/>
        <v>0</v>
      </c>
      <c r="M6" s="47" t="s">
        <v>2014</v>
      </c>
    </row>
    <row r="7" spans="1:20" ht="41.25" customHeight="1">
      <c r="A7" s="667" t="e">
        <f>(B7/(SUM(B7:C7)))*D7+ (C7/SUM(B7:C7))*E7</f>
        <v>#DIV/0!</v>
      </c>
      <c r="B7" s="668">
        <f>SUMIFS($T$13:$T$16,$K$13:$K$16, 2026)</f>
        <v>0</v>
      </c>
      <c r="C7" s="668">
        <f>SUMIFS($T$13:$T$16,$K$13:$K$16, 2027)</f>
        <v>0</v>
      </c>
      <c r="D7" s="9" t="e" cm="1">
        <f t="array" ref="D7">SUMPRODUCT($J$13:$J$16,$T$13:$T$16,--($K$13:$K$16=2026))/SUMIFS($T$13:$T$16,$K$13:$K$16, 2026)</f>
        <v>#DIV/0!</v>
      </c>
      <c r="E7" s="9" t="e" cm="1">
        <f t="array" ref="E7">SUMPRODUCT($J$13:$J$16,$T$13:$T$16,--($K$13:$K$16=2027))/SUMIFS($T$13:$T$16,$K$13:$K$16, 2027)</f>
        <v>#DIV/0!</v>
      </c>
      <c r="F7" s="630" t="s">
        <v>2582</v>
      </c>
      <c r="G7" s="472">
        <f>SUMIFS(Estimates!$D:$D,Estimates!$E:$E,G$5,Estimates!$A:$A,Selection!$A$2,Estimates!$C:$C,"Air Cleaners")</f>
        <v>5.5520350933237483E-2</v>
      </c>
      <c r="H7" s="472">
        <f>SUMIFS(Estimates!$D:$D,Estimates!$E:$E,H$5,Estimates!$A:$A,Selection!$A$2,Estimates!$C:$C,"Air Cleaners")</f>
        <v>9.418148930718738E-2</v>
      </c>
      <c r="I7" s="472">
        <f>SUMIFS(Estimates!$D:$D,Estimates!$E:$E,I$5,Estimates!$A:$A,Selection!$A$2,Estimates!$C:$C,"Televisions")</f>
        <v>0</v>
      </c>
      <c r="J7" s="472">
        <f>SUMIFS(Estimates!$D:$D,Estimates!$E:$E,J$5,Estimates!$A:$A,Selection!$A$2,Estimates!$C:$C,"Televisions")</f>
        <v>0</v>
      </c>
    </row>
    <row r="8" spans="1:20" ht="41.25" customHeight="1">
      <c r="F8" s="474" t="s">
        <v>931</v>
      </c>
      <c r="G8" s="473">
        <f>G6-G7</f>
        <v>-5.5520350933237483E-2</v>
      </c>
      <c r="H8" s="473">
        <f>H6-H7</f>
        <v>-9.418148930718738E-2</v>
      </c>
      <c r="I8" s="473">
        <f>I6-I7</f>
        <v>0</v>
      </c>
      <c r="J8" s="473">
        <f>J6-J7</f>
        <v>0</v>
      </c>
      <c r="M8" s="47" t="s">
        <v>2661</v>
      </c>
    </row>
    <row r="9" spans="1:20" ht="41.25" customHeight="1">
      <c r="F9" s="633"/>
      <c r="G9" s="468"/>
      <c r="H9" s="468"/>
      <c r="I9" s="468"/>
      <c r="J9" s="468"/>
      <c r="M9" s="2080" t="s">
        <v>856</v>
      </c>
      <c r="N9" s="2080"/>
      <c r="O9" s="2080"/>
      <c r="P9" s="2080"/>
    </row>
    <row r="10" spans="1:20" ht="33" customHeight="1">
      <c r="S10" s="120"/>
    </row>
    <row r="11" spans="1:20" ht="15">
      <c r="A11" s="1701" t="s">
        <v>125</v>
      </c>
      <c r="B11" s="1702"/>
      <c r="C11" s="1702"/>
      <c r="D11" s="1702"/>
      <c r="E11" s="1702"/>
      <c r="F11" s="1720" t="s">
        <v>7</v>
      </c>
      <c r="G11" s="1722"/>
      <c r="H11" s="1722"/>
      <c r="I11" s="1722"/>
      <c r="J11" s="1722"/>
      <c r="K11" s="1816"/>
      <c r="L11" s="1717" t="s">
        <v>122</v>
      </c>
      <c r="M11" s="1718"/>
      <c r="N11" s="1718"/>
      <c r="O11" s="1719"/>
      <c r="P11" s="1802" t="s">
        <v>123</v>
      </c>
      <c r="Q11" s="1803"/>
      <c r="R11" s="1804" t="s">
        <v>124</v>
      </c>
      <c r="S11" s="1805"/>
      <c r="T11" s="1805"/>
    </row>
    <row r="12" spans="1:20" ht="51.75" thickBot="1">
      <c r="A12" s="968" t="s">
        <v>0</v>
      </c>
      <c r="B12" s="969" t="s">
        <v>10</v>
      </c>
      <c r="C12" s="969" t="s">
        <v>1</v>
      </c>
      <c r="D12" s="969" t="s">
        <v>2</v>
      </c>
      <c r="E12" s="969" t="s">
        <v>187</v>
      </c>
      <c r="F12" s="1003" t="s">
        <v>3</v>
      </c>
      <c r="G12" s="1003" t="s">
        <v>4</v>
      </c>
      <c r="H12" s="1003" t="s">
        <v>5</v>
      </c>
      <c r="I12" s="1003" t="s">
        <v>6</v>
      </c>
      <c r="J12" s="1003" t="s">
        <v>834</v>
      </c>
      <c r="K12" s="1003" t="s">
        <v>8</v>
      </c>
      <c r="L12" s="971" t="s">
        <v>11</v>
      </c>
      <c r="M12" s="970" t="s">
        <v>12</v>
      </c>
      <c r="N12" s="970" t="s">
        <v>120</v>
      </c>
      <c r="O12" s="720" t="str">
        <f>"Funder Share: "&amp;Selection!A2&amp;" "&amp;Selection!A3</f>
        <v>Funder Share: Puget Sound Energy Washington</v>
      </c>
      <c r="P12" s="972" t="s">
        <v>451</v>
      </c>
      <c r="Q12" s="973" t="s">
        <v>121</v>
      </c>
      <c r="R12" s="715" t="s">
        <v>2683</v>
      </c>
      <c r="S12" s="714" t="s">
        <v>2675</v>
      </c>
      <c r="T12" s="716" t="s">
        <v>2283</v>
      </c>
    </row>
    <row r="13" spans="1:20" ht="13.5" thickTop="1">
      <c r="A13" s="49" t="s">
        <v>2339</v>
      </c>
      <c r="B13" s="82" t="str">
        <f t="shared" ref="B13:B14" si="1">LEFT(A13,10)</f>
        <v>COM_201601</v>
      </c>
      <c r="C13" s="670" t="str">
        <f>INDEX('AMMO vwFlags'!$C:$C,MATCH($A13&amp;K13,'AMMO vwFlags'!$K:$K,0))</f>
        <v>0</v>
      </c>
      <c r="D13" s="670" t="str">
        <f>INDEX('AMMO vwFlags'!$D:$D,MATCH($A13&amp;$K13,'AMMO vwFlags'!$K:$K,0))</f>
        <v>0</v>
      </c>
      <c r="E13" s="82">
        <f>COUNTIFS($A:$A,$A13,$K:$K,$K13)</f>
        <v>1</v>
      </c>
      <c r="F13" s="97" t="s">
        <v>445</v>
      </c>
      <c r="G13" s="98" t="s">
        <v>844</v>
      </c>
      <c r="H13" s="98" t="s">
        <v>1950</v>
      </c>
      <c r="I13" s="98" t="s">
        <v>145</v>
      </c>
      <c r="J13" s="645">
        <f>VALUE(INDEX('AMMO Measures'!H:H,MATCH($A13,'AMMO Measures'!A:A,0)))</f>
        <v>30</v>
      </c>
      <c r="K13" s="18">
        <v>2024</v>
      </c>
      <c r="L13" s="96">
        <f>SUMIFS('AMMO Units'!F:F,'AMMO Units'!$A:$A,$K13,'AMMO Units'!$E:$E,$A13)</f>
        <v>0</v>
      </c>
      <c r="M13" s="207">
        <f>SUMIFS('AMMO Units'!G:G,'AMMO Units'!$A:$A,$K13,'AMMO Units'!$E:$E,$A13)</f>
        <v>0</v>
      </c>
      <c r="N13" s="455" t="s">
        <v>1952</v>
      </c>
      <c r="O13" s="109">
        <f>IF(Selection!$A$2="regional",1,IF($L13=0,0,
(   INDEX(Allocation!#REF!,MATCH(K13,Allocation!$A:$A,0)) * INDEX(#REF!, MATCH($A13&amp;K13,#REF!,0))
+ INDEX(Allocation!$B:$B,MATCH(K13,Allocation!$A:$A,0)) * INDEX(#REF!, MATCH($A13&amp;K13,#REF!,0))
+ INDEX(Allocation!$C:$C,MATCH(K13,Allocation!$A:$A,0)) * INDEX(#REF!, MATCH($A13&amp;K13,#REF!,0))
+ INDEX(Allocation!$D:$D,MATCH(K13,Allocation!$A:$A,0)) * INDEX(#REF!, MATCH($A13&amp;K13,#REF!,0))
+ INDEX(Allocation!$E:$E,MATCH(K13,Allocation!$A:$A,0)) * INDEX(#REF!, MATCH($A13&amp;K13,#REF!,0)))
))</f>
        <v>0</v>
      </c>
      <c r="P13" s="314">
        <v>8760000</v>
      </c>
      <c r="Q13" s="453" t="s">
        <v>1953</v>
      </c>
      <c r="R13" s="233">
        <f>(L13)*O13*P13/8760000</f>
        <v>0</v>
      </c>
      <c r="S13" s="234">
        <f>IFERROR(M13*O13*P13/8760/1000,0)</f>
        <v>0</v>
      </c>
      <c r="T13" s="99">
        <f>R13-S13</f>
        <v>0</v>
      </c>
    </row>
    <row r="14" spans="1:20" ht="18" customHeight="1">
      <c r="A14" s="49" t="s">
        <v>2339</v>
      </c>
      <c r="B14" s="82" t="str">
        <f t="shared" si="1"/>
        <v>COM_201601</v>
      </c>
      <c r="C14" s="670" t="str">
        <f>INDEX('AMMO vwFlags'!$C:$C,MATCH($A14&amp;K14,'AMMO vwFlags'!$K:$K,0))</f>
        <v>0</v>
      </c>
      <c r="D14" s="670" t="str">
        <f>INDEX('AMMO vwFlags'!$D:$D,MATCH($A14&amp;$K14,'AMMO vwFlags'!$K:$K,0))</f>
        <v>0</v>
      </c>
      <c r="E14" s="82">
        <f>COUNTIFS($A:$A,$A14,$K:$K,$K14)</f>
        <v>1</v>
      </c>
      <c r="F14" s="394" t="s">
        <v>445</v>
      </c>
      <c r="G14" s="395" t="s">
        <v>844</v>
      </c>
      <c r="H14" s="395" t="s">
        <v>1950</v>
      </c>
      <c r="I14" s="395" t="s">
        <v>145</v>
      </c>
      <c r="J14" s="646">
        <f>VALUE(INDEX('AMMO Measures'!H:H,MATCH($A14,'AMMO Measures'!A:A,0)))</f>
        <v>30</v>
      </c>
      <c r="K14" s="396">
        <v>2025</v>
      </c>
      <c r="L14" s="397">
        <f>SUMIFS('AMMO Units'!F:F,'AMMO Units'!$A:$A,$K14,'AMMO Units'!$E:$E,$A14)</f>
        <v>0</v>
      </c>
      <c r="M14" s="398">
        <f>SUMIFS('AMMO Units'!G:G,'AMMO Units'!$A:$A,$K14,'AMMO Units'!$E:$E,$A14)</f>
        <v>0</v>
      </c>
      <c r="N14" s="456" t="s">
        <v>1952</v>
      </c>
      <c r="O14" s="109">
        <f>IF(Selection!$A$2="regional",1,IF($L14=0,0,
(   INDEX(Allocation!#REF!,MATCH(K14,Allocation!$A:$A,0)) * INDEX(#REF!, MATCH($A14&amp;K14,#REF!,0))
+ INDEX(Allocation!$B:$B,MATCH(K14,Allocation!$A:$A,0)) * INDEX(#REF!, MATCH($A14&amp;K14,#REF!,0))
+ INDEX(Allocation!$C:$C,MATCH(K14,Allocation!$A:$A,0)) * INDEX(#REF!, MATCH($A14&amp;K14,#REF!,0))
+ INDEX(Allocation!$D:$D,MATCH(K14,Allocation!$A:$A,0)) * INDEX(#REF!, MATCH($A14&amp;K14,#REF!,0))
+ INDEX(Allocation!$E:$E,MATCH(K14,Allocation!$A:$A,0)) * INDEX(#REF!, MATCH($A14&amp;K14,#REF!,0)))
))</f>
        <v>0</v>
      </c>
      <c r="P14" s="400">
        <v>8760000</v>
      </c>
      <c r="Q14" s="454" t="s">
        <v>1953</v>
      </c>
      <c r="R14" s="402">
        <f t="shared" ref="R14:R16" si="2">(L14)*O14*P14/8760000</f>
        <v>0</v>
      </c>
      <c r="S14" s="403">
        <f t="shared" ref="S14:S16" si="3">IFERROR(M14*O14*P14/8760/1000,0)</f>
        <v>0</v>
      </c>
      <c r="T14" s="404">
        <f t="shared" ref="T14:T16" si="4">R14-S14</f>
        <v>0</v>
      </c>
    </row>
    <row r="15" spans="1:20" ht="27.6" customHeight="1">
      <c r="A15" s="49" t="s">
        <v>2339</v>
      </c>
      <c r="B15" s="82"/>
      <c r="C15" s="670" t="str">
        <f>INDEX('AMMO vwFlags'!$C:$C,MATCH($A15&amp;K15,'AMMO vwFlags'!$K:$K,0))</f>
        <v>0</v>
      </c>
      <c r="D15" s="670" t="str">
        <f>INDEX('AMMO vwFlags'!$D:$D,MATCH($A15&amp;$K15,'AMMO vwFlags'!$K:$K,0))</f>
        <v>0</v>
      </c>
      <c r="E15" s="82">
        <f>COUNTIFS($A:$A,$A15,$K:$K,$K15)</f>
        <v>1</v>
      </c>
      <c r="F15" s="394" t="s">
        <v>445</v>
      </c>
      <c r="G15" s="395" t="s">
        <v>844</v>
      </c>
      <c r="H15" s="395" t="s">
        <v>1950</v>
      </c>
      <c r="I15" s="395" t="s">
        <v>145</v>
      </c>
      <c r="J15" s="646">
        <f>VALUE(INDEX('AMMO Measures'!H:H,MATCH($A15,'AMMO Measures'!A:A,0)))</f>
        <v>30</v>
      </c>
      <c r="K15" s="396">
        <v>2026</v>
      </c>
      <c r="L15" s="397">
        <f>SUMIFS('AMMO Units'!F:F,'AMMO Units'!$A:$A,$K15,'AMMO Units'!$E:$E,$A15)</f>
        <v>0</v>
      </c>
      <c r="M15" s="398">
        <f>SUMIFS('AMMO Units'!G:G,'AMMO Units'!$A:$A,$K15,'AMMO Units'!$E:$E,$A15)</f>
        <v>0</v>
      </c>
      <c r="N15" s="399" t="s">
        <v>1952</v>
      </c>
      <c r="O15" s="459">
        <f>IF(Selection!$A$2="regional",1,IF($L15=0,0,Allocation!$E$12))</f>
        <v>0</v>
      </c>
      <c r="P15" s="400">
        <v>8760000</v>
      </c>
      <c r="Q15" s="401" t="s">
        <v>1953</v>
      </c>
      <c r="R15" s="402">
        <f t="shared" si="2"/>
        <v>0</v>
      </c>
      <c r="S15" s="403">
        <f t="shared" si="3"/>
        <v>0</v>
      </c>
      <c r="T15" s="404">
        <f t="shared" si="4"/>
        <v>0</v>
      </c>
    </row>
    <row r="16" spans="1:20" ht="32.450000000000003" customHeight="1" thickBot="1">
      <c r="A16" s="103" t="s">
        <v>2339</v>
      </c>
      <c r="B16" s="104"/>
      <c r="C16" s="672" t="str">
        <f>INDEX('AMMO vwFlags'!$C:$C,MATCH($A16&amp;K16,'AMMO vwFlags'!$K:$K,0))</f>
        <v>0</v>
      </c>
      <c r="D16" s="672" t="str">
        <f>INDEX('AMMO vwFlags'!$D:$D,MATCH($A16&amp;$K16,'AMMO vwFlags'!$K:$K,0))</f>
        <v>0</v>
      </c>
      <c r="E16" s="104">
        <f>COUNTIFS($A:$A,$A16,$K:$K,$K16)</f>
        <v>1</v>
      </c>
      <c r="F16" s="106" t="s">
        <v>445</v>
      </c>
      <c r="G16" s="107" t="s">
        <v>844</v>
      </c>
      <c r="H16" s="107" t="s">
        <v>1950</v>
      </c>
      <c r="I16" s="107" t="s">
        <v>145</v>
      </c>
      <c r="J16" s="653">
        <f>VALUE(INDEX('AMMO Measures'!H:H,MATCH($A16,'AMMO Measures'!A:A,0)))</f>
        <v>30</v>
      </c>
      <c r="K16" s="108">
        <v>2027</v>
      </c>
      <c r="L16" s="464">
        <f>SUMIFS('AMMO Units'!F:F,'AMMO Units'!$A:$A,$K16,'AMMO Units'!$E:$E,$A16)</f>
        <v>0</v>
      </c>
      <c r="M16" s="465">
        <f>SUMIFS('AMMO Units'!G:G,'AMMO Units'!$A:$A,$K16,'AMMO Units'!$E:$E,$A16)</f>
        <v>0</v>
      </c>
      <c r="N16" s="635" t="s">
        <v>1952</v>
      </c>
      <c r="O16" s="671">
        <f>IF(Selection!$A$2="regional",1,IF($L16=0,0,Allocation!$E$13))</f>
        <v>0</v>
      </c>
      <c r="P16" s="636">
        <v>8760000</v>
      </c>
      <c r="Q16" s="458" t="s">
        <v>1953</v>
      </c>
      <c r="R16" s="425">
        <f t="shared" si="2"/>
        <v>0</v>
      </c>
      <c r="S16" s="637">
        <f t="shared" si="3"/>
        <v>0</v>
      </c>
      <c r="T16" s="638">
        <f t="shared" si="4"/>
        <v>0</v>
      </c>
    </row>
    <row r="17" spans="6:11" ht="27" customHeight="1"/>
    <row r="18" spans="6:11">
      <c r="F18" s="127" t="s">
        <v>671</v>
      </c>
      <c r="G18" s="50"/>
      <c r="H18" s="50"/>
      <c r="I18" s="50"/>
      <c r="J18" s="50"/>
      <c r="K18" s="51"/>
    </row>
    <row r="19" spans="6:11">
      <c r="F19" s="1919" t="s">
        <v>286</v>
      </c>
      <c r="G19" s="1920"/>
      <c r="H19" s="1920"/>
      <c r="I19" s="1920"/>
      <c r="J19" s="1920"/>
      <c r="K19" s="1921"/>
    </row>
    <row r="20" spans="6:11">
      <c r="F20" s="1922"/>
      <c r="G20" s="1923"/>
      <c r="H20" s="1923"/>
      <c r="I20" s="1923"/>
      <c r="J20" s="1923"/>
      <c r="K20" s="1924"/>
    </row>
    <row r="21" spans="6:11">
      <c r="F21" s="1925"/>
      <c r="G21" s="1926"/>
      <c r="H21" s="1926"/>
      <c r="I21" s="1926"/>
      <c r="J21" s="1926"/>
      <c r="K21" s="1927"/>
    </row>
    <row r="23" spans="6:11">
      <c r="F23" s="119" t="s">
        <v>186</v>
      </c>
    </row>
    <row r="24" spans="6:11" ht="12.75" customHeight="1">
      <c r="F24" s="2068" t="s">
        <v>852</v>
      </c>
      <c r="G24" s="2069"/>
      <c r="H24" s="2069"/>
      <c r="I24" s="2069"/>
      <c r="J24" s="2069"/>
      <c r="K24" s="2070"/>
    </row>
    <row r="25" spans="6:11" ht="12.75" customHeight="1">
      <c r="F25" s="2071" t="s">
        <v>853</v>
      </c>
      <c r="G25" s="2072"/>
      <c r="H25" s="2072"/>
      <c r="I25" s="2072"/>
      <c r="J25" s="2072"/>
      <c r="K25" s="2073"/>
    </row>
    <row r="26" spans="6:11" ht="12.75" customHeight="1">
      <c r="F26" s="2074" t="s">
        <v>855</v>
      </c>
      <c r="G26" s="2075"/>
      <c r="H26" s="2075"/>
      <c r="I26" s="2075"/>
      <c r="J26" s="2075"/>
      <c r="K26" s="2076"/>
    </row>
    <row r="27" spans="6:11">
      <c r="F27" s="2074"/>
      <c r="G27" s="2075"/>
      <c r="H27" s="2075"/>
      <c r="I27" s="2075"/>
      <c r="J27" s="2075"/>
      <c r="K27" s="2076"/>
    </row>
    <row r="28" spans="6:11">
      <c r="F28" s="2077"/>
      <c r="G28" s="2078"/>
      <c r="H28" s="2078"/>
      <c r="I28" s="2078"/>
      <c r="J28" s="2078"/>
      <c r="K28" s="2079"/>
    </row>
  </sheetData>
  <mergeCells count="12">
    <mergeCell ref="A11:E11"/>
    <mergeCell ref="F19:K21"/>
    <mergeCell ref="F4:J4"/>
    <mergeCell ref="M9:P9"/>
    <mergeCell ref="G2:T2"/>
    <mergeCell ref="P11:Q11"/>
    <mergeCell ref="R11:T11"/>
    <mergeCell ref="F24:K24"/>
    <mergeCell ref="F25:K25"/>
    <mergeCell ref="F26:K28"/>
    <mergeCell ref="F11:K11"/>
    <mergeCell ref="L11:O11"/>
  </mergeCells>
  <hyperlinks>
    <hyperlink ref="F25" r:id="rId1" xr:uid="{00000000-0004-0000-2600-000000000000}"/>
    <hyperlink ref="F1" location="'Summary ALL'!A1" display="Summary Page" xr:uid="{A7326187-8D77-463B-BB8D-CDDAA62FD183}"/>
  </hyperlinks>
  <pageMargins left="0.7" right="0.7" top="0.75" bottom="0.75" header="0.3" footer="0.3"/>
  <pageSetup orientation="portrait"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DF7BE-FA64-493C-8FA2-2E7C79B1E375}">
  <sheetPr>
    <tabColor rgb="FF0083CA"/>
  </sheetPr>
  <dimension ref="A1:H14"/>
  <sheetViews>
    <sheetView showGridLines="0" tabSelected="1" zoomScaleNormal="100" workbookViewId="0">
      <selection activeCell="D26" sqref="D26"/>
    </sheetView>
  </sheetViews>
  <sheetFormatPr defaultColWidth="8.5703125" defaultRowHeight="15"/>
  <cols>
    <col min="2" max="2" width="12.42578125" customWidth="1"/>
    <col min="3" max="3" width="19.42578125" customWidth="1"/>
    <col min="4" max="4" width="18.5703125" customWidth="1"/>
  </cols>
  <sheetData>
    <row r="1" spans="1:8">
      <c r="C1" s="499"/>
    </row>
    <row r="2" spans="1:8" ht="48.6" customHeight="1">
      <c r="C2" s="1620" t="str">
        <f>Selection!A2&amp;"'s 2024-2025 Biennum Savings Forecast"</f>
        <v>Puget Sound Energy's 2024-2025 Biennum Savings Forecast</v>
      </c>
      <c r="D2" s="1621"/>
      <c r="E2" s="1621"/>
      <c r="F2" s="1621"/>
      <c r="G2" s="1621"/>
      <c r="H2" s="1621"/>
    </row>
    <row r="3" spans="1:8" ht="14.85" customHeight="1">
      <c r="C3" s="1622" t="str">
        <f>"This savings report provides:
1) NEEA's savings forecast to support setting the 2024-2025 Biennium Conservation Target for "&amp;Selection!A2&amp;".
2) A forecast for 2026-2027 for reference only."</f>
        <v>This savings report provides:
1) NEEA's savings forecast to support setting the 2024-2025 Biennium Conservation Target for Puget Sound Energy.
2) A forecast for 2026-2027 for reference only.</v>
      </c>
      <c r="D3" s="1623"/>
      <c r="E3" s="1623"/>
      <c r="F3" s="1623"/>
      <c r="G3" s="1623"/>
      <c r="H3" s="1623"/>
    </row>
    <row r="4" spans="1:8">
      <c r="C4" s="1622"/>
      <c r="D4" s="1623"/>
      <c r="E4" s="1623"/>
      <c r="F4" s="1623"/>
      <c r="G4" s="1623"/>
      <c r="H4" s="1623"/>
    </row>
    <row r="5" spans="1:8">
      <c r="C5" s="1622"/>
      <c r="D5" s="1623"/>
      <c r="E5" s="1623"/>
      <c r="F5" s="1623"/>
      <c r="G5" s="1623"/>
      <c r="H5" s="1623"/>
    </row>
    <row r="6" spans="1:8">
      <c r="C6" s="1622"/>
      <c r="D6" s="1623"/>
      <c r="E6" s="1623"/>
      <c r="F6" s="1623"/>
      <c r="G6" s="1623"/>
      <c r="H6" s="1623"/>
    </row>
    <row r="7" spans="1:8">
      <c r="C7" s="1622"/>
      <c r="D7" s="1623"/>
      <c r="E7" s="1623"/>
      <c r="F7" s="1623"/>
      <c r="G7" s="1623"/>
      <c r="H7" s="1623"/>
    </row>
    <row r="8" spans="1:8">
      <c r="C8" s="1622"/>
      <c r="D8" s="1623"/>
      <c r="E8" s="1623"/>
      <c r="F8" s="1623"/>
      <c r="G8" s="1623"/>
      <c r="H8" s="1623"/>
    </row>
    <row r="9" spans="1:8">
      <c r="C9" s="499"/>
    </row>
    <row r="10" spans="1:8" ht="101.85" customHeight="1">
      <c r="A10" s="1624" t="s">
        <v>2529</v>
      </c>
      <c r="B10" s="1624"/>
      <c r="C10" s="500" t="s">
        <v>2530</v>
      </c>
      <c r="D10" s="501">
        <v>45091</v>
      </c>
    </row>
    <row r="11" spans="1:8">
      <c r="A11" s="502" t="s">
        <v>2531</v>
      </c>
      <c r="C11" s="499"/>
    </row>
    <row r="12" spans="1:8">
      <c r="A12" s="503" t="s">
        <v>2532</v>
      </c>
      <c r="C12" s="499"/>
    </row>
    <row r="14" spans="1:8" ht="68.099999999999994" customHeight="1">
      <c r="A14" s="1625" t="s">
        <v>2533</v>
      </c>
      <c r="B14" s="1625"/>
      <c r="C14" s="1625"/>
      <c r="D14" s="1625"/>
      <c r="E14" s="1625"/>
      <c r="F14" s="1625"/>
      <c r="G14" s="1625"/>
      <c r="H14" s="1625"/>
    </row>
  </sheetData>
  <mergeCells count="4">
    <mergeCell ref="C2:H2"/>
    <mergeCell ref="C3:H8"/>
    <mergeCell ref="A10:B10"/>
    <mergeCell ref="A14:H1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83CA"/>
  </sheetPr>
  <dimension ref="A1:B14"/>
  <sheetViews>
    <sheetView showGridLines="0" zoomScaleNormal="100" workbookViewId="0"/>
  </sheetViews>
  <sheetFormatPr defaultColWidth="9.42578125" defaultRowHeight="15"/>
  <cols>
    <col min="1" max="1" width="20.7109375" customWidth="1"/>
    <col min="2" max="2" width="81.5703125" bestFit="1" customWidth="1"/>
  </cols>
  <sheetData>
    <row r="1" spans="1:2" s="47" customFormat="1">
      <c r="A1" s="1465" t="s">
        <v>2662</v>
      </c>
      <c r="B1" s="1466" t="s">
        <v>2663</v>
      </c>
    </row>
    <row r="2" spans="1:2" s="47" customFormat="1" ht="45" customHeight="1">
      <c r="A2" s="1463" t="s">
        <v>2581</v>
      </c>
      <c r="B2" s="1467" t="s">
        <v>2793</v>
      </c>
    </row>
    <row r="3" spans="1:2" s="47" customFormat="1" ht="91.5" customHeight="1">
      <c r="A3" s="1464" t="s">
        <v>2664</v>
      </c>
      <c r="B3" s="1468" t="s">
        <v>2792</v>
      </c>
    </row>
    <row r="4" spans="1:2" s="47" customFormat="1">
      <c r="A4" s="1464" t="s">
        <v>2669</v>
      </c>
      <c r="B4" s="1468" t="s">
        <v>2789</v>
      </c>
    </row>
    <row r="5" spans="1:2" s="47" customFormat="1" ht="45" customHeight="1">
      <c r="A5" s="1464" t="s">
        <v>678</v>
      </c>
      <c r="B5" s="1468" t="s">
        <v>2791</v>
      </c>
    </row>
    <row r="6" spans="1:2" s="47" customFormat="1" ht="45" customHeight="1">
      <c r="A6" s="1464" t="s">
        <v>571</v>
      </c>
      <c r="B6" s="1468" t="s">
        <v>2790</v>
      </c>
    </row>
    <row r="7" spans="1:2" s="47" customFormat="1" ht="45" customHeight="1">
      <c r="A7" s="1464" t="s">
        <v>863</v>
      </c>
      <c r="B7" s="1468" t="s">
        <v>2570</v>
      </c>
    </row>
    <row r="8" spans="1:2" s="47" customFormat="1" ht="12.75">
      <c r="A8" s="1626" t="s">
        <v>673</v>
      </c>
      <c r="B8" s="1469" t="s">
        <v>674</v>
      </c>
    </row>
    <row r="9" spans="1:2" s="47" customFormat="1" ht="12.75">
      <c r="A9" s="1626"/>
      <c r="B9" s="1470" t="s">
        <v>675</v>
      </c>
    </row>
    <row r="10" spans="1:2" s="47" customFormat="1" ht="12.75">
      <c r="A10" s="1626"/>
      <c r="B10" s="1470" t="s">
        <v>2571</v>
      </c>
    </row>
    <row r="11" spans="1:2" s="47" customFormat="1" ht="12.75">
      <c r="A11" s="1626"/>
      <c r="B11" s="1470" t="s">
        <v>676</v>
      </c>
    </row>
    <row r="12" spans="1:2" s="47" customFormat="1" ht="12.75">
      <c r="A12" s="1626"/>
      <c r="B12" s="1470" t="s">
        <v>677</v>
      </c>
    </row>
    <row r="13" spans="1:2">
      <c r="A13" s="47"/>
      <c r="B13" s="47"/>
    </row>
    <row r="14" spans="1:2">
      <c r="A14" s="48"/>
      <c r="B14" s="47"/>
    </row>
  </sheetData>
  <mergeCells count="1">
    <mergeCell ref="A8:A12"/>
  </mergeCells>
  <phoneticPr fontId="119" type="noConversion"/>
  <hyperlinks>
    <hyperlink ref="A2" location="'2024-2025 Summary'!B1" display="2024-2025 Summary" xr:uid="{324C4FB4-CED8-438F-AE8C-A3633F99BD61}"/>
    <hyperlink ref="A7" location="'C&amp;S List'!A1" display="C&amp;S List" xr:uid="{62C6A56E-D909-45D3-A4C8-7D9189B540EE}"/>
    <hyperlink ref="A5" location="Methodology!A1" display="Methodology" xr:uid="{75E936DE-7F67-48EF-A36B-93FADF08E78C}"/>
    <hyperlink ref="A3" location="'2026-2027 Summary'!B1" display="2026-2027 Summary" xr:uid="{202019AF-81CB-469A-BB98-887786AFB008}"/>
    <hyperlink ref="A4" location="'Report Summary'!A1" display="Summary" xr:uid="{B974B59F-8882-41C4-9F7B-429CC5DF8C62}"/>
    <hyperlink ref="A6" location="Allocation!A1" display="Allocation" xr:uid="{CA3559C2-6F77-48D0-BDEA-02DB0215B0BA}"/>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DA4EC-ADF0-415F-9389-64AB4BEAB332}">
  <sheetPr>
    <tabColor rgb="FF92D050"/>
  </sheetPr>
  <dimension ref="A1:AF23"/>
  <sheetViews>
    <sheetView showGridLines="0" zoomScale="90" zoomScaleNormal="90" workbookViewId="0">
      <selection activeCell="A13" sqref="A13"/>
    </sheetView>
  </sheetViews>
  <sheetFormatPr defaultRowHeight="15"/>
  <cols>
    <col min="1" max="3" width="10.140625" customWidth="1"/>
    <col min="4" max="5" width="21.42578125" customWidth="1"/>
    <col min="6" max="8" width="10.140625" customWidth="1"/>
    <col min="9" max="9" width="8.42578125" customWidth="1"/>
    <col min="10" max="10" width="10" customWidth="1"/>
    <col min="11" max="11" width="3.42578125" customWidth="1"/>
    <col min="15" max="16" width="16.5703125" customWidth="1"/>
    <col min="17" max="17" width="17.42578125" customWidth="1"/>
    <col min="18" max="18" width="14.5703125" customWidth="1"/>
    <col min="19" max="21" width="9.42578125" customWidth="1"/>
    <col min="22" max="27" width="8.5703125" customWidth="1"/>
    <col min="28" max="31" width="9.42578125" customWidth="1"/>
    <col min="32" max="32" width="9.42578125" hidden="1" customWidth="1"/>
    <col min="33" max="33" width="9.42578125" customWidth="1"/>
  </cols>
  <sheetData>
    <row r="1" spans="1:12" ht="19.350000000000001" customHeight="1">
      <c r="A1" s="614" t="s">
        <v>2578</v>
      </c>
    </row>
    <row r="2" spans="1:12">
      <c r="A2" s="614"/>
    </row>
    <row r="3" spans="1:12" ht="15.75">
      <c r="A3" s="588"/>
      <c r="B3" s="589"/>
      <c r="C3" s="589"/>
      <c r="D3" s="590" t="s">
        <v>2579</v>
      </c>
      <c r="E3" s="590" t="s">
        <v>1087</v>
      </c>
    </row>
    <row r="4" spans="1:12">
      <c r="A4" s="1630" t="s">
        <v>785</v>
      </c>
      <c r="B4" s="1631"/>
      <c r="C4" s="545"/>
      <c r="D4" s="546">
        <f>'2024-2025 Summary'!H3</f>
        <v>0</v>
      </c>
      <c r="E4" s="600">
        <f>'2024-2025 Summary'!E3</f>
        <v>2.8018868800257843</v>
      </c>
      <c r="G4" s="547">
        <f>E5+E8+E11</f>
        <v>2.8018868800257843</v>
      </c>
    </row>
    <row r="5" spans="1:12" ht="17.25" customHeight="1">
      <c r="A5" s="1628" t="s">
        <v>449</v>
      </c>
      <c r="B5" s="1629"/>
      <c r="C5" s="598"/>
      <c r="D5" s="599">
        <f>'2024-2025 Summary'!H4</f>
        <v>0</v>
      </c>
      <c r="E5" s="599">
        <f>'2024-2025 Summary'!E4</f>
        <v>1.9088667959656829</v>
      </c>
      <c r="G5" s="547">
        <f>D5+D8+D11</f>
        <v>0</v>
      </c>
    </row>
    <row r="6" spans="1:12" ht="17.25" customHeight="1">
      <c r="A6" s="615" t="s">
        <v>207</v>
      </c>
      <c r="B6" s="616"/>
      <c r="C6" s="617"/>
      <c r="D6" s="623">
        <f>'2024-2025 Summary'!H5</f>
        <v>0</v>
      </c>
      <c r="E6" s="623">
        <f>'2024-2025 Summary'!E5</f>
        <v>1.8123524926162542</v>
      </c>
    </row>
    <row r="7" spans="1:12" ht="17.25" customHeight="1">
      <c r="A7" s="618" t="s">
        <v>445</v>
      </c>
      <c r="B7" s="619"/>
      <c r="C7" s="620"/>
      <c r="D7" s="624">
        <f>'2024-2025 Summary'!H17</f>
        <v>0</v>
      </c>
      <c r="E7" s="624">
        <f>'2024-2025 Summary'!E17</f>
        <v>9.6514303349428607E-2</v>
      </c>
    </row>
    <row r="8" spans="1:12" ht="17.25" customHeight="1">
      <c r="A8" s="1628" t="s">
        <v>448</v>
      </c>
      <c r="B8" s="1629"/>
      <c r="C8" s="598"/>
      <c r="D8" s="599">
        <f>'2024-2025 Summary'!H23+'2024-2025 Summary'!H26</f>
        <v>0</v>
      </c>
      <c r="E8" s="599">
        <f>'2024-2025 Summary'!E23+'2024-2025 Summary'!E26</f>
        <v>0.79543988746425787</v>
      </c>
    </row>
    <row r="9" spans="1:12">
      <c r="A9" s="596" t="s">
        <v>207</v>
      </c>
      <c r="B9" s="616"/>
      <c r="C9" s="617"/>
      <c r="D9" s="623">
        <f>'2024-2025 Summary'!H23</f>
        <v>0</v>
      </c>
      <c r="E9" s="623">
        <f>'2024-2025 Summary'!E23</f>
        <v>0.50509857235209221</v>
      </c>
    </row>
    <row r="10" spans="1:12">
      <c r="A10" s="597" t="s">
        <v>445</v>
      </c>
      <c r="B10" s="619"/>
      <c r="C10" s="620"/>
      <c r="D10" s="624">
        <f>'2024-2025 Summary'!H26</f>
        <v>0</v>
      </c>
      <c r="E10" s="624">
        <f>'2024-2025 Summary'!E26</f>
        <v>0.29034131511216571</v>
      </c>
    </row>
    <row r="11" spans="1:12">
      <c r="A11" s="1628" t="s">
        <v>453</v>
      </c>
      <c r="B11" s="1629"/>
      <c r="C11" s="598"/>
      <c r="D11" s="599">
        <f>'2024-2025 Summary'!H24+'2024-2025 Summary'!H27</f>
        <v>0</v>
      </c>
      <c r="E11" s="599">
        <f>'2024-2025 Summary'!E27+'2024-2025 Summary'!E24</f>
        <v>9.7580196595843327E-2</v>
      </c>
    </row>
    <row r="12" spans="1:12">
      <c r="A12" s="615" t="s">
        <v>207</v>
      </c>
      <c r="B12" s="617"/>
      <c r="C12" s="617"/>
      <c r="D12" s="623">
        <f>'2024-2025 Summary'!H24</f>
        <v>0</v>
      </c>
      <c r="E12" s="623">
        <f>'2024-2025 Summary'!E24</f>
        <v>2.717257828527855E-2</v>
      </c>
    </row>
    <row r="13" spans="1:12">
      <c r="A13" s="621" t="s">
        <v>2563</v>
      </c>
      <c r="B13" s="622"/>
      <c r="C13" s="622"/>
      <c r="D13" s="625">
        <f>'2024-2025 Summary'!H27</f>
        <v>0</v>
      </c>
      <c r="E13" s="625">
        <f>'2024-2025 Summary'!E27</f>
        <v>7.0407618310564773E-2</v>
      </c>
    </row>
    <row r="14" spans="1:12" ht="14.85" customHeight="1">
      <c r="A14" s="595" t="s">
        <v>2565</v>
      </c>
      <c r="B14" s="591"/>
      <c r="C14" s="591"/>
      <c r="D14" s="591"/>
      <c r="E14" s="591"/>
      <c r="F14" s="591"/>
      <c r="G14" s="591"/>
      <c r="H14" s="591"/>
      <c r="I14" s="591"/>
      <c r="J14" s="591"/>
      <c r="K14" s="591"/>
      <c r="L14" s="591"/>
    </row>
    <row r="16" spans="1:12">
      <c r="A16" s="593" t="s">
        <v>15</v>
      </c>
      <c r="B16" s="587"/>
      <c r="C16" s="587"/>
      <c r="D16" s="587"/>
      <c r="E16" s="587"/>
      <c r="F16" s="587"/>
      <c r="G16" s="587"/>
      <c r="H16" s="587"/>
      <c r="I16" s="587"/>
      <c r="J16" s="587"/>
      <c r="K16" s="587"/>
      <c r="L16" s="587"/>
    </row>
    <row r="17" spans="1:12" ht="35.85" customHeight="1">
      <c r="A17" s="1632" t="s">
        <v>2566</v>
      </c>
      <c r="B17" s="1632"/>
      <c r="C17" s="1632"/>
      <c r="D17" s="1632"/>
      <c r="E17" s="1632"/>
      <c r="F17" s="1632"/>
      <c r="G17" s="1632"/>
      <c r="H17" s="1632"/>
      <c r="I17" s="1632"/>
      <c r="J17" s="1632"/>
      <c r="K17" s="1632"/>
      <c r="L17" s="1632"/>
    </row>
    <row r="18" spans="1:12" ht="35.85" customHeight="1">
      <c r="A18" s="593" t="s">
        <v>449</v>
      </c>
      <c r="B18" s="594"/>
      <c r="C18" s="594"/>
      <c r="D18" s="594"/>
      <c r="E18" s="594"/>
      <c r="F18" s="594"/>
      <c r="G18" s="594"/>
      <c r="H18" s="594"/>
      <c r="I18" s="594"/>
      <c r="J18" s="594"/>
      <c r="K18" s="594"/>
      <c r="L18" s="594"/>
    </row>
    <row r="19" spans="1:12" ht="51.6" customHeight="1">
      <c r="A19" s="1627" t="s">
        <v>2567</v>
      </c>
      <c r="B19" s="1627"/>
      <c r="C19" s="1627"/>
      <c r="D19" s="1627"/>
      <c r="E19" s="1627"/>
      <c r="F19" s="1627"/>
      <c r="G19" s="1627"/>
      <c r="H19" s="1627"/>
      <c r="I19" s="1627"/>
      <c r="J19" s="1627"/>
      <c r="K19" s="1627"/>
      <c r="L19" s="1627"/>
    </row>
    <row r="20" spans="1:12">
      <c r="A20" s="593" t="s">
        <v>2568</v>
      </c>
      <c r="B20" s="594"/>
      <c r="C20" s="594"/>
      <c r="D20" s="594"/>
      <c r="E20" s="594"/>
      <c r="F20" s="594"/>
      <c r="G20" s="594"/>
      <c r="H20" s="594"/>
      <c r="I20" s="594"/>
      <c r="J20" s="594"/>
      <c r="K20" s="594"/>
      <c r="L20" s="594"/>
    </row>
    <row r="21" spans="1:12" ht="64.5" customHeight="1">
      <c r="A21" s="1627" t="s">
        <v>2569</v>
      </c>
      <c r="B21" s="1627"/>
      <c r="C21" s="1627"/>
      <c r="D21" s="1627"/>
      <c r="E21" s="1627"/>
      <c r="F21" s="1627"/>
      <c r="G21" s="1627"/>
      <c r="H21" s="1627"/>
      <c r="I21" s="1627"/>
      <c r="J21" s="1627"/>
      <c r="K21" s="1627"/>
      <c r="L21" s="1627"/>
    </row>
    <row r="22" spans="1:12" ht="64.5" customHeight="1"/>
    <row r="23" spans="1:12" ht="64.5" customHeight="1"/>
  </sheetData>
  <mergeCells count="7">
    <mergeCell ref="A21:L21"/>
    <mergeCell ref="A11:B11"/>
    <mergeCell ref="A4:B4"/>
    <mergeCell ref="A5:B5"/>
    <mergeCell ref="A8:B8"/>
    <mergeCell ref="A17:L17"/>
    <mergeCell ref="A19:L1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DF14B-8EB0-4BCF-A461-BD5ACFE4C0BC}">
  <sheetPr>
    <tabColor rgb="FF8CC646"/>
  </sheetPr>
  <dimension ref="A1:U47"/>
  <sheetViews>
    <sheetView showGridLines="0" topLeftCell="B1" zoomScaleNormal="100" workbookViewId="0">
      <selection activeCell="N12" sqref="N12"/>
    </sheetView>
  </sheetViews>
  <sheetFormatPr defaultRowHeight="15" outlineLevelCol="2"/>
  <cols>
    <col min="1" max="1" width="8.85546875" hidden="1" customWidth="1" outlineLevel="1"/>
    <col min="2" max="2" width="14" customWidth="1" collapsed="1"/>
    <col min="3" max="3" width="36.5703125" customWidth="1"/>
    <col min="4" max="4" width="8.5703125" customWidth="1"/>
    <col min="5" max="7" width="12.42578125" customWidth="1"/>
    <col min="8" max="10" width="12.42578125" hidden="1" customWidth="1" outlineLevel="2"/>
    <col min="11" max="11" width="12.42578125" hidden="1" customWidth="1" outlineLevel="1" collapsed="1"/>
    <col min="12" max="13" width="12.42578125" hidden="1" customWidth="1" outlineLevel="1"/>
    <col min="14" max="14" width="109.42578125" customWidth="1" collapsed="1"/>
    <col min="15" max="15" width="14.42578125" customWidth="1"/>
  </cols>
  <sheetData>
    <row r="1" spans="1:14" ht="33.75" customHeight="1">
      <c r="B1" s="1471"/>
      <c r="C1" s="1365"/>
      <c r="D1" s="1366"/>
      <c r="E1" s="1648" t="s">
        <v>2747</v>
      </c>
      <c r="F1" s="1649"/>
      <c r="G1" s="1649"/>
      <c r="H1" s="1644"/>
      <c r="I1" s="1644"/>
      <c r="J1" s="1644"/>
      <c r="K1" s="1646"/>
      <c r="L1" s="1647"/>
      <c r="M1" s="1647"/>
      <c r="N1" s="1358"/>
    </row>
    <row r="2" spans="1:14" s="47" customFormat="1" ht="15.75" customHeight="1">
      <c r="B2" s="1472" t="str">
        <f>IF(Selection!A2="Avista Utilities",Selection!A2&amp;"' Funding Share",Selection!A2&amp;"'s Share")</f>
        <v>Puget Sound Energy's Share</v>
      </c>
      <c r="C2" s="1473"/>
      <c r="D2" s="1367"/>
      <c r="E2" s="1306">
        <v>2024</v>
      </c>
      <c r="F2" s="628">
        <v>2025</v>
      </c>
      <c r="G2" s="629" t="s">
        <v>785</v>
      </c>
      <c r="H2" s="1474">
        <v>2024</v>
      </c>
      <c r="I2" s="1474">
        <v>2025</v>
      </c>
      <c r="J2" s="1474" t="s">
        <v>785</v>
      </c>
      <c r="K2" s="1306">
        <v>2024</v>
      </c>
      <c r="L2" s="628">
        <v>2025</v>
      </c>
      <c r="M2" s="1356" t="s">
        <v>785</v>
      </c>
      <c r="N2" s="1359"/>
    </row>
    <row r="3" spans="1:14" s="47" customFormat="1">
      <c r="B3" s="553" t="s">
        <v>2564</v>
      </c>
      <c r="C3" s="554"/>
      <c r="D3" s="555"/>
      <c r="E3" s="1307">
        <f>SUM(E4,E21)</f>
        <v>2.8018868800257843</v>
      </c>
      <c r="F3" s="556">
        <f>SUM(F4,F21)</f>
        <v>3.5471138726861291</v>
      </c>
      <c r="G3" s="557">
        <f>SUM(G4,G21)</f>
        <v>6.3490007527119126</v>
      </c>
      <c r="H3" s="558">
        <f>H4+H21</f>
        <v>0</v>
      </c>
      <c r="I3" s="558">
        <f>I4+I21</f>
        <v>0</v>
      </c>
      <c r="J3" s="559">
        <f>SUM(H3:I3)</f>
        <v>0</v>
      </c>
      <c r="K3" s="1475" t="str">
        <f>IFERROR((E3-H3)/H3,"")</f>
        <v/>
      </c>
      <c r="L3" s="560" t="str">
        <f t="shared" ref="L3" si="0">IFERROR((F3-I3)/I3,"")</f>
        <v/>
      </c>
      <c r="M3" s="1357" t="str">
        <f>IFERROR((G3-J3)/J3,"")</f>
        <v/>
      </c>
      <c r="N3" s="1368" t="s">
        <v>777</v>
      </c>
    </row>
    <row r="4" spans="1:14" s="47" customFormat="1" ht="12.75">
      <c r="A4" s="47" t="s">
        <v>2682</v>
      </c>
      <c r="B4" s="1634" t="s">
        <v>449</v>
      </c>
      <c r="C4" s="1635"/>
      <c r="D4" s="1360" t="s">
        <v>2562</v>
      </c>
      <c r="E4" s="1219">
        <f>SUM(E5,E17)</f>
        <v>1.9088667959656829</v>
      </c>
      <c r="F4" s="1220">
        <f t="shared" ref="F4:J4" si="1">SUM(F5,F17)</f>
        <v>2.1662954968829107</v>
      </c>
      <c r="G4" s="1221">
        <f t="shared" si="1"/>
        <v>4.0751622928485931</v>
      </c>
      <c r="H4" s="1219">
        <f t="shared" si="1"/>
        <v>0</v>
      </c>
      <c r="I4" s="1219">
        <f t="shared" si="1"/>
        <v>0</v>
      </c>
      <c r="J4" s="1219">
        <f t="shared" si="1"/>
        <v>0</v>
      </c>
      <c r="K4" s="1476" t="str">
        <f>IFERROR((E4-H4)/H4,"")</f>
        <v/>
      </c>
      <c r="L4" s="561" t="str">
        <f t="shared" ref="L4:L26" si="2">IFERROR((F4-I4)/I4,"")</f>
        <v/>
      </c>
      <c r="M4" s="562" t="str">
        <f t="shared" ref="M4:M26" si="3">IFERROR((G4-J4)/J4,"")</f>
        <v/>
      </c>
      <c r="N4" s="1477"/>
    </row>
    <row r="5" spans="1:14" s="47" customFormat="1" ht="12.75">
      <c r="B5" s="1636" t="s">
        <v>207</v>
      </c>
      <c r="C5" s="605" t="s">
        <v>785</v>
      </c>
      <c r="D5" s="605"/>
      <c r="E5" s="606">
        <f>SUM(E6:E16)</f>
        <v>1.8123524926162542</v>
      </c>
      <c r="F5" s="607">
        <f>SUM(F6:F16)</f>
        <v>2.0648011107052264</v>
      </c>
      <c r="G5" s="608">
        <f t="shared" ref="G5:G20" si="4">SUM(E5:F5)</f>
        <v>3.8771536033214806</v>
      </c>
      <c r="H5" s="606">
        <f>SUM(H6:H16)</f>
        <v>0</v>
      </c>
      <c r="I5" s="607">
        <f>SUM(I6:I16)</f>
        <v>0</v>
      </c>
      <c r="J5" s="608">
        <f t="shared" ref="J5:J27" si="5">SUM(H5:I5)</f>
        <v>0</v>
      </c>
      <c r="K5" s="609" t="str">
        <f t="shared" ref="K5:K26" si="6">IFERROR((E5-H5)/H5,"")</f>
        <v/>
      </c>
      <c r="L5" s="610" t="str">
        <f t="shared" si="2"/>
        <v/>
      </c>
      <c r="M5" s="611" t="str">
        <f t="shared" si="3"/>
        <v/>
      </c>
      <c r="N5" s="612"/>
    </row>
    <row r="6" spans="1:14" s="47" customFormat="1">
      <c r="A6" s="47">
        <v>1</v>
      </c>
      <c r="B6" s="1637"/>
      <c r="C6" s="1309" t="s">
        <v>139</v>
      </c>
      <c r="D6" s="1402">
        <f>DHP!A6</f>
        <v>15</v>
      </c>
      <c r="E6" s="1310">
        <f>SUMIFS(DHP!$T$12:'DHP'!$T$23,DHP!$K$12:'DHP'!$K$23,E$2)</f>
        <v>0.35509516599536667</v>
      </c>
      <c r="F6" s="1311">
        <f>SUMIFS(DHP!$T$12:'DHP'!$T$23,DHP!$K$12:'DHP'!$K$23,F$2)</f>
        <v>0.43553782430627058</v>
      </c>
      <c r="G6" s="1312">
        <f t="shared" si="4"/>
        <v>0.79063299030163725</v>
      </c>
      <c r="H6" s="1310">
        <f>IF(H$2=2024,0,(SUMIFS(Estimates!$D:$D,Estimates!$A:$A,Selection!$A$2,Estimates!$E:$E,H$2,Estimates!$B:$B,$B$5,Estimates!$C:$C,$C6)))</f>
        <v>0</v>
      </c>
      <c r="I6" s="1311">
        <f>IF(I$2=2025,0,(SUMIFS(Estimates!$D:$D,Estimates!$A:$A,Selection!$A$2,Estimates!$E:$E,I$2,Estimates!$B:$B,$B$5,Estimates!$C:$C,$C6)))</f>
        <v>0</v>
      </c>
      <c r="J6" s="1312">
        <f t="shared" si="5"/>
        <v>0</v>
      </c>
      <c r="K6" s="1313" t="str">
        <f>IFERROR((E6-H6)/H6,"")</f>
        <v/>
      </c>
      <c r="L6" s="1314" t="str">
        <f t="shared" si="2"/>
        <v/>
      </c>
      <c r="M6" s="1315" t="str">
        <f t="shared" si="3"/>
        <v/>
      </c>
      <c r="N6" s="1322" t="s">
        <v>2736</v>
      </c>
    </row>
    <row r="7" spans="1:14" s="47" customFormat="1">
      <c r="A7" s="47">
        <v>1</v>
      </c>
      <c r="B7" s="1637"/>
      <c r="C7" s="586" t="s">
        <v>843</v>
      </c>
      <c r="D7" s="1403">
        <f>XMP!A4</f>
        <v>11.5</v>
      </c>
      <c r="E7" s="572">
        <f>SUMIFS(XMP!$U$12:$U$63,XMP!$G$12:$G$63,$B$5,XMP!$L$12:$L$63,E$2)</f>
        <v>8.3152580621904698E-2</v>
      </c>
      <c r="F7" s="573">
        <f>SUMIFS(XMP!$U$12:$U$63,XMP!$G$12:$G$63,$B$5,XMP!$L$12:$L$63,F$2)</f>
        <v>9.9783710275037907E-2</v>
      </c>
      <c r="G7" s="574">
        <f>SUM(E7:F7)</f>
        <v>0.1829362908969426</v>
      </c>
      <c r="H7" s="572">
        <f>IF(H$2=2024,0,(SUMIFS(Estimates!$D:$D,Estimates!$A:$A,Selection!$A$2,Estimates!$E:$E,H$2,Estimates!$B:$B,$B$5,Estimates!$C:$C,$C7)))</f>
        <v>0</v>
      </c>
      <c r="I7" s="573">
        <f>IF(I$2=2025,0,(SUMIFS(Estimates!$D:$D,Estimates!$A:$A,Selection!$A$2,Estimates!$E:$E,I$2,Estimates!$B:$B,$B$5,Estimates!$C:$C,$C7)))</f>
        <v>0</v>
      </c>
      <c r="J7" s="574">
        <f>SUM(H7:I7)</f>
        <v>0</v>
      </c>
      <c r="K7" s="563" t="str">
        <f>IFERROR((E7-H7)/H7,"")</f>
        <v/>
      </c>
      <c r="L7" s="564" t="str">
        <f>IFERROR((F7-I7)/I7,"")</f>
        <v/>
      </c>
      <c r="M7" s="565" t="str">
        <f>IFERROR((G7-J7)/J7,"")</f>
        <v/>
      </c>
      <c r="N7" s="1323" t="s">
        <v>2736</v>
      </c>
    </row>
    <row r="8" spans="1:14" s="47" customFormat="1">
      <c r="A8" s="47">
        <v>1</v>
      </c>
      <c r="B8" s="1637"/>
      <c r="C8" s="586" t="s">
        <v>141</v>
      </c>
      <c r="D8" s="1403">
        <f>HPWH!A6</f>
        <v>13</v>
      </c>
      <c r="E8" s="572">
        <f>SUMIFS(HPWH!$U$12:'HPWH'!$U$12:$U$75,HPWH!$K$12:'HPWH'!$K$12:$K$75,E$2)</f>
        <v>0.34349361331353223</v>
      </c>
      <c r="F8" s="573">
        <f>SUMIFS(HPWH!$U$12:'HPWH'!$U$12:$U$75,HPWH!$K$12:'HPWH'!$K$12:$K$75,F$2)</f>
        <v>0.42740821859909123</v>
      </c>
      <c r="G8" s="574">
        <f>SUM(E8:F8)</f>
        <v>0.77090183191262351</v>
      </c>
      <c r="H8" s="572">
        <f>IF(H$2=2024,0,(SUMIFS(Estimates!$D:$D,Estimates!$A:$A,Selection!$A$2,Estimates!$E:$E,H$2,Estimates!$B:$B,$B$5,Estimates!$C:$C,$C8)))</f>
        <v>0</v>
      </c>
      <c r="I8" s="573">
        <f>IF(I$2=2025,0,(SUMIFS(Estimates!$D:$D,Estimates!$A:$A,Selection!$A$2,Estimates!$E:$E,I$2,Estimates!$B:$B,$B$5,Estimates!$C:$C,$C8)))</f>
        <v>0</v>
      </c>
      <c r="J8" s="574">
        <f t="shared" si="5"/>
        <v>0</v>
      </c>
      <c r="K8" s="563" t="str">
        <f t="shared" si="6"/>
        <v/>
      </c>
      <c r="L8" s="564" t="str">
        <f>IFERROR((F8-I8)/I8,"")</f>
        <v/>
      </c>
      <c r="M8" s="565" t="str">
        <f t="shared" si="3"/>
        <v/>
      </c>
      <c r="N8" s="1323" t="s">
        <v>2736</v>
      </c>
    </row>
    <row r="9" spans="1:14" s="47" customFormat="1">
      <c r="A9" s="47">
        <v>1</v>
      </c>
      <c r="B9" s="1637"/>
      <c r="C9" s="586" t="s">
        <v>680</v>
      </c>
      <c r="D9" s="1403">
        <f>Manufactured_Homes!A6</f>
        <v>42</v>
      </c>
      <c r="E9" s="572">
        <f>SUMIFS(Manufactured_Homes!$U$12:$U$19,Manufactured_Homes!$K$12:$K$19,E$2)</f>
        <v>1.3559803958585739E-2</v>
      </c>
      <c r="F9" s="573">
        <f>SUMIFS(Manufactured_Homes!$U$12:$U$19,Manufactured_Homes!$K$12:$K$19,F$2)</f>
        <v>2.0209261867700161E-2</v>
      </c>
      <c r="G9" s="574">
        <f t="shared" si="4"/>
        <v>3.3769065826285902E-2</v>
      </c>
      <c r="H9" s="572">
        <f>IF(H$2=2024,0,(SUMIFS(Estimates!$D:$D,Estimates!$A:$A,Selection!$A$2,Estimates!$E:$E,H$2,Estimates!$B:$B,$B$5,Estimates!$C:$C,$C9)))</f>
        <v>0</v>
      </c>
      <c r="I9" s="573">
        <f>IF(I$2=2025,0,(SUMIFS(Estimates!$D:$D,Estimates!$A:$A,Selection!$A$2,Estimates!$E:$E,I$2,Estimates!$B:$B,$B$5,Estimates!$C:$C,$C9)))</f>
        <v>0</v>
      </c>
      <c r="J9" s="574">
        <f t="shared" si="5"/>
        <v>0</v>
      </c>
      <c r="K9" s="563" t="str">
        <f t="shared" si="6"/>
        <v/>
      </c>
      <c r="L9" s="564" t="str">
        <f>IFERROR((F9-I9)/I9,"")</f>
        <v/>
      </c>
      <c r="M9" s="565" t="str">
        <f t="shared" si="3"/>
        <v/>
      </c>
      <c r="N9" s="1323" t="s">
        <v>2727</v>
      </c>
    </row>
    <row r="10" spans="1:14" s="47" customFormat="1" ht="24">
      <c r="A10" s="47">
        <v>1</v>
      </c>
      <c r="B10" s="1637"/>
      <c r="C10" s="586" t="s">
        <v>1997</v>
      </c>
      <c r="D10" s="1403">
        <f>Frig_Freezers!A6</f>
        <v>15.199999999999996</v>
      </c>
      <c r="E10" s="572">
        <f>SUMIFS(Frig_Freezers!$T$12:'Frig_Freezers'!$T$31,Frig_Freezers!$K$12:'Frig_Freezers'!$K$31,E$2)</f>
        <v>0.20773298918435329</v>
      </c>
      <c r="F10" s="573">
        <f>SUMIFS(Frig_Freezers!$T$12:'Frig_Freezers'!$T$31,Frig_Freezers!$K$12:'Frig_Freezers'!$K$31,F$2)</f>
        <v>0.23607628091291399</v>
      </c>
      <c r="G10" s="574">
        <f t="shared" si="4"/>
        <v>0.44380927009726728</v>
      </c>
      <c r="H10" s="572">
        <f>IF(H$2=2024,0,(SUMIFS(Estimates!$D:$D,Estimates!$A:$A,Selection!$A$2,Estimates!$E:$E,H$2,Estimates!$B:$B,$B$5,Estimates!$C:$C,$C10)))</f>
        <v>0</v>
      </c>
      <c r="I10" s="573">
        <f>IF(I$2=2025,0,(SUMIFS(Estimates!$D:$D,Estimates!$A:$A,Selection!$A$2,Estimates!$E:$E,I$2,Estimates!$B:$B,$B$5,Estimates!$C:$C,$C10)))</f>
        <v>0</v>
      </c>
      <c r="J10" s="574">
        <f t="shared" si="5"/>
        <v>0</v>
      </c>
      <c r="K10" s="563" t="str">
        <f>IFERROR((E10-H10)/H10,"")</f>
        <v/>
      </c>
      <c r="L10" s="564" t="str">
        <f t="shared" si="2"/>
        <v/>
      </c>
      <c r="M10" s="565" t="str">
        <f t="shared" si="3"/>
        <v/>
      </c>
      <c r="N10" s="1324" t="s">
        <v>2746</v>
      </c>
    </row>
    <row r="11" spans="1:14" s="47" customFormat="1">
      <c r="A11" s="47">
        <v>1</v>
      </c>
      <c r="B11" s="1637"/>
      <c r="C11" s="586" t="s">
        <v>137</v>
      </c>
      <c r="D11" s="1403">
        <f>Clothes_Washers!A6</f>
        <v>13.999999999999996</v>
      </c>
      <c r="E11" s="572">
        <f>SUMIFS(Clothes_Washers!$T$12:'Clothes_Washers'!$T$23, Clothes_Washers!$K$12:'Clothes_Washers'!$K$23,E$2)</f>
        <v>0.32179807065699662</v>
      </c>
      <c r="F11" s="573">
        <f>SUMIFS(Clothes_Washers!$T$12:'Clothes_Washers'!$T$23, Clothes_Washers!$K$12:'Clothes_Washers'!$K$23,F$2)</f>
        <v>0.32840240463522169</v>
      </c>
      <c r="G11" s="574">
        <f t="shared" si="4"/>
        <v>0.65020047529221836</v>
      </c>
      <c r="H11" s="572">
        <f>IF(H$2=2024,0,(SUMIFS(Estimates!$D:$D,Estimates!$A:$A,Selection!$A$2,Estimates!$E:$E,H$2,Estimates!$B:$B,$B$5,Estimates!$C:$C,$C11)))</f>
        <v>0</v>
      </c>
      <c r="I11" s="573">
        <f>IF(I$2=2025,0,(SUMIFS(Estimates!$D:$D,Estimates!$A:$A,Selection!$A$2,Estimates!$E:$E,I$2,Estimates!$B:$B,$B$5,Estimates!$C:$C,$C11)))</f>
        <v>0</v>
      </c>
      <c r="J11" s="574">
        <f t="shared" si="5"/>
        <v>0</v>
      </c>
      <c r="K11" s="563" t="str">
        <f t="shared" si="6"/>
        <v/>
      </c>
      <c r="L11" s="564" t="str">
        <f t="shared" si="2"/>
        <v/>
      </c>
      <c r="M11" s="565" t="str">
        <f t="shared" si="3"/>
        <v/>
      </c>
      <c r="N11" s="1323" t="s">
        <v>2736</v>
      </c>
    </row>
    <row r="12" spans="1:14" s="47" customFormat="1">
      <c r="A12" s="47">
        <v>1</v>
      </c>
      <c r="B12" s="1637"/>
      <c r="C12" s="586" t="s">
        <v>239</v>
      </c>
      <c r="D12" s="1403">
        <f>Clothes_Dryers!A6</f>
        <v>16</v>
      </c>
      <c r="E12" s="572">
        <f>SUMIFS(Clothes_Dryers!$T$12:'Clothes_Dryers'!$T$35,Clothes_Dryers!$K$12:'Clothes_Dryers'!$K$35,E$2)</f>
        <v>0.1562522936091163</v>
      </c>
      <c r="F12" s="573">
        <f>SUMIFS(Clothes_Dryers!$T$12:'Clothes_Dryers'!$T$35, Clothes_Dryers!$K$12:'Clothes_Dryers'!$K$35,F$2)</f>
        <v>0.16441177881992453</v>
      </c>
      <c r="G12" s="574">
        <f t="shared" si="4"/>
        <v>0.32066407242904083</v>
      </c>
      <c r="H12" s="572">
        <f>IF(H$2=2024,0,(SUMIFS(Estimates!$D:$D,Estimates!$A:$A,Selection!$A$2,Estimates!$E:$E,H$2,Estimates!$B:$B,$B$5,Estimates!$C:$C,$C12)))</f>
        <v>0</v>
      </c>
      <c r="I12" s="573">
        <f>IF(I$2=2025,0,(SUMIFS(Estimates!$D:$D,Estimates!$A:$A,Selection!$A$2,Estimates!$E:$E,I$2,Estimates!$B:$B,$B$5,Estimates!$C:$C,$C12)))</f>
        <v>0</v>
      </c>
      <c r="J12" s="574">
        <f t="shared" si="5"/>
        <v>0</v>
      </c>
      <c r="K12" s="563" t="str">
        <f t="shared" si="6"/>
        <v/>
      </c>
      <c r="L12" s="564" t="str">
        <f t="shared" si="2"/>
        <v/>
      </c>
      <c r="M12" s="565" t="str">
        <f t="shared" si="3"/>
        <v/>
      </c>
      <c r="N12" s="1323" t="s">
        <v>2736</v>
      </c>
    </row>
    <row r="13" spans="1:14" s="47" customFormat="1">
      <c r="A13" s="47">
        <v>1</v>
      </c>
      <c r="B13" s="1637"/>
      <c r="C13" s="586" t="s">
        <v>447</v>
      </c>
      <c r="D13" s="1403">
        <f>Room_AC!A6</f>
        <v>9</v>
      </c>
      <c r="E13" s="572">
        <f>SUMIFS(Room_AC!$T$12:'Room_AC'!$T$15,Room_AC!$K$12:'Room_AC'!$K$15,E$2)</f>
        <v>7.4087260467702977E-3</v>
      </c>
      <c r="F13" s="573">
        <f>SUMIFS(Room_AC!$T$12:'Room_AC'!$T$15, Room_AC!$K$12:'Room_AC'!$K$15,F$2)</f>
        <v>1.0537449825907314E-2</v>
      </c>
      <c r="G13" s="574">
        <f t="shared" si="4"/>
        <v>1.7946175872677612E-2</v>
      </c>
      <c r="H13" s="572">
        <f>IF(H$2=2024,0,(SUMIFS(Estimates!$D:$D,Estimates!$A:$A,Selection!$A$2,Estimates!$E:$E,H$2,Estimates!$B:$B,$B$5,Estimates!$C:$C,$C13)))</f>
        <v>0</v>
      </c>
      <c r="I13" s="573">
        <f>IF(I$2=2025,0,(SUMIFS(Estimates!$D:$D,Estimates!$A:$A,Selection!$A$2,Estimates!$E:$E,I$2,Estimates!$B:$B,$B$5,Estimates!$C:$C,$C13)))</f>
        <v>0</v>
      </c>
      <c r="J13" s="574">
        <f t="shared" si="5"/>
        <v>0</v>
      </c>
      <c r="K13" s="563" t="str">
        <f t="shared" si="6"/>
        <v/>
      </c>
      <c r="L13" s="564" t="str">
        <f t="shared" si="2"/>
        <v/>
      </c>
      <c r="M13" s="565" t="str">
        <f t="shared" si="3"/>
        <v/>
      </c>
      <c r="N13" s="1325" t="s">
        <v>2733</v>
      </c>
    </row>
    <row r="14" spans="1:14" s="47" customFormat="1">
      <c r="A14" s="47">
        <v>1</v>
      </c>
      <c r="B14" s="1637"/>
      <c r="C14" s="586" t="s">
        <v>873</v>
      </c>
      <c r="D14" s="1403">
        <f>TVs!A6</f>
        <v>7.0000000000000009</v>
      </c>
      <c r="E14" s="572">
        <f>SUMIFS(TVs!$T$12:'TVs'!$T$15,TVs!$K$12:'TVs'!$K$15,E$2)</f>
        <v>0.3238592492296285</v>
      </c>
      <c r="F14" s="573">
        <f>SUMIFS(TVs!$T$12:'TVs'!$T$15, TVs!$K$12:'TVs'!$K$15,F$2)</f>
        <v>0.34243418146315929</v>
      </c>
      <c r="G14" s="574">
        <f>SUM(E14:F14)</f>
        <v>0.66629343069278779</v>
      </c>
      <c r="H14" s="572">
        <f>IF(H$2=2024,0,(SUMIFS(Estimates!$D:$D,Estimates!$A:$A,Selection!$A$2,Estimates!$E:$E,H$2,Estimates!$B:$B,$B$5,Estimates!$C:$C,$C14)))</f>
        <v>0</v>
      </c>
      <c r="I14" s="573">
        <f>IF(I$2=2025,0,(SUMIFS(Estimates!$D:$D,Estimates!$A:$A,Selection!$A$2,Estimates!$E:$E,I$2,Estimates!$B:$B,$B$5,Estimates!$C:$C,$C14)))</f>
        <v>0</v>
      </c>
      <c r="J14" s="574">
        <f t="shared" si="5"/>
        <v>0</v>
      </c>
      <c r="K14" s="563" t="str">
        <f t="shared" si="6"/>
        <v/>
      </c>
      <c r="L14" s="564" t="str">
        <f t="shared" si="2"/>
        <v/>
      </c>
      <c r="M14" s="565" t="str">
        <f t="shared" si="3"/>
        <v/>
      </c>
      <c r="N14" s="1326" t="s">
        <v>2734</v>
      </c>
    </row>
    <row r="15" spans="1:14" s="47" customFormat="1">
      <c r="B15" s="1637"/>
      <c r="C15" s="1462" t="s">
        <v>872</v>
      </c>
      <c r="D15" s="1403" t="str">
        <f>IFERROR(Air_Cleaners!A6,"TBD")</f>
        <v>TBD</v>
      </c>
      <c r="E15" s="572" t="s">
        <v>286</v>
      </c>
      <c r="F15" s="573" t="s">
        <v>286</v>
      </c>
      <c r="G15" s="574" t="s">
        <v>286</v>
      </c>
      <c r="H15" s="572">
        <f>IF(H$2=2024,0,(SUMIFS(Estimates!$D:$D,Estimates!$A:$A,Selection!$A$2,Estimates!$E:$E,H$2,Estimates!$B:$B,$B$5,Estimates!$C:$C,$C15)))</f>
        <v>0</v>
      </c>
      <c r="I15" s="573">
        <f>IF(I$2=2025,0,(SUMIFS(Estimates!$D:$D,Estimates!$A:$A,Selection!$A$2,Estimates!$E:$E,I$2,Estimates!$B:$B,$B$5,Estimates!$C:$C,$C15)))</f>
        <v>0</v>
      </c>
      <c r="J15" s="574">
        <f>SUM(H15:I15)</f>
        <v>0</v>
      </c>
      <c r="K15" s="563" t="str">
        <f>IFERROR((E15-H15)/H15,"")</f>
        <v/>
      </c>
      <c r="L15" s="564" t="str">
        <f t="shared" ref="L15" si="7">IFERROR((F15-I15)/I15,"")</f>
        <v/>
      </c>
      <c r="M15" s="565" t="str">
        <f t="shared" ref="M15" si="8">IFERROR((G15-J15)/J15,"")</f>
        <v/>
      </c>
      <c r="N15" s="1326" t="s">
        <v>2735</v>
      </c>
    </row>
    <row r="16" spans="1:14" s="47" customFormat="1">
      <c r="B16" s="1638"/>
      <c r="C16" s="1462" t="s">
        <v>249</v>
      </c>
      <c r="D16" s="1403" t="str">
        <f>IFERROR(Soundbars!A6,"TBD")</f>
        <v>TBD</v>
      </c>
      <c r="E16" s="572" t="s">
        <v>286</v>
      </c>
      <c r="F16" s="573" t="s">
        <v>286</v>
      </c>
      <c r="G16" s="574" t="s">
        <v>286</v>
      </c>
      <c r="H16" s="1316">
        <f>IF(H$2=2024,0,(SUMIFS(Estimates!$D:$D,Estimates!$A:$A,Selection!$A$2,Estimates!$E:$E,H$2,Estimates!$B:$B,$B$5,Estimates!$C:$C,$C16)))</f>
        <v>0</v>
      </c>
      <c r="I16" s="1317">
        <f>IF(I$2=2025,0,(SUMIFS(Estimates!$D:$D,Estimates!$A:$A,Selection!$A$2,Estimates!$E:$E,I$2,Estimates!$B:$B,$B$5,Estimates!$C:$C,$C16)))</f>
        <v>0</v>
      </c>
      <c r="J16" s="1318">
        <f t="shared" si="5"/>
        <v>0</v>
      </c>
      <c r="K16" s="1319" t="str">
        <f t="shared" si="6"/>
        <v/>
      </c>
      <c r="L16" s="1320" t="str">
        <f t="shared" si="2"/>
        <v/>
      </c>
      <c r="M16" s="1321" t="str">
        <f t="shared" si="3"/>
        <v/>
      </c>
      <c r="N16" s="1327" t="s">
        <v>286</v>
      </c>
    </row>
    <row r="17" spans="1:21" s="47" customFormat="1" ht="12.75">
      <c r="B17" s="1639" t="s">
        <v>445</v>
      </c>
      <c r="C17" s="605" t="s">
        <v>785</v>
      </c>
      <c r="D17" s="1399"/>
      <c r="E17" s="606">
        <f>SUM(E18:E20)</f>
        <v>9.6514303349428607E-2</v>
      </c>
      <c r="F17" s="607">
        <f>SUM(F18:F20)</f>
        <v>0.10149438617768426</v>
      </c>
      <c r="G17" s="608">
        <f t="shared" si="4"/>
        <v>0.19800868952711287</v>
      </c>
      <c r="H17" s="606">
        <f>SUM(H18:H20)</f>
        <v>0</v>
      </c>
      <c r="I17" s="607">
        <f>SUM(I18:I20)</f>
        <v>0</v>
      </c>
      <c r="J17" s="608">
        <f t="shared" si="5"/>
        <v>0</v>
      </c>
      <c r="K17" s="609" t="str">
        <f t="shared" si="6"/>
        <v/>
      </c>
      <c r="L17" s="610" t="str">
        <f t="shared" si="2"/>
        <v/>
      </c>
      <c r="M17" s="611" t="str">
        <f t="shared" si="3"/>
        <v/>
      </c>
      <c r="N17" s="613"/>
    </row>
    <row r="18" spans="1:21" s="47" customFormat="1">
      <c r="A18" s="47">
        <v>2</v>
      </c>
      <c r="B18" s="1640"/>
      <c r="C18" s="1309" t="s">
        <v>843</v>
      </c>
      <c r="D18" s="1402">
        <f>XMP!A5</f>
        <v>17.106939796216992</v>
      </c>
      <c r="E18" s="1310">
        <f>SUMIFS(XMP!$U$12:$U$63,XMP!$G$12:$G$63,$B$17,XMP!$L$12:$L$63,E$2)</f>
        <v>6.7412751797424647E-2</v>
      </c>
      <c r="F18" s="1311">
        <f>SUMIFS(XMP!$U$12:$U$63,XMP!$G$12:$G$63,$B$17,XMP!$L$12:$L$63,F$2)</f>
        <v>7.0977233268353243E-2</v>
      </c>
      <c r="G18" s="1312">
        <f>SUM(E18:F18)</f>
        <v>0.13838998506577788</v>
      </c>
      <c r="H18" s="1310">
        <f>IF(H$2=2024,0,(SUMIFS(Estimates!$D:$D,Estimates!$A:$A,Selection!$A$2,Estimates!$E:$E,H$2,Estimates!$B:$B,$B$17,Estimates!$C:$C,$C18)))</f>
        <v>0</v>
      </c>
      <c r="I18" s="1311">
        <f>IF(I$2=2025,0,(SUMIFS(Estimates!$D:$D,Estimates!$A:$A,Selection!$A$2,Estimates!$E:$E,I$2,Estimates!$B:$B,$B$17,Estimates!$C:$C,$C18)))</f>
        <v>0</v>
      </c>
      <c r="J18" s="1312">
        <f t="shared" si="5"/>
        <v>0</v>
      </c>
      <c r="K18" s="1313" t="str">
        <f t="shared" si="6"/>
        <v/>
      </c>
      <c r="L18" s="1314" t="str">
        <f t="shared" si="2"/>
        <v/>
      </c>
      <c r="M18" s="1315" t="str">
        <f t="shared" si="3"/>
        <v/>
      </c>
      <c r="N18" s="1337" t="s">
        <v>2725</v>
      </c>
    </row>
    <row r="19" spans="1:21" s="47" customFormat="1">
      <c r="A19" s="47">
        <v>2</v>
      </c>
      <c r="B19" s="1640"/>
      <c r="C19" s="586" t="s">
        <v>2422</v>
      </c>
      <c r="D19" s="1403">
        <f>'High Performance HVAC'!A6</f>
        <v>20.000000000000004</v>
      </c>
      <c r="E19" s="572">
        <f>SUMIFS('High Performance HVAC'!$V$13:$V$32,'High Performance HVAC'!$K$13:$K$32,$E$2)</f>
        <v>1.810780933773592E-3</v>
      </c>
      <c r="F19" s="573" t="s">
        <v>286</v>
      </c>
      <c r="G19" s="574">
        <f>IF(E19="TBD",0)+IF(F19="TBD",0)</f>
        <v>0</v>
      </c>
      <c r="H19" s="572">
        <f>IF(H$2=2024,0,(SUMIFS(Estimates!$D:$D,Estimates!$A:$A,Selection!$A$2,Estimates!$E:$E,H$2,Estimates!$B:$B,$B$17,Estimates!$C:$C,$C19)))</f>
        <v>0</v>
      </c>
      <c r="I19" s="573">
        <f>IF(I$2=2025,0,(SUMIFS(Estimates!$D:$D,Estimates!$A:$A,Selection!$A$2,Estimates!$E:$E,I$2,Estimates!$B:$B,$B$17,Estimates!$C:$C,$C19)))</f>
        <v>0</v>
      </c>
      <c r="J19" s="574">
        <v>0</v>
      </c>
      <c r="K19" s="563"/>
      <c r="L19" s="564"/>
      <c r="M19" s="565"/>
      <c r="N19" s="1326" t="s">
        <v>286</v>
      </c>
    </row>
    <row r="20" spans="1:21" s="47" customFormat="1">
      <c r="A20" s="47">
        <v>2</v>
      </c>
      <c r="B20" s="1641"/>
      <c r="C20" s="1328" t="s">
        <v>132</v>
      </c>
      <c r="D20" s="1404">
        <f>Com_Lighting!A6</f>
        <v>15.000000000000002</v>
      </c>
      <c r="E20" s="1329">
        <f>SUMIFS(Com_Lighting!$T$12:'Com_Lighting'!$T$15,Com_Lighting!$K$12:'Com_Lighting'!$K$15,E$2)</f>
        <v>2.7290770618230362E-2</v>
      </c>
      <c r="F20" s="1330">
        <f>SUMIFS(Com_Lighting!$T$12:'Com_Lighting'!$T$15,Com_Lighting!$K$12:'Com_Lighting'!$K$15,F$2)</f>
        <v>3.0517152909331019E-2</v>
      </c>
      <c r="G20" s="1331">
        <f t="shared" si="4"/>
        <v>5.7807923527561381E-2</v>
      </c>
      <c r="H20" s="1332">
        <f>IF(H$2=2024,0,(SUMIFS(Estimates!$D:$D,Estimates!$A:$A,Selection!$A$2,Estimates!$E:$E,H$2,Estimates!$B:$B,$B$17,Estimates!$C:$C,$C20)))</f>
        <v>0</v>
      </c>
      <c r="I20" s="1333">
        <f>IF(I$2=2025,0,(SUMIFS(Estimates!$D:$D,Estimates!$A:$A,Selection!$A$2,Estimates!$E:$E,I$2,Estimates!$B:$B,$B$17,Estimates!$C:$C,$C20)))</f>
        <v>0</v>
      </c>
      <c r="J20" s="574">
        <f t="shared" si="5"/>
        <v>0</v>
      </c>
      <c r="K20" s="1334" t="str">
        <f t="shared" si="6"/>
        <v/>
      </c>
      <c r="L20" s="1335" t="str">
        <f t="shared" si="2"/>
        <v/>
      </c>
      <c r="M20" s="1336" t="str">
        <f t="shared" si="3"/>
        <v/>
      </c>
      <c r="N20" s="1326" t="s">
        <v>2737</v>
      </c>
    </row>
    <row r="21" spans="1:21" s="47" customFormat="1" ht="12.75">
      <c r="A21" s="1338"/>
      <c r="B21" s="1634" t="s">
        <v>2015</v>
      </c>
      <c r="C21" s="1635"/>
      <c r="D21" s="1401"/>
      <c r="E21" s="1219">
        <f>SUM(E22,E25)</f>
        <v>0.89302008406010125</v>
      </c>
      <c r="F21" s="1220">
        <f>SUM(F22,F25)</f>
        <v>1.3808183758032184</v>
      </c>
      <c r="G21" s="1221">
        <f>SUM(E21:F21)</f>
        <v>2.2738384598633194</v>
      </c>
      <c r="H21" s="575">
        <f>H22+H25</f>
        <v>0</v>
      </c>
      <c r="I21" s="576">
        <f>I22+I25</f>
        <v>0</v>
      </c>
      <c r="J21" s="577">
        <f t="shared" si="5"/>
        <v>0</v>
      </c>
      <c r="K21" s="566" t="str">
        <f t="shared" si="6"/>
        <v/>
      </c>
      <c r="L21" s="567" t="str">
        <f t="shared" si="2"/>
        <v/>
      </c>
      <c r="M21" s="568" t="str">
        <f t="shared" si="3"/>
        <v/>
      </c>
      <c r="N21" s="1339"/>
      <c r="P21" s="475"/>
    </row>
    <row r="22" spans="1:21" s="47" customFormat="1" ht="12.75">
      <c r="B22" s="1636" t="s">
        <v>207</v>
      </c>
      <c r="C22" s="605" t="s">
        <v>785</v>
      </c>
      <c r="D22" s="1399"/>
      <c r="E22" s="606">
        <f>SUM(E23:E24)</f>
        <v>0.53227115063737074</v>
      </c>
      <c r="F22" s="607">
        <f>SUM(F23:F24)</f>
        <v>0.78317610006372773</v>
      </c>
      <c r="G22" s="608">
        <f>SUM(E22:F22)</f>
        <v>1.3154472507010984</v>
      </c>
      <c r="H22" s="606">
        <f>SUM(H23:H24)</f>
        <v>0</v>
      </c>
      <c r="I22" s="607">
        <f>SUM(I23:I24)</f>
        <v>0</v>
      </c>
      <c r="J22" s="608">
        <f>SUM(H22:I22)</f>
        <v>0</v>
      </c>
      <c r="K22" s="609" t="str">
        <f t="shared" ref="K22:M24" si="9">IFERROR((E22-H22)/H22,"")</f>
        <v/>
      </c>
      <c r="L22" s="610" t="str">
        <f t="shared" si="9"/>
        <v/>
      </c>
      <c r="M22" s="611" t="str">
        <f t="shared" si="9"/>
        <v/>
      </c>
      <c r="N22" s="613"/>
    </row>
    <row r="23" spans="1:21" s="47" customFormat="1">
      <c r="A23" s="47">
        <v>1</v>
      </c>
      <c r="B23" s="1637"/>
      <c r="C23" s="1340" t="s">
        <v>1969</v>
      </c>
      <c r="D23" s="1397">
        <f>'New Construction_Regional'!A4</f>
        <v>45</v>
      </c>
      <c r="E23" s="569">
        <f>SUMIFS('New Construction_Regional'!$R$12:$R$47,'New Construction_Regional'!$F$12:$F$47,$B$22,'New Construction_Regional'!$K$12:$K$47,E$2)</f>
        <v>0.50509857235209221</v>
      </c>
      <c r="F23" s="570">
        <f>SUMIFS('New Construction_Regional'!$R$12:$R$47,'New Construction_Regional'!$F$12:$F$47,$B$22,'New Construction_Regional'!$K$12:$K$47,F$2)</f>
        <v>0.7556272206357586</v>
      </c>
      <c r="G23" s="551">
        <f>SUM(E23:F23)</f>
        <v>1.2607257929878508</v>
      </c>
      <c r="H23" s="1310">
        <f>IF(H$2=2024,0,(SUMIFS(Estimates!$D:$D,Estimates!$A:$A,Selection!$A$2,Estimates!$E:$E,H$2,Estimates!$B:$B,$B$22,Estimates!$C:$C,$C23)))</f>
        <v>0</v>
      </c>
      <c r="I23" s="1311">
        <f>IF(I$2=2025,0,(SUMIFS(Estimates!$D:$D,Estimates!$A:$A,Selection!$A$2,Estimates!$E:$E,I$2,Estimates!$B:$B,$B$22,Estimates!$C:$C,$C23)))</f>
        <v>0</v>
      </c>
      <c r="J23" s="1312">
        <f>SUM(H23:I23)</f>
        <v>0</v>
      </c>
      <c r="K23" s="1313" t="str">
        <f t="shared" si="9"/>
        <v/>
      </c>
      <c r="L23" s="1314" t="str">
        <f t="shared" si="9"/>
        <v/>
      </c>
      <c r="M23" s="1315" t="str">
        <f t="shared" si="9"/>
        <v/>
      </c>
      <c r="N23" s="1337" t="s">
        <v>2744</v>
      </c>
      <c r="O23" s="475"/>
    </row>
    <row r="24" spans="1:21" s="47" customFormat="1">
      <c r="A24" s="47">
        <v>1</v>
      </c>
      <c r="B24" s="1637"/>
      <c r="C24" s="1341" t="s">
        <v>2677</v>
      </c>
      <c r="D24" s="1398">
        <f>'Other Products'!A4</f>
        <v>6</v>
      </c>
      <c r="E24" s="569">
        <f>SUMIFS('Other Products'!$T$15:$T$29, 'Other Products'!$F$15:$F$29,$B$22,'Other Products'!$K$15:$K$29,E$2)</f>
        <v>2.717257828527855E-2</v>
      </c>
      <c r="F24" s="570">
        <f>SUMIFS('Other Products'!$T$15:$T$29, 'Other Products'!$F$15:$F$29,$B$22, 'Other Products'!$K$15:$K$29,F$2)</f>
        <v>2.7548879427969124E-2</v>
      </c>
      <c r="G24" s="552">
        <f>SUM(E24:F24)</f>
        <v>5.472145771324767E-2</v>
      </c>
      <c r="H24" s="1316">
        <f>IF(H$2=2024,0,(SUMIFS(Estimates!$D:$D,Estimates!$A:$A,Selection!$A$2,Estimates!$E:$E,H$2,Estimates!$B:$B,$B$22,Estimates!$C:$C,$C24)))</f>
        <v>0</v>
      </c>
      <c r="I24" s="1317">
        <f>IF(I$2=2025,0,(SUMIFS(Estimates!$D:$D,Estimates!$A:$A,Selection!$A$2,Estimates!$E:$E,I$2,Estimates!$B:$B,$B$22,Estimates!$C:$C,$C24)))</f>
        <v>0</v>
      </c>
      <c r="J24" s="1318">
        <f>SUM(H24:I24)</f>
        <v>0</v>
      </c>
      <c r="K24" s="1319" t="str">
        <f t="shared" si="9"/>
        <v/>
      </c>
      <c r="L24" s="1320" t="str">
        <f t="shared" si="9"/>
        <v/>
      </c>
      <c r="M24" s="1321" t="str">
        <f t="shared" si="9"/>
        <v/>
      </c>
      <c r="N24" s="1327" t="s">
        <v>2744</v>
      </c>
    </row>
    <row r="25" spans="1:21" s="47" customFormat="1" ht="12.75">
      <c r="B25" s="1636" t="s">
        <v>445</v>
      </c>
      <c r="C25" s="605" t="s">
        <v>785</v>
      </c>
      <c r="D25" s="1399"/>
      <c r="E25" s="606">
        <f t="shared" ref="E25:F25" si="10">SUM(E26:E27)</f>
        <v>0.36074893342273051</v>
      </c>
      <c r="F25" s="607">
        <f t="shared" si="10"/>
        <v>0.59764227573949058</v>
      </c>
      <c r="G25" s="608">
        <f t="shared" ref="G25:G29" si="11">SUM(E25:F25)</f>
        <v>0.95839120916222109</v>
      </c>
      <c r="H25" s="606">
        <f>SUM(H26:H27)</f>
        <v>0</v>
      </c>
      <c r="I25" s="607">
        <f>SUM(I26:I27)</f>
        <v>0</v>
      </c>
      <c r="J25" s="608">
        <f t="shared" si="5"/>
        <v>0</v>
      </c>
      <c r="K25" s="609" t="str">
        <f t="shared" si="6"/>
        <v/>
      </c>
      <c r="L25" s="610" t="str">
        <f t="shared" si="2"/>
        <v/>
      </c>
      <c r="M25" s="611" t="str">
        <f t="shared" si="3"/>
        <v/>
      </c>
      <c r="N25" s="613"/>
    </row>
    <row r="26" spans="1:21" s="47" customFormat="1">
      <c r="A26" s="47">
        <v>2</v>
      </c>
      <c r="B26" s="1637"/>
      <c r="C26" s="1340" t="s">
        <v>2679</v>
      </c>
      <c r="D26" s="1397">
        <f>'New Construction_Regional'!A5</f>
        <v>20.000000000000004</v>
      </c>
      <c r="E26" s="569">
        <f>SUMIFS('New Construction_Regional'!$R$12:$R$23,'New Construction_Regional'!$F$12:$F$23,$B$25,'New Construction_Regional'!$K$12:$K$23,E$2)</f>
        <v>0.29034131511216571</v>
      </c>
      <c r="F26" s="570">
        <f>SUMIFS('New Construction_Regional'!$R$12:$R$23,'New Construction_Regional'!$F$12:$F$23,$B$25,'New Construction_Regional'!$K$12:$K$23,F$2)</f>
        <v>0.52625674661186617</v>
      </c>
      <c r="G26" s="551">
        <f t="shared" si="11"/>
        <v>0.81659806172403182</v>
      </c>
      <c r="H26" s="1310">
        <f>IF(H$2=2024,0,(SUMIFS(Estimates!$D:$D,Estimates!$A:$A,Selection!$A$2,Estimates!$E:$E,H$2,Estimates!$B:$B,$B$25,Estimates!$C:$C,$C26)))</f>
        <v>0</v>
      </c>
      <c r="I26" s="1311">
        <f>IF(I$2=2025,0,(SUMIFS(Estimates!$D:$D,Estimates!$A:$A,Selection!$A$2,Estimates!$E:$E,I$2,Estimates!$B:$B,$B$25,Estimates!$C:$C,$C26)))</f>
        <v>0</v>
      </c>
      <c r="J26" s="1312">
        <f t="shared" si="5"/>
        <v>0</v>
      </c>
      <c r="K26" s="1313" t="str">
        <f t="shared" si="6"/>
        <v/>
      </c>
      <c r="L26" s="1314" t="str">
        <f t="shared" si="2"/>
        <v/>
      </c>
      <c r="M26" s="1315" t="str">
        <f t="shared" si="3"/>
        <v/>
      </c>
      <c r="N26" s="1337" t="s">
        <v>2744</v>
      </c>
    </row>
    <row r="27" spans="1:21" s="47" customFormat="1">
      <c r="A27" s="47">
        <v>2</v>
      </c>
      <c r="B27" s="1638"/>
      <c r="C27" s="1341" t="s">
        <v>2678</v>
      </c>
      <c r="D27" s="1397">
        <f>'Other Products'!A5</f>
        <v>6</v>
      </c>
      <c r="E27" s="569">
        <f>SUMIFS('Other Products'!$T$15:$T$29,'Other Products'!$F$15:$F$29,$B$25,'Other Products'!$K$15:$K$29,E$2)</f>
        <v>7.0407618310564773E-2</v>
      </c>
      <c r="F27" s="570">
        <f>SUMIFS('Other Products'!$T$15:$T$29,'Other Products'!$F$15:$F$29,$B$25,'Other Products'!$K$15:$K$29,F$2)</f>
        <v>7.1385529127624359E-2</v>
      </c>
      <c r="G27" s="552">
        <f t="shared" si="11"/>
        <v>0.14179314743818913</v>
      </c>
      <c r="H27" s="1316">
        <f>IF(H$2=2024,0,(SUMIFS(Estimates!$D:$D,Estimates!$A:$A,Selection!$A$2,Estimates!$E:$E,H$2,Estimates!$B:$B,$B$25,Estimates!$C:$C,$C27)))</f>
        <v>0</v>
      </c>
      <c r="I27" s="1317">
        <f>IF(I$2=2025,0,(SUMIFS(Estimates!$D:$D,Estimates!$A:$A,Selection!$A$2,Estimates!$E:$E,I$2,Estimates!$B:$B,$B$25,Estimates!$C:$C,$C27)))</f>
        <v>0</v>
      </c>
      <c r="J27" s="1318">
        <f t="shared" si="5"/>
        <v>0</v>
      </c>
      <c r="K27" s="1319" t="str">
        <f>IFERROR((E27-H27)/H27,"")</f>
        <v/>
      </c>
      <c r="L27" s="1320" t="str">
        <f t="shared" ref="L27:M29" si="12">IFERROR((F27-I27)/I27,"")</f>
        <v/>
      </c>
      <c r="M27" s="1321" t="str">
        <f t="shared" ref="M27" si="13">IFERROR((G27-J27)/J27,"")</f>
        <v/>
      </c>
      <c r="N27" s="1342" t="s">
        <v>2744</v>
      </c>
      <c r="Q27" s="451"/>
      <c r="R27" s="451"/>
    </row>
    <row r="28" spans="1:21" s="47" customFormat="1" ht="14.45" customHeight="1">
      <c r="B28" s="1643" t="s">
        <v>29</v>
      </c>
      <c r="C28" s="1478" t="s">
        <v>785</v>
      </c>
      <c r="D28" s="1405"/>
      <c r="E28" s="1343">
        <f>SUM(E29:E29)</f>
        <v>0</v>
      </c>
      <c r="F28" s="1344">
        <f>SUM(F29:F29)</f>
        <v>0</v>
      </c>
      <c r="G28" s="1345">
        <f t="shared" si="11"/>
        <v>0</v>
      </c>
      <c r="H28" s="1343">
        <f>SUM(H29:H29)</f>
        <v>0</v>
      </c>
      <c r="I28" s="1344">
        <f>SUM(I29:I29)</f>
        <v>0</v>
      </c>
      <c r="J28" s="1345">
        <f>SUM(H28:I28)</f>
        <v>0</v>
      </c>
      <c r="K28" s="1346" t="str">
        <f t="shared" ref="K28:K29" si="14">IFERROR((E28-H28)/H28,"")</f>
        <v/>
      </c>
      <c r="L28" s="1347" t="str">
        <f t="shared" si="12"/>
        <v/>
      </c>
      <c r="M28" s="1348" t="str">
        <f t="shared" si="12"/>
        <v/>
      </c>
      <c r="N28" s="1479"/>
      <c r="Q28" s="451"/>
      <c r="R28" s="451"/>
    </row>
    <row r="29" spans="1:21" s="47" customFormat="1">
      <c r="A29" s="47">
        <v>3</v>
      </c>
      <c r="B29" s="1643"/>
      <c r="C29" s="1349" t="s">
        <v>2680</v>
      </c>
      <c r="D29" s="1406" t="str">
        <f>IFERROR('Other Products'!A10,"TBD")</f>
        <v>TBD</v>
      </c>
      <c r="E29" s="1350">
        <f>SUMIFS('Other Products'!$T$15:$T$29,'Other Products'!$F$15:$F$29,$B$28,'Other Products'!$K$15:$K$29,E$2)</f>
        <v>0</v>
      </c>
      <c r="F29" s="1351">
        <f>SUMIFS('Other Products'!$T$15:$T$29,'Other Products'!$F$15:$F$29,$B$28,'Other Products'!$K$15:$K$29,F$2)</f>
        <v>0</v>
      </c>
      <c r="G29" s="1352">
        <f t="shared" si="11"/>
        <v>0</v>
      </c>
      <c r="H29" s="1350">
        <f>IF(H$2=2026,0,(SUMIFS(Estimates!$D:$D,Estimates!$A:$A,Selection!$A$2,Estimates!$E:$E,H$2,Estimates!$B:$B,$B$28,Estimates!$C:$C,$C29)))</f>
        <v>0</v>
      </c>
      <c r="I29" s="1351">
        <f>IF(I$2=2027,0,(SUMIFS(Estimates!$D:$D,Estimates!$A:$A,Selection!$A$2,Estimates!$E:$E,I$2,Estimates!$B:$B,$B$28,Estimates!$C:$C,$C29)))</f>
        <v>0</v>
      </c>
      <c r="J29" s="1352">
        <f t="shared" ref="J29" si="15">SUM(H29:I29)</f>
        <v>0</v>
      </c>
      <c r="K29" s="1353" t="str">
        <f t="shared" si="14"/>
        <v/>
      </c>
      <c r="L29" s="1354" t="str">
        <f t="shared" si="12"/>
        <v/>
      </c>
      <c r="M29" s="1355" t="str">
        <f t="shared" si="12"/>
        <v/>
      </c>
      <c r="N29" s="1480" t="s">
        <v>2744</v>
      </c>
      <c r="Q29" s="451"/>
      <c r="R29" s="451"/>
    </row>
    <row r="30" spans="1:21" ht="73.150000000000006" customHeight="1">
      <c r="B30" s="1645" t="s">
        <v>2819</v>
      </c>
      <c r="C30" s="1645"/>
      <c r="D30" s="1645"/>
      <c r="E30" s="1645"/>
      <c r="F30" s="1645"/>
      <c r="G30" s="1645"/>
      <c r="H30" s="1645"/>
      <c r="I30" s="1645"/>
      <c r="J30" s="1645"/>
      <c r="K30" s="1645"/>
      <c r="L30" s="1645"/>
      <c r="M30" s="1645"/>
      <c r="N30" s="548"/>
      <c r="O30" s="451"/>
      <c r="P30" s="451"/>
      <c r="Q30" s="452"/>
      <c r="R30" s="452"/>
      <c r="S30" s="451"/>
    </row>
    <row r="31" spans="1:21" ht="22.5" customHeight="1">
      <c r="B31" s="593" t="s">
        <v>2283</v>
      </c>
      <c r="C31" s="587"/>
      <c r="D31" s="587"/>
      <c r="E31" s="587"/>
      <c r="F31" s="587"/>
      <c r="G31" s="587"/>
      <c r="H31" s="587"/>
      <c r="I31" s="587"/>
      <c r="J31" s="587"/>
      <c r="K31" s="587"/>
      <c r="L31" s="587"/>
      <c r="M31" s="587"/>
      <c r="N31" s="1445"/>
      <c r="O31" s="451"/>
      <c r="P31" s="451"/>
      <c r="Q31" s="452"/>
      <c r="R31" s="452"/>
      <c r="S31" s="451"/>
      <c r="T31" s="1633"/>
      <c r="U31" s="1633"/>
    </row>
    <row r="32" spans="1:21" ht="53.1" customHeight="1">
      <c r="B32" s="1642" t="s">
        <v>2681</v>
      </c>
      <c r="C32" s="1642"/>
      <c r="D32" s="1642"/>
      <c r="E32" s="1642"/>
      <c r="F32" s="1642"/>
      <c r="G32" s="1642"/>
      <c r="H32" s="1642"/>
      <c r="I32" s="1642"/>
      <c r="J32" s="1642"/>
      <c r="K32" s="1642"/>
      <c r="L32" s="1642"/>
      <c r="M32" s="1642"/>
      <c r="N32" s="549"/>
      <c r="O32" s="451"/>
      <c r="P32" s="451"/>
      <c r="S32" s="451"/>
      <c r="T32" s="1633"/>
      <c r="U32" s="1633"/>
    </row>
    <row r="33" spans="2:21">
      <c r="B33" s="593" t="s">
        <v>449</v>
      </c>
      <c r="C33" s="594"/>
      <c r="D33" s="594"/>
      <c r="E33" s="594"/>
      <c r="F33" s="594"/>
      <c r="G33" s="594"/>
      <c r="H33" s="594"/>
      <c r="I33" s="594"/>
      <c r="J33" s="594"/>
      <c r="K33" s="594"/>
      <c r="L33" s="594"/>
      <c r="M33" s="594"/>
      <c r="N33" s="550"/>
      <c r="O33" s="452"/>
      <c r="P33" s="452"/>
      <c r="S33" s="452"/>
      <c r="T33" s="1633"/>
      <c r="U33" s="1633"/>
    </row>
    <row r="34" spans="2:21" ht="53.1" customHeight="1">
      <c r="B34" s="1627" t="s">
        <v>2567</v>
      </c>
      <c r="C34" s="1627"/>
      <c r="D34" s="1627"/>
      <c r="E34" s="1627"/>
      <c r="F34" s="1627"/>
      <c r="G34" s="1627"/>
      <c r="H34" s="1627"/>
      <c r="I34" s="1627"/>
      <c r="J34" s="1627"/>
      <c r="K34" s="1627"/>
      <c r="L34" s="1627"/>
      <c r="M34" s="1627"/>
      <c r="N34" s="550"/>
      <c r="O34" s="452"/>
      <c r="P34" s="452"/>
      <c r="S34" s="452"/>
      <c r="T34" s="1633"/>
      <c r="U34" s="1633"/>
    </row>
    <row r="35" spans="2:21">
      <c r="B35" s="593" t="s">
        <v>2568</v>
      </c>
      <c r="C35" s="594"/>
      <c r="D35" s="594"/>
      <c r="E35" s="594"/>
      <c r="F35" s="594"/>
      <c r="G35" s="594"/>
      <c r="H35" s="594"/>
      <c r="I35" s="594"/>
      <c r="J35" s="594"/>
      <c r="K35" s="594"/>
      <c r="L35" s="594"/>
      <c r="M35" s="594"/>
    </row>
    <row r="36" spans="2:21" ht="54.6" customHeight="1">
      <c r="B36" s="1627" t="s">
        <v>2569</v>
      </c>
      <c r="C36" s="1627"/>
      <c r="D36" s="1627"/>
      <c r="E36" s="1627"/>
      <c r="F36" s="1627"/>
      <c r="G36" s="1627"/>
      <c r="H36" s="1627"/>
      <c r="I36" s="1627"/>
      <c r="J36" s="1627"/>
      <c r="K36" s="1627"/>
      <c r="L36" s="1627"/>
      <c r="M36" s="1627"/>
    </row>
    <row r="37" spans="2:21">
      <c r="B37" s="593" t="s">
        <v>777</v>
      </c>
      <c r="C37" s="594"/>
      <c r="D37" s="594"/>
      <c r="E37" s="594"/>
      <c r="F37" s="594"/>
      <c r="G37" s="594"/>
      <c r="H37" s="594"/>
      <c r="I37" s="594"/>
      <c r="J37" s="594"/>
      <c r="K37" s="594"/>
      <c r="L37" s="594"/>
      <c r="M37" s="594"/>
    </row>
    <row r="38" spans="2:21" ht="57.75" customHeight="1">
      <c r="B38" s="1627" t="s">
        <v>2732</v>
      </c>
      <c r="C38" s="1627"/>
      <c r="D38" s="1627"/>
      <c r="E38" s="1627"/>
      <c r="F38" s="1627"/>
      <c r="G38" s="1627"/>
      <c r="H38" s="1627"/>
      <c r="I38" s="1627"/>
      <c r="J38" s="1627"/>
      <c r="K38" s="1627"/>
      <c r="L38" s="1627"/>
      <c r="M38" s="1627"/>
    </row>
    <row r="39" spans="2:21">
      <c r="B39" s="405"/>
    </row>
    <row r="40" spans="2:21">
      <c r="B40" s="405"/>
    </row>
    <row r="41" spans="2:21">
      <c r="B41" s="405"/>
    </row>
    <row r="42" spans="2:21">
      <c r="B42" s="405"/>
    </row>
    <row r="43" spans="2:21">
      <c r="B43" s="405"/>
    </row>
    <row r="44" spans="2:21">
      <c r="B44" s="405"/>
    </row>
    <row r="45" spans="2:21">
      <c r="B45" s="405"/>
    </row>
    <row r="46" spans="2:21">
      <c r="B46" s="405"/>
    </row>
    <row r="47" spans="2:21">
      <c r="B47" s="405"/>
    </row>
  </sheetData>
  <mergeCells count="19">
    <mergeCell ref="H1:J1"/>
    <mergeCell ref="B30:M30"/>
    <mergeCell ref="B36:M36"/>
    <mergeCell ref="K1:M1"/>
    <mergeCell ref="E1:G1"/>
    <mergeCell ref="B38:M38"/>
    <mergeCell ref="T34:U34"/>
    <mergeCell ref="B4:C4"/>
    <mergeCell ref="T31:U31"/>
    <mergeCell ref="T32:U32"/>
    <mergeCell ref="T33:U33"/>
    <mergeCell ref="B22:B24"/>
    <mergeCell ref="B25:B27"/>
    <mergeCell ref="B5:B16"/>
    <mergeCell ref="B17:B20"/>
    <mergeCell ref="B21:C21"/>
    <mergeCell ref="B32:M32"/>
    <mergeCell ref="B34:M34"/>
    <mergeCell ref="B28:B29"/>
  </mergeCells>
  <hyperlinks>
    <hyperlink ref="C6" location="DHP!A1" display="Ductless Heat Pumps" xr:uid="{F46A3416-5188-49CA-9598-16A5B965EF48}"/>
    <hyperlink ref="C8" location="HPWH!H1" display="Heat Pump Water Heaters" xr:uid="{EC4797D1-18B0-40CA-8AAA-E60273B76313}"/>
    <hyperlink ref="C7" location="XMP!H1" display="Extended Motor Products" xr:uid="{7F81E377-F52C-4454-AB52-7223A7B0FA6E}"/>
    <hyperlink ref="C9" location="Manufactured_Homes!H1" display="Manufactured Homes" xr:uid="{9E41A3B3-997F-4564-AB06-D0FA6B2D3B85}"/>
    <hyperlink ref="C10" location="Frig_Freezers!H1" display="Refrigerators/Freezers" xr:uid="{2D066E8C-40E1-4257-ADEA-0CE9BFA33476}"/>
    <hyperlink ref="C11" location="Clothes_Washers!H1" display="Clothes Washers" xr:uid="{427DA334-FB08-4BDA-8F95-00357093042F}"/>
    <hyperlink ref="C12" location="Clothes_Dryers!H1" display="Clothes Dryers" xr:uid="{D78654D4-0EE1-4DBF-9917-8A154A08BD9D}"/>
    <hyperlink ref="C13" location="Room_AC!H1" display="Room Air Conditioners" xr:uid="{16C539D3-8252-4CE4-B292-A6C3E0D00ACA}"/>
    <hyperlink ref="C14" location="TVs!H1" display="Televisions" xr:uid="{100A8F7E-6E6C-4D77-97B2-45CA39816EEF}"/>
    <hyperlink ref="C18" location="XMP!H1" display="Extended Motor Products" xr:uid="{2775E836-193A-4EDA-A41F-A3AB87F0AD9D}"/>
    <hyperlink ref="C19" location="'High Performance HVAC'!H1" display="High Performance HVAC" xr:uid="{9CFC7E1E-0EBB-485B-8C34-9EB705EBCC8F}"/>
    <hyperlink ref="C20" location="Com_Lighting!H1" display="Luminaire Level Lighting Controls" xr:uid="{A3177D55-264C-46E2-8742-1E6A5A30B1E6}"/>
    <hyperlink ref="C23" location="'New Construction'!A1" display="Residential New Construction" xr:uid="{5C304B12-A1F4-4407-8E33-6EE85386B8E1}"/>
    <hyperlink ref="C24" location="'Other Products'!A1" display="Consumer Products (Standards)" xr:uid="{732E0CA2-10F2-4CD2-9E23-CBDE402797E3}"/>
    <hyperlink ref="C26" location="'New Construction'!A1" display="Commercial New Construction" xr:uid="{C0B11E2D-D660-4916-AA2A-05C181A917D2}"/>
    <hyperlink ref="C27" location="'Other Products'!A1" display="Commercial Products (Standards)" xr:uid="{ACCDAF2E-1E1F-4633-9B6D-D92A7CF5BDB1}"/>
    <hyperlink ref="C29" location="'Other Products'!A1" display="Industrial Products (Standards)" xr:uid="{784FC410-2FC9-4804-89CD-FE7FC417DB06}"/>
  </hyperlinks>
  <pageMargins left="0.7" right="0.7" top="0.75" bottom="0.75" header="0.3" footer="0.3"/>
  <pageSetup orientation="portrait" r:id="rId1"/>
  <ignoredErrors>
    <ignoredError sqref="G17 G22:G2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63C3D-2AB6-4718-885F-5D1364E6F467}">
  <sheetPr>
    <tabColor rgb="FF8CC646"/>
  </sheetPr>
  <dimension ref="A1:N48"/>
  <sheetViews>
    <sheetView showGridLines="0" topLeftCell="B1" zoomScaleNormal="100" workbookViewId="0">
      <selection activeCell="B1" sqref="B1:G1"/>
    </sheetView>
  </sheetViews>
  <sheetFormatPr defaultRowHeight="15" outlineLevelCol="1"/>
  <cols>
    <col min="1" max="1" width="9.140625" hidden="1" customWidth="1" outlineLevel="1"/>
    <col min="2" max="2" width="14" customWidth="1" collapsed="1"/>
    <col min="3" max="3" width="36.5703125" customWidth="1"/>
    <col min="4" max="4" width="8.5703125" customWidth="1"/>
    <col min="5" max="7" width="12.42578125" customWidth="1"/>
  </cols>
  <sheetData>
    <row r="1" spans="1:7" ht="44.25" customHeight="1">
      <c r="B1" s="1650" t="s">
        <v>2794</v>
      </c>
      <c r="C1" s="1650"/>
      <c r="D1" s="1650"/>
      <c r="E1" s="1651"/>
      <c r="F1" s="1651"/>
      <c r="G1" s="1651"/>
    </row>
    <row r="2" spans="1:7" ht="41.25" customHeight="1">
      <c r="C2" s="1473"/>
      <c r="D2" s="1367"/>
      <c r="E2" s="1653" t="s">
        <v>2747</v>
      </c>
      <c r="F2" s="1654"/>
      <c r="G2" s="1654"/>
    </row>
    <row r="3" spans="1:7" s="47" customFormat="1" ht="15.75" customHeight="1">
      <c r="B3" s="1481" t="str">
        <f>IF(Selection!A2="Avista Utilities",Selection!A2&amp;"' Funding Share",Selection!A2&amp;"'s Funding Share")</f>
        <v>Puget Sound Energy's Funding Share</v>
      </c>
      <c r="C3" s="1473"/>
      <c r="D3" s="1367"/>
      <c r="E3" s="1306">
        <v>2026</v>
      </c>
      <c r="F3" s="628">
        <v>2027</v>
      </c>
      <c r="G3" s="629" t="s">
        <v>785</v>
      </c>
    </row>
    <row r="4" spans="1:7" s="47" customFormat="1">
      <c r="B4" s="553" t="s">
        <v>2564</v>
      </c>
      <c r="C4" s="554"/>
      <c r="D4" s="555"/>
      <c r="E4" s="1361">
        <f>SUM(E5,E22)</f>
        <v>4.2634484375903545</v>
      </c>
      <c r="F4" s="556">
        <f>SUM(F5,F22)</f>
        <v>4.5432589836887436</v>
      </c>
      <c r="G4" s="557">
        <f>SUM(G5,G22)</f>
        <v>8.8067074212790963</v>
      </c>
    </row>
    <row r="5" spans="1:7" s="47" customFormat="1" ht="12.75">
      <c r="A5" s="47" t="s">
        <v>2682</v>
      </c>
      <c r="B5" s="1634" t="s">
        <v>449</v>
      </c>
      <c r="C5" s="1635"/>
      <c r="D5" s="1360" t="s">
        <v>2562</v>
      </c>
      <c r="E5" s="1219">
        <f t="shared" ref="E5:G5" si="0">SUM(E6,E18)</f>
        <v>2.3733456956081667</v>
      </c>
      <c r="F5" s="1220">
        <f t="shared" si="0"/>
        <v>2.6064033197678791</v>
      </c>
      <c r="G5" s="1221">
        <f t="shared" si="0"/>
        <v>4.9797490153760453</v>
      </c>
    </row>
    <row r="6" spans="1:7" s="47" customFormat="1" ht="12.75">
      <c r="B6" s="1636" t="s">
        <v>207</v>
      </c>
      <c r="C6" s="605" t="s">
        <v>785</v>
      </c>
      <c r="D6" s="605"/>
      <c r="E6" s="606">
        <f>SUM(E7:E17)</f>
        <v>2.2659041084028302</v>
      </c>
      <c r="F6" s="607">
        <f>SUM(F7:F17)</f>
        <v>2.4924205695584161</v>
      </c>
      <c r="G6" s="608">
        <f t="shared" ref="G6:G21" si="1">SUM(E6:F6)</f>
        <v>4.7583246779612463</v>
      </c>
    </row>
    <row r="7" spans="1:7" s="47" customFormat="1">
      <c r="A7" s="47">
        <v>1</v>
      </c>
      <c r="B7" s="1637"/>
      <c r="C7" s="601" t="s">
        <v>139</v>
      </c>
      <c r="D7" s="1395">
        <f>DHP!A7</f>
        <v>15.000000000000004</v>
      </c>
      <c r="E7" s="602">
        <f>SUMIFS(DHP!$T$12:'DHP'!$T$23,DHP!$K$12:'DHP'!$K$23,E$3)</f>
        <v>0.42200670385839634</v>
      </c>
      <c r="F7" s="603">
        <f>SUMIFS(DHP!$T$12:'DHP'!$T$23,DHP!$K$12:'DHP'!$K$23,F$3)</f>
        <v>0.4005660928298958</v>
      </c>
      <c r="G7" s="604">
        <f t="shared" si="1"/>
        <v>0.82257279668829208</v>
      </c>
    </row>
    <row r="8" spans="1:7" s="47" customFormat="1">
      <c r="A8" s="47">
        <v>1</v>
      </c>
      <c r="B8" s="1637"/>
      <c r="C8" s="585" t="s">
        <v>843</v>
      </c>
      <c r="D8" s="1396">
        <f>XMP!A7</f>
        <v>11.500000000000002</v>
      </c>
      <c r="E8" s="569">
        <f>SUMIFS(XMP!$U$12:$U$63,XMP!$G$12:$G$63,$B$6,XMP!$L$12:$L$63,E$3)</f>
        <v>0.1097623475030334</v>
      </c>
      <c r="F8" s="570">
        <f>SUMIFS(XMP!$U$12:$U$63,XMP!$G$12:$G$63,$B$6,XMP!$L$12:$L$63,F$3)</f>
        <v>0.12073882425378371</v>
      </c>
      <c r="G8" s="571">
        <f>SUM(E8:F8)</f>
        <v>0.23050117175681711</v>
      </c>
    </row>
    <row r="9" spans="1:7" s="47" customFormat="1">
      <c r="A9" s="47">
        <v>1</v>
      </c>
      <c r="B9" s="1637"/>
      <c r="C9" s="585" t="s">
        <v>141</v>
      </c>
      <c r="D9" s="1396">
        <f>HPWH!A7</f>
        <v>13</v>
      </c>
      <c r="E9" s="569">
        <f>SUMIFS(HPWH!$U$12:'HPWH'!$U$12:$U$75,HPWH!$K$12:'HPWH'!$K$12:$K$75,E$3)</f>
        <v>0.52410331982392366</v>
      </c>
      <c r="F9" s="570">
        <f>SUMIFS(HPWH!$U$12:'HPWH'!$U$12:$U$75,HPWH!$K$12:'HPWH'!$K$12:$K$75,F$3)</f>
        <v>0.6182168474554024</v>
      </c>
      <c r="G9" s="571">
        <f>SUM(E9:F9)</f>
        <v>1.1423201672793262</v>
      </c>
    </row>
    <row r="10" spans="1:7" s="47" customFormat="1">
      <c r="A10" s="47">
        <v>1</v>
      </c>
      <c r="B10" s="1637"/>
      <c r="C10" s="585" t="s">
        <v>680</v>
      </c>
      <c r="D10" s="1397">
        <f>Manufactured_Homes!A7</f>
        <v>42</v>
      </c>
      <c r="E10" s="569">
        <f>SUMIFS(Manufactured_Homes!$U$12:$U$19,Manufactured_Homes!$K$12:$K$19,E$3)</f>
        <v>2.1356493760036833E-2</v>
      </c>
      <c r="F10" s="570">
        <f>SUMIFS(Manufactured_Homes!$U$12:$U$19,Manufactured_Homes!$K$12:$K$19,F$3)</f>
        <v>2.2567925686827455E-2</v>
      </c>
      <c r="G10" s="571">
        <f t="shared" si="1"/>
        <v>4.3924419446864288E-2</v>
      </c>
    </row>
    <row r="11" spans="1:7" s="47" customFormat="1">
      <c r="A11" s="47">
        <v>1</v>
      </c>
      <c r="B11" s="1637"/>
      <c r="C11" s="585" t="s">
        <v>1997</v>
      </c>
      <c r="D11" s="1397">
        <f>Frig_Freezers!A7</f>
        <v>15.2</v>
      </c>
      <c r="E11" s="569">
        <f>SUMIFS(Frig_Freezers!$T$12:'Frig_Freezers'!$T$31, Frig_Freezers!$K$12:'Frig_Freezers'!$K$31,E$3)</f>
        <v>0.27746069227475267</v>
      </c>
      <c r="F11" s="570">
        <f>SUMIFS(Frig_Freezers!$T$12:'Frig_Freezers'!$T$31, Frig_Freezers!$K$12:'Frig_Freezers'!$K$31,F$3)</f>
        <v>0.33033883832445177</v>
      </c>
      <c r="G11" s="571">
        <f t="shared" si="1"/>
        <v>0.60779953059920444</v>
      </c>
    </row>
    <row r="12" spans="1:7" s="47" customFormat="1">
      <c r="A12" s="47">
        <v>1</v>
      </c>
      <c r="B12" s="1637"/>
      <c r="C12" s="585" t="s">
        <v>137</v>
      </c>
      <c r="D12" s="1397">
        <f>Clothes_Washers!A7</f>
        <v>13.999999999999998</v>
      </c>
      <c r="E12" s="569">
        <f>SUMIFS(Clothes_Washers!$T$12:'Clothes_Washers'!$T$23, Clothes_Washers!$K$12:'Clothes_Washers'!$K$23,E$3)</f>
        <v>0.33548822588065846</v>
      </c>
      <c r="F12" s="570">
        <f>SUMIFS(Clothes_Washers!$T$12:'Clothes_Washers'!$T$23, Clothes_Washers!$K$12:'Clothes_Washers'!$K$23,F$3)</f>
        <v>0.3423759625071493</v>
      </c>
      <c r="G12" s="571">
        <f t="shared" si="1"/>
        <v>0.67786418838780782</v>
      </c>
    </row>
    <row r="13" spans="1:7" s="47" customFormat="1">
      <c r="A13" s="47">
        <v>1</v>
      </c>
      <c r="B13" s="1637"/>
      <c r="C13" s="585" t="s">
        <v>239</v>
      </c>
      <c r="D13" s="1397">
        <f>Clothes_Dryers!A7</f>
        <v>15.999999999999998</v>
      </c>
      <c r="E13" s="569">
        <f>SUMIFS(Clothes_Dryers!$T$12:'Clothes_Dryers'!$T$35, Clothes_Dryers!$K$12:'Clothes_Dryers'!$K$35,E$3)</f>
        <v>0.20064289562564139</v>
      </c>
      <c r="F13" s="570">
        <f>SUMIFS(Clothes_Dryers!$T$12:'Clothes_Dryers'!$T$35, Clothes_Dryers!$K$12:'Clothes_Dryers'!$K$35,F$3)</f>
        <v>0.25512866382665866</v>
      </c>
      <c r="G13" s="571">
        <f t="shared" si="1"/>
        <v>0.45577155945230008</v>
      </c>
    </row>
    <row r="14" spans="1:7" s="47" customFormat="1">
      <c r="A14" s="47">
        <v>1</v>
      </c>
      <c r="B14" s="1637"/>
      <c r="C14" s="585" t="s">
        <v>447</v>
      </c>
      <c r="D14" s="1397">
        <f>Room_AC!A7</f>
        <v>9</v>
      </c>
      <c r="E14" s="569">
        <f>SUMIFS(Room_AC!$T$12:'Room_AC'!$T$15, Room_AC!$K$12:'Room_AC'!$K$15,E$3)</f>
        <v>1.3034543520522275E-2</v>
      </c>
      <c r="F14" s="570">
        <f>SUMIFS(Room_AC!$T$12:'Room_AC'!$T$15, Room_AC!$K$12:'Room_AC'!$K$15,F$3)</f>
        <v>1.3443842090982807E-2</v>
      </c>
      <c r="G14" s="571">
        <f t="shared" si="1"/>
        <v>2.6478385611505083E-2</v>
      </c>
    </row>
    <row r="15" spans="1:7" s="47" customFormat="1">
      <c r="A15" s="47">
        <v>1</v>
      </c>
      <c r="B15" s="1637"/>
      <c r="C15" s="585" t="s">
        <v>873</v>
      </c>
      <c r="D15" s="1397">
        <f>TVs!A7</f>
        <v>7</v>
      </c>
      <c r="E15" s="569">
        <f>SUMIFS(TVs!$T$12:'TVs'!$T$15, TVs!$K$12:'TVs'!$K$15,E$3)</f>
        <v>0.36204888615586506</v>
      </c>
      <c r="F15" s="570">
        <f>SUMIFS(TVs!$T$12:'TVs'!$T$15, TVs!$K$12:'TVs'!$K$15,F$3)</f>
        <v>0.38904357258326439</v>
      </c>
      <c r="G15" s="571">
        <f>SUM(E15:F15)</f>
        <v>0.75109245873912944</v>
      </c>
    </row>
    <row r="16" spans="1:7" s="47" customFormat="1">
      <c r="B16" s="1637"/>
      <c r="C16" s="1461" t="s">
        <v>872</v>
      </c>
      <c r="D16" s="1397" t="str">
        <f>IFERROR(Air_Cleaners!A7,"TBD")</f>
        <v>TBD</v>
      </c>
      <c r="E16" s="569" t="s">
        <v>286</v>
      </c>
      <c r="F16" s="570" t="s">
        <v>286</v>
      </c>
      <c r="G16" s="571">
        <f>IF(E16="TBD",0)+IF(F16="TBD",0)</f>
        <v>0</v>
      </c>
    </row>
    <row r="17" spans="1:14" s="47" customFormat="1">
      <c r="B17" s="639"/>
      <c r="C17" s="1461" t="s">
        <v>249</v>
      </c>
      <c r="D17" s="1397" t="str">
        <f>IFERROR(Soundbars!A7,"TBD")</f>
        <v>TBD</v>
      </c>
      <c r="E17" s="569" t="s">
        <v>286</v>
      </c>
      <c r="F17" s="570" t="s">
        <v>286</v>
      </c>
      <c r="G17" s="571">
        <f>IF(E17="TBD",0)+IF(F17="TBD",0)</f>
        <v>0</v>
      </c>
    </row>
    <row r="18" spans="1:14" s="47" customFormat="1" ht="12.75">
      <c r="B18" s="1639" t="s">
        <v>445</v>
      </c>
      <c r="C18" s="605" t="s">
        <v>785</v>
      </c>
      <c r="D18" s="1399"/>
      <c r="E18" s="606">
        <f>SUM(E19:E21)</f>
        <v>0.10744158720533631</v>
      </c>
      <c r="F18" s="607">
        <f>SUM(F19:F21)</f>
        <v>0.11398275020946293</v>
      </c>
      <c r="G18" s="608">
        <f>SUM(E18:F18)</f>
        <v>0.22142433741479922</v>
      </c>
    </row>
    <row r="19" spans="1:14" s="47" customFormat="1">
      <c r="A19" s="47">
        <v>2</v>
      </c>
      <c r="B19" s="1640"/>
      <c r="C19" s="586" t="s">
        <v>843</v>
      </c>
      <c r="D19" s="1396">
        <f>XMP!A8</f>
        <v>16.834353418864136</v>
      </c>
      <c r="E19" s="569">
        <f>SUMIFS(XMP!$U$12:$U$63,XMP!$G$12:$G$63,$B$18,XMP!$L$12:$L$63,E$3)</f>
        <v>7.3316621123602488E-2</v>
      </c>
      <c r="F19" s="570">
        <f>SUMIFS(XMP!$U$12:$U$63,XMP!$G$12:$G$63,$B$18,XMP!$L$12:$L$63,F$3)</f>
        <v>7.5823446373376541E-2</v>
      </c>
      <c r="G19" s="571">
        <f>SUM(E19:F19)</f>
        <v>0.14914006749697903</v>
      </c>
    </row>
    <row r="20" spans="1:14" s="47" customFormat="1">
      <c r="A20" s="47">
        <v>2</v>
      </c>
      <c r="B20" s="1640"/>
      <c r="C20" s="586" t="s">
        <v>2422</v>
      </c>
      <c r="D20" s="1397">
        <f>'High Performance HVAC'!A7</f>
        <v>20</v>
      </c>
      <c r="E20" s="569" t="s">
        <v>286</v>
      </c>
      <c r="F20" s="570" t="s">
        <v>286</v>
      </c>
      <c r="G20" s="571">
        <f>IF(E20="TBD",0)+IF(F20="TBD",0)</f>
        <v>0</v>
      </c>
    </row>
    <row r="21" spans="1:14" s="47" customFormat="1">
      <c r="A21" s="47">
        <v>2</v>
      </c>
      <c r="B21" s="1641"/>
      <c r="C21" s="1328" t="s">
        <v>132</v>
      </c>
      <c r="D21" s="1400">
        <f>Com_Lighting!A7</f>
        <v>15.000000000000002</v>
      </c>
      <c r="E21" s="640">
        <f>SUMIFS(Com_Lighting!$T$12:'Com_Lighting'!$T$16,Com_Lighting!$K$12:'Com_Lighting'!$K$16,E$3)</f>
        <v>3.4124966081733821E-2</v>
      </c>
      <c r="F21" s="641">
        <f>SUMIFS(Com_Lighting!$T$12:'Com_Lighting'!$T$16,Com_Lighting!$K$12:'Com_Lighting'!$K$16,F$3)</f>
        <v>3.8159303836086386E-2</v>
      </c>
      <c r="G21" s="642">
        <f t="shared" si="1"/>
        <v>7.2284269917820207E-2</v>
      </c>
    </row>
    <row r="22" spans="1:14" s="47" customFormat="1" ht="12.75">
      <c r="B22" s="1634" t="s">
        <v>2015</v>
      </c>
      <c r="C22" s="1635"/>
      <c r="D22" s="1401"/>
      <c r="E22" s="1219">
        <f>SUM(E23,E26)</f>
        <v>1.8901027419821879</v>
      </c>
      <c r="F22" s="1220">
        <f t="shared" ref="F22" si="2">SUM(F23,F26)</f>
        <v>1.9368556639208643</v>
      </c>
      <c r="G22" s="1221">
        <f>SUM(E22:F22)</f>
        <v>3.8269584059030519</v>
      </c>
    </row>
    <row r="23" spans="1:14" s="47" customFormat="1" ht="12.75">
      <c r="B23" s="1636" t="s">
        <v>207</v>
      </c>
      <c r="C23" s="605" t="s">
        <v>785</v>
      </c>
      <c r="D23" s="1399"/>
      <c r="E23" s="606">
        <f>SUM(E24:E25)</f>
        <v>1.0848836093334513</v>
      </c>
      <c r="F23" s="607">
        <f t="shared" ref="F23" si="3">SUM(F24:F25)</f>
        <v>1.0929179550359822</v>
      </c>
      <c r="G23" s="608">
        <f t="shared" ref="G23:G30" si="4">SUM(E23:F23)</f>
        <v>2.1778015643694335</v>
      </c>
    </row>
    <row r="24" spans="1:14" s="47" customFormat="1">
      <c r="A24" s="47">
        <v>1</v>
      </c>
      <c r="B24" s="1637"/>
      <c r="C24" s="1362" t="s">
        <v>1969</v>
      </c>
      <c r="D24" s="1397">
        <f>'New Construction_WA'!A7</f>
        <v>44.999999999999993</v>
      </c>
      <c r="E24" s="569">
        <f>SUMIFS('New Construction_WA'!$R$12:$R$23,'New Construction_WA'!$F$12:$F$23,$B$23,'New Construction_WA'!$K$12:$K$23,E$3)</f>
        <v>1.0569584287627969</v>
      </c>
      <c r="F24" s="570">
        <f>SUMIFS('New Construction_WA'!$R$12:$R$23,'New Construction_WA'!$F$12:$F$23,$B$23,'New Construction_WA'!$K$12:$K$23,F$3)</f>
        <v>1.0717057135739236</v>
      </c>
      <c r="G24" s="551">
        <f t="shared" si="4"/>
        <v>2.1286641423367207</v>
      </c>
    </row>
    <row r="25" spans="1:14" s="47" customFormat="1">
      <c r="A25" s="47">
        <v>1</v>
      </c>
      <c r="B25" s="1637"/>
      <c r="C25" s="1362" t="s">
        <v>2677</v>
      </c>
      <c r="D25" s="1398">
        <f>'Other Products'!A8</f>
        <v>6</v>
      </c>
      <c r="E25" s="569">
        <f>SUMIFS('Other Products'!$T$15:$T$29, 'Other Products'!$F$15:$F$29,$B$23, 'Other Products'!$K$15:$K$29,E$3)</f>
        <v>2.7925180570654483E-2</v>
      </c>
      <c r="F25" s="570">
        <f>SUMIFS('Other Products'!$T$14:$T$29,'Other Products'!$F$14:$F$29,$B$23,'Other Products'!$K$14:$K$29,F$3)</f>
        <v>2.1212241462058558E-2</v>
      </c>
      <c r="G25" s="552">
        <f t="shared" si="4"/>
        <v>4.9137422032713041E-2</v>
      </c>
    </row>
    <row r="26" spans="1:14" s="47" customFormat="1" ht="12.75">
      <c r="B26" s="1636" t="s">
        <v>445</v>
      </c>
      <c r="C26" s="605" t="s">
        <v>785</v>
      </c>
      <c r="D26" s="1399"/>
      <c r="E26" s="606">
        <f t="shared" ref="E26:F26" si="5">SUM(E27:E28)</f>
        <v>0.80521913264873668</v>
      </c>
      <c r="F26" s="607">
        <f t="shared" si="5"/>
        <v>0.84393770888488207</v>
      </c>
      <c r="G26" s="608">
        <f t="shared" si="4"/>
        <v>1.6491568415336189</v>
      </c>
    </row>
    <row r="27" spans="1:14" s="47" customFormat="1">
      <c r="A27" s="47">
        <v>2</v>
      </c>
      <c r="B27" s="1637"/>
      <c r="C27" s="1362" t="s">
        <v>2679</v>
      </c>
      <c r="D27" s="1397">
        <f>'New Construction_WA'!A8</f>
        <v>20</v>
      </c>
      <c r="E27" s="569">
        <f>SUMIFS('New Construction_WA'!$R$12:$R$23,'New Construction_WA'!$F$12:$F$23,$B$26,'New Construction_WA'!$K$12:$K$23,E$3)</f>
        <v>0.73285569270405271</v>
      </c>
      <c r="F27" s="570">
        <f>SUMIFS('New Construction_WA'!$R$12:$R$23,'New Construction_WA'!$F$12:$F$23,$B$26,'New Construction_WA'!$K$12:$K$23,F$3)</f>
        <v>0.78889772270565728</v>
      </c>
      <c r="G27" s="551">
        <f t="shared" si="4"/>
        <v>1.5217534154097101</v>
      </c>
    </row>
    <row r="28" spans="1:14" s="47" customFormat="1">
      <c r="A28" s="47">
        <v>2</v>
      </c>
      <c r="B28" s="1638"/>
      <c r="C28" s="1362" t="s">
        <v>2678</v>
      </c>
      <c r="D28" s="1397">
        <f>'Other Products'!A9</f>
        <v>6</v>
      </c>
      <c r="E28" s="569">
        <f>SUMIFS('Other Products'!$T$15:$T$29,'Other Products'!$F$15:$F$29,$B$26,'Other Products'!$K$15:$K$29,E$3)</f>
        <v>7.2363439944683958E-2</v>
      </c>
      <c r="F28" s="570">
        <f>SUMIFS('Other Products'!$T$15:$T$29,'Other Products'!$F$15:$F$29,$B$26,'Other Products'!$K$15:$K$29,F$3)</f>
        <v>5.5039986179224759E-2</v>
      </c>
      <c r="G28" s="552">
        <f t="shared" si="4"/>
        <v>0.1274034261239087</v>
      </c>
    </row>
    <row r="29" spans="1:14" s="47" customFormat="1" ht="12.75">
      <c r="B29" s="1643" t="s">
        <v>29</v>
      </c>
      <c r="C29" s="1223" t="s">
        <v>785</v>
      </c>
      <c r="D29" s="1399"/>
      <c r="E29" s="606">
        <f>SUM(E30:E30)</f>
        <v>0</v>
      </c>
      <c r="F29" s="607">
        <f>SUM(F30:F30)</f>
        <v>0</v>
      </c>
      <c r="G29" s="608">
        <f t="shared" si="4"/>
        <v>0</v>
      </c>
    </row>
    <row r="30" spans="1:14" s="47" customFormat="1">
      <c r="A30" s="47">
        <v>3</v>
      </c>
      <c r="B30" s="1643"/>
      <c r="C30" s="1363" t="s">
        <v>2680</v>
      </c>
      <c r="D30" s="1364" t="str">
        <f>IFERROR('Other Products'!A10,"TBD")</f>
        <v>TBD</v>
      </c>
      <c r="E30" s="1308">
        <f>SUMIFS('Other Products'!$T$15:$T$29,'Other Products'!$F$15:$F$29,$B$29,'Other Products'!$K$15:$K$29,E$3)</f>
        <v>0</v>
      </c>
      <c r="F30" s="1224">
        <f>SUMIFS('Other Products'!$T$15:$T$29,'Other Products'!$F$15:$F$29,$B$29,'Other Products'!$K$15:$K$29,F$3)</f>
        <v>0</v>
      </c>
      <c r="G30" s="552">
        <f t="shared" si="4"/>
        <v>0</v>
      </c>
    </row>
    <row r="31" spans="1:14" ht="82.15" customHeight="1">
      <c r="B31" s="1652" t="s">
        <v>2822</v>
      </c>
      <c r="C31" s="1652"/>
      <c r="D31" s="1652"/>
      <c r="E31" s="1652"/>
      <c r="F31" s="1652"/>
      <c r="G31" s="1652"/>
      <c r="H31" s="451"/>
      <c r="I31" s="451"/>
      <c r="J31" s="451"/>
      <c r="K31" s="451"/>
    </row>
    <row r="32" spans="1:14" ht="22.5" customHeight="1">
      <c r="B32" s="593" t="s">
        <v>2283</v>
      </c>
      <c r="C32" s="587"/>
      <c r="D32" s="587"/>
      <c r="E32" s="587"/>
      <c r="F32" s="587"/>
      <c r="G32" s="587"/>
      <c r="H32" s="451"/>
      <c r="I32" s="451"/>
      <c r="J32" s="451"/>
      <c r="K32" s="451"/>
      <c r="L32" s="451"/>
      <c r="M32" s="1633"/>
      <c r="N32" s="1633"/>
    </row>
    <row r="33" spans="2:14" ht="53.1" customHeight="1">
      <c r="B33" s="1642" t="s">
        <v>2681</v>
      </c>
      <c r="C33" s="1642"/>
      <c r="D33" s="1642"/>
      <c r="E33" s="1642"/>
      <c r="F33" s="1642"/>
      <c r="G33" s="1642"/>
      <c r="H33" s="451"/>
      <c r="I33" s="451"/>
      <c r="J33" s="451"/>
      <c r="K33" s="451"/>
      <c r="L33" s="451"/>
      <c r="M33" s="1633"/>
      <c r="N33" s="1633"/>
    </row>
    <row r="34" spans="2:14">
      <c r="B34" s="593" t="s">
        <v>449</v>
      </c>
      <c r="C34" s="594"/>
      <c r="D34" s="594"/>
      <c r="E34" s="594"/>
      <c r="F34" s="594"/>
      <c r="G34" s="594"/>
      <c r="H34" s="452"/>
      <c r="I34" s="452"/>
      <c r="J34" s="452"/>
      <c r="K34" s="452"/>
      <c r="L34" s="1633"/>
      <c r="M34" s="1633"/>
    </row>
    <row r="35" spans="2:14" ht="53.1" customHeight="1">
      <c r="B35" s="1627" t="s">
        <v>2567</v>
      </c>
      <c r="C35" s="1627"/>
      <c r="D35" s="1627"/>
      <c r="E35" s="1627"/>
      <c r="F35" s="1627"/>
      <c r="G35" s="1627"/>
      <c r="H35" s="452"/>
      <c r="I35" s="452"/>
      <c r="J35" s="452"/>
      <c r="K35" s="452"/>
      <c r="L35" s="1633"/>
      <c r="M35" s="1633"/>
    </row>
    <row r="36" spans="2:14">
      <c r="B36" s="593" t="s">
        <v>2568</v>
      </c>
      <c r="C36" s="594"/>
      <c r="D36" s="594"/>
      <c r="E36" s="594"/>
      <c r="F36" s="594"/>
      <c r="G36" s="594"/>
    </row>
    <row r="37" spans="2:14" ht="54.6" customHeight="1">
      <c r="B37" s="1627" t="s">
        <v>2569</v>
      </c>
      <c r="C37" s="1627"/>
      <c r="D37" s="1627"/>
      <c r="E37" s="1627"/>
      <c r="F37" s="1627"/>
      <c r="G37" s="1627"/>
    </row>
    <row r="40" spans="2:14">
      <c r="B40" s="405"/>
    </row>
    <row r="41" spans="2:14">
      <c r="B41" s="405"/>
    </row>
    <row r="42" spans="2:14">
      <c r="B42" s="405"/>
    </row>
    <row r="43" spans="2:14">
      <c r="B43" s="405"/>
    </row>
    <row r="44" spans="2:14">
      <c r="B44" s="405"/>
    </row>
    <row r="45" spans="2:14">
      <c r="B45" s="405"/>
    </row>
    <row r="46" spans="2:14">
      <c r="B46" s="405"/>
    </row>
    <row r="47" spans="2:14">
      <c r="B47" s="405"/>
    </row>
    <row r="48" spans="2:14">
      <c r="B48" s="405"/>
    </row>
  </sheetData>
  <mergeCells count="17">
    <mergeCell ref="M32:N32"/>
    <mergeCell ref="B33:G33"/>
    <mergeCell ref="M33:N33"/>
    <mergeCell ref="B37:G37"/>
    <mergeCell ref="L34:M34"/>
    <mergeCell ref="B35:G35"/>
    <mergeCell ref="L35:M35"/>
    <mergeCell ref="B1:G1"/>
    <mergeCell ref="B31:G31"/>
    <mergeCell ref="E2:G2"/>
    <mergeCell ref="B5:C5"/>
    <mergeCell ref="B18:B21"/>
    <mergeCell ref="B22:C22"/>
    <mergeCell ref="B23:B25"/>
    <mergeCell ref="B26:B28"/>
    <mergeCell ref="B6:B16"/>
    <mergeCell ref="B29:B30"/>
  </mergeCells>
  <hyperlinks>
    <hyperlink ref="C7" location="DHP!A1" display="Ductless Heat Pumps" xr:uid="{B80DC469-969C-43E8-BB9A-34E54A58AE97}"/>
    <hyperlink ref="C9" location="HPWH!H1" display="Heat Pump Water Heaters" xr:uid="{35BFD402-CD62-4D16-85A8-E47F87BCA82E}"/>
    <hyperlink ref="C8" location="XMP!H1" display="Extended Motor Products" xr:uid="{194EB243-0F7E-4539-AF23-B0434C5EE1EE}"/>
    <hyperlink ref="C10" location="Manufactured_Homes!H1" display="Manufactured Homes" xr:uid="{FBD9E17D-FF27-43BA-8107-E6B294CB9A9D}"/>
    <hyperlink ref="C11" location="Frig_Freezers!H1" display="Refrigerators/Freezers" xr:uid="{F6DB065E-91AF-4ADE-95BA-DBF4A0D7F7A2}"/>
    <hyperlink ref="C12" location="Clothes_Washers!H1" display="Clothes Washers" xr:uid="{56B72ACB-9ECB-4E81-93C5-29D1D7CEBD27}"/>
    <hyperlink ref="C13" location="Clothes_Dryers!H1" display="Clothes Dryers" xr:uid="{9BDDE725-D955-4408-B118-DC8FD0A0C241}"/>
    <hyperlink ref="C14" location="Room_AC!H1" display="Room Air Conditioners" xr:uid="{A714A5CB-0876-4A40-82C3-E6CDD09F71CB}"/>
    <hyperlink ref="C15" location="TVs!H1" display="Televisions" xr:uid="{6D0F138C-695B-4048-B1B2-EAD2C4151917}"/>
    <hyperlink ref="C19" location="XMP!H1" display="Extended Motor Products" xr:uid="{82F5AE27-5DA1-4787-851B-C75D3EDD0D4D}"/>
    <hyperlink ref="C20" location="'High Performance HVAC'!H1" display="High Performance HVAC" xr:uid="{7BF12D14-03B5-43BB-8459-2D8ABD2B5614}"/>
    <hyperlink ref="C21" location="Com_Lighting!H1" display="Luminaire Level Lighting Controls" xr:uid="{8A50BEEF-E7E9-43B2-B4FF-EB7ADC3953A2}"/>
    <hyperlink ref="C24" location="'New Construction'!A1" display="Residential New Construction" xr:uid="{2A2BD26A-24B2-4F73-90B9-2F2A6D03C42E}"/>
    <hyperlink ref="C25" location="'Other Products'!A1" display="Consumer Products (Standards)" xr:uid="{4EE8BF43-CB82-43E3-951F-9C965BC21396}"/>
    <hyperlink ref="C27" location="'New Construction'!A1" display="Commercial New Construction" xr:uid="{89E59E69-2777-4527-AA39-B1D4735AE1FA}"/>
    <hyperlink ref="C28" location="'Other Products'!A1" display="Commercial Products (Standards)" xr:uid="{17F39A14-0A49-409C-8B12-89CC6A63B4AD}"/>
    <hyperlink ref="C30" location="'Other Products'!A1" display="Industrial Products (Standards)" xr:uid="{1216BBBF-6966-4D08-87D3-2B657CBCB2CC}"/>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13E00-E9DB-4CC6-A2E8-70020FA98F23}">
  <sheetPr>
    <tabColor theme="5"/>
  </sheetPr>
  <dimension ref="A1:K35"/>
  <sheetViews>
    <sheetView showGridLines="0" workbookViewId="0">
      <selection activeCell="B2" sqref="B2:D5"/>
    </sheetView>
  </sheetViews>
  <sheetFormatPr defaultRowHeight="15"/>
  <cols>
    <col min="1" max="1" width="18" customWidth="1"/>
    <col min="4" max="4" width="21.85546875" customWidth="1"/>
    <col min="5" max="5" width="28.85546875" customWidth="1"/>
    <col min="8" max="8" width="15.42578125" customWidth="1"/>
  </cols>
  <sheetData>
    <row r="1" spans="1:11">
      <c r="A1" s="1449" t="s">
        <v>2788</v>
      </c>
      <c r="B1" s="1455">
        <v>2024</v>
      </c>
      <c r="C1" s="1455">
        <v>2025</v>
      </c>
      <c r="D1" s="1452" t="s">
        <v>2756</v>
      </c>
    </row>
    <row r="2" spans="1:11">
      <c r="A2" s="1450" t="s">
        <v>207</v>
      </c>
      <c r="B2" s="1456">
        <f>'2024-2025 Summary'!E5+'2024-2025 Summary'!E22</f>
        <v>2.3446236432536249</v>
      </c>
      <c r="C2" s="1456">
        <f>'2024-2025 Summary'!F5+'2024-2025 Summary'!F22</f>
        <v>2.847977210768954</v>
      </c>
      <c r="D2" s="1453">
        <f>'2024-2025 Summary'!G5+'2024-2025 Summary'!G22</f>
        <v>5.1926008540225794</v>
      </c>
    </row>
    <row r="3" spans="1:11">
      <c r="A3" s="1451" t="s">
        <v>445</v>
      </c>
      <c r="B3" s="1457">
        <f>'2024-2025 Summary'!E17+'2024-2025 Summary'!E25</f>
        <v>0.45726323677215913</v>
      </c>
      <c r="C3" s="1457">
        <f>'2024-2025 Summary'!F17+'2024-2025 Summary'!F25</f>
        <v>0.69913666191717483</v>
      </c>
      <c r="D3" s="1454">
        <f>'2024-2025 Summary'!G17+'2024-2025 Summary'!G25</f>
        <v>1.156399898689334</v>
      </c>
    </row>
    <row r="4" spans="1:11">
      <c r="A4" s="1451" t="s">
        <v>29</v>
      </c>
      <c r="B4" s="1457">
        <f>'2024-2025 Summary'!E28</f>
        <v>0</v>
      </c>
      <c r="C4" s="1457">
        <f>'2024-2025 Summary'!F28</f>
        <v>0</v>
      </c>
      <c r="D4" s="1454">
        <f>'2024-2025 Summary'!G28</f>
        <v>0</v>
      </c>
    </row>
    <row r="5" spans="1:11">
      <c r="A5" s="1458" t="s">
        <v>785</v>
      </c>
      <c r="B5" s="1459">
        <f>'2024-2025 Summary'!E3</f>
        <v>2.8018868800257843</v>
      </c>
      <c r="C5" s="1459">
        <f>'2024-2025 Summary'!F3</f>
        <v>3.5471138726861291</v>
      </c>
      <c r="D5" s="1460">
        <f>'2024-2025 Summary'!G3</f>
        <v>6.3490007527119126</v>
      </c>
    </row>
    <row r="7" spans="1:11">
      <c r="A7" s="1411" t="s">
        <v>2770</v>
      </c>
      <c r="B7" s="309">
        <f>SUM(B2:B4)</f>
        <v>2.8018868800257839</v>
      </c>
      <c r="C7" s="309">
        <f>SUM(C2:C4)</f>
        <v>3.5471138726861291</v>
      </c>
      <c r="D7" s="309">
        <f>SUM(D2:D4)</f>
        <v>6.3490007527119134</v>
      </c>
    </row>
    <row r="8" spans="1:11">
      <c r="E8" s="296" t="s">
        <v>2758</v>
      </c>
    </row>
    <row r="9" spans="1:11">
      <c r="F9">
        <v>2020</v>
      </c>
      <c r="G9">
        <v>2021</v>
      </c>
      <c r="H9">
        <v>2022</v>
      </c>
      <c r="I9">
        <v>2023</v>
      </c>
      <c r="J9">
        <v>2024</v>
      </c>
      <c r="K9">
        <v>2025</v>
      </c>
    </row>
    <row r="10" spans="1:11">
      <c r="E10" t="s">
        <v>2757</v>
      </c>
      <c r="F10" s="1407">
        <v>3.61</v>
      </c>
      <c r="G10" s="1407">
        <v>3.83</v>
      </c>
      <c r="H10" s="1407">
        <v>2.0699999999999998</v>
      </c>
      <c r="I10" s="1407">
        <v>2.48</v>
      </c>
      <c r="J10" s="1408" t="s">
        <v>2759</v>
      </c>
      <c r="K10" s="1408"/>
    </row>
    <row r="11" spans="1:11">
      <c r="E11" t="s">
        <v>2622</v>
      </c>
      <c r="F11" s="1407">
        <v>2.75</v>
      </c>
      <c r="G11" s="1407">
        <v>2.91</v>
      </c>
      <c r="H11" s="1407">
        <v>1.93</v>
      </c>
      <c r="I11" s="1407">
        <v>2.3199999999999998</v>
      </c>
      <c r="J11" s="309">
        <f>'2024-2025 Summary'!E3</f>
        <v>2.8018868800257843</v>
      </c>
      <c r="K11" s="309">
        <f>'2024-2025 Summary'!F3</f>
        <v>3.5471138726861291</v>
      </c>
    </row>
    <row r="15" spans="1:11">
      <c r="E15" s="296" t="s">
        <v>2760</v>
      </c>
    </row>
    <row r="16" spans="1:11">
      <c r="E16" t="s">
        <v>2757</v>
      </c>
      <c r="F16" s="1409">
        <f>1.57/F10</f>
        <v>0.43490304709141275</v>
      </c>
      <c r="G16" s="1409">
        <f>1.91/G10</f>
        <v>0.49869451697127937</v>
      </c>
      <c r="H16" s="1409">
        <f>0.44/H10</f>
        <v>0.21256038647342998</v>
      </c>
      <c r="I16" s="1409">
        <f>0.5/I10</f>
        <v>0.20161290322580647</v>
      </c>
      <c r="J16" s="1408"/>
      <c r="K16" s="1408"/>
    </row>
    <row r="17" spans="5:11">
      <c r="E17" t="s">
        <v>2622</v>
      </c>
      <c r="F17" s="1408"/>
      <c r="G17" s="1408"/>
      <c r="H17" s="1408"/>
      <c r="I17" s="1408"/>
      <c r="J17" s="1409">
        <f>'2024-2025 Summary'!E21/'2024-2025 Summary'!E3</f>
        <v>0.31872096280056933</v>
      </c>
      <c r="K17" s="1409">
        <f>'2024-2025 Summary'!F21/'2024-2025 Summary'!F3</f>
        <v>0.38927940442959719</v>
      </c>
    </row>
    <row r="18" spans="5:11">
      <c r="E18" t="s">
        <v>2780</v>
      </c>
      <c r="F18" s="1412">
        <f>F16*F10</f>
        <v>1.57</v>
      </c>
      <c r="G18" s="1412">
        <f t="shared" ref="G18:I18" si="0">G16*G10</f>
        <v>1.91</v>
      </c>
      <c r="H18" s="1412">
        <f>H16*H10</f>
        <v>0.44</v>
      </c>
      <c r="I18" s="1412">
        <f t="shared" si="0"/>
        <v>0.5</v>
      </c>
      <c r="J18" s="1412">
        <f>J17*J11</f>
        <v>0.89302008406010125</v>
      </c>
      <c r="K18" s="1412">
        <f>K17*K11</f>
        <v>1.3808183758032184</v>
      </c>
    </row>
    <row r="21" spans="5:11">
      <c r="E21" t="s">
        <v>2762</v>
      </c>
      <c r="H21" t="s">
        <v>2768</v>
      </c>
      <c r="I21" t="s">
        <v>2763</v>
      </c>
    </row>
    <row r="22" spans="5:11">
      <c r="H22" s="1409">
        <f>'2024-2025 Summary'!G6/'2024-2025 Summary'!G3</f>
        <v>0.12452872839303511</v>
      </c>
      <c r="I22" t="s">
        <v>2771</v>
      </c>
    </row>
    <row r="23" spans="5:11">
      <c r="H23" s="1409">
        <f>'2024-2025 Summary'!G8/'2024-2025 Summary'!G3</f>
        <v>0.12142097031305918</v>
      </c>
      <c r="I23" t="s">
        <v>2772</v>
      </c>
    </row>
    <row r="24" spans="5:11">
      <c r="H24" s="1409">
        <f>'2024-2025 Summary'!G14/'2024-2025 Summary'!G3</f>
        <v>0.10494461359264876</v>
      </c>
      <c r="I24" t="s">
        <v>2773</v>
      </c>
    </row>
    <row r="25" spans="5:11">
      <c r="H25" s="1409">
        <f>'2024-2025 Summary'!G11/'2024-2025 Summary'!G3</f>
        <v>0.10240989103907283</v>
      </c>
      <c r="I25" t="s">
        <v>2774</v>
      </c>
    </row>
    <row r="26" spans="5:11">
      <c r="H26" s="1409">
        <f>'2024-2025 Summary'!G10/'2024-2025 Summary'!G3</f>
        <v>6.9902223575528569E-2</v>
      </c>
      <c r="I26" t="s">
        <v>2775</v>
      </c>
    </row>
    <row r="27" spans="5:11">
      <c r="H27" s="1409">
        <f>SUM('2024-2025 Summary'!G10:G16)/'2024-2025 Summary'!G3</f>
        <v>0.33058956930938493</v>
      </c>
      <c r="I27" t="s">
        <v>2776</v>
      </c>
    </row>
    <row r="28" spans="5:11" ht="30">
      <c r="H28" s="1410" t="s">
        <v>2769</v>
      </c>
    </row>
    <row r="29" spans="5:11">
      <c r="H29" s="1446"/>
      <c r="I29" t="s">
        <v>2763</v>
      </c>
    </row>
    <row r="30" spans="5:11">
      <c r="G30" s="1409">
        <f>'2024-2025 Summary'!G6/'2024-2025 Summary'!G4</f>
        <v>0.19401263888044423</v>
      </c>
      <c r="H30" s="1447">
        <f>'2024-2025 Summary'!G6/'2024-2025 Summary'!G5</f>
        <v>0.20392098719646229</v>
      </c>
      <c r="I30" t="s">
        <v>2761</v>
      </c>
    </row>
    <row r="31" spans="5:11">
      <c r="G31" s="1409">
        <f>'2024-2025 Summary'!G8/'2024-2025 Summary'!$G$4</f>
        <v>0.18917082965394066</v>
      </c>
      <c r="H31" s="1447">
        <f>'2024-2025 Summary'!G8/'2024-2025 Summary'!G5</f>
        <v>0.19883190370693779</v>
      </c>
      <c r="I31" t="s">
        <v>2764</v>
      </c>
    </row>
    <row r="32" spans="5:11">
      <c r="G32" s="1409">
        <f>'2024-2025 Summary'!G14/'2024-2025 Summary'!$G$4</f>
        <v>0.1635010786839215</v>
      </c>
      <c r="H32" s="1447">
        <f>'2024-2025 Summary'!G14/'2024-2025 Summary'!G4</f>
        <v>0.1635010786839215</v>
      </c>
      <c r="I32" t="s">
        <v>2765</v>
      </c>
    </row>
    <row r="33" spans="7:9">
      <c r="G33" s="1409">
        <f>'2024-2025 Summary'!G11/'2024-2025 Summary'!$G$4</f>
        <v>0.1595520444506566</v>
      </c>
      <c r="H33" s="1447">
        <f>'2024-2025 Summary'!G11/'2024-2025 Summary'!G4</f>
        <v>0.1595520444506566</v>
      </c>
      <c r="I33" t="s">
        <v>2766</v>
      </c>
    </row>
    <row r="34" spans="7:9">
      <c r="G34" s="1409">
        <f>'2024-2025 Summary'!G10/'2024-2025 Summary'!$G$4</f>
        <v>0.10890591299298626</v>
      </c>
      <c r="H34" s="1447">
        <f>'2024-2025 Summary'!G10/'2024-2025 Summary'!G5</f>
        <v>0.11446780692853249</v>
      </c>
      <c r="I34" t="s">
        <v>2767</v>
      </c>
    </row>
    <row r="35" spans="7:9">
      <c r="G35" s="1409">
        <f>SUM('2024-2025 Summary'!G10:G16)/'2024-2025 Summary'!G4</f>
        <v>0.51505026635806039</v>
      </c>
      <c r="H35" s="1447">
        <f>SUM('2024-2025 Summary'!G10:G16)/'2024-2025 Summary'!G5</f>
        <v>0.54135420958970892</v>
      </c>
      <c r="I35" t="s">
        <v>2776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T a b l e X M L _ v w F l a g s _ e 6 9 c 2 0 1 c - 2 0 3 e - 4 b 5 f - 9 1 3 6 - e 2 3 b 0 1 b 9 8 a 0 f " > < 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 7 6 < / i n t > < / v a l u e > < / i t e m > < i t e m > < k e y > < s t r i n g > M e a s u r e   I n d e x < / s t r i n g > < / k e y > < v a l u e > < i n t > 1 5 8 < / i n t > < / v a l u e > < / i t e m > < i t e m > < k e y > < s t r i n g > I s   C o d e < / s t r i n g > < / k e y > < v a l u e > < i n t > 1 0 0 < / i n t > < / v a l u e > < / i t e m > < i t e m > < k e y > < s t r i n g > I s   S t a n d a r d < / s t r i n g > < / k e y > < v a l u e > < i n t > 1 3 1 < / i n t > < / v a l u e > < / i t e m > < i t e m > < k e y > < s t r i n g > ' N E E A   I n f l u e n c e d ' < / s t r i n g > < / k e y > < v a l u e > < i n t > 1 7 8 < / i n t > < / v a l u e > < / i t e m > < i t e m > < k e y > < s t r i n g > R e p o r t   E x t e r n a l l y < / s t r i n g > < / k e y > < v a l u e > < i n t > 1 7 4 < / i n t > < / v a l u e > < / i t e m > < i t e m > < k e y > < s t r i n g > R e p o r t   N e g a t i v e   N M E < / s t r i n g > < / k e y > < v a l u e > < i n t > 2 0 8 < / i n t > < / v a l u e > < / i t e m > < i t e m > < k e y > < s t r i n g > R e p o r t   N e g a t i v e   L P < / s t r i n g > < / k e y > < v a l u e > < i n t > 1 8 9 < / i n t > < / v a l u e > < / i t e m > < i t e m > < k e y > < s t r i n g > M e a s u r e < / s t r i n g > < / k e y > < v a l u e > < i n t > 1 1 1 < / i n t > < / v a l u e > < / i t e m > < / C o l u m n W i d t h s > < C o l u m n D i s p l a y I n d e x > < i t e m > < k e y > < s t r i n g > Y e a r < / s t r i n g > < / k e y > < v a l u e > < i n t > 0 < / i n t > < / v a l u e > < / i t e m > < i t e m > < k e y > < s t r i n g > M e a s u r e   I n d e x < / s t r i n g > < / k e y > < v a l u e > < i n t > 1 < / i n t > < / v a l u e > < / i t e m > < i t e m > < k e y > < s t r i n g > I s   C o d e < / s t r i n g > < / k e y > < v a l u e > < i n t > 2 < / i n t > < / v a l u e > < / i t e m > < i t e m > < k e y > < s t r i n g > I s   S t a n d a r d < / s t r i n g > < / k e y > < v a l u e > < i n t > 3 < / i n t > < / v a l u e > < / i t e m > < i t e m > < k e y > < s t r i n g > ' N E E A   I n f l u e n c e d ' < / s t r i n g > < / k e y > < v a l u e > < i n t > 4 < / i n t > < / v a l u e > < / i t e m > < i t e m > < k e y > < s t r i n g > R e p o r t   E x t e r n a l l y < / s t r i n g > < / k e y > < v a l u e > < i n t > 5 < / i n t > < / v a l u e > < / i t e m > < i t e m > < k e y > < s t r i n g > R e p o r t   N e g a t i v e   N M E < / s t r i n g > < / k e y > < v a l u e > < i n t > 6 < / i n t > < / v a l u e > < / i t e m > < i t e m > < k e y > < s t r i n g > R e p o r t   N e g a t i v e   L P < / s t r i n g > < / k e y > < v a l u e > < i n t > 7 < / i n t > < / v a l u e > < / i t e m > < i t e m > < k e y > < s t r i n g > M e a s u r e < / s t r i n g > < / k e y > < v a l u e > < i n t > 8 < / i n t > < / v a l u e > < / i t e m > < / C o l u m n D i s p l a y I n d e x > < C o l u m n F r o z e n   / > < C o l u m n C h e c k e d   / > < C o l u m n F i l t e r   / > < S e l e c t i o n F i l t e r   / > < F i l t e r P a r a m e t e r s   / > < I s S o r t D e s c e n d i n g > f a l s e < / I s S o r t D e s c e n d i n g > < / T a b l e W i d g e t G r i d S e r i a l i z a t i o n > ] ] > < / C u s t o m C o n t e n t > < / G e m i n i > 
</file>

<file path=customXml/item11.xml><?xml version="1.0" encoding="utf-8"?>
<?mso-contentType ?>
<SharedContentType xmlns="Microsoft.SharePoint.Taxonomy.ContentTypeSync" SourceId="015f1b76-b32e-440f-80a7-f0ca4d8a872c" ContentTypeId="0x0101006E56B4D1795A2E4DB2F0B01679ED314A" PreviousValue="true"/>
</file>

<file path=customXml/item1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 v w F l a g s 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 v w F l a g s 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 C o l u m n s \ I s   C o d e < / K e y > < / a : K e y > < a : V a l u e   i : t y p e = " T a b l e W i d g e t B a s e V i e w S t a t e " / > < / a : K e y V a l u e O f D i a g r a m O b j e c t K e y a n y T y p e z b w N T n L X > < a : K e y V a l u e O f D i a g r a m O b j e c t K e y a n y T y p e z b w N T n L X > < a : K e y > < K e y > C o l u m n s \ I s   S t a n d a r d < / K e y > < / a : K e y > < a : V a l u e   i : t y p e = " T a b l e W i d g e t B a s e V i e w S t a t e " / > < / a : K e y V a l u e O f D i a g r a m O b j e c t K e y a n y T y p e z b w N T n L X > < a : K e y V a l u e O f D i a g r a m O b j e c t K e y a n y T y p e z b w N T n L X > < a : K e y > < K e y > C o l u m n s \ ' N E E A   I n f l u e n c e d ' < / K e y > < / a : K e y > < a : V a l u e   i : t y p e = " T a b l e W i d g e t B a s e V i e w S t a t e " / > < / a : K e y V a l u e O f D i a g r a m O b j e c t K e y a n y T y p e z b w N T n L X > < a : K e y V a l u e O f D i a g r a m O b j e c t K e y a n y T y p e z b w N T n L X > < a : K e y > < K e y > C o l u m n s \ R e p o r t   E x t e r n a l l y < / K e y > < / a : K e y > < a : V a l u e   i : t y p e = " T a b l e W i d g e t B a s e V i e w S t a t e " / > < / a : K e y V a l u e O f D i a g r a m O b j e c t K e y a n y T y p e z b w N T n L X > < a : K e y V a l u e O f D i a g r a m O b j e c t K e y a n y T y p e z b w N T n L X > < a : K e y > < K e y > C o l u m n s \ R e p o r t   N e g a t i v e   N M E < / K e y > < / a : K e y > < a : V a l u e   i : t y p e = " T a b l e W i d g e t B a s e V i e w S t a t e " / > < / a : K e y V a l u e O f D i a g r a m O b j e c t K e y a n y T y p e z b w N T n L X > < a : K e y V a l u e O f D i a g r a m O b j e c t K e y a n y T y p e z b w N T n L X > < a : K e y > < K e y > C o l u m n s \ R e p o r t   N e g a t i v e   L P < / 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 v w F u n d e r S h a r e 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 v w F u n d e r S h a r e 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 C o l u m n s \ N E E A   S t a k e h o l d e r < / K e y > < / a : K e y > < a : V a l u e   i : t y p e = " T a b l e W i d g e t B a s e V i e w S t a t e " / > < / a : K e y V a l u e O f D i a g r a m O b j e c t K e y a n y T y p e z b w N T n L X > < a : K e y V a l u e O f D i a g r a m O b j e c t K e y a n y T y p e z b w N T n L X > < a : K e y > < K e y > C o l u m n s \ F u n d e r   T y p e < / K e y > < / a : K e y > < a : V a l u e   i : t y p e = " T a b l e W i d g e t B a s e V i e w S t a t e " / > < / a : K e y V a l u e O f D i a g r a m O b j e c t K e y a n y T y p e z b w N T n L X > < a : K e y V a l u e O f D i a g r a m O b j e c t K e y a n y T y p e z b w N T n L X > < a : K e y > < K e y > C o l u m n s \ S h a r e   T y p e 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 C o l u m n s \ F u n d e r   S h a r e < / K e y > < / a : K e y > < a : V a l u e   i : t y p e = " T a b l e W i d g e t B a s e V i e w S t a t e " / > < / a : K e y V a l u e O f D i a g r a m O b j e c t K e y a n y T y p e z b w N T n L X > < a : K e y V a l u e O f D i a g r a m O b j e c t K e y a n y T y p e z b w N T n L X > < a : K e y > < K e y > C o l u m n s \ A l l o c a t i o n   S t a t e < / K e y > < / a : K e y > < a : V a l u e   i : t y p e = " T a b l e W i d g e t B a s e V i e w S t a t e " / > < / a : K e y V a l u e O f D i a g r a m O b j e c t K e y a n y T y p e z b w N T n L X > < a : K e y V a l u e O f D i a g r a m O b j e c t K e y a n y T y p e z b w N T n L X > < a : K e y > < K e y > C o l u m n s \ S t a t e   A l l o c a t i o n < / K e y > < / a : K e y > < a : V a l u e   i : t y p e = " T a b l e W i d g e t B a s e V i e w S t a t e " / > < / a : K e y V a l u e O f D i a g r a m O b j e c t K e y a n y T y p e z b w N T n L X > < a : K e y V a l u e O f D i a g r a m O b j e c t K e y a n y T y p e z b w N T n L X > < a : K e y > < K e y > C o l u m n s \ S t a t e   F u n d e r   S h a r e 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 v w W A I O U < / 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 v w W A I O U < / 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 C o l u m n s \ S n a p s h o t < / 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 C o l u m n s \ S a v i n g s   C a t e g o r y < / K e y > < / a : K e y > < a : V a l u e   i : t y p e = " T a b l e W i d g e t B a s e V i e w S t a t e " / > < / a : K e y V a l u e O f D i a g r a m O b j e c t K e y a n y T y p e z b w N T n L X > < a : K e y V a l u e O f D i a g r a m O b j e c t K e y a n y T y p e z b w N T n L X > < a : K e y > < K e y > C o l u m n s \ F u n d i n g   C y c l e < / 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 C o l u m n s \ S a v i n g s   R a t e   T y p e < / K e y > < / a : K e y > < a : V a l u e   i : t y p e = " T a b l e W i d g e t B a s e V i e w S t a t e " / > < / a : K e y V a l u e O f D i a g r a m O b j e c t K e y a n y T y p e z b w N T n L X > < a : K e y V a l u e O f D i a g r a m O b j e c t K e y a n y T y p e z b w N T n L X > < a : K e y > < K e y > C o l u m n s \ S a v i n g s   R a t e 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 v w S a v i n g s R a t e s 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 v w S a v i n g s R a t e s 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 C o l u m n s \ S a v i n g s   R a t e   T y p e < / K e y > < / a : K e y > < a : V a l u e   i : t y p e = " T a b l e W i d g e t B a s e V i e w S t a t e " / > < / a : K e y V a l u e O f D i a g r a m O b j e c t K e y a n y T y p e z b w N T n L X > < a : K e y V a l u e O f D i a g r a m O b j e c t K e y a n y T y p e z b w N T n L X > < a : K e y > < K e y > C o l u m n s \ S a v i n g s   R a t e < / K e y > < / a : K e y > < a : V a l u e   i : t y p e = " T a b l e W i d g e t B a s e V i e w S t a t e " / > < / a : K e y V a l u e O f D i a g r a m O b j e c t K e y a n y T y p e z b w N T n L X > < a : K e y V a l u e O f D i a g r a m O b j e c t K e y a n y T y p e z b w N T n L X > < a : K e y > < K e y > C o l u m n s \ S n a p s h o t 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 F u n d e r _ S h a r e s _ E l e c t 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 F u n d e r _ S h a r e s _ E l e c t 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 C o l u m n s \ F u n d i n g   C y c l e < / K e y > < / a : K e y > < a : V a l u e   i : t y p e = " T a b l e W i d g e t B a s e V i e w S t a t e " / > < / a : K e y V a l u e O f D i a g r a m O b j e c t K e y a n y T y p e z b w N T n L X > < a : K e y V a l u e O f D i a g r a m O b j e c t K e y a n y T y p e z b w N T n L X > < a : K e y > < K e y > C o l u m n s \ S t a k e h o l d e r _ L o o k u p < / K e y > < / a : K e y > < a : V a l u e   i : t y p e = " T a b l e W i d g e t B a s e V i e w S t a t e " / > < / a : K e y V a l u e O f D i a g r a m O b j e c t K e y a n y T y p e z b w N T n L X > < a : K e y V a l u e O f D i a g r a m O b j e c t K e y a n y T y p e z b w N T n L X > < a : K e y > < K e y > C o l u m n s \ F u n d e r   S h a r e 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 M e r g e 1 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 M e r g e 1 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 C o l u m n s \ S n a p s h o t < / 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 C o l u m n s \ I n i t i a t i v e   I n d e x < / 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 C o l u m n s \ S a v i n g s   C a t e g o r y 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 C o l u m n s \ F u n d i n g   C y c l e < / K e y > < / a : K e y > < a : V a l u e   i : t y p e = " T a b l e W i d g e t B a s e V i e w S t a t e " / > < / a : K e y V a l u e O f D i a g r a m O b j e c t K e y a n y T y p e z b w N T n L X > < a : K e y V a l u e O f D i a g r a m O b j e c t K e y a n y T y p e z b w N T n L X > < a : K e y > < K e y > C o l u m n s \ u n i t _ o f _ m e a s u r e < / K e y > < / a : K e y > < a : V a l u e   i : t y p e = " T a b l e W i d g e t B a s e V i e w S t a t e " / > < / a : K e y V a l u e O f D i a g r a m O b j e c t K e y a n y T y p e z b w N T n L X > < a : K e y V a l u e O f D i a g r a m O b j e c t K e y a n y T y p e z b w N T n L X > < a : K e y > < K e y > C o l u m n s \ F u n d e r _ S h a r e s _ E l e c t . F u n d e r   S h a r e < / K e y > < / a : K e y > < a : V a l u e   i : t y p e = " T a b l e W i d g e t B a s e V i e w S t a t e " / > < / a : K e y V a l u e O f D i a g r a m O b j e c t K e y a n y T y p e z b w N T n L X > < a : K e y V a l u e O f D i a g r a m O b j e c t K e y a n y T y p e z b w N T n L X > < a : K e y > < K e y > C o l u m n s \ m i n d e x _ y r 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 v w U n i t s 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 v w U n i t s 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 C o l u m n s \ S n a p s h o t < / 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 C o l u m n s \ I n i t i a t i v e   I n d e x < / 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 C o l u m n s \ S a v i n g s   C a t e g o r y 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 C o l u m n s \ F u n d i n g   C y c l e < / K e y > < / a : K e y > < a : V a l u e   i : t y p e = " T a b l e W i d g e t B a s e V i e w S t a t e " / > < / a : K e y V a l u e O f D i a g r a m O b j e c t K e y a n y T y p e z b w N T n L X > < a : K e y V a l u e O f D i a g r a m O b j e c t K e y a n y T y p e z b w N T n L X > < a : K e y > < K e y > C o l u m n s \ u n i t _ o f _ m e a s u r e 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 v w M e a s u r e s 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 v w M e a s u r e s 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 L i f e 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 C o l u m n s \ M e a s u r e   D e s c r i p t i o n < / 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 C o l u m n s \ I n i t i a t i v e   I n d e x < / K e y > < / a : K e y > < a : V a l u e   i : t y p e = " T a b l e W i d g e t B a s e V i e w S t a t e " / > < / a : K e y V a l u e O f D i a g r a m O b j e c t K e y a n y T y p e z b w N T n L X > < a : K e y V a l u e O f D i a g r a m O b j e c t K e y a n y T y p e z b w N T n L X > < a : K e y > < K e y > C o l u m n s \ I n i t i a t i v e   D e s c r i p t i o n < / 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 C o l u m n s \ P r o d u c t   D e s c r i p t i o n < / 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 C o l u m n s \ T i e r   D e s c r i p t i o n < / K e y > < / a : K e y > < a : V a l u e   i : t y p e = " T a b l e W i d g e t B a s e V i e w S t a t e " / > < / a : K e y V a l u e O f D i a g r a m O b j e c t K e y a n y T y p e z b w N T n L X > < a : K e y V a l u e O f D i a g r a m O b j e c t K e y a n y T y p e z b w N T n L X > < a : K e y > < K e y > C o l u m n s \ A b o v e   2 0 2 1   P P < / K e y > < / a : K e y > < a : V a l u e   i : t y p e = " T a b l e W i d g e t B a s e V i e w S t a t e " / > < / a : K e y V a l u e O f D i a g r a m O b j e c t K e y a n y T y p e z b w N T n L X > < a : K e y V a l u e O f D i a g r a m O b j e c t K e y a n y T y p e z b w N T n L X > < a : K e y > < K e y > C o l u m n s \ N E E A   I n f l u e n c e d < / K e y > < / a : K e y > < a : V a l u e   i : t y p e = " T a b l e W i d g e t B a s e V i e w S t a t e " / > < / a : K e y V a l u e O f D i a g r a m O b j e c t K e y a n y T y p e z b w N T n L X > < a : K e y V a l u e O f D i a g r a m O b j e c t K e y a n y T y p e z b w N T n L X > < a : K e y > < K e y > C o l u m n s \ P r o d u c t   C a t e g o r y < / K e y > < / a : K e y > < a : V a l u e   i : t y p e = " T a b l e W i d g e t B a s e V i e w S t a t e " / > < / a : K e y V a l u e O f D i a g r a m O b j e c t K e y a n y T y p e z b w N T n L X > < a : K e y V a l u e O f D i a g r a m O b j e c t K e y a n y T y p e z b w N T n L X > < a : K e y > < K e y > C o l u m n s \ P r o d u c t   G r o u p < / K e y > < / a : K e y > < a : V a l u e   i : t y p e = " T a b l e W i d g e t B a s e V i e w S t a t e " / > < / a : K e y V a l u e O f D i a g r a m O b j e c t K e y a n y T y p e z b w N T n L X > < a : K e y V a l u e O f D i a g r a m O b j e c t K e y a n y T y p e z b w N T n L X > < a : K e y > < K e y > C o l u m n s \ R e s o u r c e   T y p e < / K e y > < / a : K e y > < a : V a l u e   i : t y p e = " T a b l e W i d g e t B a s e V i e w S t a t e " / > < / a : K e y V a l u e O f D i a g r a m O b j e c t K e y a n y T y p e z b w N T n L X > < a : K e y V a l u e O f D i a g r a m O b j e c t K e y a n y T y p e z b w N T n L X > < a : K e y > < K e y > C o l u m n s \ F u e l   T y p e < / K e y > < / a : K e y > < a : V a l u e   i : t y p e = " T a b l e W i d g e t B a s e V i e w S t a t e " / > < / a : K e y V a l u e O f D i a g r a m O b j e c t K e y a n y T y p e z b w N T n L X > < a : K e y V a l u e O f D i a g r a m O b j e c t K e y a n y T y p e z b w N T n L X > < a : K e y > < K e y > C o l u m n s \ B r a c k e t 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3.xml>��< ? x m l   v e r s i o n = " 1 . 0 "   e n c o d i n g = " U T F - 1 6 " ? > < G e m i n i   x m l n s = " h t t p : / / g e m i n i / p i v o t c u s t o m i z a t i o n / S a n d b o x N o n E m p t y " > < C u s t o m C o n t e n t > < ! [ C D A T A [ 1 ] ] > < / C u s t o m C o n t e n t > < / G e m i n i > 
</file>

<file path=customXml/item1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 v w M e a s u r e s _ 9 d c d b b c b - 8 3 b b - 4 f e 0 - b 7 9 f - 8 6 a 8 1 a d 1 f 7 9 6 < / K e y > < V a l u e   x m l n s : a = " h t t p : / / s c h e m a s . d a t a c o n t r a c t . o r g / 2 0 0 4 / 0 7 / M i c r o s o f t . A n a l y s i s S e r v i c e s . C o m m o n " > < a : H a s F o c u s > t r u e < / a : H a s F o c u s > < a : S i z e A t D p i 9 6 > 1 3 0 < / a : S i z e A t D p i 9 6 > < a : V i s i b l e > t r u e < / a : V i s i b l e > < / V a l u e > < / K e y V a l u e O f s t r i n g S a n d b o x E d i t o r . M e a s u r e G r i d S t a t e S c d E 3 5 R y > < K e y V a l u e O f s t r i n g S a n d b o x E d i t o r . M e a s u r e G r i d S t a t e S c d E 3 5 R y > < K e y > v w F u n d e r S h a r e _ e c 1 7 a c 7 2 - 6 0 8 6 - 4 6 8 0 - a 3 9 e - 3 d d 2 d 6 d b 4 f c 0 < / K e y > < V a l u e   x m l n s : a = " h t t p : / / s c h e m a s . d a t a c o n t r a c t . o r g / 2 0 0 4 / 0 7 / M i c r o s o f t . A n a l y s i s S e r v i c e s . C o m m o n " > < a : H a s F o c u s > t r u e < / a : H a s F o c u s > < a : S i z e A t D p i 9 6 > 1 3 0 < / a : S i z e A t D p i 9 6 > < a : V i s i b l e > t r u e < / a : V i s i b l e > < / V a l u e > < / K e y V a l u e O f s t r i n g S a n d b o x E d i t o r . M e a s u r e G r i d S t a t e S c d E 3 5 R y > < K e y V a l u e O f s t r i n g S a n d b o x E d i t o r . M e a s u r e G r i d S t a t e S c d E 3 5 R y > < K e y > v w W A I O U _ 2 4 2 4 2 8 3 7 - 6 4 1 5 - 4 b b 3 - a 8 9 0 - d d e 0 9 c e a 2 4 3 3 < / K e y > < V a l u e   x m l n s : a = " h t t p : / / s c h e m a s . d a t a c o n t r a c t . o r g / 2 0 0 4 / 0 7 / M i c r o s o f t . A n a l y s i s S e r v i c e s . C o m m o n " > < a : H a s F o c u s > t r u e < / a : H a s F o c u s > < a : S i z e A t D p i 9 6 > 1 2 8 < / a : S i z e A t D p i 9 6 > < a : V i s i b l e > t r u e < / a : V i s i b l e > < / V a l u e > < / K e y V a l u e O f s t r i n g S a n d b o x E d i t o r . M e a s u r e G r i d S t a t e S c d E 3 5 R y > < K e y V a l u e O f s t r i n g S a n d b o x E d i t o r . M e a s u r e G r i d S t a t e S c d E 3 5 R y > < K e y > v w S a v i n g s R a t e s _ 0 9 3 0 d 4 8 2 - 3 2 b 8 - 4 b b e - b 2 6 b - 7 9 a 3 1 e d 3 1 d b 8 < / K e y > < V a l u e   x m l n s : a = " h t t p : / / s c h e m a s . d a t a c o n t r a c t . o r g / 2 0 0 4 / 0 7 / M i c r o s o f t . A n a l y s i s S e r v i c e s . C o m m o n " > < a : H a s F o c u s > t r u e < / a : H a s F o c u s > < a : S i z e A t D p i 9 6 > 1 3 0 < / a : S i z e A t D p i 9 6 > < a : V i s i b l e > t r u e < / a : V i s i b l e > < / V a l u e > < / K e y V a l u e O f s t r i n g S a n d b o x E d i t o r . M e a s u r e G r i d S t a t e S c d E 3 5 R y > < K e y V a l u e O f s t r i n g S a n d b o x E d i t o r . M e a s u r e G r i d S t a t e S c d E 3 5 R y > < K e y > F u n d e r _ S h a r e s _ E l e c t _ a 2 a 2 d d d 2 - 1 1 4 a - 4 f 7 8 - 9 d 7 2 - 4 e 6 d 2 2 6 0 8 f f e < / K e y > < V a l u e   x m l n s : a = " h t t p : / / s c h e m a s . d a t a c o n t r a c t . o r g / 2 0 0 4 / 0 7 / M i c r o s o f t . A n a l y s i s S e r v i c e s . C o m m o n " > < a : H a s F o c u s > t r u e < / a : H a s F o c u s > < a : S i z e A t D p i 9 6 > 1 2 9 < / a : S i z e A t D p i 9 6 > < a : V i s i b l e > t r u e < / a : V i s i b l e > < / V a l u e > < / K e y V a l u e O f s t r i n g S a n d b o x E d i t o r . M e a s u r e G r i d S t a t e S c d E 3 5 R y > < K e y V a l u e O f s t r i n g S a n d b o x E d i t o r . M e a s u r e G r i d S t a t e S c d E 3 5 R y > < K e y > M e r g e 1 _ 4 f 9 1 1 2 9 e - a a 8 1 - 4 d 3 7 - b b 2 9 - 5 8 b d 9 2 c 4 9 7 1 5 < / K e y > < V a l u e   x m l n s : a = " h t t p : / / s c h e m a s . d a t a c o n t r a c t . o r g / 2 0 0 4 / 0 7 / M i c r o s o f t . A n a l y s i s S e r v i c e s . C o m m o n " > < a : H a s F o c u s > t r u e < / a : H a s F o c u s > < a : S i z e A t D p i 9 6 > 1 3 0 < / a : S i z e A t D p i 9 6 > < a : V i s i b l e > t r u e < / a : V i s i b l e > < / V a l u e > < / K e y V a l u e O f s t r i n g S a n d b o x E d i t o r . M e a s u r e G r i d S t a t e S c d E 3 5 R y > < K e y V a l u e O f s t r i n g S a n d b o x E d i t o r . M e a s u r e G r i d S t a t e S c d E 3 5 R y > < K e y > v w U n i t s _ d f d a 0 6 8 0 - a 8 c 8 - 4 0 f f - 9 8 f 0 - e 3 c 2 2 6 f 3 6 2 e 1 < / K e y > < V a l u e   x m l n s : a = " h t t p : / / s c h e m a s . d a t a c o n t r a c t . o r g / 2 0 0 4 / 0 7 / M i c r o s o f t . A n a l y s i s S e r v i c e s . C o m m o n " > < a : H a s F o c u s > t r u e < / a : H a s F o c u s > < a : S i z e A t D p i 9 6 > 1 2 7 < / a : S i z e A t D p i 9 6 > < a : V i s i b l e > t r u e < / a : V i s i b l e > < / V a l u e > < / K e y V a l u e O f s t r i n g S a n d b o x E d i t o r . M e a s u r e G r i d S t a t e S c d E 3 5 R y > < K e y V a l u e O f s t r i n g S a n d b o x E d i t o r . M e a s u r e G r i d S t a t e S c d E 3 5 R y > < K e y > v w F l a g s _ e 6 9 c 2 0 1 c - 2 0 3 e - 4 b 5 f - 9 1 3 6 - e 2 3 b 0 1 b 9 8 a 0 f < / K e y > < V a l u e   x m l n s : a = " h t t p : / / s c h e m a s . d a t a c o n t r a c t . o r g / 2 0 0 4 / 0 7 / M i c r o s o f t . A n a l y s i s S e r v i c e s . C o m m o n " > < a : H a s F o c u s > t r u e < / a : H a s F o c u s > < a : S i z e A t D p i 9 6 > 1 2 5 < / a : S i z e A t D p i 9 6 > < a : V i s i b l e > t r u e < / a : V i s i b l e > < / V a l u e > < / K e y V a l u e O f s t r i n g S a n d b o x E d i t o r . M e a s u r e G r i d S t a t e S c d E 3 5 R y > < / A r r a y O f K e y V a l u e O f s t r i n g S a n d b o x E d i t o r . M e a s u r e G r i d S t a t e S c d E 3 5 R y > ] ] > < / 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T a b l e X M L _ v w W A I O U _ 2 4 2 4 2 8 3 7 - 6 4 1 5 - 4 b b 3 - a 8 9 0 - d d e 0 9 c e a 2 4 3 3 " > < C u s t o m C o n t e n t > < ! [ C D A T A [ < T a b l e W i d g e t G r i d S e r i a l i z a t i o n   x m l n s : x s d = " h t t p : / / w w w . w 3 . o r g / 2 0 0 1 / X M L S c h e m a "   x m l n s : x s i = " h t t p : / / w w w . w 3 . o r g / 2 0 0 1 / X M L S c h e m a - i n s t a n c e " > < C o l u m n S u g g e s t e d T y p e   / > < C o l u m n F o r m a t   / > < C o l u m n A c c u r a c y   / > < C o l u m n C u r r e n c y S y m b o l   / > < C o l u m n P o s i t i v e P a t t e r n   / > < C o l u m n N e g a t i v e P a t t e r n   / > < C o l u m n W i d t h s > < i t e m > < k e y > < s t r i n g > S n a p s h o t < / s t r i n g > < / k e y > < v a l u e > < i n t > 1 1 5 < / i n t > < / v a l u e > < / i t e m > < i t e m > < k e y > < s t r i n g > y e a r < / s t r i n g > < / k e y > < v a l u e > < i n t > 7 7 < / i n t > < / v a l u e > < / i t e m > < i t e m > < k e y > < s t r i n g > I n i t i a t i v e < / s t r i n g > < / k e y > < v a l u e > < i n t > 1 1 2 < / i n t > < / v a l u e > < / i t e m > < i t e m > < k e y > < s t r i n g > M e a s u r e < / s t r i n g > < / k e y > < v a l u e > < i n t > 1 1 1 < / i n t > < / v a l u e > < / i t e m > < i t e m > < k e y > < s t r i n g > M e a s u r e   I n d e x < / s t r i n g > < / k e y > < v a l u e > < i n t > 1 5 8 < / i n t > < / v a l u e > < / i t e m > < i t e m > < k e y > < s t r i n g > P r o d u c t < / s t r i n g > < / k e y > < v a l u e > < i n t > 1 0 4 < / i n t > < / v a l u e > < / i t e m > < i t e m > < k e y > < s t r i n g > T i e r < / s t r i n g > < / k e y > < v a l u e > < i n t > 7 2 < / i n t > < / v a l u e > < / i t e m > < i t e m > < k e y > < s t r i n g > S a v i n g s   C a t e g o r y < / s t r i n g > < / k e y > < v a l u e > < i n t > 1 7 4 < / i n t > < / v a l u e > < / i t e m > < i t e m > < k e y > < s t r i n g > F u n d i n g   C y c l e < / s t r i n g > < / k e y > < v a l u e > < i n t > 1 4 9 < / i n t > < / v a l u e > < / i t e m > < i t e m > < k e y > < s t r i n g > u n i t s < / s t r i n g > < / k e y > < v a l u e > < i n t > 8 1 < / i n t > < / v a l u e > < / i t e m > < i t e m > < k e y > < s t r i n g > S a v i n g s   R a t e   T y p e < / s t r i n g > < / k e y > < v a l u e > < i n t > 1 7 9 < / i n t > < / v a l u e > < / i t e m > < i t e m > < k e y > < s t r i n g > S a v i n g s   R a t e < / s t r i n g > < / k e y > < v a l u e > < i n t > 1 3 9 < / i n t > < / v a l u e > < / i t e m > < / C o l u m n W i d t h s > < C o l u m n D i s p l a y I n d e x > < i t e m > < k e y > < s t r i n g > S n a p s h o t < / s t r i n g > < / k e y > < v a l u e > < i n t > 0 < / i n t > < / v a l u e > < / i t e m > < i t e m > < k e y > < s t r i n g > y e a r < / s t r i n g > < / k e y > < v a l u e > < i n t > 1 < / i n t > < / v a l u e > < / i t e m > < i t e m > < k e y > < s t r i n g > I n i t i a t i v e < / s t r i n g > < / k e y > < v a l u e > < i n t > 2 < / i n t > < / v a l u e > < / i t e m > < i t e m > < k e y > < s t r i n g > M e a s u r e < / s t r i n g > < / k e y > < v a l u e > < i n t > 3 < / i n t > < / v a l u e > < / i t e m > < i t e m > < k e y > < s t r i n g > M e a s u r e   I n d e x < / s t r i n g > < / k e y > < v a l u e > < i n t > 4 < / i n t > < / v a l u e > < / i t e m > < i t e m > < k e y > < s t r i n g > P r o d u c t < / s t r i n g > < / k e y > < v a l u e > < i n t > 5 < / i n t > < / v a l u e > < / i t e m > < i t e m > < k e y > < s t r i n g > T i e r < / s t r i n g > < / k e y > < v a l u e > < i n t > 6 < / i n t > < / v a l u e > < / i t e m > < i t e m > < k e y > < s t r i n g > S a v i n g s   C a t e g o r y < / s t r i n g > < / k e y > < v a l u e > < i n t > 7 < / i n t > < / v a l u e > < / i t e m > < i t e m > < k e y > < s t r i n g > F u n d i n g   C y c l e < / s t r i n g > < / k e y > < v a l u e > < i n t > 8 < / i n t > < / v a l u e > < / i t e m > < i t e m > < k e y > < s t r i n g > u n i t s < / s t r i n g > < / k e y > < v a l u e > < i n t > 9 < / i n t > < / v a l u e > < / i t e m > < i t e m > < k e y > < s t r i n g > S a v i n g s   R a t e   T y p e < / s t r i n g > < / k e y > < v a l u e > < i n t > 1 0 < / i n t > < / v a l u e > < / i t e m > < i t e m > < k e y > < s t r i n g > S a v i n g s   R a t e < / s t r i n g > < / k e y > < v a l u e > < i n t > 1 1 < / i n t > < / v a l u e > < / i t e m > < / C o l u m n D i s p l a y I n d e x > < C o l u m n F r o z e n   / > < C o l u m n C h e c k e d   / > < C o l u m n F i l t e r   / > < S e l e c t i o n F i l t e r   / > < F i l t e r P a r a m e t e r s   / > < I s S o r t D e s c e n d i n g > f a l s e < / I s S o r t D e s c e n d i n g > < / T a b l e W i d g e t G r i d S e r i a l i z a t i o n > ] ] > < / C u s t o m C o n t e n t > < / G e m i n i > 
</file>

<file path=customXml/item17.xml><?xml version="1.0" encoding="utf-8"?>
<?mso-contentType ?>
<FormTemplates xmlns="http://schemas.microsoft.com/sharepoint/v3/contenttype/forms">
  <Display>DocumentLibraryForm</Display>
  <Edit>DocumentLibraryForm</Edit>
  <New>DocumentLibraryForm</New>
</FormTemplates>
</file>

<file path=customXml/item18.xml>��< ? x m l   v e r s i o n = " 1 . 0 "   e n c o d i n g = " U T F - 1 6 " ? > < G e m i n i   x m l n s = " h t t p : / / g e m i n i / p i v o t c u s t o m i z a t i o n / T a b l e X M L _ v w M e a s u r e s _ a d b d f d c 8 - 9 d 8 f - 4 9 7 d - a 2 9 6 - 3 7 c d 9 e 3 5 c c f 5 " > < 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 M e a s u r e   L i f e < / s t r i n g > < / k e y > < v a l u e > < i n t > 1 1 6 < / i n t > < / v a l u e > < / i t e m > < i t e m > < k e y > < s t r i n g > M e a s u r e   I n d e x < / s t r i n g > < / k e y > < v a l u e > < i n t > 1 2 8 < / i n t > < / v a l u e > < / i t e m > < i t e m > < k e y > < s t r i n g > M e a s u r e   D e s c r i p t i o n < / s t r i n g > < / k e y > < v a l u e > < i n t > 1 6 3 < / i n t > < / v a l u e > < / i t e m > < i t e m > < k e y > < s t r i n g > I n i t i a t i v e < / s t r i n g > < / k e y > < v a l u e > < i n t > 9 0 < / i n t > < / v a l u e > < / i t e m > < i t e m > < k e y > < s t r i n g > I n i t i a t i v e   I n d e x < / s t r i n g > < / k e y > < v a l u e > < i n t > 1 2 8 < / i n t > < / v a l u e > < / i t e m > < i t e m > < k e y > < s t r i n g > I n i t i a t i v e   D e s c r i p t i o n < / s t r i n g > < / k e y > < v a l u e > < i n t > 1 6 3 < / i n t > < / v a l u e > < / i t e m > < i t e m > < k e y > < s t r i n g > P r o d u c t < / s t r i n g > < / k e y > < v a l u e > < i n t > 8 4 < / i n t > < / v a l u e > < / i t e m > < i t e m > < k e y > < s t r i n g > P r o d u c t   D e s c r i p t i o n < / s t r i n g > < / k e y > < v a l u e > < i n t > 1 5 7 < / i n t > < / v a l u e > < / i t e m > < i t e m > < k e y > < s t r i n g > T i e r < / s t r i n g > < / k e y > < v a l u e > < i n t > 6 0 < / i n t > < / v a l u e > < / i t e m > < i t e m > < k e y > < s t r i n g > T i e r   D e s c r i p t i o n < / s t r i n g > < / k e y > < v a l u e > < i n t > 1 3 3 < / i n t > < / v a l u e > < / i t e m > < / C o l u m n W i d t h s > < C o l u m n D i s p l a y I n d e x > < i t e m > < k e y > < s t r i n g > M e a s u r e < / s t r i n g > < / k e y > < v a l u e > < i n t > 0 < / i n t > < / v a l u e > < / i t e m > < i t e m > < k e y > < s t r i n g > M e a s u r e   L i f e < / s t r i n g > < / k e y > < v a l u e > < i n t > 1 < / i n t > < / v a l u e > < / i t e m > < i t e m > < k e y > < s t r i n g > M e a s u r e   I n d e x < / s t r i n g > < / k e y > < v a l u e > < i n t > 2 < / i n t > < / v a l u e > < / i t e m > < i t e m > < k e y > < s t r i n g > M e a s u r e   D e s c r i p t i o n < / s t r i n g > < / k e y > < v a l u e > < i n t > 3 < / i n t > < / v a l u e > < / i t e m > < i t e m > < k e y > < s t r i n g > I n i t i a t i v e < / s t r i n g > < / k e y > < v a l u e > < i n t > 4 < / i n t > < / v a l u e > < / i t e m > < i t e m > < k e y > < s t r i n g > I n i t i a t i v e   I n d e x < / s t r i n g > < / k e y > < v a l u e > < i n t > 5 < / i n t > < / v a l u e > < / i t e m > < i t e m > < k e y > < s t r i n g > I n i t i a t i v e   D e s c r i p t i o n < / s t r i n g > < / k e y > < v a l u e > < i n t > 6 < / i n t > < / v a l u e > < / i t e m > < i t e m > < k e y > < s t r i n g > P r o d u c t < / s t r i n g > < / k e y > < v a l u e > < i n t > 7 < / i n t > < / v a l u e > < / i t e m > < i t e m > < k e y > < s t r i n g > P r o d u c t   D e s c r i p t i o n < / s t r i n g > < / k e y > < v a l u e > < i n t > 8 < / i n t > < / v a l u e > < / i t e m > < i t e m > < k e y > < s t r i n g > T i e r < / s t r i n g > < / k e y > < v a l u e > < i n t > 9 < / i n t > < / v a l u e > < / i t e m > < i t e m > < k e y > < s t r i n g > T i e r   D e s c r i p t i o n < / s t r i n g > < / k e y > < v a l u e > < i n t > 1 0 < / i n t > < / v a l u e > < / i t e m > < / C o l u m n D i s p l a y I n d e x > < C o l u m n F r o z e n   / > < C o l u m n C h e c k e d   / > < C o l u m n F i l t e r   / > < S e l e c t i o n F i l t e r   / > < F i l t e r P a r a m e t e r s   / > < I s S o r t D e s c e n d i n g > f a l s e < / I s S o r t D e s c e n d i n g > < / T a b l e W i d g e t G r i d S e r i a l i z a t i o n > ] ] > < / C u s t o m C o n t e n t > < / G e m i n i > 
</file>

<file path=customXml/item19.xml><?xml version="1.0" encoding="utf-8"?>
<?mso-contentType ?>
<spe:Receivers xmlns:spe="http://schemas.microsoft.com/sharepoint/events"/>
</file>

<file path=customXml/item2.xml>��< ? x m l   v e r s i o n = " 1 . 0 "   e n c o d i n g = " U T F - 1 6 " ? > < G e m i n i   x m l n s = " h t t p : / / g e m i n i / p i v o t c u s t o m i z a t i o n / T a b l e X M L _ v w S a v i n g s R a t e s _ 0 9 3 0 d 4 8 2 - 3 2 b 8 - 4 b b e - b 2 6 b - 7 9 a 3 1 e d 3 1 d b 8 " > < 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 7 7 < / i n t > < / v a l u e > < / i t e m > < i t e m > < k e y > < s t r i n g > I n i t i a t i v e < / s t r i n g > < / k e y > < v a l u e > < i n t > 1 1 2 < / i n t > < / v a l u e > < / i t e m > < i t e m > < k e y > < s t r i n g > M e a s u r e < / s t r i n g > < / k e y > < v a l u e > < i n t > 1 1 1 < / i n t > < / v a l u e > < / i t e m > < i t e m > < k e y > < s t r i n g > M e a s u r e   I n d e x < / s t r i n g > < / k e y > < v a l u e > < i n t > 1 5 8 < / i n t > < / v a l u e > < / i t e m > < i t e m > < k e y > < s t r i n g > P r o d u c t < / s t r i n g > < / k e y > < v a l u e > < i n t > 1 0 4 < / i n t > < / v a l u e > < / i t e m > < i t e m > < k e y > < s t r i n g > T i e r < / s t r i n g > < / k e y > < v a l u e > < i n t > 7 2 < / i n t > < / v a l u e > < / i t e m > < i t e m > < k e y > < s t r i n g > S a v i n g s   R a t e   T y p e < / s t r i n g > < / k e y > < v a l u e > < i n t > 1 7 9 < / i n t > < / v a l u e > < / i t e m > < i t e m > < k e y > < s t r i n g > S a v i n g s   R a t e < / s t r i n g > < / k e y > < v a l u e > < i n t > 1 3 9 < / i n t > < / v a l u e > < / i t e m > < i t e m > < k e y > < s t r i n g > S n a p s h o t < / s t r i n g > < / k e y > < v a l u e > < i n t > 1 1 5 < / i n t > < / v a l u e > < / i t e m > < / C o l u m n W i d t h s > < C o l u m n D i s p l a y I n d e x > < i t e m > < k e y > < s t r i n g > y e a r < / s t r i n g > < / k e y > < v a l u e > < i n t > 0 < / i n t > < / v a l u e > < / i t e m > < i t e m > < k e y > < s t r i n g > I n i t i a t i v e < / s t r i n g > < / k e y > < v a l u e > < i n t > 1 < / i n t > < / v a l u e > < / i t e m > < i t e m > < k e y > < s t r i n g > M e a s u r e < / s t r i n g > < / k e y > < v a l u e > < i n t > 2 < / i n t > < / v a l u e > < / i t e m > < i t e m > < k e y > < s t r i n g > M e a s u r e   I n d e x < / s t r i n g > < / k e y > < v a l u e > < i n t > 3 < / i n t > < / v a l u e > < / i t e m > < i t e m > < k e y > < s t r i n g > P r o d u c t < / s t r i n g > < / k e y > < v a l u e > < i n t > 4 < / i n t > < / v a l u e > < / i t e m > < i t e m > < k e y > < s t r i n g > T i e r < / s t r i n g > < / k e y > < v a l u e > < i n t > 5 < / i n t > < / v a l u e > < / i t e m > < i t e m > < k e y > < s t r i n g > S a v i n g s   R a t e   T y p e < / s t r i n g > < / k e y > < v a l u e > < i n t > 6 < / i n t > < / v a l u e > < / i t e m > < i t e m > < k e y > < s t r i n g > S a v i n g s   R a t e < / s t r i n g > < / k e y > < v a l u e > < i n t > 7 < / i n t > < / v a l u e > < / i t e m > < i t e m > < k e y > < s t r i n g > S n a p s h o t < / s t r i n g > < / k e y > < v a l u e > < i n t > 8 < / 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F o r m u l a B a r S t a t e " > < C u s t o m C o n t e n t > < ! [ C D A T A [ < S a n d b o x E d i t o r . F o r m u l a B a r S t a t e   x m l n s = " h t t p : / / s c h e m a s . d a t a c o n t r a c t . o r g / 2 0 0 4 / 0 7 / M i c r o s o f t . A n a l y s i s S e r v i c e s . C o m m o n "   x m l n s : i = " h t t p : / / w w w . w 3 . o r g / 2 0 0 1 / X M L S c h e m a - i n s t a n c e " > < H e i g h t > 1 0 8 < / H e i g h t > < / S a n d b o x E d i t o r . F o r m u l a B a r S t a t e > ] ] > < / C u s t o m C o n t e n t > < / G e m i n i > 
</file>

<file path=customXml/item21.xml>��< ? x m l   v e r s i o n = " 1 . 0 "   e n c o d i n g = " U T F - 1 6 " ? > < G e m i n i   x m l n s = " h t t p : / / g e m i n i / p i v o t c u s t o m i z a t i o n / I s S a n d b o x E m b e d d e d " > < C u s t o m C o n t e n t > < ! [ C D A T A [ y e s ] ] > < / C u s t o m C o n t e n t > < / G e m i n i > 
</file>

<file path=customXml/item22.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150</IndustryCode>
    <CaseStatus xmlns="dc463f71-b30c-4ab2-9473-d307f9d35888">Pending</CaseStatus>
    <OpenedDate xmlns="dc463f71-b30c-4ab2-9473-d307f9d35888">2023-11-01T07:00:00+00:00</OpenedDate>
    <SignificantOrder xmlns="dc463f71-b30c-4ab2-9473-d307f9d35888">false</SignificantOrder>
    <Date1 xmlns="dc463f71-b30c-4ab2-9473-d307f9d35888">2023-11-01T07:00:00+00:00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230893</DocketNumber>
    <DelegatedOrder xmlns="dc463f71-b30c-4ab2-9473-d307f9d35888">false</DelegatedOrder>
  </documentManagement>
</p:properties>
</file>

<file path=customXml/item2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 2 0 2 3 - 0 6 - 0 6 T 1 3 : 5 4 : 5 7 . 7 9 4 4 4 6 5 - 0 7 : 0 0 < / L a s t P r o c e s s e d T i m e > < / D a t a M o d e l i n g S a n d b o x . S e r i a l i z e d S a n d b o x E r r o r C a c h e > ] ] > < / C u s t o m C o n t e n t > < / G e m i n i > 
</file>

<file path=customXml/item24.xml>��< ? x m l   v e r s i o n = " 1 . 0 "   e n c o d i n g = " U T F - 1 6 " ? > < G e m i n i   x m l n s = " h t t p : / / g e m i n i / p i v o t c u s t o m i z a t i o n / T a b l e X M L _ M e r g e 1 _ 4 f 9 1 1 2 9 e - a a 8 1 - 4 d 3 7 - b b 2 9 - 5 8 b d 9 2 c 4 9 7 1 5 " > < C u s t o m C o n t e n t > < ! [ C D A T A [ < T a b l e W i d g e t G r i d S e r i a l i z a t i o n   x m l n s : x s d = " h t t p : / / w w w . w 3 . o r g / 2 0 0 1 / X M L S c h e m a "   x m l n s : x s i = " h t t p : / / w w w . w 3 . o r g / 2 0 0 1 / X M L S c h e m a - i n s t a n c e " > < C o l u m n S u g g e s t e d T y p e   / > < C o l u m n F o r m a t   / > < C o l u m n A c c u r a c y   / > < C o l u m n C u r r e n c y S y m b o l   / > < C o l u m n P o s i t i v e P a t t e r n   / > < C o l u m n N e g a t i v e P a t t e r n   / > < C o l u m n W i d t h s > < i t e m > < k e y > < s t r i n g > S n a p s h o t < / s t r i n g > < / k e y > < v a l u e > < i n t > 1 1 5 < / i n t > < / v a l u e > < / i t e m > < i t e m > < k e y > < s t r i n g > I n i t i a t i v e < / s t r i n g > < / k e y > < v a l u e > < i n t > 1 1 2 < / i n t > < / v a l u e > < / i t e m > < i t e m > < k e y > < s t r i n g > I n i t i a t i v e   I n d e x < / s t r i n g > < / k e y > < v a l u e > < i n t > 1 5 9 < / i n t > < / v a l u e > < / i t e m > < i t e m > < k e y > < s t r i n g > M e a s u r e < / s t r i n g > < / k e y > < v a l u e > < i n t > 1 1 1 < / i n t > < / v a l u e > < / i t e m > < i t e m > < k e y > < s t r i n g > M e a s u r e   I n d e x < / s t r i n g > < / k e y > < v a l u e > < i n t > 1 5 8 < / i n t > < / v a l u e > < / i t e m > < i t e m > < k e y > < s t r i n g > u n i t s < / s t r i n g > < / k e y > < v a l u e > < i n t > 8 1 < / i n t > < / v a l u e > < / i t e m > < i t e m > < k e y > < s t r i n g > S a v i n g s   C a t e g o r y < / s t r i n g > < / k e y > < v a l u e > < i n t > 1 7 4 < / i n t > < / v a l u e > < / i t e m > < i t e m > < k e y > < s t r i n g > y e a r < / s t r i n g > < / k e y > < v a l u e > < i n t > 7 7 < / i n t > < / v a l u e > < / i t e m > < i t e m > < k e y > < s t r i n g > P r o d u c t < / s t r i n g > < / k e y > < v a l u e > < i n t > 1 0 4 < / i n t > < / v a l u e > < / i t e m > < i t e m > < k e y > < s t r i n g > T i e r < / s t r i n g > < / k e y > < v a l u e > < i n t > 7 2 < / i n t > < / v a l u e > < / i t e m > < i t e m > < k e y > < s t r i n g > F u n d i n g   C y c l e < / s t r i n g > < / k e y > < v a l u e > < i n t > 1 4 9 < / i n t > < / v a l u e > < / i t e m > < i t e m > < k e y > < s t r i n g > u n i t _ o f _ m e a s u r e < / s t r i n g > < / k e y > < v a l u e > < i n t > 1 7 4 < / i n t > < / v a l u e > < / i t e m > < i t e m > < k e y > < s t r i n g > F u n d e r _ S h a r e s _ E l e c t . F u n d e r   S h a r e < / s t r i n g > < / k e y > < v a l u e > < i n t > 3 1 2 < / i n t > < / v a l u e > < / i t e m > < i t e m > < k e y > < s t r i n g > m i n d e x _ y r < / s t r i n g > < / k e y > < v a l u e > < i n t > 1 2 4 < / i n t > < / v a l u e > < / i t e m > < / C o l u m n W i d t h s > < C o l u m n D i s p l a y I n d e x > < i t e m > < k e y > < s t r i n g > S n a p s h o t < / s t r i n g > < / k e y > < v a l u e > < i n t > 0 < / i n t > < / v a l u e > < / i t e m > < i t e m > < k e y > < s t r i n g > I n i t i a t i v e < / s t r i n g > < / k e y > < v a l u e > < i n t > 1 < / i n t > < / v a l u e > < / i t e m > < i t e m > < k e y > < s t r i n g > I n i t i a t i v e   I n d e x < / s t r i n g > < / k e y > < v a l u e > < i n t > 2 < / i n t > < / v a l u e > < / i t e m > < i t e m > < k e y > < s t r i n g > M e a s u r e < / s t r i n g > < / k e y > < v a l u e > < i n t > 3 < / i n t > < / v a l u e > < / i t e m > < i t e m > < k e y > < s t r i n g > M e a s u r e   I n d e x < / s t r i n g > < / k e y > < v a l u e > < i n t > 4 < / i n t > < / v a l u e > < / i t e m > < i t e m > < k e y > < s t r i n g > u n i t s < / s t r i n g > < / k e y > < v a l u e > < i n t > 5 < / i n t > < / v a l u e > < / i t e m > < i t e m > < k e y > < s t r i n g > S a v i n g s   C a t e g o r y < / s t r i n g > < / k e y > < v a l u e > < i n t > 6 < / i n t > < / v a l u e > < / i t e m > < i t e m > < k e y > < s t r i n g > y e a r < / s t r i n g > < / k e y > < v a l u e > < i n t > 7 < / i n t > < / v a l u e > < / i t e m > < i t e m > < k e y > < s t r i n g > P r o d u c t < / s t r i n g > < / k e y > < v a l u e > < i n t > 8 < / i n t > < / v a l u e > < / i t e m > < i t e m > < k e y > < s t r i n g > T i e r < / s t r i n g > < / k e y > < v a l u e > < i n t > 9 < / i n t > < / v a l u e > < / i t e m > < i t e m > < k e y > < s t r i n g > F u n d i n g   C y c l e < / s t r i n g > < / k e y > < v a l u e > < i n t > 1 0 < / i n t > < / v a l u e > < / i t e m > < i t e m > < k e y > < s t r i n g > u n i t _ o f _ m e a s u r e < / s t r i n g > < / k e y > < v a l u e > < i n t > 1 1 < / i n t > < / v a l u e > < / i t e m > < i t e m > < k e y > < s t r i n g > F u n d e r _ S h a r e s _ E l e c t . F u n d e r   S h a r e < / s t r i n g > < / k e y > < v a l u e > < i n t > 1 2 < / i n t > < / v a l u e > < / i t e m > < i t e m > < k e y > < s t r i n g > m i n d e x _ y r < / s t r i n g > < / k e y > < v a l u e > < i n t > 1 3 < / 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F u n d e r _ S h a r e s _ E l e c t _ a 2 a 2 d d d 2 - 1 1 4 a - 4 f 7 8 - 9 d 7 2 - 4 e 6 d 2 2 6 0 8 f f e " > < C u s t o m C o n t e n t > < ! [ C D A T A [ < T a b l e W i d g e t G r i d S e r i a l i z a t i o n   x m l n s : x s d = " h t t p : / / w w w . w 3 . o r g / 2 0 0 1 / X M L S c h e m a "   x m l n s : x s i = " h t t p : / / w w w . w 3 . o r g / 2 0 0 1 / X M L S c h e m a - i n s t a n c e " > < C o l u m n S u g g e s t e d T y p e   / > < C o l u m n F o r m a t   / > < C o l u m n A c c u r a c y   / > < C o l u m n C u r r e n c y S y m b o l   / > < C o l u m n P o s i t i v e P a t t e r n   / > < C o l u m n N e g a t i v e P a t t e r n   / > < C o l u m n W i d t h s > < i t e m > < k e y > < s t r i n g > F u n d i n g   C y c l e < / s t r i n g > < / k e y > < v a l u e > < i n t > 1 4 9 < / i n t > < / v a l u e > < / i t e m > < i t e m > < k e y > < s t r i n g > S t a k e h o l d e r _ L o o k u p < / s t r i n g > < / k e y > < v a l u e > < i n t > 2 0 0 < / i n t > < / v a l u e > < / i t e m > < i t e m > < k e y > < s t r i n g > F u n d e r   S h a r e < / s t r i n g > < / k e y > < v a l u e > < i n t > 1 4 6 < / i n t > < / v a l u e > < / i t e m > < / C o l u m n W i d t h s > < C o l u m n D i s p l a y I n d e x > < i t e m > < k e y > < s t r i n g > F u n d i n g   C y c l e < / s t r i n g > < / k e y > < v a l u e > < i n t > 0 < / i n t > < / v a l u e > < / i t e m > < i t e m > < k e y > < s t r i n g > S t a k e h o l d e r _ L o o k u p < / s t r i n g > < / k e y > < v a l u e > < i n t > 1 < / i n t > < / v a l u e > < / i t e m > < i t e m > < k e y > < s t r i n g > F u n d e r   S h a r e < / s t r i n g > < / k e y > < v a l u e > < i n t > 2 < / 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M a n u a l C a l c M o d e " > < C u s t o m C o n t e n t > < ! [ C D A T A [ F a l s e ] ] > < / C u s t o m C o n t e n t > < / G e m i n i > 
</file>

<file path=customXml/item27.xml>��< ? x m l   v e r s i o n = " 1 . 0 "   e n c o d i n g = " U T F - 1 6 " ? > < G e m i n i   x m l n s = " h t t p : / / g e m i n i / p i v o t c u s t o m i z a t i o n / S h o w H i d d e n " > < C u s t o m C o n t e n t > < ! [ C D A T A [ T r u e ] ] > < / C u s t o m C o n t e n t > < / G e m i n i > 
</file>

<file path=customXml/item28.xml>��< ? x m l   v e r s i o n = " 1 . 0 "   e n c o d i n g = " U T F - 1 6 " ? > < G e m i n i   x m l n s = " h t t p : / / g e m i n i / p i v o t c u s t o m i z a t i o n / T a b l e O r d e r " > < C u s t o m C o n t e n t > < ! [ C D A T A [ v w M e a s u r e s _ 9 d c d b b c b - 8 3 b b - 4 f e 0 - b 7 9 f - 8 6 a 8 1 a d 1 f 7 9 6 , F u n d e r _ S h a r e s _ E l e c t _ a 2 a 2 d d d 2 - 1 1 4 a - 4 f 7 8 - 9 d 7 2 - 4 e 6 d 2 2 6 0 8 f f e , v w F u n d e r S h a r e _ e c 1 7 a c 7 2 - 6 0 8 6 - 4 6 8 0 - a 3 9 e - 3 d d 2 d 6 d b 4 f c 0 , v w W A I O U _ 2 4 2 4 2 8 3 7 - 6 4 1 5 - 4 b b 3 - a 8 9 0 - d d e 0 9 c e a 2 4 3 3 , v w S a v i n g s R a t e s _ 0 9 3 0 d 4 8 2 - 3 2 b 8 - 4 b b e - b 2 6 b - 7 9 a 3 1 e d 3 1 d b 8 , M e r g e 1 _ 4 f 9 1 1 2 9 e - a a 8 1 - 4 d 3 7 - b b 2 9 - 5 8 b d 9 2 c 4 9 7 1 5 , v w U n i t s _ d f d a 0 6 8 0 - a 8 c 8 - 4 0 f f - 9 8 f 0 - e 3 c 2 2 6 f 3 6 2 e 1 , v w F l a g s _ e 6 9 c 2 0 1 c - 2 0 3 e - 4 b 5 f - 9 1 3 6 - e 2 3 b 0 1 b 9 8 a 0 f , U n i t s F u n d e r S h a r e A l l o c a t i o n _ 8 6 4 3 7 a 1 c - 2 0 4 3 - 4 c 8 b - b d d 9 - 7 a 4 8 9 9 6 3 0 f 1 a , C o m _ S h a r e s _ E l e c t _ 3 d 1 9 6 3 f f - 4 a 0 b - 4 1 d 1 - b f f 4 - 7 6 5 0 8 7 1 b 1 a b d , R e s _ S h a r e s _ E l e c t 5 _ f 8 6 7 3 8 9 6 - 8 a 3 1 - 4 8 7 b - 9 0 1 a - 4 4 1 7 c 0 9 d b 3 2 c , S t a t e   S h a r e s   f o r   C o d e s _ 7 6 a 8 8 2 4 2 - 1 d 2 6 - 4 c 1 6 - a d 6 2 - 2 4 c 7 c 2 4 3 b 8 1 f ] ] > < / C u s t o m C o n t e n t > < / G e m i n i > 
</file>

<file path=customXml/item29.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301C5D0638999A42B75F12E59FAC1759" ma:contentTypeVersion="16" ma:contentTypeDescription="" ma:contentTypeScope="" ma:versionID="f7557923c4d19f6b869a40ec68208b8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3 b f 4 2 2 5 d - 2 1 4 b - 4 d e f - 9 4 2 2 - 5 0 4 9 4 8 a 0 9 2 0 0 "   x m l n s = " h t t p : / / s c h e m a s . m i c r o s o f t . c o m / D a t a M a s h u p " > A A A A A G A K A A B Q S w M E F A A C A A g A n H j M V t L d S t G k A A A A 9 g A A A B I A H A B D b 2 5 m a W c v U G F j a 2 F n Z S 5 4 b W w g o h g A K K A U A A A A A A A A A A A A A A A A A A A A A A A A A A A A h Y 8 x D o I w G I W v Q r r T l q K J I T 9 l c J X E h G h c m 1 K h E Y q h x X I 3 B 4 / k F c Q o 6 u b 4 v v c N 7 9 2 v N 8 j G t g k u q r e 6 M y m K M E W B M r I r t a l S N L h j u E I Z h 6 2 Q J 1 G p Y J K N T U Z b p q h 2 7 p w Q 4 r 3 H P s Z d X x F G a U Q O + a a Q t W o F + s j 6 v x x q Y 5 0 w U i E O + 9 c Y z n A U L T F b x J g C m S H k 2 n w F N u 1 9 t j 8 Q 1 k P j h l 5 x Z c J d A W S O Q N 4 f + A N Q S w M E F A A C A A g A n H j M V 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J x 4 z F a r Q C 3 L Y w c A A P 8 m A A A T A B w A R m 9 y b X V s Y X M v U 2 V j d G l v b j E u b S C i G A A o o B Q A A A A A A A A A A A A A A A A A A A A A A A A A A A D V W m 1 v G j k Q / o 6 U / 2 B t v 4 B K O C A k O V 0 v l V J C 1 d w l T Q 7 S i y I a I Q c c W G V f 6 K 4 3 L 0 L 8 9 x t 7 d 1 n b 6 z U L b X p q P h C Y H X t m n h n P i y E k Y 2 r 7 H h r E / 1 v v K p V w h g M y Q Y 9 P H y N v Y n v T 7 s v Y I R 8 d P A 2 v j 0 8 v v q A j 5 B C 6 U 0 H w N / C j Y E y A M v j m N E 4 w x X c 4 J F X L I w T v h t + c 3 W a r M U m o j S f b m / h P Y c M j 1 K o j 6 / j 8 / M K q 1 e N 9 J n f + y C A v F r M Y D s Y z 4 u I j C 9 i t + i k l 7 p F V t M q 6 X Q 6 Z Q r e J h D d W n 7 j + I 9 j V 9 Z 3 I 9 U I L 9 r 3 C d w 5 p x A 8 S c t W k S n 1 h v R A c M P X 7 Z A p w Y Q e d 4 + C B U P T F s 2 m I 2 s 1 2 6 / L S W t Z 2 K r Z X J F i E + J z g M A p I + H q g C h K M M K Z 8 K + A y E + S N 1 A g h w Y B 9 f N 2 w y I S s j Y W E N R 8 A H 2 2 H E q Z 3 H + R l 7 h 8 Q B 2 K f 0 a o 5 e X V E 8 H i G q s P P v d 4 x G l D 8 Q G a + A 0 9 v Y b l 1 / G i H F K M v 1 H Z s a g N 0 y A + Q n v U S j + 1 7 e 4 w u / S c S m P i i K Q Q T 2 O h N U M 8 j w f T F q k n B J B s h + i K O w F f z Q r q 9 E X / O t D 3 y f P k K c 3 b U G C h w q D o c M Y G w r x I O V M J h D W E A s T o c e H g e z n z K 8 e 1 G Q U A 8 i p h + g K y Q H P x g w l X U p A f + K M 0 P q j W Q E 1 I J D L l T M M H G 1 H 4 k 8 i d 0 C k H 1 z G j J O R L e Z s 8 i j h + 8 G e B H S D 8 h 6 m J K p n 7 w w m h p 6 r k M / E k 0 5 t K u b M J J S b p C P F + l G 4 3 8 + 5 G b C F v W 9 M 5 o a b 2 h w 2 P l F l U 1 j u s H C C L H 9 s g o y Y D c G 1 r O M 3 + M n d G p N w Y 3 A C 7 h + h V p q h 3 F q b b M A m o H x A U B p X b P m M t b I a 6 K L Q K v T A P s r i S m 4 Z e F w C 3 6 8 z 2 y T k j 4 Q P 1 5 n A n Q I J r P H Z 4 6 G H e O u U / A 0 + C E a 0 w p n h J 0 h t 0 5 6 p O 5 g 8 d c u C k 5 t K T s k F j R B y N e M U k o U o y 5 Q u T d P m W I u / z w z J F 4 n m 2 O r l 7 m h L s + o Y 4 Y V X W 2 K d e U y + L F L V Y M w G c S U j L 5 y 7 e 9 6 i p f Z l 2 J n F C W d a Q C Z G B V X V J H T M r f 4 P P G G b m n F x F o n G W R 3 v M c T M 6 F V u a p m I G / j 1 N I N b Z E J 2 h h 5 a A W k y A j M g 0 X y s q G d p W B R 0 y D m 2 T 8 I m O V 3 J 9 C + 4 o 1 Y J v c b 8 Z k c 9 x K t d H a E r L I g 2 H y S M v g E l W N U q 4 w w a 5 B V u c A L d r h z 4 D d w 6 4 e d v b A A H s L s C l 3 c v L E d Y c u f 0 q L I 6 V l C h X Z O H B m v o E x j F R i q Y u 7 9 x F v 3 8 N R j 5 U L b T r t P Y + J 0 7 j 2 g 4 c 7 3 3 + o Q k Y m j a 7 v U V b S q 9 Y / f 3 x l a f s r 9 O e Q 5 Y 8 d B 2 o 8 m 4 + T f R v P T v g M t Q 9 5 k e P U E Q 0 i k t q t k Q 8 f C K F C P Y x L o I b T q r N 8 e 2 T x B f m i C D H q + p D + 0 S e C Y a k Q B c m T h F 4 t V K K O h g k r 2 D S A v g U H 4 R F T / z b z W 3 e G v S k I 4 R G w k n A V Y C + 8 9 w M 3 x p w 9 Z K 7 L q c S C T T 0 k F J g R J c + U x 5 M w 8 0 D v 5 D 9 E 8 x x L r D + K B 7 n k o R e 5 d y R Y y o E g 6 Z o F w T l M T q S 1 c R m V 9 Q Z N N D h q + f S + L F d A d U v L V F G 9 S A U 7 A U 2 J s y F z S Z g a N Z O m f 3 Y x 8 o p z f 7 K 9 e e J n T N 8 x 6 7 P l q 7 7 x R u 0 b b 9 S + 8 U b t G 2 / E v t H U 4 + 1 U d l L k e L w J t w x Z e t G C m Q Z o e d v S G D F N b A V T V d r J 8 r L G h 5 B m P J p k h H Z v t / m 7 S t z T E f c Z s b Z F 7 5 A b s d c 0 U Y Z x d 5 M + b 0 1 T o W 0 m M n 1 K 9 m t p a 1 L Q S Q i q X 9 q P P L X G 6 g j J n t E L h v Q z O 6 S N E 3 i x v b G e Z / h G E Q 2 p 3 9 D X 8 A 0 H k S s i y u f P C f o X O x G R y j p / w M n V n P p 1 X i u b 9 Y Q r k N g B 6 e 6 h 7 D Z R S K d Q i K r M W i m d Y i n 7 J a V 0 1 k v Z Z x B 2 D / j r 4 R a 3 L 7 J a y U k W 2 4 w 0 W B E J A j / I 9 j m e T J J C k Z P F Y p C 4 8 1 F M P r E f 7 Q n 5 8 N K E u p Q K G H Y 7 t 2 + H 3 X 3 2 c s B e D m 8 L N G 8 X a i 4 o t U p A B W J 5 j u i Y c 4 S h a 1 Q U A t i L z B P w B 3 z Y 5 l F I f V e P W k 4 B 5 s P O q h f h J t n 3 F R m m t w y 6 9 8 0 K n R E P V d i H 3 6 o a j l q F O C F B q N I s i s H C E J Q U X x / l q 8 q + X V u n K M W a O g G D S x K w 6 z s 8 h f W w Y F m A b 0 s P s K Q I A 3 d f B p f h p k d P L 6 a t F y N r w o + j K u e A y 8 n H v F 7 O 3 n o 5 7 f j A q 3 I O 1 9 q z w r v H T k 6 Y i w J O 5 r 4 I q 6 p W 0 O I t R B C b y w K v t 8 q 7 P V G D + / 2 w j N / l g G k X h r G s z / q a Y I 7 j 9 o a B 3 I 4 t O i i 0 i L X L A p S l D d 4 r Z X C 7 R O F Y y c 7 U L D B + b 0 P j 9 2 L j i 6 3 j x q / B x h Q M R Y P Z n t T 9 d n 3 3 / 5 v O V e E F o 7 n K 9 q P m c r 3 4 n z O U C 2 N 3 b t 4 + P V G m b E Y 8 v 9 I Q L / o a 4 v V x b k j f / O J K L g u L Z F f m C h c i z c a O 6 X J p o 7 s l b m 1 s H r P n O 7 K l O i 4 s R H U 3 O S I t 6 Y j 0 I T 7 E M N n / q W d E l T 7 i I O T O i M q W n h H O n T 8 j G w S w X o F f O I b B I G h G P f q r B L G o 7 / Z R / M b i s R c X j B C B a B A y i b 8 j K n E v l z s E y t 0 h u 9 t S 8 6 m G R Z P L y 9 3 L 5 d a V u Z T T C J N y w j L 5 L F / G i Q w F A 1 f B v F W s b X b 7 s + Z X K 7 v X O J z B 6 E 9 9 L / n C 2 / T b l f X c u V + w i E t q W x w q 9 T L I D G C u Z M j f G 8 g y 3 / 0 H U E s B A i 0 A F A A C A A g A n H j M V t L d S t G k A A A A 9 g A A A B I A A A A A A A A A A A A A A A A A A A A A A E N v b m Z p Z y 9 Q Y W N r Y W d l L n h t b F B L A Q I t A B Q A A g A I A J x 4 z F Z T c j g s m w A A A O E A A A A T A A A A A A A A A A A A A A A A A P A A A A B b Q 2 9 u d G V u d F 9 U e X B l c 1 0 u e G 1 s U E s B A i 0 A F A A C A A g A n H j M V q t A L c t j B w A A / y Y A A B M A A A A A A A A A A A A A A A A A 2 A E A A E Z v c m 1 1 b G F z L 1 N l Y 3 R p b 2 4 x L m 1 Q S w U G A A A A A A M A A w D C A A A A i A k A A A A A E 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Z m F s c 2 U 8 L 0 Z p c m V 3 Y W x s R W 5 h Y m x l Z D 4 8 L 1 B l c m 1 p c 3 N p b 2 5 M a X N 0 P v L T A A A A A A A A 0 N M 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3 Z 3 R n V u Z G l u Z 0 N 5 Y 2 x l R m x h Z 3 N X Q U l P V T 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y 0 w N C 0 w N 1 Q y M D o w O T o z O S 4 3 N D Q 0 N z Y z W i I g L z 4 8 R W 5 0 c n k g V H l w Z T 0 i R m l s b E N v b H V t b l R 5 c G V z I i B W Y W x 1 Z T 0 i c 0 J n d 0 d C Z 1 l Q I i A v P j x F b n R y e S B U e X B l P S J G a W x s Q 2 9 s d W 1 u T m F t Z X M i I F Z h b H V l P S J z W y Z x d W 9 0 O 1 N u Y X B z a G 9 0 J n F 1 b 3 Q 7 L C Z x d W 9 0 O 3 l l Y X I m c X V v d D s s J n F 1 b 3 Q 7 T W V h c 3 V y Z S Z x d W 9 0 O y w m c X V v d D t N Z W F z d X J l I E l u Z G V 4 J n F 1 b 3 Q 7 L C Z x d W 9 0 O 0 Z 1 b m R p b m c g Q 3 l j b G U m c X V v d D s s J n F 1 b 3 Q 7 U m V n a W 9 u Y W w g T W F y a 2 V 0 I F V u a X R z I D I w M j F Q U C Z x d W 9 0 O 1 0 i I C 8 + P E V u d H J 5 I F R 5 c G U 9 I k Z p b G x l Z E N v b X B s Z X R l U m V z d W x 0 V G 9 X b 3 J r c 2 h l Z X Q i I F Z h b H V l P S J s M C I g L z 4 8 R W 5 0 c n k g V H l w Z T 0 i R m l s b F N 0 Y X R 1 c y I g V m F s d W U 9 I n N D b 2 1 w b G V 0 Z S I g L z 4 8 R W 5 0 c n k g V H l w Z T 0 i R m l s b F R v R G F 0 Y U 1 v Z G V s R W 5 h Y m x l Z C I g V m F s d W U 9 I m w w I i A v P j x F b n R y e S B U e X B l P S J J c 1 B y a X Z h d G U i I F Z h b H V l P S J s M C I g L z 4 8 R W 5 0 c n k g V H l w Z T 0 i U X V l c n l J R C I g V m F s d W U 9 I n M 1 N z c 0 Z j k 3 Y y 0 5 Z j Q y L T Q 3 M T A t O W J j Z i 0 4 O T U 2 Y m F m O W Q x N m Q i I C 8 + P E V u d H J 5 I F R 5 c G U 9 I l J l Y 2 9 2 Z X J 5 V G F y Z 2 V 0 Q 2 9 s d W 1 u I i B W Y W x 1 Z T 0 i b D E i I C 8 + P E V u d H J 5 I F R 5 c G U 9 I l J l Y 2 9 2 Z X J 5 V G F y Z 2 V 0 U m 9 3 I i B W Y W x 1 Z T 0 i b D E i I C 8 + P E V u d H J 5 I F R 5 c G U 9 I l J l Y 2 9 2 Z X J 5 V G F y Z 2 V 0 U 2 h l Z X Q i I F Z h b H V l P S J z Q U 1 N T y B G d W 5 k a W 5 n I E N 5 Y 2 x l I E Z s Y W d z I i A v P j x F b n R y e S B U e X B l P S J S Z W x h d G l v b n N o a X B J b m Z v Q 2 9 u d G F p b m V y I i B W Y W x 1 Z T 0 i c 3 s m c X V v d D t j b 2 x 1 b W 5 D b 3 V u d C Z x d W 9 0 O z o 2 L C Z x d W 9 0 O 2 t l e U N v b H V t b k 5 h b W V z J n F 1 b 3 Q 7 O l t d L C Z x d W 9 0 O 3 F 1 Z X J 5 U m V s Y X R p b 2 5 z a G l w c y Z x d W 9 0 O z p b X S w m c X V v d D t j b 2 x 1 b W 5 J Z G V u d G l 0 a W V z J n F 1 b 3 Q 7 O l s m c X V v d D t T Z X J 2 Z X I u R G F 0 Y W J h c 2 V c X C 8 y L 1 N R T C 9 u Z W V h L X N x b C 0 w M S 5 k Y X R h Y m F z Z S 5 3 a W 5 k b 3 d z L m 5 l d D t B T U 1 P L 2 R i b y 9 2 d 0 Z 1 b m R p b m d D e W N s Z U Z s Y W d z V 0 F J T 1 U u e 1 N u Y X B z a G 9 0 L D B 9 J n F 1 b 3 Q 7 L C Z x d W 9 0 O 1 N l c n Z l c i 5 E Y X R h Y m F z Z V x c L z I v U 1 F M L 2 5 l Z W E t c 3 F s L T A x L m R h d G F i Y X N l L n d p b m R v d 3 M u b m V 0 O 0 F N T U 8 v Z G J v L 3 Z 3 R n V u Z G l u Z 0 N 5 Y 2 x l R m x h Z 3 N X Q U l P V S 5 7 e W V h c i w x f S Z x d W 9 0 O y w m c X V v d D t T Z X J 2 Z X I u R G F 0 Y W J h c 2 V c X C 8 y L 1 N R T C 9 u Z W V h L X N x b C 0 w M S 5 k Y X R h Y m F z Z S 5 3 a W 5 k b 3 d z L m 5 l d D t B T U 1 P L 2 R i b y 9 2 d 0 Z 1 b m R p b m d D e W N s Z U Z s Y W d z V 0 F J T 1 U u e 0 1 l Y X N 1 c m U s M n 0 m c X V v d D s s J n F 1 b 3 Q 7 U 2 V y d m V y L k R h d G F i Y X N l X F w v M i 9 T U U w v b m V l Y S 1 z c W w t M D E u Z G F 0 Y W J h c 2 U u d 2 l u Z G 9 3 c y 5 u Z X Q 7 Q U 1 N T y 9 k Y m 8 v d n d G d W 5 k a W 5 n Q 3 l j b G V G b G F n c 1 d B S U 9 V L n t N Z W F z d X J l I E l u Z G V 4 L D N 9 J n F 1 b 3 Q 7 L C Z x d W 9 0 O 1 N l c n Z l c i 5 E Y X R h Y m F z Z V x c L z I v U 1 F M L 2 5 l Z W E t c 3 F s L T A x L m R h d G F i Y X N l L n d p b m R v d 3 M u b m V 0 O 0 F N T U 8 v Z G J v L 3 Z 3 R n V u Z G l u Z 0 N 5 Y 2 x l R m x h Z 3 N X Q U l P V S 5 7 R n V u Z G l u Z y B D e W N s Z S w 0 f S Z x d W 9 0 O y w m c X V v d D t T Z X J 2 Z X I u R G F 0 Y W J h c 2 V c X C 8 y L 1 N R T C 9 u Z W V h L X N x b C 0 w M S 5 k Y X R h Y m F z Z S 5 3 a W 5 k b 3 d z L m 5 l d D t B T U 1 P L 2 R i b y 9 2 d 0 Z 1 b m R p b m d D e W N s Z U Z s Y W d z V 0 F J T 1 U u e 1 J l Z 2 l v b m F s I E 1 h c m t l d C B V b m l 0 c y A y M D I x U F A s N X 0 m c X V v d D t d L C Z x d W 9 0 O 0 N v b H V t b k N v d W 5 0 J n F 1 b 3 Q 7 O j Y s J n F 1 b 3 Q 7 S 2 V 5 Q 2 9 s d W 1 u T m F t Z X M m c X V v d D s 6 W 1 0 s J n F 1 b 3 Q 7 Q 2 9 s d W 1 u S W R l b n R p d G l l c y Z x d W 9 0 O z p b J n F 1 b 3 Q 7 U 2 V y d m V y L k R h d G F i Y X N l X F w v M i 9 T U U w v b m V l Y S 1 z c W w t M D E u Z G F 0 Y W J h c 2 U u d 2 l u Z G 9 3 c y 5 u Z X Q 7 Q U 1 N T y 9 k Y m 8 v d n d G d W 5 k a W 5 n Q 3 l j b G V G b G F n c 1 d B S U 9 V L n t T b m F w c 2 h v d C w w f S Z x d W 9 0 O y w m c X V v d D t T Z X J 2 Z X I u R G F 0 Y W J h c 2 V c X C 8 y L 1 N R T C 9 u Z W V h L X N x b C 0 w M S 5 k Y X R h Y m F z Z S 5 3 a W 5 k b 3 d z L m 5 l d D t B T U 1 P L 2 R i b y 9 2 d 0 Z 1 b m R p b m d D e W N s Z U Z s Y W d z V 0 F J T 1 U u e 3 l l Y X I s M X 0 m c X V v d D s s J n F 1 b 3 Q 7 U 2 V y d m V y L k R h d G F i Y X N l X F w v M i 9 T U U w v b m V l Y S 1 z c W w t M D E u Z G F 0 Y W J h c 2 U u d 2 l u Z G 9 3 c y 5 u Z X Q 7 Q U 1 N T y 9 k Y m 8 v d n d G d W 5 k a W 5 n Q 3 l j b G V G b G F n c 1 d B S U 9 V L n t N Z W F z d X J l L D J 9 J n F 1 b 3 Q 7 L C Z x d W 9 0 O 1 N l c n Z l c i 5 E Y X R h Y m F z Z V x c L z I v U 1 F M L 2 5 l Z W E t c 3 F s L T A x L m R h d G F i Y X N l L n d p b m R v d 3 M u b m V 0 O 0 F N T U 8 v Z G J v L 3 Z 3 R n V u Z G l u Z 0 N 5 Y 2 x l R m x h Z 3 N X Q U l P V S 5 7 T W V h c 3 V y Z S B J b m R l e C w z f S Z x d W 9 0 O y w m c X V v d D t T Z X J 2 Z X I u R G F 0 Y W J h c 2 V c X C 8 y L 1 N R T C 9 u Z W V h L X N x b C 0 w M S 5 k Y X R h Y m F z Z S 5 3 a W 5 k b 3 d z L m 5 l d D t B T U 1 P L 2 R i b y 9 2 d 0 Z 1 b m R p b m d D e W N s Z U Z s Y W d z V 0 F J T 1 U u e 0 Z 1 b m R p b m c g Q 3 l j b G U s N H 0 m c X V v d D s s J n F 1 b 3 Q 7 U 2 V y d m V y L k R h d G F i Y X N l X F w v M i 9 T U U w v b m V l Y S 1 z c W w t M D E u Z G F 0 Y W J h c 2 U u d 2 l u Z G 9 3 c y 5 u Z X Q 7 Q U 1 N T y 9 k Y m 8 v d n d G d W 5 k a W 5 n Q 3 l j b G V G b G F n c 1 d B S U 9 V L n t S Z W d p b 2 5 h b C B N Y X J r Z X Q g V W 5 p d H M g M j A y M V B Q L D V 9 J n F 1 b 3 Q 7 X S w m c X V v d D t S Z W x h d G l v b n N o a X B J b m Z v J n F 1 b 3 Q 7 O l t d f S I g L z 4 8 R W 5 0 c n k g V H l w Z T 0 i U m V z d W x 0 V H l w Z S I g V m F s d W U 9 I n N U Y W J s Z S I g L z 4 8 R W 5 0 c n k g V H l w Z T 0 i T m F 2 a W d h d G l v b l N 0 Z X B O Y W 1 l I i B W Y W x 1 Z T 0 i c 0 5 h d m l n Y X R p b 2 4 i I C 8 + P E V u d H J 5 I F R 5 c G U 9 I k Z p b G x P Y m p l Y 3 R U e X B l I i B W Y W x 1 Z T 0 i c 0 N v b m 5 l Y 3 R p b 2 5 P b m x 5 I i A v P j x F b n R y e S B U e X B l P S J O Y W 1 l V X B k Y X R l Z E F m d G V y R m l s b C I g V m F s d W U 9 I m w w I i A v P j w v U 3 R h Y m x l R W 5 0 c m l l c z 4 8 L 0 l 0 Z W 0 + P E l 0 Z W 0 + P E l 0 Z W 1 M b 2 N h d G l v b j 4 8 S X R l b V R 5 c G U + R m 9 y b X V s Y T w v S X R l b V R 5 c G U + P E l 0 Z W 1 Q Y X R o P l N l Y 3 R p b 2 4 x L 3 Z 3 T W V h c 3 V y Z X M 8 L 0 l 0 Z W 1 Q Y X R o P j w v S X R l b U x v Y 2 F 0 a W 9 u P j x T d G F i b G V F b n R y a W V z P j x F b n R y e S B U e X B l P S J G a W x s R X J y b 3 J D b 2 R l I i B W Y W x 1 Z T 0 i c 1 V u a 2 5 v d 2 4 i I C 8 + P E V u d H J 5 I F R 5 c G U 9 I k J 1 Z m Z l c k 5 l e H R S Z W Z y Z X N o I i B W Y W x 1 Z T 0 i b D E i I C 8 + P E V u d H J 5 I F R 5 c G U 9 I k Z p b G x F c n J v c k N v d W 5 0 I i B W Y W x 1 Z T 0 i b D A i I C 8 + P E V u d H J 5 I F R 5 c G U 9 I k Z p b G x F b m F i b G V k I i B W Y W x 1 Z T 0 i b D A i I C 8 + P E V u d H J 5 I F R 5 c G U 9 I k Z p b G x M Y X N 0 V X B k Y X R l Z C I g V m F s d W U 9 I m Q y M D I z L T A 2 L T E y V D I y O j A 0 O j U z L j A x O D k 2 N D V a I i A v P j x F b n R y e S B U e X B l P S J G a W x s Z W R D b 2 1 w b G V 0 Z V J l c 3 V s d F R v V 2 9 y a 3 N o Z W V 0 I i B W Y W x 1 Z T 0 i b D A i I C 8 + P E V u d H J 5 I F R 5 c G U 9 I k Z p b G x D b 2 x 1 b W 5 U e X B l c y I g V m F s d W U 9 I n N C Z z h H Q m d Z R 0 J n W U d C Z 1 l H Q m d Z R 0 J n W U d C Z z 0 9 I i A v P j x F b n R y e S B U e X B l P S J G a W x s V G 9 E Y X R h T W 9 k Z W x F b m F i b G V k I i B W Y W x 1 Z T 0 i b D E i I C 8 + P E V u d H J 5 I F R 5 c G U 9 I k l z U H J p d m F 0 Z S I g V m F s d W U 9 I m w w I i A v P j x F b n R y e S B U e X B l P S J R d W V y e U l E I i B W Y W x 1 Z T 0 i c z d i M j c 0 M z E 5 L T c z Y z Q t N D h m N S 0 5 Y T J j L W V k N j M 2 Z j E z N D J j Z i I g L z 4 8 R W 5 0 c n k g V H l w Z T 0 i R m l s b E N v b H V t b k 5 h b W V z I i B W Y W x 1 Z T 0 i c 1 s m c X V v d D t N Z W F z d X J l J n F 1 b 3 Q 7 L C Z x d W 9 0 O 0 1 l Y X N 1 c m U g T G l m Z S Z x d W 9 0 O y w m c X V v d D t N Z W F z d X J l I E l u Z G V 4 J n F 1 b 3 Q 7 L C Z x d W 9 0 O 0 1 l Y X N 1 c m U g R G V z Y 3 J p c H R p b 2 4 m c X V v d D s s J n F 1 b 3 Q 7 c 2 V j d G 9 y J n F 1 b 3 Q 7 L C Z x d W 9 0 O 0 l u a X R p Y X R p d m U m c X V v d D s s J n F 1 b 3 Q 7 S W 5 p d G l h d G l 2 Z S B J b m R l e C Z x d W 9 0 O y w m c X V v d D t J b m l 0 a W F 0 a X Z l I E R l c 2 N y a X B 0 a W 9 u J n F 1 b 3 Q 7 L C Z x d W 9 0 O 1 B y b 2 R 1 Y 3 Q m c X V v d D s s J n F 1 b 3 Q 7 U H J v Z H V j d C B E Z X N j c m l w d G l v b i Z x d W 9 0 O y w m c X V v d D t U a W V y J n F 1 b 3 Q 7 L C Z x d W 9 0 O 1 R p Z X I g R G V z Y 3 J p c H R p b 2 4 m c X V v d D s s J n F 1 b 3 Q 7 Q W J v d m U g M j A y M S B Q U C Z x d W 9 0 O y w m c X V v d D t O R U V B I E l u Z m x 1 Z W 5 j Z W Q m c X V v d D s s J n F 1 b 3 Q 7 U H J v Z H V j d C B D Y X R l Z 2 9 y e S Z x d W 9 0 O y w m c X V v d D t Q c m 9 k d W N 0 I E d y b 3 V w J n F 1 b 3 Q 7 L C Z x d W 9 0 O 1 J l c 2 9 1 c m N l I F R 5 c G U m c X V v d D s s J n F 1 b 3 Q 7 R n V l b C B U e X B l J n F 1 b 3 Q 7 L C Z x d W 9 0 O 0 J y Y W N r Z X Q m c X V v d D t d 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D b 3 V u d C I g V m F s d W U 9 I m w 0 M j I i I C 8 + P E V u d H J 5 I F R 5 c G U 9 I k Z p b G x T d G F 0 d X M i I F Z h b H V l P S J z Q 2 9 t c G x l d G U i I C 8 + P E V u d H J 5 I F R 5 c G U 9 I k F k Z G V k V G 9 E Y X R h T W 9 k Z W w i I F Z h b H V l P S J s M S I g L z 4 8 R W 5 0 c n k g V H l w Z T 0 i U m V s Y X R p b 2 5 z a G l w S W 5 m b 0 N v b n R h a W 5 l c i I g V m F s d W U 9 I n N 7 J n F 1 b 3 Q 7 Y 2 9 s d W 1 u Q 2 9 1 b n Q m c X V v d D s 6 M T k s J n F 1 b 3 Q 7 a 2 V 5 Q 2 9 s d W 1 u T m F t Z X M m c X V v d D s 6 W 1 0 s J n F 1 b 3 Q 7 c X V l c n l S Z W x h d G l v b n N o a X B z J n F 1 b 3 Q 7 O l t d L C Z x d W 9 0 O 2 N v b H V t b k l k Z W 5 0 a X R p Z X M m c X V v d D s 6 W y Z x d W 9 0 O 1 N l c n Z l c i 5 E Y X R h Y m F z Z V x c L z I v U 1 F M L 2 5 l Z W E t c 3 F s L T A x L m R h d G F i Y X N l L n d p b m R v d 3 M u b m V 0 O 0 F N T U 8 v Z G J v L 3 Z 3 T W V h c 3 V y Z X M u e 0 1 l Y X N 1 c m U s M H 0 m c X V v d D s s J n F 1 b 3 Q 7 U 2 V y d m V y L k R h d G F i Y X N l X F w v M i 9 T U U w v b m V l Y S 1 z c W w t M D E u Z G F 0 Y W J h c 2 U u d 2 l u Z G 9 3 c y 5 u Z X Q 7 Q U 1 N T y 9 k Y m 8 v d n d N Z W F z d X J l c y 5 7 T W V h c 3 V y Z S B M a W Z l L D F 9 J n F 1 b 3 Q 7 L C Z x d W 9 0 O 1 N l c n Z l c i 5 E Y X R h Y m F z Z V x c L z I v U 1 F M L 2 5 l Z W E t c 3 F s L T A x L m R h d G F i Y X N l L n d p b m R v d 3 M u b m V 0 O 0 F N T U 8 v Z G J v L 3 Z 3 T W V h c 3 V y Z X M u e 0 1 l Y X N 1 c m U g S W 5 k Z X g s M n 0 m c X V v d D s s J n F 1 b 3 Q 7 U 2 V y d m V y L k R h d G F i Y X N l X F w v M i 9 T U U w v b m V l Y S 1 z c W w t M D E u Z G F 0 Y W J h c 2 U u d 2 l u Z G 9 3 c y 5 u Z X Q 7 Q U 1 N T y 9 k Y m 8 v d n d N Z W F z d X J l c y 5 7 T W V h c 3 V y Z S B E Z X N j c m l w d G l v b i w z f S Z x d W 9 0 O y w m c X V v d D t T Z X J 2 Z X I u R G F 0 Y W J h c 2 V c X C 8 y L 1 N R T C 9 u Z W V h L X N x b C 0 w M S 5 k Y X R h Y m F z Z S 5 3 a W 5 k b 3 d z L m 5 l d D t B T U 1 P L 2 R i b y 9 2 d 0 1 l Y X N 1 c m V z L n t z Z W N 0 b 3 I s N H 0 m c X V v d D s s J n F 1 b 3 Q 7 U 2 V y d m V y L k R h d G F i Y X N l X F w v M i 9 T U U w v b m V l Y S 1 z c W w t M D E u Z G F 0 Y W J h c 2 U u d 2 l u Z G 9 3 c y 5 u Z X Q 7 Q U 1 N T y 9 k Y m 8 v d n d N Z W F z d X J l c y 5 7 S W 5 p d G l h d G l 2 Z S w 1 f S Z x d W 9 0 O y w m c X V v d D t T Z X J 2 Z X I u R G F 0 Y W J h c 2 V c X C 8 y L 1 N R T C 9 u Z W V h L X N x b C 0 w M S 5 k Y X R h Y m F z Z S 5 3 a W 5 k b 3 d z L m 5 l d D t B T U 1 P L 2 R i b y 9 2 d 0 1 l Y X N 1 c m V z L n t J b m l 0 a W F 0 a X Z l I E l u Z G V 4 L D Z 9 J n F 1 b 3 Q 7 L C Z x d W 9 0 O 1 N l c n Z l c i 5 E Y X R h Y m F z Z V x c L z I v U 1 F M L 2 5 l Z W E t c 3 F s L T A x L m R h d G F i Y X N l L n d p b m R v d 3 M u b m V 0 O 0 F N T U 8 v Z G J v L 3 Z 3 T W V h c 3 V y Z X M u e 0 l u a X R p Y X R p d m U g R G V z Y 3 J p c H R p b 2 4 s N 3 0 m c X V v d D s s J n F 1 b 3 Q 7 U 2 V y d m V y L k R h d G F i Y X N l X F w v M i 9 T U U w v b m V l Y S 1 z c W w t M D E u Z G F 0 Y W J h c 2 U u d 2 l u Z G 9 3 c y 5 u Z X Q 7 Q U 1 N T y 9 k Y m 8 v d n d N Z W F z d X J l c y 5 7 U H J v Z H V j d C w 4 f S Z x d W 9 0 O y w m c X V v d D t T Z X J 2 Z X I u R G F 0 Y W J h c 2 V c X C 8 y L 1 N R T C 9 u Z W V h L X N x b C 0 w M S 5 k Y X R h Y m F z Z S 5 3 a W 5 k b 3 d z L m 5 l d D t B T U 1 P L 2 R i b y 9 2 d 0 1 l Y X N 1 c m V z L n t Q c m 9 k d W N 0 I E R l c 2 N y a X B 0 a W 9 u L D l 9 J n F 1 b 3 Q 7 L C Z x d W 9 0 O 1 N l c n Z l c i 5 E Y X R h Y m F z Z V x c L z I v U 1 F M L 2 5 l Z W E t c 3 F s L T A x L m R h d G F i Y X N l L n d p b m R v d 3 M u b m V 0 O 0 F N T U 8 v Z G J v L 3 Z 3 T W V h c 3 V y Z X M u e 1 R p Z X I s M T B 9 J n F 1 b 3 Q 7 L C Z x d W 9 0 O 1 N l c n Z l c i 5 E Y X R h Y m F z Z V x c L z I v U 1 F M L 2 5 l Z W E t c 3 F s L T A x L m R h d G F i Y X N l L n d p b m R v d 3 M u b m V 0 O 0 F N T U 8 v Z G J v L 3 Z 3 T W V h c 3 V y Z X M u e 1 R p Z X I g R G V z Y 3 J p c H R p b 2 4 s M T F 9 J n F 1 b 3 Q 7 L C Z x d W 9 0 O 1 N l c n Z l c i 5 E Y X R h Y m F z Z V x c L z I v U 1 F M L 2 5 l Z W E t c 3 F s L T A x L m R h d G F i Y X N l L n d p b m R v d 3 M u b m V 0 O 0 F N T U 8 v Z G J v L 3 Z 3 T W V h c 3 V y Z X M u e 0 F i b 3 Z l I D I w M j E g U F A s M T J 9 J n F 1 b 3 Q 7 L C Z x d W 9 0 O 1 N l c n Z l c i 5 E Y X R h Y m F z Z V x c L z I v U 1 F M L 2 5 l Z W E t c 3 F s L T A x L m R h d G F i Y X N l L n d p b m R v d 3 M u b m V 0 O 0 F N T U 8 v Z G J v L 3 Z 3 T W V h c 3 V y Z X M u e 0 5 F R U E g S W 5 m b H V l b m N l Z C w x M 3 0 m c X V v d D s s J n F 1 b 3 Q 7 U 2 V y d m V y L k R h d G F i Y X N l X F w v M i 9 T U U w v b m V l Y S 1 z c W w t M D E u Z G F 0 Y W J h c 2 U u d 2 l u Z G 9 3 c y 5 u Z X Q 7 Q U 1 N T y 9 k Y m 8 v d n d N Z W F z d X J l c y 5 7 U H J v Z H V j d C B D Y X R l Z 2 9 y e S w x N H 0 m c X V v d D s s J n F 1 b 3 Q 7 U 2 V y d m V y L k R h d G F i Y X N l X F w v M i 9 T U U w v b m V l Y S 1 z c W w t M D E u Z G F 0 Y W J h c 2 U u d 2 l u Z G 9 3 c y 5 u Z X Q 7 Q U 1 N T y 9 k Y m 8 v d n d N Z W F z d X J l c y 5 7 U H J v Z H V j d C B H c m 9 1 c C w x N X 0 m c X V v d D s s J n F 1 b 3 Q 7 U 2 V y d m V y L k R h d G F i Y X N l X F w v M i 9 T U U w v b m V l Y S 1 z c W w t M D E u Z G F 0 Y W J h c 2 U u d 2 l u Z G 9 3 c y 5 u Z X Q 7 Q U 1 N T y 9 k Y m 8 v d n d N Z W F z d X J l c y 5 7 U m V z b 3 V y Y 2 U g V H l w Z S w x N n 0 m c X V v d D s s J n F 1 b 3 Q 7 U 2 V y d m V y L k R h d G F i Y X N l X F w v M i 9 T U U w v b m V l Y S 1 z c W w t M D E u Z G F 0 Y W J h c 2 U u d 2 l u Z G 9 3 c y 5 u Z X Q 7 Q U 1 N T y 9 k Y m 8 v d n d N Z W F z d X J l c y 5 7 R n V l b C B U e X B l L D E 3 f S Z x d W 9 0 O y w m c X V v d D t T Z X J 2 Z X I u R G F 0 Y W J h c 2 V c X C 8 y L 1 N R T C 9 u Z W V h L X N x b C 0 w M S 5 k Y X R h Y m F z Z S 5 3 a W 5 k b 3 d z L m 5 l d D t B T U 1 P L 2 R i b y 9 2 d 0 1 l Y X N 1 c m V z L n t C c m F j a 2 V 0 L D E 4 f S Z x d W 9 0 O 1 0 s J n F 1 b 3 Q 7 Q 2 9 s d W 1 u Q 2 9 1 b n Q m c X V v d D s 6 M T k s J n F 1 b 3 Q 7 S 2 V 5 Q 2 9 s d W 1 u T m F t Z X M m c X V v d D s 6 W 1 0 s J n F 1 b 3 Q 7 Q 2 9 s d W 1 u S W R l b n R p d G l l c y Z x d W 9 0 O z p b J n F 1 b 3 Q 7 U 2 V y d m V y L k R h d G F i Y X N l X F w v M i 9 T U U w v b m V l Y S 1 z c W w t M D E u Z G F 0 Y W J h c 2 U u d 2 l u Z G 9 3 c y 5 u Z X Q 7 Q U 1 N T y 9 k Y m 8 v d n d N Z W F z d X J l c y 5 7 T W V h c 3 V y Z S w w f S Z x d W 9 0 O y w m c X V v d D t T Z X J 2 Z X I u R G F 0 Y W J h c 2 V c X C 8 y L 1 N R T C 9 u Z W V h L X N x b C 0 w M S 5 k Y X R h Y m F z Z S 5 3 a W 5 k b 3 d z L m 5 l d D t B T U 1 P L 2 R i b y 9 2 d 0 1 l Y X N 1 c m V z L n t N Z W F z d X J l I E x p Z m U s M X 0 m c X V v d D s s J n F 1 b 3 Q 7 U 2 V y d m V y L k R h d G F i Y X N l X F w v M i 9 T U U w v b m V l Y S 1 z c W w t M D E u Z G F 0 Y W J h c 2 U u d 2 l u Z G 9 3 c y 5 u Z X Q 7 Q U 1 N T y 9 k Y m 8 v d n d N Z W F z d X J l c y 5 7 T W V h c 3 V y Z S B J b m R l e C w y f S Z x d W 9 0 O y w m c X V v d D t T Z X J 2 Z X I u R G F 0 Y W J h c 2 V c X C 8 y L 1 N R T C 9 u Z W V h L X N x b C 0 w M S 5 k Y X R h Y m F z Z S 5 3 a W 5 k b 3 d z L m 5 l d D t B T U 1 P L 2 R i b y 9 2 d 0 1 l Y X N 1 c m V z L n t N Z W F z d X J l I E R l c 2 N y a X B 0 a W 9 u L D N 9 J n F 1 b 3 Q 7 L C Z x d W 9 0 O 1 N l c n Z l c i 5 E Y X R h Y m F z Z V x c L z I v U 1 F M L 2 5 l Z W E t c 3 F s L T A x L m R h d G F i Y X N l L n d p b m R v d 3 M u b m V 0 O 0 F N T U 8 v Z G J v L 3 Z 3 T W V h c 3 V y Z X M u e 3 N l Y 3 R v c i w 0 f S Z x d W 9 0 O y w m c X V v d D t T Z X J 2 Z X I u R G F 0 Y W J h c 2 V c X C 8 y L 1 N R T C 9 u Z W V h L X N x b C 0 w M S 5 k Y X R h Y m F z Z S 5 3 a W 5 k b 3 d z L m 5 l d D t B T U 1 P L 2 R i b y 9 2 d 0 1 l Y X N 1 c m V z L n t J b m l 0 a W F 0 a X Z l L D V 9 J n F 1 b 3 Q 7 L C Z x d W 9 0 O 1 N l c n Z l c i 5 E Y X R h Y m F z Z V x c L z I v U 1 F M L 2 5 l Z W E t c 3 F s L T A x L m R h d G F i Y X N l L n d p b m R v d 3 M u b m V 0 O 0 F N T U 8 v Z G J v L 3 Z 3 T W V h c 3 V y Z X M u e 0 l u a X R p Y X R p d m U g S W 5 k Z X g s N n 0 m c X V v d D s s J n F 1 b 3 Q 7 U 2 V y d m V y L k R h d G F i Y X N l X F w v M i 9 T U U w v b m V l Y S 1 z c W w t M D E u Z G F 0 Y W J h c 2 U u d 2 l u Z G 9 3 c y 5 u Z X Q 7 Q U 1 N T y 9 k Y m 8 v d n d N Z W F z d X J l c y 5 7 S W 5 p d G l h d G l 2 Z S B E Z X N j c m l w d G l v b i w 3 f S Z x d W 9 0 O y w m c X V v d D t T Z X J 2 Z X I u R G F 0 Y W J h c 2 V c X C 8 y L 1 N R T C 9 u Z W V h L X N x b C 0 w M S 5 k Y X R h Y m F z Z S 5 3 a W 5 k b 3 d z L m 5 l d D t B T U 1 P L 2 R i b y 9 2 d 0 1 l Y X N 1 c m V z L n t Q c m 9 k d W N 0 L D h 9 J n F 1 b 3 Q 7 L C Z x d W 9 0 O 1 N l c n Z l c i 5 E Y X R h Y m F z Z V x c L z I v U 1 F M L 2 5 l Z W E t c 3 F s L T A x L m R h d G F i Y X N l L n d p b m R v d 3 M u b m V 0 O 0 F N T U 8 v Z G J v L 3 Z 3 T W V h c 3 V y Z X M u e 1 B y b 2 R 1 Y 3 Q g R G V z Y 3 J p c H R p b 2 4 s O X 0 m c X V v d D s s J n F 1 b 3 Q 7 U 2 V y d m V y L k R h d G F i Y X N l X F w v M i 9 T U U w v b m V l Y S 1 z c W w t M D E u Z G F 0 Y W J h c 2 U u d 2 l u Z G 9 3 c y 5 u Z X Q 7 Q U 1 N T y 9 k Y m 8 v d n d N Z W F z d X J l c y 5 7 V G l l c i w x M H 0 m c X V v d D s s J n F 1 b 3 Q 7 U 2 V y d m V y L k R h d G F i Y X N l X F w v M i 9 T U U w v b m V l Y S 1 z c W w t M D E u Z G F 0 Y W J h c 2 U u d 2 l u Z G 9 3 c y 5 u Z X Q 7 Q U 1 N T y 9 k Y m 8 v d n d N Z W F z d X J l c y 5 7 V G l l c i B E Z X N j c m l w d G l v b i w x M X 0 m c X V v d D s s J n F 1 b 3 Q 7 U 2 V y d m V y L k R h d G F i Y X N l X F w v M i 9 T U U w v b m V l Y S 1 z c W w t M D E u Z G F 0 Y W J h c 2 U u d 2 l u Z G 9 3 c y 5 u Z X Q 7 Q U 1 N T y 9 k Y m 8 v d n d N Z W F z d X J l c y 5 7 Q W J v d m U g M j A y M S B Q U C w x M n 0 m c X V v d D s s J n F 1 b 3 Q 7 U 2 V y d m V y L k R h d G F i Y X N l X F w v M i 9 T U U w v b m V l Y S 1 z c W w t M D E u Z G F 0 Y W J h c 2 U u d 2 l u Z G 9 3 c y 5 u Z X Q 7 Q U 1 N T y 9 k Y m 8 v d n d N Z W F z d X J l c y 5 7 T k V F Q S B J b m Z s d W V u Y 2 V k L D E z f S Z x d W 9 0 O y w m c X V v d D t T Z X J 2 Z X I u R G F 0 Y W J h c 2 V c X C 8 y L 1 N R T C 9 u Z W V h L X N x b C 0 w M S 5 k Y X R h Y m F z Z S 5 3 a W 5 k b 3 d z L m 5 l d D t B T U 1 P L 2 R i b y 9 2 d 0 1 l Y X N 1 c m V z L n t Q c m 9 k d W N 0 I E N h d G V n b 3 J 5 L D E 0 f S Z x d W 9 0 O y w m c X V v d D t T Z X J 2 Z X I u R G F 0 Y W J h c 2 V c X C 8 y L 1 N R T C 9 u Z W V h L X N x b C 0 w M S 5 k Y X R h Y m F z Z S 5 3 a W 5 k b 3 d z L m 5 l d D t B T U 1 P L 2 R i b y 9 2 d 0 1 l Y X N 1 c m V z L n t Q c m 9 k d W N 0 I E d y b 3 V w L D E 1 f S Z x d W 9 0 O y w m c X V v d D t T Z X J 2 Z X I u R G F 0 Y W J h c 2 V c X C 8 y L 1 N R T C 9 u Z W V h L X N x b C 0 w M S 5 k Y X R h Y m F z Z S 5 3 a W 5 k b 3 d z L m 5 l d D t B T U 1 P L 2 R i b y 9 2 d 0 1 l Y X N 1 c m V z L n t S Z X N v d X J j Z S B U e X B l L D E 2 f S Z x d W 9 0 O y w m c X V v d D t T Z X J 2 Z X I u R G F 0 Y W J h c 2 V c X C 8 y L 1 N R T C 9 u Z W V h L X N x b C 0 w M S 5 k Y X R h Y m F z Z S 5 3 a W 5 k b 3 d z L m 5 l d D t B T U 1 P L 2 R i b y 9 2 d 0 1 l Y X N 1 c m V z L n t G d W V s I F R 5 c G U s M T d 9 J n F 1 b 3 Q 7 L C Z x d W 9 0 O 1 N l c n Z l c i 5 E Y X R h Y m F z Z V x c L z I v U 1 F M L 2 5 l Z W E t c 3 F s L T A x L m R h d G F i Y X N l L n d p b m R v d 3 M u b m V 0 O 0 F N T U 8 v Z G J v L 3 Z 3 T W V h c 3 V y Z X M u e 0 J y Y W N r Z X Q s M T h 9 J n F 1 b 3 Q 7 X S w m c X V v d D t S Z W x h d G l v b n N o a X B J b m Z v J n F 1 b 3 Q 7 O l t d f S I g L z 4 8 L 1 N 0 Y W J s Z U V u d H J p Z X M + P C 9 J d G V t P j x J d G V t P j x J d G V t T G 9 j Y X R p b 2 4 + P E l 0 Z W 1 U e X B l P k Z v c m 1 1 b G E 8 L 0 l 0 Z W 1 U e X B l P j x J d G V t U G F 0 a D 5 T Z W N 0 a W 9 u M S 9 2 d 0 Z 1 b m R l c l N o Y X J l P C 9 J d G V t U G F 0 a D 4 8 L 0 l 0 Z W 1 M b 2 N h d G l v b j 4 8 U 3 R h Y m x l R W 5 0 c m l l c z 4 8 R W 5 0 c n k g V H l w Z T 0 i R m l s b E N v b H V t b k 5 h b W V z I i B W Y W x 1 Z T 0 i c 1 s m c X V v d D t O R U V B I F N 0 Y W t l a G 9 s Z G V y J n F 1 b 3 Q 7 L C Z x d W 9 0 O 0 Z 1 b m R l c i B U e X B l J n F 1 b 3 Q 7 L C Z x d W 9 0 O 1 N o Y X J l I F R 5 c G U m c X V v d D s s J n F 1 b 3 Q 7 W W V h c i Z x d W 9 0 O y w m c X V v d D t G d W 5 k Z X I g U 2 h h c m U m c X V v d D s s J n F 1 b 3 Q 7 Q W x s b 2 N h d G l v b i B T d G F 0 Z S Z x d W 9 0 O y w m c X V v d D t T d G F 0 Z S B B b G x v Y 2 F 0 a W 9 u J n F 1 b 3 Q 7 L C Z x d W 9 0 O 1 N 0 Y X R l I E Z 1 b m R l c i B T a G F y Z S Z x d W 9 0 O 1 0 i I C 8 + P E V u d H J 5 I F R 5 c G U 9 I k J 1 Z m Z l c k 5 l e H R S Z W Z y Z X N o I i B W Y W x 1 Z T 0 i b D E i I C 8 + P E V u d H J 5 I F R 5 c G U 9 I k Z p b G x D b 2 x 1 b W 5 U e X B l c y I g V m F s d W U 9 I n N C Z 1 l H Q m c 4 R 0 R 3 O D 0 i I C 8 + P E V u d H J 5 I F R 5 c G U 9 I k Z p b G x F b m F i b G V k I i B W Y W x 1 Z T 0 i b D A i I C 8 + P E V u d H J 5 I F R 5 c G U 9 I k Z p b G x M Y X N 0 V X B k Y X R l Z C I g V m F s d W U 9 I m Q y M D I z L T A 2 L T E y V D I y O j A 0 O j U z L j A y N j k 0 M j F a I i A v P j x F b n R y e S B U e X B l P S J G a W x s Z W R D b 2 1 w b G V 0 Z V J l c 3 V s d F R v V 2 9 y a 3 N o Z W V 0 I i B W Y W x 1 Z T 0 i b D A i I C 8 + P E V u d H J 5 I F R 5 c G U 9 I k Z p b G x F c n J v c k N v d W 5 0 I i B W Y W x 1 Z T 0 i b D A i I C 8 + P E V u d H J 5 I F R 5 c G U 9 I k Z p b G x U b 0 R h d G F N b 2 R l b E V u Y W J s Z W Q i I F Z h b H V l P S J s M S I g L z 4 8 R W 5 0 c n k g V H l w Z T 0 i S X N Q c m l 2 Y X R l I i B W Y W x 1 Z T 0 i b D A i I C 8 + P E V u d H J 5 I F R 5 c G U 9 I l F 1 Z X J 5 S U Q i I F Z h b H V l P S J z Y T k 2 N G M w Z m E t M W Q 0 M y 0 0 Z j E 3 L W E x M j c t N W R h Y W F l M z M 5 Z D U x I i A v P j x F b n R y e S B U e X B l P S J G a W x s R X J y b 3 J D b 2 R l I i B W Y W x 1 Z T 0 i c 1 V u a 2 5 v d 2 4 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Q U 1 N T y B G d W 5 k Z X I g U 2 h h c m U h U G l 2 b 3 R U Y W J s Z T I i I C 8 + P E V u d H J 5 I F R 5 c G U 9 I k Z p b G x T d G F 0 d X M i I F Z h b H V l P S J z Q 2 9 t c G x l d G U i I C 8 + P E V u d H J 5 I F R 5 c G U 9 I k Z p b G x D b 3 V u d C I g V m F s d W U 9 I m w z O T Y i I C 8 + P E V u d H J 5 I F R 5 c G U 9 I l J l b G F 0 a W 9 u c 2 h p c E l u Z m 9 D b 2 5 0 Y W l u Z X I i I F Z h b H V l P S J z e y Z x d W 9 0 O 2 N v b H V t b k N v d W 5 0 J n F 1 b 3 Q 7 O j g s J n F 1 b 3 Q 7 a 2 V 5 Q 2 9 s d W 1 u T m F t Z X M m c X V v d D s 6 W 1 0 s J n F 1 b 3 Q 7 c X V l c n l S Z W x h d G l v b n N o a X B z J n F 1 b 3 Q 7 O l t d L C Z x d W 9 0 O 2 N v b H V t b k l k Z W 5 0 a X R p Z X M m c X V v d D s 6 W y Z x d W 9 0 O 1 N l c n Z l c i 5 E Y X R h Y m F z Z V x c L z I v U 1 F M L 2 5 l Z W E t c 3 F s L T A x L m R h d G F i Y X N l L n d p b m R v d 3 M u b m V 0 O 0 F N T U 8 v Z G J v L 3 Z 3 R n V u Z G V y U 2 h h c m U u e 0 5 F R U E g U 3 R h a 2 V o b 2 x k Z X I s M H 0 m c X V v d D s s J n F 1 b 3 Q 7 U 2 V y d m V y L k R h d G F i Y X N l X F w v M i 9 T U U w v b m V l Y S 1 z c W w t M D E u Z G F 0 Y W J h c 2 U u d 2 l u Z G 9 3 c y 5 u Z X Q 7 Q U 1 N T y 9 k Y m 8 v d n d G d W 5 k Z X J T a G F y Z S 5 7 R n V u Z G V y I F R 5 c G U s M X 0 m c X V v d D s s J n F 1 b 3 Q 7 U 2 V y d m V y L k R h d G F i Y X N l X F w v M i 9 T U U w v b m V l Y S 1 z c W w t M D E u Z G F 0 Y W J h c 2 U u d 2 l u Z G 9 3 c y 5 u Z X Q 7 Q U 1 N T y 9 k Y m 8 v d n d G d W 5 k Z X J T a G F y Z S 5 7 U 2 h h c m U g V H l w Z S w y f S Z x d W 9 0 O y w m c X V v d D t T Z X J 2 Z X I u R G F 0 Y W J h c 2 V c X C 8 y L 1 N R T C 9 u Z W V h L X N x b C 0 w M S 5 k Y X R h Y m F z Z S 5 3 a W 5 k b 3 d z L m 5 l d D t B T U 1 P L 2 R i b y 9 2 d 0 Z 1 b m R l c l N o Y X J l L n t Z Z W F y L D N 9 J n F 1 b 3 Q 7 L C Z x d W 9 0 O 1 N l c n Z l c i 5 E Y X R h Y m F z Z V x c L z I v U 1 F M L 2 5 l Z W E t c 3 F s L T A x L m R h d G F i Y X N l L n d p b m R v d 3 M u b m V 0 O 0 F N T U 8 v Z G J v L 3 Z 3 R n V u Z G V y U 2 h h c m U u e 0 Z 1 b m R l c i B T a G F y Z S w 0 f S Z x d W 9 0 O y w m c X V v d D t T Z X J 2 Z X I u R G F 0 Y W J h c 2 V c X C 8 y L 1 N R T C 9 u Z W V h L X N x b C 0 w M S 5 k Y X R h Y m F z Z S 5 3 a W 5 k b 3 d z L m 5 l d D t B T U 1 P L 2 R i b y 9 2 d 0 Z 1 b m R l c l N o Y X J l L n t B b G x v Y 2 F 0 a W 9 u I F N 0 Y X R l L D V 9 J n F 1 b 3 Q 7 L C Z x d W 9 0 O 1 N l c n Z l c i 5 E Y X R h Y m F z Z V x c L z I v U 1 F M L 2 5 l Z W E t c 3 F s L T A x L m R h d G F i Y X N l L n d p b m R v d 3 M u b m V 0 O 0 F N T U 8 v Z G J v L 3 Z 3 R n V u Z G V y U 2 h h c m U u e 1 N 0 Y X R l I E F s b G 9 j Y X R p b 2 4 s N n 0 m c X V v d D s s J n F 1 b 3 Q 7 U 2 V y d m V y L k R h d G F i Y X N l X F w v M i 9 T U U w v b m V l Y S 1 z c W w t M D E u Z G F 0 Y W J h c 2 U u d 2 l u Z G 9 3 c y 5 u Z X Q 7 Q U 1 N T y 9 k Y m 8 v d n d G d W 5 k Z X J T a G F y Z S 5 7 U 3 R h d G U g R n V u Z G V y I F N o Y X J l L D d 9 J n F 1 b 3 Q 7 X S w m c X V v d D t D b 2 x 1 b W 5 D b 3 V u d C Z x d W 9 0 O z o 4 L C Z x d W 9 0 O 0 t l e U N v b H V t b k 5 h b W V z J n F 1 b 3 Q 7 O l t d L C Z x d W 9 0 O 0 N v b H V t b k l k Z W 5 0 a X R p Z X M m c X V v d D s 6 W y Z x d W 9 0 O 1 N l c n Z l c i 5 E Y X R h Y m F z Z V x c L z I v U 1 F M L 2 5 l Z W E t c 3 F s L T A x L m R h d G F i Y X N l L n d p b m R v d 3 M u b m V 0 O 0 F N T U 8 v Z G J v L 3 Z 3 R n V u Z G V y U 2 h h c m U u e 0 5 F R U E g U 3 R h a 2 V o b 2 x k Z X I s M H 0 m c X V v d D s s J n F 1 b 3 Q 7 U 2 V y d m V y L k R h d G F i Y X N l X F w v M i 9 T U U w v b m V l Y S 1 z c W w t M D E u Z G F 0 Y W J h c 2 U u d 2 l u Z G 9 3 c y 5 u Z X Q 7 Q U 1 N T y 9 k Y m 8 v d n d G d W 5 k Z X J T a G F y Z S 5 7 R n V u Z G V y I F R 5 c G U s M X 0 m c X V v d D s s J n F 1 b 3 Q 7 U 2 V y d m V y L k R h d G F i Y X N l X F w v M i 9 T U U w v b m V l Y S 1 z c W w t M D E u Z G F 0 Y W J h c 2 U u d 2 l u Z G 9 3 c y 5 u Z X Q 7 Q U 1 N T y 9 k Y m 8 v d n d G d W 5 k Z X J T a G F y Z S 5 7 U 2 h h c m U g V H l w Z S w y f S Z x d W 9 0 O y w m c X V v d D t T Z X J 2 Z X I u R G F 0 Y W J h c 2 V c X C 8 y L 1 N R T C 9 u Z W V h L X N x b C 0 w M S 5 k Y X R h Y m F z Z S 5 3 a W 5 k b 3 d z L m 5 l d D t B T U 1 P L 2 R i b y 9 2 d 0 Z 1 b m R l c l N o Y X J l L n t Z Z W F y L D N 9 J n F 1 b 3 Q 7 L C Z x d W 9 0 O 1 N l c n Z l c i 5 E Y X R h Y m F z Z V x c L z I v U 1 F M L 2 5 l Z W E t c 3 F s L T A x L m R h d G F i Y X N l L n d p b m R v d 3 M u b m V 0 O 0 F N T U 8 v Z G J v L 3 Z 3 R n V u Z G V y U 2 h h c m U u e 0 Z 1 b m R l c i B T a G F y Z S w 0 f S Z x d W 9 0 O y w m c X V v d D t T Z X J 2 Z X I u R G F 0 Y W J h c 2 V c X C 8 y L 1 N R T C 9 u Z W V h L X N x b C 0 w M S 5 k Y X R h Y m F z Z S 5 3 a W 5 k b 3 d z L m 5 l d D t B T U 1 P L 2 R i b y 9 2 d 0 Z 1 b m R l c l N o Y X J l L n t B b G x v Y 2 F 0 a W 9 u I F N 0 Y X R l L D V 9 J n F 1 b 3 Q 7 L C Z x d W 9 0 O 1 N l c n Z l c i 5 E Y X R h Y m F z Z V x c L z I v U 1 F M L 2 5 l Z W E t c 3 F s L T A x L m R h d G F i Y X N l L n d p b m R v d 3 M u b m V 0 O 0 F N T U 8 v Z G J v L 3 Z 3 R n V u Z G V y U 2 h h c m U u e 1 N 0 Y X R l I E F s b G 9 j Y X R p b 2 4 s N n 0 m c X V v d D s s J n F 1 b 3 Q 7 U 2 V y d m V y L k R h d G F i Y X N l X F w v M i 9 T U U w v b m V l Y S 1 z c W w t M D E u Z G F 0 Y W J h c 2 U u d 2 l u Z G 9 3 c y 5 u Z X Q 7 Q U 1 N T y 9 k Y m 8 v d n d G d W 5 k Z X J T a G F y Z S 5 7 U 3 R h d G U g R n V u Z G V y I F N o Y X J l L D d 9 J n F 1 b 3 Q 7 X S w m c X V v d D t S Z W x h d G l v b n N o a X B J b m Z v J n F 1 b 3 Q 7 O l t d f S I g L z 4 8 R W 5 0 c n k g V H l w Z T 0 i Q W R k Z W R U b 0 R h d G F N b 2 R l b C I g V m F s d W U 9 I m w x I i A v P j w v U 3 R h Y m x l R W 5 0 c m l l c z 4 8 L 0 l 0 Z W 0 + P E l 0 Z W 0 + P E l 0 Z W 1 M b 2 N h d G l v b j 4 8 S X R l b V R 5 c G U + R m 9 y b X V s Y T w v S X R l b V R 5 c G U + P E l 0 Z W 1 Q Y X R o P l N l Y 3 R p b 2 4 x L 3 Z 3 V W 5 p d H M 8 L 0 l 0 Z W 1 Q Y X R o P j w v S X R l b U x v Y 2 F 0 a W 9 u P j x T d G F i b G V F b n R y a W V z P j x F b n R y e S B U e X B l P S J G a W x s Q 2 9 s d W 1 u V H l w Z X M i I F Z h b H V l P S J z Q m d Z R 0 J n W V B C Z 3 d H Q m d Z R y I g L z 4 8 R W 5 0 c n k g V H l w Z T 0 i Q n V m Z m V y T m V 4 d F J l Z n J l c 2 g i I F Z h b H V l P S J s M S I g L z 4 8 R W 5 0 c n k g V H l w Z T 0 i R m l s b E V u Y W J s Z W Q i I F Z h b H V l P S J s M C I g L z 4 8 R W 5 0 c n k g V H l w Z T 0 i R m l s b E x h c 3 R V c G R h d G V k I i B W Y W x 1 Z T 0 i Z D I w M j M t M D Y t M T J U M j I 6 M D Q 6 N T M u M T M y N D c y M F o i I C 8 + P E V u d H J 5 I F R 5 c G U 9 I k Z p b G x l Z E N v b X B s Z X R l U m V z d W x 0 V G 9 X b 3 J r c 2 h l Z X Q i I F Z h b H V l P S J s M C I g L z 4 8 R W 5 0 c n k g V H l w Z T 0 i R m l s b E V y c m 9 y Q 2 9 1 b n Q i I F Z h b H V l P S J s M C I g L z 4 8 R W 5 0 c n k g V H l w Z T 0 i R m l s b F R v R G F 0 Y U 1 v Z G V s R W 5 h Y m x l Z C I g V m F s d W U 9 I m w x I i A v P j x F b n R y e S B U e X B l P S J J c 1 B y a X Z h d G U i I F Z h b H V l P S J s M C I g L z 4 8 R W 5 0 c n k g V H l w Z T 0 i R m l s b E V y c m 9 y Q 2 9 k Z S I g V m F s d W U 9 I n N V b m t u b 3 d u 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l F 1 Z X J 5 S U Q i I F Z h b H V l P S J z M G E y M T Q 4 Y m Y t Z D Y 3 O C 0 0 O G F j L W E 2 M G M t Y j k x N G I 5 N 2 Y z Z m I 0 I i A v P j x F b n R y e S B U e X B l P S J G a W x s Q 2 9 s d W 1 u T m F t Z X M i I F Z h b H V l P S J z W y Z x d W 9 0 O 1 N u Y X B z a G 9 0 J n F 1 b 3 Q 7 L C Z x d W 9 0 O 0 l u a X R p Y X R p d m U m c X V v d D s s J n F 1 b 3 Q 7 S W 5 p d G l h d G l 2 Z S B J b m R l e C Z x d W 9 0 O y w m c X V v d D t N Z W F z d X J l J n F 1 b 3 Q 7 L C Z x d W 9 0 O 0 1 l Y X N 1 c m U g S W 5 k Z X g m c X V v d D s s J n F 1 b 3 Q 7 d W 5 p d H M m c X V v d D s s J n F 1 b 3 Q 7 U 2 F 2 a W 5 n c y B D Y X R l Z 2 9 y e S Z x d W 9 0 O y w m c X V v d D t 5 Z W F y J n F 1 b 3 Q 7 L C Z x d W 9 0 O 1 B y b 2 R 1 Y 3 Q m c X V v d D s s J n F 1 b 3 Q 7 V G l l c i Z x d W 9 0 O y w m c X V v d D t G d W 5 k a W 5 n I E N 5 Y 2 x l J n F 1 b 3 Q 7 L C Z x d W 9 0 O 3 V u a X R f b 2 Z f b W V h c 3 V y Z S Z x d W 9 0 O 1 0 i I C 8 + P E V u d H J 5 I F R 5 c G U 9 I k Z p b G x T d G F 0 d X M i I F Z h b H V l P S J z Q 2 9 t c G x l d G U i I C 8 + P E V u d H J 5 I F R 5 c G U 9 I k Z p b G x D b 3 V u d C I g V m F s d W U 9 I m w x N T Q 1 I i A v P j x F b n R y e S B U e X B l P S J S Z W x h d G l v b n N o a X B J b m Z v Q 2 9 u d G F p b m V y I i B W Y W x 1 Z T 0 i c 3 s m c X V v d D t j b 2 x 1 b W 5 D b 3 V u d C Z x d W 9 0 O z o x M i w m c X V v d D t r Z X l D b 2 x 1 b W 5 O Y W 1 l c y Z x d W 9 0 O z p b X S w m c X V v d D t x d W V y e V J l b G F 0 a W 9 u c 2 h p c H M m c X V v d D s 6 W 1 0 s J n F 1 b 3 Q 7 Y 2 9 s d W 1 u S W R l b n R p d G l l c y Z x d W 9 0 O z p b J n F 1 b 3 Q 7 U 2 V y d m V y L k R h d G F i Y X N l X F w v M i 9 T U U w v b m V l Y S 1 z c W w t M D E u Z G F 0 Y W J h c 2 U u d 2 l u Z G 9 3 c y 5 u Z X Q 7 Q U 1 N T y 9 k Y m 8 v d n d V b m l 0 c y 5 7 U 2 5 h c H N o b 3 Q s O X 0 m c X V v d D s s J n F 1 b 3 Q 7 U 2 V y d m V y L k R h d G F i Y X N l X F w v M i 9 T U U w v b m V l Y S 1 z c W w t M D E u Z G F 0 Y W J h c 2 U u d 2 l u Z G 9 3 c y 5 u Z X Q 7 Q U 1 N T y 9 k Y m 8 v d n d V b m l 0 c y 5 7 S W 5 p d G l h d G l 2 Z S w w f S Z x d W 9 0 O y w m c X V v d D t T Z X J 2 Z X I u R G F 0 Y W J h c 2 V c X C 8 y L 1 N R T C 9 u Z W V h L X N x b C 0 w M S 5 k Y X R h Y m F z Z S 5 3 a W 5 k b 3 d z L m 5 l d D t B T U 1 P L 2 R i b y 9 2 d 1 V u a X R z L n t J b m l 0 a W F 0 a X Z l I E l u Z G V 4 L D F 9 J n F 1 b 3 Q 7 L C Z x d W 9 0 O 1 N l c n Z l c i 5 E Y X R h Y m F z Z V x c L z I v U 1 F M L 2 5 l Z W E t c 3 F s L T A x L m R h d G F i Y X N l L n d p b m R v d 3 M u b m V 0 O 0 F N T U 8 v Z G J v L 3 Z 3 V W 5 p d H M u e 0 1 l Y X N 1 c m U s M n 0 m c X V v d D s s J n F 1 b 3 Q 7 U 2 V y d m V y L k R h d G F i Y X N l X F w v M i 9 T U U w v b m V l Y S 1 z c W w t M D E u Z G F 0 Y W J h c 2 U u d 2 l u Z G 9 3 c y 5 u Z X Q 7 Q U 1 N T y 9 k Y m 8 v d n d V b m l 0 c y 5 7 T W V h c 3 V y Z S B J b m R l e C w z f S Z x d W 9 0 O y w m c X V v d D t T Z X J 2 Z X I u R G F 0 Y W J h c 2 V c X C 8 y L 1 N R T C 9 u Z W V h L X N x b C 0 w M S 5 k Y X R h Y m F z Z S 5 3 a W 5 k b 3 d z L m 5 l d D t B T U 1 P L 2 R i b y 9 2 d 1 V u a X R z L n t 1 b m l 0 c y w 0 f S Z x d W 9 0 O y w m c X V v d D t T Z X J 2 Z X I u R G F 0 Y W J h c 2 V c X C 8 y L 1 N R T C 9 u Z W V h L X N x b C 0 w M S 5 k Y X R h Y m F z Z S 5 3 a W 5 k b 3 d z L m 5 l d D t B T U 1 P L 2 R i b y 9 2 d 1 V u a X R z L n t T Y X Z p b m d z I E N h d G V n b 3 J 5 L D V 9 J n F 1 b 3 Q 7 L C Z x d W 9 0 O 1 N l c n Z l c i 5 E Y X R h Y m F z Z V x c L z I v U 1 F M L 2 5 l Z W E t c 3 F s L T A x L m R h d G F i Y X N l L n d p b m R v d 3 M u b m V 0 O 0 F N T U 8 v Z G J v L 3 Z 3 V W 5 p d H M u e 3 l l Y X I s N n 0 m c X V v d D s s J n F 1 b 3 Q 7 U 2 V y d m V y L k R h d G F i Y X N l X F w v M i 9 T U U w v b m V l Y S 1 z c W w t M D E u Z G F 0 Y W J h c 2 U u d 2 l u Z G 9 3 c y 5 u Z X Q 7 Q U 1 N T y 9 k Y m 8 v d n d V b m l 0 c y 5 7 U H J v Z H V j d C w 3 f S Z x d W 9 0 O y w m c X V v d D t T Z X J 2 Z X I u R G F 0 Y W J h c 2 V c X C 8 y L 1 N R T C 9 u Z W V h L X N x b C 0 w M S 5 k Y X R h Y m F z Z S 5 3 a W 5 k b 3 d z L m 5 l d D t B T U 1 P L 2 R i b y 9 2 d 1 V u a X R z L n t U a W V y L D h 9 J n F 1 b 3 Q 7 L C Z x d W 9 0 O 1 N l c n Z l c i 5 E Y X R h Y m F z Z V x c L z I v U 1 F M L 2 5 l Z W E t c 3 F s L T A x L m R h d G F i Y X N l L n d p b m R v d 3 M u b m V 0 O 0 F N T U 8 v Z G J v L 3 Z 3 V W 5 p d H M u e 0 Z 1 b m R p b m c g Q 3 l j b G U s M T B 9 J n F 1 b 3 Q 7 L C Z x d W 9 0 O 1 N l c n Z l c i 5 E Y X R h Y m F z Z V x c L z I v U 1 F M L 2 5 l Z W E t c 3 F s L T A x L m R h d G F i Y X N l L n d p b m R v d 3 M u b m V 0 O 0 F N T U 8 v Z G J v L 3 Z 3 V W 5 p d H M u e 3 V u a X R f b 2 Z f b W V h c 3 V y Z S w x M X 0 m c X V v d D t d L C Z x d W 9 0 O 0 N v b H V t b k N v d W 5 0 J n F 1 b 3 Q 7 O j E y L C Z x d W 9 0 O 0 t l e U N v b H V t b k 5 h b W V z J n F 1 b 3 Q 7 O l t d L C Z x d W 9 0 O 0 N v b H V t b k l k Z W 5 0 a X R p Z X M m c X V v d D s 6 W y Z x d W 9 0 O 1 N l c n Z l c i 5 E Y X R h Y m F z Z V x c L z I v U 1 F M L 2 5 l Z W E t c 3 F s L T A x L m R h d G F i Y X N l L n d p b m R v d 3 M u b m V 0 O 0 F N T U 8 v Z G J v L 3 Z 3 V W 5 p d H M u e 1 N u Y X B z a G 9 0 L D l 9 J n F 1 b 3 Q 7 L C Z x d W 9 0 O 1 N l c n Z l c i 5 E Y X R h Y m F z Z V x c L z I v U 1 F M L 2 5 l Z W E t c 3 F s L T A x L m R h d G F i Y X N l L n d p b m R v d 3 M u b m V 0 O 0 F N T U 8 v Z G J v L 3 Z 3 V W 5 p d H M u e 0 l u a X R p Y X R p d m U s M H 0 m c X V v d D s s J n F 1 b 3 Q 7 U 2 V y d m V y L k R h d G F i Y X N l X F w v M i 9 T U U w v b m V l Y S 1 z c W w t M D E u Z G F 0 Y W J h c 2 U u d 2 l u Z G 9 3 c y 5 u Z X Q 7 Q U 1 N T y 9 k Y m 8 v d n d V b m l 0 c y 5 7 S W 5 p d G l h d G l 2 Z S B J b m R l e C w x f S Z x d W 9 0 O y w m c X V v d D t T Z X J 2 Z X I u R G F 0 Y W J h c 2 V c X C 8 y L 1 N R T C 9 u Z W V h L X N x b C 0 w M S 5 k Y X R h Y m F z Z S 5 3 a W 5 k b 3 d z L m 5 l d D t B T U 1 P L 2 R i b y 9 2 d 1 V u a X R z L n t N Z W F z d X J l L D J 9 J n F 1 b 3 Q 7 L C Z x d W 9 0 O 1 N l c n Z l c i 5 E Y X R h Y m F z Z V x c L z I v U 1 F M L 2 5 l Z W E t c 3 F s L T A x L m R h d G F i Y X N l L n d p b m R v d 3 M u b m V 0 O 0 F N T U 8 v Z G J v L 3 Z 3 V W 5 p d H M u e 0 1 l Y X N 1 c m U g S W 5 k Z X g s M 3 0 m c X V v d D s s J n F 1 b 3 Q 7 U 2 V y d m V y L k R h d G F i Y X N l X F w v M i 9 T U U w v b m V l Y S 1 z c W w t M D E u Z G F 0 Y W J h c 2 U u d 2 l u Z G 9 3 c y 5 u Z X Q 7 Q U 1 N T y 9 k Y m 8 v d n d V b m l 0 c y 5 7 d W 5 p d H M s N H 0 m c X V v d D s s J n F 1 b 3 Q 7 U 2 V y d m V y L k R h d G F i Y X N l X F w v M i 9 T U U w v b m V l Y S 1 z c W w t M D E u Z G F 0 Y W J h c 2 U u d 2 l u Z G 9 3 c y 5 u Z X Q 7 Q U 1 N T y 9 k Y m 8 v d n d V b m l 0 c y 5 7 U 2 F 2 a W 5 n c y B D Y X R l Z 2 9 y e S w 1 f S Z x d W 9 0 O y w m c X V v d D t T Z X J 2 Z X I u R G F 0 Y W J h c 2 V c X C 8 y L 1 N R T C 9 u Z W V h L X N x b C 0 w M S 5 k Y X R h Y m F z Z S 5 3 a W 5 k b 3 d z L m 5 l d D t B T U 1 P L 2 R i b y 9 2 d 1 V u a X R z L n t 5 Z W F y L D Z 9 J n F 1 b 3 Q 7 L C Z x d W 9 0 O 1 N l c n Z l c i 5 E Y X R h Y m F z Z V x c L z I v U 1 F M L 2 5 l Z W E t c 3 F s L T A x L m R h d G F i Y X N l L n d p b m R v d 3 M u b m V 0 O 0 F N T U 8 v Z G J v L 3 Z 3 V W 5 p d H M u e 1 B y b 2 R 1 Y 3 Q s N 3 0 m c X V v d D s s J n F 1 b 3 Q 7 U 2 V y d m V y L k R h d G F i Y X N l X F w v M i 9 T U U w v b m V l Y S 1 z c W w t M D E u Z G F 0 Y W J h c 2 U u d 2 l u Z G 9 3 c y 5 u Z X Q 7 Q U 1 N T y 9 k Y m 8 v d n d V b m l 0 c y 5 7 V G l l c i w 4 f S Z x d W 9 0 O y w m c X V v d D t T Z X J 2 Z X I u R G F 0 Y W J h c 2 V c X C 8 y L 1 N R T C 9 u Z W V h L X N x b C 0 w M S 5 k Y X R h Y m F z Z S 5 3 a W 5 k b 3 d z L m 5 l d D t B T U 1 P L 2 R i b y 9 2 d 1 V u a X R z L n t G d W 5 k a W 5 n I E N 5 Y 2 x l L D E w f S Z x d W 9 0 O y w m c X V v d D t T Z X J 2 Z X I u R G F 0 Y W J h c 2 V c X C 8 y L 1 N R T C 9 u Z W V h L X N x b C 0 w M S 5 k Y X R h Y m F z Z S 5 3 a W 5 k b 3 d z L m 5 l d D t B T U 1 P L 2 R i b y 9 2 d 1 V u a X R z L n t 1 b m l 0 X 2 9 m X 2 1 l Y X N 1 c m U s M T F 9 J n F 1 b 3 Q 7 X S w m c X V v d D t S Z W x h d G l v b n N o a X B J b m Z v J n F 1 b 3 Q 7 O l t d f S I g L z 4 8 R W 5 0 c n k g V H l w Z T 0 i Q W R k Z W R U b 0 R h d G F N b 2 R l b C I g V m F s d W U 9 I m w x I i A v P j w v U 3 R h Y m x l R W 5 0 c m l l c z 4 8 L 0 l 0 Z W 0 + P E l 0 Z W 0 + P E l 0 Z W 1 M b 2 N h d G l v b j 4 8 S X R l b V R 5 c G U + R m 9 y b X V s Y T w v S X R l b V R 5 c G U + P E l 0 Z W 1 Q Y X R o P l N l Y 3 R p b 2 4 x L 3 Z 3 U 2 F 2 a W 5 n c 1 J h d G V z P C 9 J d G V t U G F 0 a D 4 8 L 0 l 0 Z W 1 M b 2 N h d G l v b j 4 8 U 3 R h Y m x l R W 5 0 c m l l c z 4 8 R W 5 0 c n k g V H l w Z T 0 i R m l s b E V y c m 9 y Q 2 9 k Z S I g V m F s d W U 9 I n N V b m t u b 3 d u I i A v P j x F b n R y e S B U e X B l P S J C d W Z m Z X J O Z X h 0 U m V m c m V z a C I g V m F s d W U 9 I m w x I i A v P j x F b n R y e S B U e X B l P S J G a W x s R X J y b 3 J D b 3 V u d C I g V m F s d W U 9 I m w w I i A v P j x F b n R y e S B U e X B l P S J G a W x s R W 5 h Y m x l Z C I g V m F s d W U 9 I m w w I i A v P j x F b n R y e S B U e X B l P S J G a W x s T G F z d F V w Z G F 0 Z W Q i I F Z h b H V l P S J k M j A y M y 0 w N i 0 x M l Q y M j o w N D o 1 M y 4 w O D E 5 M D Y 5 W i I g L z 4 8 R W 5 0 c n k g V H l w Z T 0 i R m l s b E N v b H V t b l R 5 c G V z I i B W Y W x 1 Z T 0 i c 0 R B W U d C Z 1 l H Q m c 4 R y I g L z 4 8 R W 5 0 c n k g V H l w Z T 0 i R m l s b G V k Q 2 9 t c G x l d G V S Z X N 1 b H R U b 1 d v c m t z a G V l d C I g V m F s d W U 9 I m w w I i A v P j x F b n R y e S B U e X B l P S J G a W x s Q 2 9 s d W 1 u T m F t Z X M i I F Z h b H V l P S J z W y Z x d W 9 0 O 3 l l Y X I m c X V v d D s s J n F 1 b 3 Q 7 S W 5 p d G l h d G l 2 Z S Z x d W 9 0 O y w m c X V v d D t N Z W F z d X J l J n F 1 b 3 Q 7 L C Z x d W 9 0 O 0 1 l Y X N 1 c m U g S W 5 k Z X g m c X V v d D s s J n F 1 b 3 Q 7 U H J v Z H V j d C Z x d W 9 0 O y w m c X V v d D t U a W V y J n F 1 b 3 Q 7 L C Z x d W 9 0 O 1 N h d m l u Z 3 M g U m F 0 Z S B U e X B l J n F 1 b 3 Q 7 L C Z x d W 9 0 O 1 N h d m l u Z 3 M g U m F 0 Z S Z x d W 9 0 O y w m c X V v d D t T b m F w c 2 h v d C Z x d W 9 0 O 1 0 i I C 8 + P E V u d H J 5 I F R 5 c G U 9 I k Z p b G x U b 0 R h d G F N b 2 R l b E V u Y W J s Z W Q i I F Z h b H V l P S J s M S I g L z 4 8 R W 5 0 c n k g V H l w Z T 0 i S X N Q c m l 2 Y X R l I i B W Y W x 1 Z T 0 i b D A i I C 8 + P E V u d H J 5 I F R 5 c G U 9 I l F 1 Z X J 5 S U Q i I F Z h b H V l P S J z M D R l M W U 3 Z G M t M D B l M i 0 0 N T M 5 L W F l Y m M t N T c z Z m U 3 O T B h N G U z I i A v P j x F b n R y e S B U e X B l P S J G a W x s U 3 R h d H V z I i B W Y W x 1 Z T 0 i c 0 N v b X B s Z X R l 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D b 3 V u d C I g V m F s d W U 9 I m w 2 N T g i I C 8 + P E V u d H J 5 I F R 5 c G U 9 I l J l b G F 0 a W 9 u c 2 h p c E l u Z m 9 D b 2 5 0 Y W l u Z X I i I F Z h b H V l P S J z e y Z x d W 9 0 O 2 N v b H V t b k N v d W 5 0 J n F 1 b 3 Q 7 O j k s J n F 1 b 3 Q 7 a 2 V 5 Q 2 9 s d W 1 u T m F t Z X M m c X V v d D s 6 W 1 0 s J n F 1 b 3 Q 7 c X V l c n l S Z W x h d G l v b n N o a X B z J n F 1 b 3 Q 7 O l t d L C Z x d W 9 0 O 2 N v b H V t b k l k Z W 5 0 a X R p Z X M m c X V v d D s 6 W y Z x d W 9 0 O 1 N l c n Z l c i 5 E Y X R h Y m F z Z V x c L z I v U 1 F M L 2 5 l Z W E t c 3 F s L T A x L m R h d G F i Y X N l L n d p b m R v d 3 M u b m V 0 O 0 F N T U 8 v Z G J v L 3 Z 3 U 2 F 2 a W 5 n c 1 J h d G V z L n t 5 Z W F y L D B 9 J n F 1 b 3 Q 7 L C Z x d W 9 0 O 1 N l c n Z l c i 5 E Y X R h Y m F z Z V x c L z I v U 1 F M L 2 5 l Z W E t c 3 F s L T A x L m R h d G F i Y X N l L n d p b m R v d 3 M u b m V 0 O 0 F N T U 8 v Z G J v L 3 Z 3 U 2 F 2 a W 5 n c 1 J h d G V z L n t J b m l 0 a W F 0 a X Z l L D F 9 J n F 1 b 3 Q 7 L C Z x d W 9 0 O 1 N l c n Z l c i 5 E Y X R h Y m F z Z V x c L z I v U 1 F M L 2 5 l Z W E t c 3 F s L T A x L m R h d G F i Y X N l L n d p b m R v d 3 M u b m V 0 O 0 F N T U 8 v Z G J v L 3 Z 3 U 2 F 2 a W 5 n c 1 J h d G V z L n t N Z W F z d X J l L D J 9 J n F 1 b 3 Q 7 L C Z x d W 9 0 O 1 N l c n Z l c i 5 E Y X R h Y m F z Z V x c L z I v U 1 F M L 2 5 l Z W E t c 3 F s L T A x L m R h d G F i Y X N l L n d p b m R v d 3 M u b m V 0 O 0 F N T U 8 v Z G J v L 3 Z 3 U 2 F 2 a W 5 n c 1 J h d G V z L n t N Z W F z d X J l I E l u Z G V 4 L D N 9 J n F 1 b 3 Q 7 L C Z x d W 9 0 O 1 N l c n Z l c i 5 E Y X R h Y m F z Z V x c L z I v U 1 F M L 2 5 l Z W E t c 3 F s L T A x L m R h d G F i Y X N l L n d p b m R v d 3 M u b m V 0 O 0 F N T U 8 v Z G J v L 3 Z 3 U 2 F 2 a W 5 n c 1 J h d G V z L n t Q c m 9 k d W N 0 L D R 9 J n F 1 b 3 Q 7 L C Z x d W 9 0 O 1 N l c n Z l c i 5 E Y X R h Y m F z Z V x c L z I v U 1 F M L 2 5 l Z W E t c 3 F s L T A x L m R h d G F i Y X N l L n d p b m R v d 3 M u b m V 0 O 0 F N T U 8 v Z G J v L 3 Z 3 U 2 F 2 a W 5 n c 1 J h d G V z L n t U a W V y L D V 9 J n F 1 b 3 Q 7 L C Z x d W 9 0 O 1 N l c n Z l c i 5 E Y X R h Y m F z Z V x c L z I v U 1 F M L 2 5 l Z W E t c 3 F s L T A x L m R h d G F i Y X N l L n d p b m R v d 3 M u b m V 0 O 0 F N T U 8 v Z G J v L 3 Z 3 U 2 F 2 a W 5 n c 1 J h d G V z L n t T Y X Z p b m d z I F J h d G U g V H l w Z S w 2 f S Z x d W 9 0 O y w m c X V v d D t T Z X J 2 Z X I u R G F 0 Y W J h c 2 V c X C 8 y L 1 N R T C 9 u Z W V h L X N x b C 0 w M S 5 k Y X R h Y m F z Z S 5 3 a W 5 k b 3 d z L m 5 l d D t B T U 1 P L 2 R i b y 9 2 d 1 N h d m l u Z 3 N S Y X R l c y 5 7 U 2 F 2 a W 5 n c y B S Y X R l L D d 9 J n F 1 b 3 Q 7 L C Z x d W 9 0 O 1 N l c n Z l c i 5 E Y X R h Y m F z Z V x c L z I v U 1 F M L 2 5 l Z W E t c 3 F s L T A x L m R h d G F i Y X N l L n d p b m R v d 3 M u b m V 0 O 0 F N T U 8 v Z G J v L 3 Z 3 U 2 F 2 a W 5 n c 1 J h d G V z L n t T b m F w c 2 h v d C w 4 f S Z x d W 9 0 O 1 0 s J n F 1 b 3 Q 7 Q 2 9 s d W 1 u Q 2 9 1 b n Q m c X V v d D s 6 O S w m c X V v d D t L Z X l D b 2 x 1 b W 5 O Y W 1 l c y Z x d W 9 0 O z p b X S w m c X V v d D t D b 2 x 1 b W 5 J Z G V u d G l 0 a W V z J n F 1 b 3 Q 7 O l s m c X V v d D t T Z X J 2 Z X I u R G F 0 Y W J h c 2 V c X C 8 y L 1 N R T C 9 u Z W V h L X N x b C 0 w M S 5 k Y X R h Y m F z Z S 5 3 a W 5 k b 3 d z L m 5 l d D t B T U 1 P L 2 R i b y 9 2 d 1 N h d m l u Z 3 N S Y X R l c y 5 7 e W V h c i w w f S Z x d W 9 0 O y w m c X V v d D t T Z X J 2 Z X I u R G F 0 Y W J h c 2 V c X C 8 y L 1 N R T C 9 u Z W V h L X N x b C 0 w M S 5 k Y X R h Y m F z Z S 5 3 a W 5 k b 3 d z L m 5 l d D t B T U 1 P L 2 R i b y 9 2 d 1 N h d m l u Z 3 N S Y X R l c y 5 7 S W 5 p d G l h d G l 2 Z S w x f S Z x d W 9 0 O y w m c X V v d D t T Z X J 2 Z X I u R G F 0 Y W J h c 2 V c X C 8 y L 1 N R T C 9 u Z W V h L X N x b C 0 w M S 5 k Y X R h Y m F z Z S 5 3 a W 5 k b 3 d z L m 5 l d D t B T U 1 P L 2 R i b y 9 2 d 1 N h d m l u Z 3 N S Y X R l c y 5 7 T W V h c 3 V y Z S w y f S Z x d W 9 0 O y w m c X V v d D t T Z X J 2 Z X I u R G F 0 Y W J h c 2 V c X C 8 y L 1 N R T C 9 u Z W V h L X N x b C 0 w M S 5 k Y X R h Y m F z Z S 5 3 a W 5 k b 3 d z L m 5 l d D t B T U 1 P L 2 R i b y 9 2 d 1 N h d m l u Z 3 N S Y X R l c y 5 7 T W V h c 3 V y Z S B J b m R l e C w z f S Z x d W 9 0 O y w m c X V v d D t T Z X J 2 Z X I u R G F 0 Y W J h c 2 V c X C 8 y L 1 N R T C 9 u Z W V h L X N x b C 0 w M S 5 k Y X R h Y m F z Z S 5 3 a W 5 k b 3 d z L m 5 l d D t B T U 1 P L 2 R i b y 9 2 d 1 N h d m l u Z 3 N S Y X R l c y 5 7 U H J v Z H V j d C w 0 f S Z x d W 9 0 O y w m c X V v d D t T Z X J 2 Z X I u R G F 0 Y W J h c 2 V c X C 8 y L 1 N R T C 9 u Z W V h L X N x b C 0 w M S 5 k Y X R h Y m F z Z S 5 3 a W 5 k b 3 d z L m 5 l d D t B T U 1 P L 2 R i b y 9 2 d 1 N h d m l u Z 3 N S Y X R l c y 5 7 V G l l c i w 1 f S Z x d W 9 0 O y w m c X V v d D t T Z X J 2 Z X I u R G F 0 Y W J h c 2 V c X C 8 y L 1 N R T C 9 u Z W V h L X N x b C 0 w M S 5 k Y X R h Y m F z Z S 5 3 a W 5 k b 3 d z L m 5 l d D t B T U 1 P L 2 R i b y 9 2 d 1 N h d m l u Z 3 N S Y X R l c y 5 7 U 2 F 2 a W 5 n c y B S Y X R l I F R 5 c G U s N n 0 m c X V v d D s s J n F 1 b 3 Q 7 U 2 V y d m V y L k R h d G F i Y X N l X F w v M i 9 T U U w v b m V l Y S 1 z c W w t M D E u Z G F 0 Y W J h c 2 U u d 2 l u Z G 9 3 c y 5 u Z X Q 7 Q U 1 N T y 9 k Y m 8 v d n d T Y X Z p b m d z U m F 0 Z X M u e 1 N h d m l u Z 3 M g U m F 0 Z S w 3 f S Z x d W 9 0 O y w m c X V v d D t T Z X J 2 Z X I u R G F 0 Y W J h c 2 V c X C 8 y L 1 N R T C 9 u Z W V h L X N x b C 0 w M S 5 k Y X R h Y m F z Z S 5 3 a W 5 k b 3 d z L m 5 l d D t B T U 1 P L 2 R i b y 9 2 d 1 N h d m l u Z 3 N S Y X R l c y 5 7 U 2 5 h c H N o b 3 Q s O H 0 m c X V v d D t d L C Z x d W 9 0 O 1 J l b G F 0 a W 9 u c 2 h p c E l u Z m 8 m c X V v d D s 6 W 1 1 9 I i A v P j x F b n R y e S B U e X B l P S J B Z G R l Z F R v R G F 0 Y U 1 v Z G V s I i B W Y W x 1 Z T 0 i b D E i I C 8 + P C 9 T d G F i b G V F b n R y a W V z P j w v S X R l b T 4 8 S X R l b T 4 8 S X R l b U x v Y 2 F 0 a W 9 u P j x J d G V t V H l w Z T 5 G b 3 J t d W x h P C 9 J d G V t V H l w Z T 4 8 S X R l b V B h d G g + U 2 V j d G l v b j E v d n d X Q U l P V T w v S X R l b V B h d G g + P C 9 J d G V t T G 9 j Y X R p b 2 4 + P F N 0 Y W J s Z U V u d H J p Z X M + P E V u d H J 5 I F R 5 c G U 9 I k Z p b G x F c n J v c k N v Z G U i I F Z h b H V l P S J z V W 5 r b m 9 3 b i I g L z 4 8 R W 5 0 c n k g V H l w Z T 0 i Q n V m Z m V y T m V 4 d F J l Z n J l c 2 g i I F Z h b H V l P S J s M S I g L z 4 8 R W 5 0 c n k g V H l w Z T 0 i R m l s b E V y c m 9 y Q 2 9 1 b n Q i I F Z h b H V l P S J s M C I g L z 4 8 R W 5 0 c n k g V H l w Z T 0 i R m l s b E V u Y W J s Z W Q i I F Z h b H V l P S J s M C I g L z 4 8 R W 5 0 c n k g V H l w Z T 0 i R m l s b E x h c 3 R V c G R h d G V k I i B W Y W x 1 Z T 0 i Z D I w M j M t M D Y t M T J U M j I 6 M D Q 6 N T M u M D Q 3 N z c 5 M 1 o i I C 8 + P E V u d H J 5 I F R 5 c G U 9 I k Z p b G x D b 2 x 1 b W 5 U e X B l c y I g V m F s d W U 9 I n N C Z 3 d H Q m d Z R 0 J n W U d E d 1 l Q I i A v P j x F b n R y e S B U e X B l P S J G a W x s Z W R D b 2 1 w b G V 0 Z V J l c 3 V s d F R v V 2 9 y a 3 N o Z W V 0 I i B W Y W x 1 Z T 0 i b D A i I C 8 + P E V u d H J 5 I F R 5 c G U 9 I k Z p b G x D b 2 x 1 b W 5 O Y W 1 l c y I g V m F s d W U 9 I n N b J n F 1 b 3 Q 7 U 2 5 h c H N o b 3 Q m c X V v d D s s J n F 1 b 3 Q 7 e W V h c i Z x d W 9 0 O y w m c X V v d D t J b m l 0 a W F 0 a X Z l J n F 1 b 3 Q 7 L C Z x d W 9 0 O 0 1 l Y X N 1 c m U m c X V v d D s s J n F 1 b 3 Q 7 T W V h c 3 V y Z S B J b m R l e C Z x d W 9 0 O y w m c X V v d D t Q c m 9 k d W N 0 J n F 1 b 3 Q 7 L C Z x d W 9 0 O 1 R p Z X I m c X V v d D s s J n F 1 b 3 Q 7 U 2 F 2 a W 5 n c y B D Y X R l Z 2 9 y e S Z x d W 9 0 O y w m c X V v d D t G d W 5 k a W 5 n I E N 5 Y 2 x l J n F 1 b 3 Q 7 L C Z x d W 9 0 O 3 V u a X R z J n F 1 b 3 Q 7 L C Z x d W 9 0 O 1 N h d m l u Z 3 M g U m F 0 Z S B U e X B l J n F 1 b 3 Q 7 L C Z x d W 9 0 O 1 N h d m l u Z 3 M g U m F 0 Z S Z x d W 9 0 O 1 0 i I C 8 + P E V u d H J 5 I F R 5 c G U 9 I k Z p b G x U b 0 R h d G F N b 2 R l b E V u Y W J s Z W Q i I F Z h b H V l P S J s M S I g L z 4 8 R W 5 0 c n k g V H l w Z T 0 i S X N Q c m l 2 Y X R l I i B W Y W x 1 Z T 0 i b D A i I C 8 + P E V u d H J 5 I F R 5 c G U 9 I l F 1 Z X J 5 S U Q i I F Z h b H V l P S J z N z E 3 Y T J m M z M t M z k 2 N C 0 0 M W Z k L T k 2 M D A t O D B m M m R j Z D U 5 O W U 3 I i A v P j x F b n R y e S B U e X B l P S J G a W x s U 3 R h d H V z I i B W Y W x 1 Z T 0 i c 0 N v b X B s Z X R l 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0 F N T U 8 g V W 5 p d H M h U G l 2 b 3 R U Y W J s Z T Q i I C 8 + P E V u d H J 5 I F R 5 c G U 9 I k Z p b G x D b 3 V u d C I g V m F s d W U 9 I m w x N T Q 1 I i A v P j x F b n R y e S B U e X B l P S J S Z W x h d G l v b n N o a X B J b m Z v Q 2 9 u d G F p b m V y I i B W Y W x 1 Z T 0 i c 3 s m c X V v d D t j b 2 x 1 b W 5 D b 3 V u d C Z x d W 9 0 O z o x M i w m c X V v d D t r Z X l D b 2 x 1 b W 5 O Y W 1 l c y Z x d W 9 0 O z p b X S w m c X V v d D t x d W V y e V J l b G F 0 a W 9 u c 2 h p c H M m c X V v d D s 6 W 1 0 s J n F 1 b 3 Q 7 Y 2 9 s d W 1 u S W R l b n R p d G l l c y Z x d W 9 0 O z p b J n F 1 b 3 Q 7 U 2 V y d m V y L k R h d G F i Y X N l X F w v M i 9 T U U w v b m V l Y S 1 z c W w t M D E u Z G F 0 Y W J h c 2 U u d 2 l u Z G 9 3 c y 5 u Z X Q 7 Q U 1 N T y 9 k Y m 8 v d n d V b m l 0 c y 5 7 U 2 5 h c H N o b 3 Q s O X 0 m c X V v d D s s J n F 1 b 3 Q 7 U 2 V y d m V y L k R h d G F i Y X N l X F w v M i 9 T U U w v b m V l Y S 1 z c W w t M D E u Z G F 0 Y W J h c 2 U u d 2 l u Z G 9 3 c y 5 u Z X Q 7 Q U 1 N T y 9 k Y m 8 v d n d V b m l 0 c y 5 7 e W V h c i w 2 f S Z x d W 9 0 O y w m c X V v d D t T Z X J 2 Z X I u R G F 0 Y W J h c 2 V c X C 8 y L 1 N R T C 9 u Z W V h L X N x b C 0 w M S 5 k Y X R h Y m F z Z S 5 3 a W 5 k b 3 d z L m 5 l d D t B T U 1 P L 2 R i b y 9 2 d 1 V u a X R z L n t J b m l 0 a W F 0 a X Z l L D B 9 J n F 1 b 3 Q 7 L C Z x d W 9 0 O 1 N l c n Z l c i 5 E Y X R h Y m F z Z V x c L z I v U 1 F M L 2 5 l Z W E t c 3 F s L T A x L m R h d G F i Y X N l L n d p b m R v d 3 M u b m V 0 O 0 F N T U 8 v Z G J v L 3 Z 3 V W 5 p d H M u e 0 1 l Y X N 1 c m U s M n 0 m c X V v d D s s J n F 1 b 3 Q 7 U 2 V y d m V y L k R h d G F i Y X N l X F w v M i 9 T U U w v b m V l Y S 1 z c W w t M D E u Z G F 0 Y W J h c 2 U u d 2 l u Z G 9 3 c y 5 u Z X Q 7 Q U 1 N T y 9 k Y m 8 v d n d V b m l 0 c y 5 7 T W V h c 3 V y Z S B J b m R l e C w z f S Z x d W 9 0 O y w m c X V v d D t T Z X J 2 Z X I u R G F 0 Y W J h c 2 V c X C 8 y L 1 N R T C 9 u Z W V h L X N x b C 0 w M S 5 k Y X R h Y m F z Z S 5 3 a W 5 k b 3 d z L m 5 l d D t B T U 1 P L 2 R i b y 9 2 d 1 V u a X R z L n t Q c m 9 k d W N 0 L D d 9 J n F 1 b 3 Q 7 L C Z x d W 9 0 O 1 N l c n Z l c i 5 E Y X R h Y m F z Z V x c L z I v U 1 F M L 2 5 l Z W E t c 3 F s L T A x L m R h d G F i Y X N l L n d p b m R v d 3 M u b m V 0 O 0 F N T U 8 v Z G J v L 3 Z 3 V W 5 p d H M u e 1 R p Z X I s O H 0 m c X V v d D s s J n F 1 b 3 Q 7 U 2 V y d m V y L k R h d G F i Y X N l X F w v M i 9 T U U w v b m V l Y S 1 z c W w t M D E u Z G F 0 Y W J h c 2 U u d 2 l u Z G 9 3 c y 5 u Z X Q 7 Q U 1 N T y 9 k Y m 8 v d n d V b m l 0 c y 5 7 U 2 F 2 a W 5 n c y B D Y X R l Z 2 9 y e S w 1 f S Z x d W 9 0 O y w m c X V v d D t T Z X J 2 Z X I u R G F 0 Y W J h c 2 V c X C 8 y L 1 N R T C 9 u Z W V h L X N x b C 0 w M S 5 k Y X R h Y m F z Z S 5 3 a W 5 k b 3 d z L m 5 l d D t B T U 1 P L 2 R i b y 9 2 d 1 V u a X R z L n t G d W 5 k a W 5 n I E N 5 Y 2 x l L D E w f S Z x d W 9 0 O y w m c X V v d D t T Z X J 2 Z X I u R G F 0 Y W J h c 2 V c X C 8 y L 1 N R T C 9 u Z W V h L X N x b C 0 w M S 5 k Y X R h Y m F z Z S 5 3 a W 5 k b 3 d z L m 5 l d D t B T U 1 P L 2 R i b y 9 2 d 1 V u a X R z L n t 1 b m l 0 c y w 0 f S Z x d W 9 0 O y w m c X V v d D t T Z X J 2 Z X I u R G F 0 Y W J h c 2 V c X C 8 y L 1 N R T C 9 u Z W V h L X N x b C 0 w M S 5 k Y X R h Y m F z Z S 5 3 a W 5 k b 3 d z L m 5 l d D t B T U 1 P L 2 R i b y 9 2 d 1 N h d m l u Z 3 N S Y X R l c y 5 7 U 2 F 2 a W 5 n c y B S Y X R l I F R 5 c G U s N n 0 m c X V v d D s s J n F 1 b 3 Q 7 U 2 V y d m V y L k R h d G F i Y X N l X F w v M i 9 T U U w v b m V l Y S 1 z c W w t M D E u Z G F 0 Y W J h c 2 U u d 2 l u Z G 9 3 c y 5 u Z X Q 7 Q U 1 N T y 9 k Y m 8 v d n d T Y X Z p b m d z U m F 0 Z X M u e 1 N h d m l u Z 3 M g U m F 0 Z S w 3 f S Z x d W 9 0 O 1 0 s J n F 1 b 3 Q 7 Q 2 9 s d W 1 u Q 2 9 1 b n Q m c X V v d D s 6 M T I s J n F 1 b 3 Q 7 S 2 V 5 Q 2 9 s d W 1 u T m F t Z X M m c X V v d D s 6 W 1 0 s J n F 1 b 3 Q 7 Q 2 9 s d W 1 u S W R l b n R p d G l l c y Z x d W 9 0 O z p b J n F 1 b 3 Q 7 U 2 V y d m V y L k R h d G F i Y X N l X F w v M i 9 T U U w v b m V l Y S 1 z c W w t M D E u Z G F 0 Y W J h c 2 U u d 2 l u Z G 9 3 c y 5 u Z X Q 7 Q U 1 N T y 9 k Y m 8 v d n d V b m l 0 c y 5 7 U 2 5 h c H N o b 3 Q s O X 0 m c X V v d D s s J n F 1 b 3 Q 7 U 2 V y d m V y L k R h d G F i Y X N l X F w v M i 9 T U U w v b m V l Y S 1 z c W w t M D E u Z G F 0 Y W J h c 2 U u d 2 l u Z G 9 3 c y 5 u Z X Q 7 Q U 1 N T y 9 k Y m 8 v d n d V b m l 0 c y 5 7 e W V h c i w 2 f S Z x d W 9 0 O y w m c X V v d D t T Z X J 2 Z X I u R G F 0 Y W J h c 2 V c X C 8 y L 1 N R T C 9 u Z W V h L X N x b C 0 w M S 5 k Y X R h Y m F z Z S 5 3 a W 5 k b 3 d z L m 5 l d D t B T U 1 P L 2 R i b y 9 2 d 1 V u a X R z L n t J b m l 0 a W F 0 a X Z l L D B 9 J n F 1 b 3 Q 7 L C Z x d W 9 0 O 1 N l c n Z l c i 5 E Y X R h Y m F z Z V x c L z I v U 1 F M L 2 5 l Z W E t c 3 F s L T A x L m R h d G F i Y X N l L n d p b m R v d 3 M u b m V 0 O 0 F N T U 8 v Z G J v L 3 Z 3 V W 5 p d H M u e 0 1 l Y X N 1 c m U s M n 0 m c X V v d D s s J n F 1 b 3 Q 7 U 2 V y d m V y L k R h d G F i Y X N l X F w v M i 9 T U U w v b m V l Y S 1 z c W w t M D E u Z G F 0 Y W J h c 2 U u d 2 l u Z G 9 3 c y 5 u Z X Q 7 Q U 1 N T y 9 k Y m 8 v d n d V b m l 0 c y 5 7 T W V h c 3 V y Z S B J b m R l e C w z f S Z x d W 9 0 O y w m c X V v d D t T Z X J 2 Z X I u R G F 0 Y W J h c 2 V c X C 8 y L 1 N R T C 9 u Z W V h L X N x b C 0 w M S 5 k Y X R h Y m F z Z S 5 3 a W 5 k b 3 d z L m 5 l d D t B T U 1 P L 2 R i b y 9 2 d 1 V u a X R z L n t Q c m 9 k d W N 0 L D d 9 J n F 1 b 3 Q 7 L C Z x d W 9 0 O 1 N l c n Z l c i 5 E Y X R h Y m F z Z V x c L z I v U 1 F M L 2 5 l Z W E t c 3 F s L T A x L m R h d G F i Y X N l L n d p b m R v d 3 M u b m V 0 O 0 F N T U 8 v Z G J v L 3 Z 3 V W 5 p d H M u e 1 R p Z X I s O H 0 m c X V v d D s s J n F 1 b 3 Q 7 U 2 V y d m V y L k R h d G F i Y X N l X F w v M i 9 T U U w v b m V l Y S 1 z c W w t M D E u Z G F 0 Y W J h c 2 U u d 2 l u Z G 9 3 c y 5 u Z X Q 7 Q U 1 N T y 9 k Y m 8 v d n d V b m l 0 c y 5 7 U 2 F 2 a W 5 n c y B D Y X R l Z 2 9 y e S w 1 f S Z x d W 9 0 O y w m c X V v d D t T Z X J 2 Z X I u R G F 0 Y W J h c 2 V c X C 8 y L 1 N R T C 9 u Z W V h L X N x b C 0 w M S 5 k Y X R h Y m F z Z S 5 3 a W 5 k b 3 d z L m 5 l d D t B T U 1 P L 2 R i b y 9 2 d 1 V u a X R z L n t G d W 5 k a W 5 n I E N 5 Y 2 x l L D E w f S Z x d W 9 0 O y w m c X V v d D t T Z X J 2 Z X I u R G F 0 Y W J h c 2 V c X C 8 y L 1 N R T C 9 u Z W V h L X N x b C 0 w M S 5 k Y X R h Y m F z Z S 5 3 a W 5 k b 3 d z L m 5 l d D t B T U 1 P L 2 R i b y 9 2 d 1 V u a X R z L n t 1 b m l 0 c y w 0 f S Z x d W 9 0 O y w m c X V v d D t T Z X J 2 Z X I u R G F 0 Y W J h c 2 V c X C 8 y L 1 N R T C 9 u Z W V h L X N x b C 0 w M S 5 k Y X R h Y m F z Z S 5 3 a W 5 k b 3 d z L m 5 l d D t B T U 1 P L 2 R i b y 9 2 d 1 N h d m l u Z 3 N S Y X R l c y 5 7 U 2 F 2 a W 5 n c y B S Y X R l I F R 5 c G U s N n 0 m c X V v d D s s J n F 1 b 3 Q 7 U 2 V y d m V y L k R h d G F i Y X N l X F w v M i 9 T U U w v b m V l Y S 1 z c W w t M D E u Z G F 0 Y W J h c 2 U u d 2 l u Z G 9 3 c y 5 u Z X Q 7 Q U 1 N T y 9 k Y m 8 v d n d T Y X Z p b m d z U m F 0 Z X M u e 1 N h d m l u Z 3 M g U m F 0 Z S w 3 f S Z x d W 9 0 O 1 0 s J n F 1 b 3 Q 7 U m V s Y X R p b 2 5 z a G l w S W 5 m b y Z x d W 9 0 O z p b X X 0 i I C 8 + P E V u d H J 5 I F R 5 c G U 9 I k F k Z G V k V G 9 E Y X R h T W 9 k Z W w i I F Z h b H V l P S J s M S I g L z 4 8 L 1 N 0 Y W J s Z U V u d H J p Z X M + P C 9 J d G V t P j x J d G V t P j x J d G V t T G 9 j Y X R p b 2 4 + P E l 0 Z W 1 U e X B l P k Z v c m 1 1 b G E 8 L 0 l 0 Z W 1 U e X B l P j x J d G V t U G F 0 a D 5 T Z W N 0 a W 9 u M S 9 G d W 5 k Z X J f U 2 h h c m V z X 0 V s Z W N 0 P C 9 J d G V t U G F 0 a D 4 8 L 0 l 0 Z W 1 M b 2 N h d G l v b j 4 8 U 3 R h Y m x l R W 5 0 c m l l c z 4 8 R W 5 0 c n k g V H l w Z T 0 i R m l s b E V y c m 9 y Q 2 9 k Z S I g V m F s d W U 9 I n N V b m t u b 3 d u I i A v P j x F b n R y e S B U e X B l P S J C d W Z m Z X J O Z X h 0 U m V m c m V z a C I g V m F s d W U 9 I m w x I i A v P j x F b n R y e S B U e X B l P S J G a W x s R X J y b 3 J D b 3 V u d C I g V m F s d W U 9 I m w w I i A v P j x F b n R y e S B U e X B l P S J G a W x s R W 5 h Y m x l Z C I g V m F s d W U 9 I m w w I i A v P j x F b n R y e S B U e X B l P S J G a W x s T G F z d F V w Z G F 0 Z W Q i I F Z h b H V l P S J k M j A y M y 0 w N i 0 x M l Q y M j o w N D o 1 M y 4 w O T A 4 O D U 0 W i I g L z 4 8 R W 5 0 c n k g V H l w Z T 0 i R m l s b E N v b H V t b l R 5 c G V z I i B W Y W x 1 Z T 0 i c 0 J n W U Y i I C 8 + P E V u d H J 5 I F R 5 c G U 9 I k Z p b G x l Z E N v b X B s Z X R l U m V z d W x 0 V G 9 X b 3 J r c 2 h l Z X Q i I F Z h b H V l P S J s M C I g L z 4 8 R W 5 0 c n k g V H l w Z T 0 i R m l s b E N v b H V t b k 5 h b W V z I i B W Y W x 1 Z T 0 i c 1 s m c X V v d D t G d W 5 k a W 5 n I E N 5 Y 2 x l J n F 1 b 3 Q 7 L C Z x d W 9 0 O 1 N 0 Y W t l a G 9 s Z G V y X 0 x v b 2 t 1 c C Z x d W 9 0 O y w m c X V v d D t G d W 5 k Z X I g U 2 h h c m U m c X V v d D t d I i A v P j x F b n R y e S B U e X B l P S J G a W x s V G 9 E Y X R h T W 9 k Z W x F b m F i b G V k I i B W Y W x 1 Z T 0 i b D E i I C 8 + P E V u d H J 5 I F R 5 c G U 9 I k l z U H J p d m F 0 Z S I g V m F s d W U 9 I m w w I i A v P j x F b n R y e S B U e X B l P S J R d W V y e U l E I i B W Y W x 1 Z T 0 i c z I 5 Y z h j Z D R l L T c w O D Q t N G U 2 M y 0 5 Z D Z l L W I 2 O T Y 4 M T g w M j B m N C I g L z 4 8 R W 5 0 c n k g V H l w Z T 0 i R m l s b F N 0 Y X R 1 c y I g V m F s d W U 9 I n N D b 2 1 w b G V 0 Z S I g L z 4 8 R W 5 0 c n k g V H l w Z T 0 i U m V z d W x 0 V H l w Z S I g V m F s d W U 9 I n N U Y W J s Z S I g L z 4 8 R W 5 0 c n k g V H l w Z T 0 i T m F 2 a W d h d G l v b l N 0 Z X B O Y W 1 l I i B W Y W x 1 Z T 0 i c 0 5 h d m l n Y X R p b 2 4 i I C 8 + P E V u d H J 5 I F R 5 c G U 9 I k Z p b G x P Y m p l Y 3 R U e X B l I i B W Y W x 1 Z T 0 i c 0 N v b m 5 l Y 3 R p b 2 5 P b m x 5 I i A v P j x F b n R y e S B U e X B l P S J O Y W 1 l V X B k Y X R l Z E F m d G V y R m l s b C I g V m F s d W U 9 I m w w I i A v P j x F b n R y e S B U e X B l P S J G a W x s Q 2 9 1 b n Q i I F Z h b H V l P S J s M T E 0 I i A v P j x F b n R y e S B U e X B l P S J S Z W x h d G l v b n N o a X B J b m Z v Q 2 9 u d G F p b m V y I i B W Y W x 1 Z T 0 i c 3 s m c X V v d D t j b 2 x 1 b W 5 D b 3 V u d C Z x d W 9 0 O z o z L C Z x d W 9 0 O 2 t l e U N v b H V t b k 5 h b W V z J n F 1 b 3 Q 7 O l t d L C Z x d W 9 0 O 3 F 1 Z X J 5 U m V s Y X R p b 2 5 z a G l w c y Z x d W 9 0 O z p b X S w m c X V v d D t j b 2 x 1 b W 5 J Z G V u d G l 0 a W V z J n F 1 b 3 Q 7 O l s m c X V v d D t T Z W N 0 a W 9 u M S 9 G d W 5 k Z X J f U 2 h h c m V z X 0 V s Z W N 0 L 0 N o Y W 5 n Z W Q g V H l w Z S 5 7 R n V u Z G l u Z y B D e W N s Z S w w f S Z x d W 9 0 O y w m c X V v d D t T Z W N 0 a W 9 u M S 9 G d W 5 k Z X J f U 2 h h c m V z X 0 V s Z W N 0 L 0 N o Y W 5 n Z W Q g V H l w Z S 5 7 U 3 R h a 2 V o b 2 x k Z X J f T G 9 v a 3 V w L D F 9 J n F 1 b 3 Q 7 L C Z x d W 9 0 O 1 N l Y 3 R p b 2 4 x L 0 Z 1 b m R l c l 9 T a G F y Z X N f R W x l Y 3 Q v Q 2 h h b m d l Z C B U e X B l L n t G d W 5 k Z X I g U 2 h h c m U s M n 0 m c X V v d D t d L C Z x d W 9 0 O 0 N v b H V t b k N v d W 5 0 J n F 1 b 3 Q 7 O j M s J n F 1 b 3 Q 7 S 2 V 5 Q 2 9 s d W 1 u T m F t Z X M m c X V v d D s 6 W 1 0 s J n F 1 b 3 Q 7 Q 2 9 s d W 1 u S W R l b n R p d G l l c y Z x d W 9 0 O z p b J n F 1 b 3 Q 7 U 2 V j d G l v b j E v R n V u Z G V y X 1 N o Y X J l c 1 9 F b G V j d C 9 D a G F u Z 2 V k I F R 5 c G U u e 0 Z 1 b m R p b m c g Q 3 l j b G U s M H 0 m c X V v d D s s J n F 1 b 3 Q 7 U 2 V j d G l v b j E v R n V u Z G V y X 1 N o Y X J l c 1 9 F b G V j d C 9 D a G F u Z 2 V k I F R 5 c G U u e 1 N 0 Y W t l a G 9 s Z G V y X 0 x v b 2 t 1 c C w x f S Z x d W 9 0 O y w m c X V v d D t T Z W N 0 a W 9 u M S 9 G d W 5 k Z X J f U 2 h h c m V z X 0 V s Z W N 0 L 0 N o Y W 5 n Z W Q g V H l w Z S 5 7 R n V u Z G V y I F N o Y X J l L D J 9 J n F 1 b 3 Q 7 X S w m c X V v d D t S Z W x h d G l v b n N o a X B J b m Z v J n F 1 b 3 Q 7 O l t d f S I g L z 4 8 R W 5 0 c n k g V H l w Z T 0 i Q W R k Z W R U b 0 R h d G F N b 2 R l b C I g V m F s d W U 9 I m w x I i A v P j w v U 3 R h Y m x l R W 5 0 c m l l c z 4 8 L 0 l 0 Z W 0 + P E l 0 Z W 0 + P E l 0 Z W 1 M b 2 N h d G l v b j 4 8 S X R l b V R 5 c G U + R m 9 y b X V s Y T w v S X R l b V R 5 c G U + P E l 0 Z W 1 Q Y X R o P l N l Y 3 R p b 2 4 x L 0 1 l c m d l M T w v S X R l b V B h d G g + P C 9 J d G V t T G 9 j Y X R p b 2 4 + P F N 0 Y W J s Z U V u d H J p Z X M + P E V u d H J 5 I F R 5 c G U 9 I k Z p b G x F c n J v c k N v Z G U i I F Z h b H V l P S J z V W 5 r b m 9 3 b i I g L z 4 8 R W 5 0 c n k g V H l w Z T 0 i Q n V m Z m V y T m V 4 d F J l Z n J l c 2 g i I F Z h b H V l P S J s M S I g L z 4 8 R W 5 0 c n k g V H l w Z T 0 i R m l s b E V y c m 9 y Q 2 9 1 b n Q i I F Z h b H V l P S J s M C I g L z 4 8 R W 5 0 c n k g V H l w Z T 0 i R m l s b E V u Y W J s Z W Q i I F Z h b H V l P S J s M C I g L z 4 8 R W 5 0 c n k g V H l w Z T 0 i R m l s b E x h c 3 R V c G R h d G V k I i B W Y W x 1 Z T 0 i Z D I w M j M t M D Y t M T J U M j I 6 M D Q 6 N T M u M T I z N D Y w M l o i I C 8 + P E V u d H J 5 I F R 5 c G U 9 I k Z p b G x D b 2 x 1 b W 5 U e X B l c y I g V m F s d W U 9 I n N C Z 1 l H Q m d Z R U J n d 0 d C Z 1 l H Q l E 9 P S I g L z 4 8 R W 5 0 c n k g V H l w Z T 0 i R m l s b G V k Q 2 9 t c G x l d G V S Z X N 1 b H R U b 1 d v c m t z a G V l d C I g V m F s d W U 9 I m w w I i A v P j x F b n R y e S B U e X B l P S J G a W x s Q 2 9 s d W 1 u T m F t Z X M i I F Z h b H V l P S J z W y Z x d W 9 0 O 1 N u Y X B z a G 9 0 J n F 1 b 3 Q 7 L C Z x d W 9 0 O 0 l u a X R p Y X R p d m U m c X V v d D s s J n F 1 b 3 Q 7 S W 5 p d G l h d G l 2 Z S B J b m R l e C Z x d W 9 0 O y w m c X V v d D t N Z W F z d X J l J n F 1 b 3 Q 7 L C Z x d W 9 0 O 0 1 l Y X N 1 c m U g S W 5 k Z X g m c X V v d D s s J n F 1 b 3 Q 7 d W 5 p d H M m c X V v d D s s J n F 1 b 3 Q 7 U 2 F 2 a W 5 n c y B D Y X R l Z 2 9 y e S Z x d W 9 0 O y w m c X V v d D t 5 Z W F y J n F 1 b 3 Q 7 L C Z x d W 9 0 O 1 B y b 2 R 1 Y 3 Q m c X V v d D s s J n F 1 b 3 Q 7 V G l l c i Z x d W 9 0 O y w m c X V v d D t G d W 5 k a W 5 n I E N 5 Y 2 x l J n F 1 b 3 Q 7 L C Z x d W 9 0 O 3 V u a X R f b 2 Z f b W V h c 3 V y Z S Z x d W 9 0 O y w m c X V v d D t G d W 5 k Z X J f U 2 h h c m V z X 0 V s Z W N 0 L k Z 1 b m R l c i B T a G F y Z S Z x d W 9 0 O 1 0 i I C 8 + P E V u d H J 5 I F R 5 c G U 9 I k Z p b G x U b 0 R h d G F N b 2 R l b E V u Y W J s Z W Q i I F Z h b H V l P S J s M S I g L z 4 8 R W 5 0 c n k g V H l w Z T 0 i S X N Q c m l 2 Y X R l I i B W Y W x 1 Z T 0 i b D A i I C 8 + P E V u d H J 5 I F R 5 c G U 9 I l F 1 Z X J 5 S U Q i I F Z h b H V l P S J z Z D E 2 Z T c 2 Z j M t Z T c 2 M S 0 0 M m Y 0 L T h j Y 2 Y t N D Y z M T k 2 Z D c w Y z g 1 I i A v P j x F b n R y e S B U e X B l P S J G a W x s U 3 R h d H V z I i B W Y W x 1 Z T 0 i c 0 N v b X B s Z X R l 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D b 3 V u d C I g V m F s d W U 9 I m w y O T I x M S I g L z 4 8 R W 5 0 c n k g V H l w Z T 0 i U m V s Y X R p b 2 5 z a G l w S W 5 m b 0 N v b n R h a W 5 l c i I g V m F s d W U 9 I n N 7 J n F 1 b 3 Q 7 Y 2 9 s d W 1 u Q 2 9 1 b n Q m c X V v d D s 6 M T M s J n F 1 b 3 Q 7 a 2 V 5 Q 2 9 s d W 1 u T m F t Z X M m c X V v d D s 6 W 1 0 s J n F 1 b 3 Q 7 c X V l c n l S Z W x h d G l v b n N o a X B z J n F 1 b 3 Q 7 O l t d L C Z x d W 9 0 O 2 N v b H V t b k l k Z W 5 0 a X R p Z X M m c X V v d D s 6 W y Z x d W 9 0 O 1 N l c n Z l c i 5 E Y X R h Y m F z Z V x c L z I v U 1 F M L 2 5 l Z W E t c 3 F s L T A x L m R h d G F i Y X N l L n d p b m R v d 3 M u b m V 0 O 0 F N T U 8 v Z G J v L 3 Z 3 V W 5 p d H M u e 1 N u Y X B z a G 9 0 L D l 9 J n F 1 b 3 Q 7 L C Z x d W 9 0 O 1 N l c n Z l c i 5 E Y X R h Y m F z Z V x c L z I v U 1 F M L 2 5 l Z W E t c 3 F s L T A x L m R h d G F i Y X N l L n d p b m R v d 3 M u b m V 0 O 0 F N T U 8 v Z G J v L 3 Z 3 V W 5 p d H M u e 0 l u a X R p Y X R p d m U s M H 0 m c X V v d D s s J n F 1 b 3 Q 7 U 2 V y d m V y L k R h d G F i Y X N l X F w v M i 9 T U U w v b m V l Y S 1 z c W w t M D E u Z G F 0 Y W J h c 2 U u d 2 l u Z G 9 3 c y 5 u Z X Q 7 Q U 1 N T y 9 k Y m 8 v d n d V b m l 0 c y 5 7 S W 5 p d G l h d G l 2 Z S B J b m R l e C w x f S Z x d W 9 0 O y w m c X V v d D t T Z X J 2 Z X I u R G F 0 Y W J h c 2 V c X C 8 y L 1 N R T C 9 u Z W V h L X N x b C 0 w M S 5 k Y X R h Y m F z Z S 5 3 a W 5 k b 3 d z L m 5 l d D t B T U 1 P L 2 R i b y 9 2 d 1 V u a X R z L n t N Z W F z d X J l L D J 9 J n F 1 b 3 Q 7 L C Z x d W 9 0 O 1 N l c n Z l c i 5 E Y X R h Y m F z Z V x c L z I v U 1 F M L 2 5 l Z W E t c 3 F s L T A x L m R h d G F i Y X N l L n d p b m R v d 3 M u b m V 0 O 0 F N T U 8 v Z G J v L 3 Z 3 V W 5 p d H M u e 0 1 l Y X N 1 c m U g S W 5 k Z X g s M 3 0 m c X V v d D s s J n F 1 b 3 Q 7 U 2 V y d m V y L k R h d G F i Y X N l X F w v M i 9 T U U w v b m V l Y S 1 z c W w t M D E u Z G F 0 Y W J h c 2 U u d 2 l u Z G 9 3 c y 5 u Z X Q 7 Q U 1 N T y 9 k Y m 8 v d n d V b m l 0 c y 5 7 d W 5 p d H M s N H 0 m c X V v d D s s J n F 1 b 3 Q 7 U 2 V y d m V y L k R h d G F i Y X N l X F w v M i 9 T U U w v b m V l Y S 1 z c W w t M D E u Z G F 0 Y W J h c 2 U u d 2 l u Z G 9 3 c y 5 u Z X Q 7 Q U 1 N T y 9 k Y m 8 v d n d V b m l 0 c y 5 7 U 2 F 2 a W 5 n c y B D Y X R l Z 2 9 y e S w 1 f S Z x d W 9 0 O y w m c X V v d D t T Z X J 2 Z X I u R G F 0 Y W J h c 2 V c X C 8 y L 1 N R T C 9 u Z W V h L X N x b C 0 w M S 5 k Y X R h Y m F z Z S 5 3 a W 5 k b 3 d z L m 5 l d D t B T U 1 P L 2 R i b y 9 2 d 1 V u a X R z L n t 5 Z W F y L D Z 9 J n F 1 b 3 Q 7 L C Z x d W 9 0 O 1 N l c n Z l c i 5 E Y X R h Y m F z Z V x c L z I v U 1 F M L 2 5 l Z W E t c 3 F s L T A x L m R h d G F i Y X N l L n d p b m R v d 3 M u b m V 0 O 0 F N T U 8 v Z G J v L 3 Z 3 V W 5 p d H M u e 1 B y b 2 R 1 Y 3 Q s N 3 0 m c X V v d D s s J n F 1 b 3 Q 7 U 2 V y d m V y L k R h d G F i Y X N l X F w v M i 9 T U U w v b m V l Y S 1 z c W w t M D E u Z G F 0 Y W J h c 2 U u d 2 l u Z G 9 3 c y 5 u Z X Q 7 Q U 1 N T y 9 k Y m 8 v d n d V b m l 0 c y 5 7 V G l l c i w 4 f S Z x d W 9 0 O y w m c X V v d D t T Z X J 2 Z X I u R G F 0 Y W J h c 2 V c X C 8 y L 1 N R T C 9 u Z W V h L X N x b C 0 w M S 5 k Y X R h Y m F z Z S 5 3 a W 5 k b 3 d z L m 5 l d D t B T U 1 P L 2 R i b y 9 2 d 1 V u a X R z L n t G d W 5 k a W 5 n I E N 5 Y 2 x l L D E w f S Z x d W 9 0 O y w m c X V v d D t T Z X J 2 Z X I u R G F 0 Y W J h c 2 V c X C 8 y L 1 N R T C 9 u Z W V h L X N x b C 0 w M S 5 k Y X R h Y m F z Z S 5 3 a W 5 k b 3 d z L m 5 l d D t B T U 1 P L 2 R i b y 9 2 d 1 V u a X R z L n t 1 b m l 0 X 2 9 m X 2 1 l Y X N 1 c m U s M T F 9 J n F 1 b 3 Q 7 L C Z x d W 9 0 O 1 N l Y 3 R p b 2 4 x L 0 Z 1 b m R l c l 9 T a G F y Z X N f R W x l Y 3 Q v Q 2 h h b m d l Z C B U e X B l L n t G d W 5 k Z X I g U 2 h h c m U s M n 0 m c X V v d D t d L C Z x d W 9 0 O 0 N v b H V t b k N v d W 5 0 J n F 1 b 3 Q 7 O j E z L C Z x d W 9 0 O 0 t l e U N v b H V t b k 5 h b W V z J n F 1 b 3 Q 7 O l t d L C Z x d W 9 0 O 0 N v b H V t b k l k Z W 5 0 a X R p Z X M m c X V v d D s 6 W y Z x d W 9 0 O 1 N l c n Z l c i 5 E Y X R h Y m F z Z V x c L z I v U 1 F M L 2 5 l Z W E t c 3 F s L T A x L m R h d G F i Y X N l L n d p b m R v d 3 M u b m V 0 O 0 F N T U 8 v Z G J v L 3 Z 3 V W 5 p d H M u e 1 N u Y X B z a G 9 0 L D l 9 J n F 1 b 3 Q 7 L C Z x d W 9 0 O 1 N l c n Z l c i 5 E Y X R h Y m F z Z V x c L z I v U 1 F M L 2 5 l Z W E t c 3 F s L T A x L m R h d G F i Y X N l L n d p b m R v d 3 M u b m V 0 O 0 F N T U 8 v Z G J v L 3 Z 3 V W 5 p d H M u e 0 l u a X R p Y X R p d m U s M H 0 m c X V v d D s s J n F 1 b 3 Q 7 U 2 V y d m V y L k R h d G F i Y X N l X F w v M i 9 T U U w v b m V l Y S 1 z c W w t M D E u Z G F 0 Y W J h c 2 U u d 2 l u Z G 9 3 c y 5 u Z X Q 7 Q U 1 N T y 9 k Y m 8 v d n d V b m l 0 c y 5 7 S W 5 p d G l h d G l 2 Z S B J b m R l e C w x f S Z x d W 9 0 O y w m c X V v d D t T Z X J 2 Z X I u R G F 0 Y W J h c 2 V c X C 8 y L 1 N R T C 9 u Z W V h L X N x b C 0 w M S 5 k Y X R h Y m F z Z S 5 3 a W 5 k b 3 d z L m 5 l d D t B T U 1 P L 2 R i b y 9 2 d 1 V u a X R z L n t N Z W F z d X J l L D J 9 J n F 1 b 3 Q 7 L C Z x d W 9 0 O 1 N l c n Z l c i 5 E Y X R h Y m F z Z V x c L z I v U 1 F M L 2 5 l Z W E t c 3 F s L T A x L m R h d G F i Y X N l L n d p b m R v d 3 M u b m V 0 O 0 F N T U 8 v Z G J v L 3 Z 3 V W 5 p d H M u e 0 1 l Y X N 1 c m U g S W 5 k Z X g s M 3 0 m c X V v d D s s J n F 1 b 3 Q 7 U 2 V y d m V y L k R h d G F i Y X N l X F w v M i 9 T U U w v b m V l Y S 1 z c W w t M D E u Z G F 0 Y W J h c 2 U u d 2 l u Z G 9 3 c y 5 u Z X Q 7 Q U 1 N T y 9 k Y m 8 v d n d V b m l 0 c y 5 7 d W 5 p d H M s N H 0 m c X V v d D s s J n F 1 b 3 Q 7 U 2 V y d m V y L k R h d G F i Y X N l X F w v M i 9 T U U w v b m V l Y S 1 z c W w t M D E u Z G F 0 Y W J h c 2 U u d 2 l u Z G 9 3 c y 5 u Z X Q 7 Q U 1 N T y 9 k Y m 8 v d n d V b m l 0 c y 5 7 U 2 F 2 a W 5 n c y B D Y X R l Z 2 9 y e S w 1 f S Z x d W 9 0 O y w m c X V v d D t T Z X J 2 Z X I u R G F 0 Y W J h c 2 V c X C 8 y L 1 N R T C 9 u Z W V h L X N x b C 0 w M S 5 k Y X R h Y m F z Z S 5 3 a W 5 k b 3 d z L m 5 l d D t B T U 1 P L 2 R i b y 9 2 d 1 V u a X R z L n t 5 Z W F y L D Z 9 J n F 1 b 3 Q 7 L C Z x d W 9 0 O 1 N l c n Z l c i 5 E Y X R h Y m F z Z V x c L z I v U 1 F M L 2 5 l Z W E t c 3 F s L T A x L m R h d G F i Y X N l L n d p b m R v d 3 M u b m V 0 O 0 F N T U 8 v Z G J v L 3 Z 3 V W 5 p d H M u e 1 B y b 2 R 1 Y 3 Q s N 3 0 m c X V v d D s s J n F 1 b 3 Q 7 U 2 V y d m V y L k R h d G F i Y X N l X F w v M i 9 T U U w v b m V l Y S 1 z c W w t M D E u Z G F 0 Y W J h c 2 U u d 2 l u Z G 9 3 c y 5 u Z X Q 7 Q U 1 N T y 9 k Y m 8 v d n d V b m l 0 c y 5 7 V G l l c i w 4 f S Z x d W 9 0 O y w m c X V v d D t T Z X J 2 Z X I u R G F 0 Y W J h c 2 V c X C 8 y L 1 N R T C 9 u Z W V h L X N x b C 0 w M S 5 k Y X R h Y m F z Z S 5 3 a W 5 k b 3 d z L m 5 l d D t B T U 1 P L 2 R i b y 9 2 d 1 V u a X R z L n t G d W 5 k a W 5 n I E N 5 Y 2 x l L D E w f S Z x d W 9 0 O y w m c X V v d D t T Z X J 2 Z X I u R G F 0 Y W J h c 2 V c X C 8 y L 1 N R T C 9 u Z W V h L X N x b C 0 w M S 5 k Y X R h Y m F z Z S 5 3 a W 5 k b 3 d z L m 5 l d D t B T U 1 P L 2 R i b y 9 2 d 1 V u a X R z L n t 1 b m l 0 X 2 9 m X 2 1 l Y X N 1 c m U s M T F 9 J n F 1 b 3 Q 7 L C Z x d W 9 0 O 1 N l Y 3 R p b 2 4 x L 0 Z 1 b m R l c l 9 T a G F y Z X N f R W x l Y 3 Q v Q 2 h h b m d l Z C B U e X B l L n t G d W 5 k Z X I g U 2 h h c m U s M n 0 m c X V v d D t d L C Z x d W 9 0 O 1 J l b G F 0 a W 9 u c 2 h p c E l u Z m 8 m c X V v d D s 6 W 1 1 9 I i A v P j x F b n R y e S B U e X B l P S J B Z G R l Z F R v R G F 0 Y U 1 v Z G V s I i B W Y W x 1 Z T 0 i b D E i I C 8 + P C 9 T d G F i b G V F b n R y a W V z P j w v S X R l b T 4 8 S X R l b T 4 8 S X R l b U x v Y 2 F 0 a W 9 u P j x J d G V t V H l w Z T 5 G b 3 J t d W x h P C 9 J d G V t V H l w Z T 4 8 S X R l b V B h d G g + U 2 V j d G l v b j E v d n d G b G F n c z w v S X R l b V B h d G g + P C 9 J d G V t T G 9 j Y X R p b 2 4 + P F N 0 Y W J s Z U V u d H J p Z X M + P E V u d H J 5 I F R 5 c G U 9 I k Z p b G x F c n J v c k N v Z G U i I F Z h b H V l P S J z V W 5 r b m 9 3 b i I g L z 4 8 R W 5 0 c n k g V H l w Z T 0 i Q n V m Z m V y T m V 4 d F J l Z n J l c 2 g i I F Z h b H V l P S J s M S I g L z 4 8 R W 5 0 c n k g V H l w Z T 0 i R m l s b E V y c m 9 y Q 2 9 1 b n Q i I F Z h b H V l P S J s M C I g L z 4 8 R W 5 0 c n k g V H l w Z T 0 i R m l s b E V u Y W J s Z W Q i I F Z h b H V l P S J s M S I g L z 4 8 R W 5 0 c n k g V H l w Z T 0 i R m l s b E x h c 3 R V c G R h d G V k I i B W Y W x 1 Z T 0 i Z D I w M j M t M D Y t M T J U M j I 6 M D Q 6 N T M u M j U y O T g z N l o i I C 8 + P E V u d H J 5 I F R 5 c G U 9 I k Z p b G x D b 2 x 1 b W 5 U e X B l c y I g V m F s d W U 9 I n N E Q V l H Q m d Z R 0 J n W U c i I C 8 + P E V u d H J 5 I F R 5 c G U 9 I k Z p b G x l Z E N v b X B s Z X R l U m V z d W x 0 V G 9 X b 3 J r c 2 h l Z X Q i I F Z h b H V l P S J s M S I g L z 4 8 R W 5 0 c n k g V H l w Z T 0 i R m l s b E N v b H V t b k 5 h b W V z I i B W Y W x 1 Z T 0 i c 1 s m c X V v d D t Z Z W F y J n F 1 b 3 Q 7 L C Z x d W 9 0 O 0 1 l Y X N 1 c m U g S W 5 k Z X g m c X V v d D s s J n F 1 b 3 Q 7 S X M g Q 2 9 k Z S Z x d W 9 0 O y w m c X V v d D t J c y B T d G F u Z G F y Z C Z x d W 9 0 O y w m c X V v d D t c d T A w M j d O R U V B I E l u Z m x 1 Z W 5 j Z W R c d T A w M j c m c X V v d D s s J n F 1 b 3 Q 7 U m V w b 3 J 0 I E V 4 d G V y b m F s b H k m c X V v d D s s J n F 1 b 3 Q 7 U m V w b 3 J 0 I E 5 l Z 2 F 0 a X Z l I E 5 N R S Z x d W 9 0 O y w m c X V v d D t S Z X B v c n Q g T m V n Y X R p d m U g T F A m c X V v d D s s J n F 1 b 3 Q 7 T W V h c 3 V y Z S Z x d W 9 0 O 1 0 i I C 8 + P E V u d H J 5 I F R 5 c G U 9 I k Z p b G x U b 0 R h d G F N b 2 R l b E V u Y W J s Z W Q i I F Z h b H V l P S J s M S I g L z 4 8 R W 5 0 c n k g V H l w Z T 0 i S X N Q c m l 2 Y X R l I i B W Y W x 1 Z T 0 i b D A i I C 8 + P E V u d H J 5 I F R 5 c G U 9 I l J l Y 2 9 2 Z X J 5 V G F y Z 2 V 0 Q 2 9 s d W 1 u I i B W Y W x 1 Z T 0 i b D E i I C 8 + P E V u d H J 5 I F R 5 c G U 9 I l J l Y 2 9 2 Z X J 5 V G F y Z 2 V 0 U m 9 3 I i B W Y W x 1 Z T 0 i b D E i I C 8 + P E V u d H J 5 I F R 5 c G U 9 I l J l Y 2 9 2 Z X J 5 V G F y Z 2 V 0 U 2 h l Z X Q i I F Z h b H V l P S J z U 2 h l Z X Q x I i A v P j x F b n R y e S B U e X B l P S J G a W x s U 3 R h d H V z I i B W Y W x 1 Z T 0 i c 0 N v b X B s Z X R l 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d n d G b G F n c y I g L z 4 8 R W 5 0 c n k g V H l w Z T 0 i U X V l c n l J R C I g V m F s d W U 9 I n M 2 M m I 2 O T E 2 N i 0 2 M W I w L T Q 5 O W E t O D F l O S 0 2 M z d j N 2 R h O D M 0 Y 2 Y i I C 8 + P E V u d H J 5 I F R 5 c G U 9 I k Z p b G x D b 3 V u d C I g V m F s d W U 9 I m w x N D g x I i A v P j x F b n R y e S B U e X B l P S J S Z W x h d G l v b n N o a X B J b m Z v Q 2 9 u d G F p b m V y I i B W Y W x 1 Z T 0 i c 3 s m c X V v d D t j b 2 x 1 b W 5 D b 3 V u d C Z x d W 9 0 O z o 5 L C Z x d W 9 0 O 2 t l e U N v b H V t b k 5 h b W V z J n F 1 b 3 Q 7 O l t d L C Z x d W 9 0 O 3 F 1 Z X J 5 U m V s Y X R p b 2 5 z a G l w c y Z x d W 9 0 O z p b X S w m c X V v d D t j b 2 x 1 b W 5 J Z G V u d G l 0 a W V z J n F 1 b 3 Q 7 O l s m c X V v d D t T Z X J 2 Z X I u R G F 0 Y W J h c 2 V c X C 8 y L 1 N R T C 9 u Z W V h L X N x b C 0 w M S 5 k Y X R h Y m F z Z S 5 3 a W 5 k b 3 d z L m 5 l d D t B T U 1 P L 2 R i b y 9 2 d 0 Z s Y W d z L n t Z Z W F y L D B 9 J n F 1 b 3 Q 7 L C Z x d W 9 0 O 1 N l c n Z l c i 5 E Y X R h Y m F z Z V x c L z I v U 1 F M L 2 5 l Z W E t c 3 F s L T A x L m R h d G F i Y X N l L n d p b m R v d 3 M u b m V 0 O 0 F N T U 8 v Z G J v L 3 Z 3 R m x h Z 3 M u e 0 1 l Y X N 1 c m U g S W 5 k Z X g s M X 0 m c X V v d D s s J n F 1 b 3 Q 7 U 2 V y d m V y L k R h d G F i Y X N l X F w v M i 9 T U U w v b m V l Y S 1 z c W w t M D E u Z G F 0 Y W J h c 2 U u d 2 l u Z G 9 3 c y 5 u Z X Q 7 Q U 1 N T y 9 k Y m 8 v d n d G b G F n c y 5 7 S X M g Q 2 9 k Z S w y f S Z x d W 9 0 O y w m c X V v d D t T Z X J 2 Z X I u R G F 0 Y W J h c 2 V c X C 8 y L 1 N R T C 9 u Z W V h L X N x b C 0 w M S 5 k Y X R h Y m F z Z S 5 3 a W 5 k b 3 d z L m 5 l d D t B T U 1 P L 2 R i b y 9 2 d 0 Z s Y W d z L n t J c y B T d G F u Z G F y Z C w z f S Z x d W 9 0 O y w m c X V v d D t T Z X J 2 Z X I u R G F 0 Y W J h c 2 V c X C 8 y L 1 N R T C 9 u Z W V h L X N x b C 0 w M S 5 k Y X R h Y m F z Z S 5 3 a W 5 k b 3 d z L m 5 l d D t B T U 1 P L 2 R i b y 9 2 d 0 Z s Y W d z L n t c d T A w M j d O R U V B I E l u Z m x 1 Z W 5 j Z W R c d T A w M j c s N H 0 m c X V v d D s s J n F 1 b 3 Q 7 U 2 V y d m V y L k R h d G F i Y X N l X F w v M i 9 T U U w v b m V l Y S 1 z c W w t M D E u Z G F 0 Y W J h c 2 U u d 2 l u Z G 9 3 c y 5 u Z X Q 7 Q U 1 N T y 9 k Y m 8 v d n d G b G F n c y 5 7 U m V w b 3 J 0 I E V 4 d G V y b m F s b H k s N X 0 m c X V v d D s s J n F 1 b 3 Q 7 U 2 V y d m V y L k R h d G F i Y X N l X F w v M i 9 T U U w v b m V l Y S 1 z c W w t M D E u Z G F 0 Y W J h c 2 U u d 2 l u Z G 9 3 c y 5 u Z X Q 7 Q U 1 N T y 9 k Y m 8 v d n d G b G F n c y 5 7 U m V w b 3 J 0 I E 5 l Z 2 F 0 a X Z l I E 5 N R S w 2 f S Z x d W 9 0 O y w m c X V v d D t T Z X J 2 Z X I u R G F 0 Y W J h c 2 V c X C 8 y L 1 N R T C 9 u Z W V h L X N x b C 0 w M S 5 k Y X R h Y m F z Z S 5 3 a W 5 k b 3 d z L m 5 l d D t B T U 1 P L 2 R i b y 9 2 d 0 Z s Y W d z L n t S Z X B v c n Q g T m V n Y X R p d m U g T F A s N 3 0 m c X V v d D s s J n F 1 b 3 Q 7 U 2 V y d m V y L k R h d G F i Y X N l X F w v M i 9 T U U w v b m V l Y S 1 z c W w t M D E u Z G F 0 Y W J h c 2 U u d 2 l u Z G 9 3 c y 5 u Z X Q 7 Q U 1 N T y 9 k Y m 8 v d n d G b G F n c y 5 7 T W V h c 3 V y Z S w 4 f S Z x d W 9 0 O 1 0 s J n F 1 b 3 Q 7 Q 2 9 s d W 1 u Q 2 9 1 b n Q m c X V v d D s 6 O S w m c X V v d D t L Z X l D b 2 x 1 b W 5 O Y W 1 l c y Z x d W 9 0 O z p b X S w m c X V v d D t D b 2 x 1 b W 5 J Z G V u d G l 0 a W V z J n F 1 b 3 Q 7 O l s m c X V v d D t T Z X J 2 Z X I u R G F 0 Y W J h c 2 V c X C 8 y L 1 N R T C 9 u Z W V h L X N x b C 0 w M S 5 k Y X R h Y m F z Z S 5 3 a W 5 k b 3 d z L m 5 l d D t B T U 1 P L 2 R i b y 9 2 d 0 Z s Y W d z L n t Z Z W F y L D B 9 J n F 1 b 3 Q 7 L C Z x d W 9 0 O 1 N l c n Z l c i 5 E Y X R h Y m F z Z V x c L z I v U 1 F M L 2 5 l Z W E t c 3 F s L T A x L m R h d G F i Y X N l L n d p b m R v d 3 M u b m V 0 O 0 F N T U 8 v Z G J v L 3 Z 3 R m x h Z 3 M u e 0 1 l Y X N 1 c m U g S W 5 k Z X g s M X 0 m c X V v d D s s J n F 1 b 3 Q 7 U 2 V y d m V y L k R h d G F i Y X N l X F w v M i 9 T U U w v b m V l Y S 1 z c W w t M D E u Z G F 0 Y W J h c 2 U u d 2 l u Z G 9 3 c y 5 u Z X Q 7 Q U 1 N T y 9 k Y m 8 v d n d G b G F n c y 5 7 S X M g Q 2 9 k Z S w y f S Z x d W 9 0 O y w m c X V v d D t T Z X J 2 Z X I u R G F 0 Y W J h c 2 V c X C 8 y L 1 N R T C 9 u Z W V h L X N x b C 0 w M S 5 k Y X R h Y m F z Z S 5 3 a W 5 k b 3 d z L m 5 l d D t B T U 1 P L 2 R i b y 9 2 d 0 Z s Y W d z L n t J c y B T d G F u Z G F y Z C w z f S Z x d W 9 0 O y w m c X V v d D t T Z X J 2 Z X I u R G F 0 Y W J h c 2 V c X C 8 y L 1 N R T C 9 u Z W V h L X N x b C 0 w M S 5 k Y X R h Y m F z Z S 5 3 a W 5 k b 3 d z L m 5 l d D t B T U 1 P L 2 R i b y 9 2 d 0 Z s Y W d z L n t c d T A w M j d O R U V B I E l u Z m x 1 Z W 5 j Z W R c d T A w M j c s N H 0 m c X V v d D s s J n F 1 b 3 Q 7 U 2 V y d m V y L k R h d G F i Y X N l X F w v M i 9 T U U w v b m V l Y S 1 z c W w t M D E u Z G F 0 Y W J h c 2 U u d 2 l u Z G 9 3 c y 5 u Z X Q 7 Q U 1 N T y 9 k Y m 8 v d n d G b G F n c y 5 7 U m V w b 3 J 0 I E V 4 d G V y b m F s b H k s N X 0 m c X V v d D s s J n F 1 b 3 Q 7 U 2 V y d m V y L k R h d G F i Y X N l X F w v M i 9 T U U w v b m V l Y S 1 z c W w t M D E u Z G F 0 Y W J h c 2 U u d 2 l u Z G 9 3 c y 5 u Z X Q 7 Q U 1 N T y 9 k Y m 8 v d n d G b G F n c y 5 7 U m V w b 3 J 0 I E 5 l Z 2 F 0 a X Z l I E 5 N R S w 2 f S Z x d W 9 0 O y w m c X V v d D t T Z X J 2 Z X I u R G F 0 Y W J h c 2 V c X C 8 y L 1 N R T C 9 u Z W V h L X N x b C 0 w M S 5 k Y X R h Y m F z Z S 5 3 a W 5 k b 3 d z L m 5 l d D t B T U 1 P L 2 R i b y 9 2 d 0 Z s Y W d z L n t S Z X B v c n Q g T m V n Y X R p d m U g T F A s N 3 0 m c X V v d D s s J n F 1 b 3 Q 7 U 2 V y d m V y L k R h d G F i Y X N l X F w v M i 9 T U U w v b m V l Y S 1 z c W w t M D E u Z G F 0 Y W J h c 2 U u d 2 l u Z G 9 3 c y 5 u Z X Q 7 Q U 1 N T y 9 k Y m 8 v d n d G b G F n c y 5 7 T W V h c 3 V y Z S w 4 f S Z x d W 9 0 O 1 0 s J n F 1 b 3 Q 7 U m V s Y X R p b 2 5 z a G l w S W 5 m b y Z x d W 9 0 O z p b X X 0 i I C 8 + P E V u d H J 5 I F R 5 c G U 9 I k F k Z G V k V G 9 E Y X R h T W 9 k Z W w i I F Z h b H V l P S J s M S I g L z 4 8 L 1 N 0 Y W J s Z U V u d H J p Z X M + P C 9 J d G V t P j x J d G V t P j x J d G V t T G 9 j Y X R p b 2 4 + P E l 0 Z W 1 U e X B l P k Z v c m 1 1 b G E 8 L 0 l 0 Z W 1 U e X B l P j x J d G V t U G F 0 a D 5 T Z W N 0 a W 9 u M S 9 2 d 0 Z 1 b m R p b m d D e W N s Z U Z s Y W d z V 0 F J T 1 U v U 2 9 1 c m N l P C 9 J d G V t U G F 0 a D 4 8 L 0 l 0 Z W 1 M b 2 N h d G l v b j 4 8 U 3 R h Y m x l R W 5 0 c m l l c y A v P j w v S X R l b T 4 8 S X R l b T 4 8 S X R l b U x v Y 2 F 0 a W 9 u P j x J d G V t V H l w Z T 5 G b 3 J t d W x h P C 9 J d G V t V H l w Z T 4 8 S X R l b V B h d G g + U 2 V j d G l v b j E v d n d G d W 5 k a W 5 n Q 3 l j b G V G b G F n c 1 d B S U 9 V L 2 R i b 1 9 2 d 0 Z 1 b m R p b m d D e W N s Z U Z s Y W d z V 0 F J T 1 U 8 L 0 l 0 Z W 1 Q Y X R o P j w v S X R l b U x v Y 2 F 0 a W 9 u P j x T d G F i b G V F b n R y a W V z I C 8 + P C 9 J d G V t P j x J d G V t P j x J d G V t T G 9 j Y X R p b 2 4 + P E l 0 Z W 1 U e X B l P k Z v c m 1 1 b G E 8 L 0 l 0 Z W 1 U e X B l P j x J d G V t U G F 0 a D 5 T Z W N 0 a W 9 u M S 9 2 d 0 1 l Y X N 1 c m V z L 1 N v d X J j Z T w v S X R l b V B h d G g + P C 9 J d G V t T G 9 j Y X R p b 2 4 + P F N 0 Y W J s Z U V u d H J p Z X M g L z 4 8 L 0 l 0 Z W 0 + P E l 0 Z W 0 + P E l 0 Z W 1 M b 2 N h d G l v b j 4 8 S X R l b V R 5 c G U + R m 9 y b X V s Y T w v S X R l b V R 5 c G U + P E l 0 Z W 1 Q Y X R o P l N l Y 3 R p b 2 4 x L 3 Z 3 T W V h c 3 V y Z X M v Z G J v X 3 Z 3 T W V h c 3 V y Z X M 8 L 0 l 0 Z W 1 Q Y X R o P j w v S X R l b U x v Y 2 F 0 a W 9 u P j x T d G F i b G V F b n R y a W V z I C 8 + P C 9 J d G V t P j x J d G V t P j x J d G V t T G 9 j Y X R p b 2 4 + P E l 0 Z W 1 U e X B l P k Z v c m 1 1 b G E 8 L 0 l 0 Z W 1 U e X B l P j x J d G V t U G F 0 a D 5 T Z W N 0 a W 9 u M S 9 2 d 0 Z 1 b m R l c l N o Y X J l L 1 N v d X J j Z T w v S X R l b V B h d G g + P C 9 J d G V t T G 9 j Y X R p b 2 4 + P F N 0 Y W J s Z U V u d H J p Z X M g L z 4 8 L 0 l 0 Z W 0 + P E l 0 Z W 0 + P E l 0 Z W 1 M b 2 N h d G l v b j 4 8 S X R l b V R 5 c G U + R m 9 y b X V s Y T w v S X R l b V R 5 c G U + P E l 0 Z W 1 Q Y X R o P l N l Y 3 R p b 2 4 x L 3 Z 3 R n V u Z G V y U 2 h h c m U v Z G J v X 3 Z 3 R n V u Z G V y U 2 h h c m U 8 L 0 l 0 Z W 1 Q Y X R o P j w v S X R l b U x v Y 2 F 0 a W 9 u P j x T d G F i b G V F b n R y a W V z I C 8 + P C 9 J d G V t P j x J d G V t P j x J d G V t T G 9 j Y X R p b 2 4 + P E l 0 Z W 1 U e X B l P k Z v c m 1 1 b G E 8 L 0 l 0 Z W 1 U e X B l P j x J d G V t U G F 0 a D 5 T Z W N 0 a W 9 u M S 9 2 d 1 V u a X R z L 1 N v d X J j Z T w v S X R l b V B h d G g + P C 9 J d G V t T G 9 j Y X R p b 2 4 + P F N 0 Y W J s Z U V u d H J p Z X M g L z 4 8 L 0 l 0 Z W 0 + P E l 0 Z W 0 + P E l 0 Z W 1 M b 2 N h d G l v b j 4 8 S X R l b V R 5 c G U + R m 9 y b X V s Y T w v S X R l b V R 5 c G U + P E l 0 Z W 1 Q Y X R o P l N l Y 3 R p b 2 4 x L 3 Z 3 V W 5 p d H M v Z G J v X 3 Z 3 V W 5 p d H M 8 L 0 l 0 Z W 1 Q Y X R o P j w v S X R l b U x v Y 2 F 0 a W 9 u P j x T d G F i b G V F b n R y a W V z I C 8 + P C 9 J d G V t P j x J d G V t P j x J d G V t T G 9 j Y X R p b 2 4 + P E l 0 Z W 1 U e X B l P k Z v c m 1 1 b G E 8 L 0 l 0 Z W 1 U e X B l P j x J d G V t U G F 0 a D 5 T Z W N 0 a W 9 u M S 9 2 d 1 N h d m l u Z 3 N S Y X R l c y 9 T b 3 V y Y 2 U 8 L 0 l 0 Z W 1 Q Y X R o P j w v S X R l b U x v Y 2 F 0 a W 9 u P j x T d G F i b G V F b n R y a W V z I C 8 + P C 9 J d G V t P j x J d G V t P j x J d G V t T G 9 j Y X R p b 2 4 + P E l 0 Z W 1 U e X B l P k Z v c m 1 1 b G E 8 L 0 l 0 Z W 1 U e X B l P j x J d G V t U G F 0 a D 5 T Z W N 0 a W 9 u M S 9 2 d 1 N h d m l u Z 3 N S Y X R l c y 9 k Y m 9 f d n d T Y X Z p b m d z U m F 0 Z X M 8 L 0 l 0 Z W 1 Q Y X R o P j w v S X R l b U x v Y 2 F 0 a W 9 u P j x T d G F i b G V F b n R y a W V z I C 8 + P C 9 J d G V t P j x J d G V t P j x J d G V t T G 9 j Y X R p b 2 4 + P E l 0 Z W 1 U e X B l P k Z v c m 1 1 b G E 8 L 0 l 0 Z W 1 U e X B l P j x J d G V t U G F 0 a D 5 T Z W N 0 a W 9 u M S 9 2 d 1 V u a X R z L 0 Z p b H R l c m V k J T I w U m 9 3 c z w v S X R l b V B h d G g + P C 9 J d G V t T G 9 j Y X R p b 2 4 + P F N 0 Y W J s Z U V u d H J p Z X M g L z 4 8 L 0 l 0 Z W 0 + P E l 0 Z W 0 + P E l 0 Z W 1 M b 2 N h d G l v b j 4 8 S X R l b V R 5 c G U + R m 9 y b X V s Y T w v S X R l b V R 5 c G U + P E l 0 Z W 1 Q Y X R o P l N l Y 3 R p b 2 4 x L 3 Z 3 V W 5 p d H M v U m V v c m R l c m V k J T I w Q 2 9 s d W 1 u c z w v S X R l b V B h d G g + P C 9 J d G V t T G 9 j Y X R p b 2 4 + P F N 0 Y W J s Z U V u d H J p Z X M g L z 4 8 L 0 l 0 Z W 0 + P E l 0 Z W 0 + P E l 0 Z W 1 M b 2 N h d G l v b j 4 8 S X R l b V R 5 c G U + R m 9 y b X V s Y T w v S X R l b V R 5 c G U + P E l 0 Z W 1 Q Y X R o P l N l Y 3 R p b 2 4 x L 3 Z 3 V W 5 p d H M v R m l s d G V y Z W Q l M j B S b 3 d z M T w v S X R l b V B h d G g + P C 9 J d G V t T G 9 j Y X R p b 2 4 + P F N 0 Y W J s Z U V u d H J p Z X M g L z 4 8 L 0 l 0 Z W 0 + P E l 0 Z W 0 + P E l 0 Z W 1 M b 2 N h d G l v b j 4 8 S X R l b V R 5 c G U + R m 9 y b X V s Y T w v S X R l b V R 5 c G U + P E l 0 Z W 1 Q Y X R o P l N l Y 3 R p b 2 4 x L 3 Z 3 V 0 F J T 1 U v U 2 9 1 c m N l P C 9 J d G V t U G F 0 a D 4 8 L 0 l 0 Z W 1 M b 2 N h d G l v b j 4 8 U 3 R h Y m x l R W 5 0 c m l l c y A v P j w v S X R l b T 4 8 S X R l b T 4 8 S X R l b U x v Y 2 F 0 a W 9 u P j x J d G V t V H l w Z T 5 G b 3 J t d W x h P C 9 J d G V t V H l w Z T 4 8 S X R l b V B h d G g + U 2 V j d G l v b j E v d n d X Q U l P V S 9 F e H B h b m R l Z C U y M H Z 3 U 2 F 2 a W 5 n c 1 J h d G V z P C 9 J d G V t U G F 0 a D 4 8 L 0 l 0 Z W 1 M b 2 N h d G l v b j 4 8 U 3 R h Y m x l R W 5 0 c m l l c y A v P j w v S X R l b T 4 8 S X R l b T 4 8 S X R l b U x v Y 2 F 0 a W 9 u P j x J d G V t V H l w Z T 5 G b 3 J t d W x h P C 9 J d G V t V H l w Z T 4 8 S X R l b V B h d G g + U 2 V j d G l v b j E v d n d X Q U l P V S 9 S Z W 9 y Z G V y Z W Q l M j B D b 2 x 1 b W 5 z P C 9 J d G V t U G F 0 a D 4 8 L 0 l 0 Z W 1 M b 2 N h d G l v b j 4 8 U 3 R h Y m x l R W 5 0 c m l l c y A v P j w v S X R l b T 4 8 S X R l b T 4 8 S X R l b U x v Y 2 F 0 a W 9 u P j x J d G V t V H l w Z T 5 G b 3 J t d W x h P C 9 J d G V t V H l w Z T 4 8 S X R l b V B h d G g + U 2 V j d G l v b j E v d n d X Q U l P V S 9 S Z W 1 v d m V k J T I w Q 2 9 s d W 1 u c z w v S X R l b V B h d G g + P C 9 J d G V t T G 9 j Y X R p b 2 4 + P F N 0 Y W J s Z U V u d H J p Z X M g L z 4 8 L 0 l 0 Z W 0 + P E l 0 Z W 0 + P E l 0 Z W 1 M b 2 N h d G l v b j 4 8 S X R l b V R 5 c G U + R m 9 y b X V s Y T w v S X R l b V R 5 c G U + P E l 0 Z W 1 Q Y X R o P l N l Y 3 R p b 2 4 x L 3 Z 3 V 0 F J T 1 U v U m V v c m R l c m V k J T I w Q 2 9 s d W 1 u c z E 8 L 0 l 0 Z W 1 Q Y X R o P j w v S X R l b U x v Y 2 F 0 a W 9 u P j x T d G F i b G V F b n R y a W V z I C 8 + P C 9 J d G V t P j x J d G V t P j x J d G V t T G 9 j Y X R p b 2 4 + P E l 0 Z W 1 U e X B l P k Z v c m 1 1 b G E 8 L 0 l 0 Z W 1 U e X B l P j x J d G V t U G F 0 a D 5 T Z W N 0 a W 9 u M S 9 2 d 1 d B S U 9 V L 1 J l b m F t Z W Q l M j B D b 2 x 1 b W 5 z P C 9 J d G V t U G F 0 a D 4 8 L 0 l 0 Z W 1 M b 2 N h d G l v b j 4 8 U 3 R h Y m x l R W 5 0 c m l l c y A v P j w v S X R l b T 4 8 S X R l b T 4 8 S X R l b U x v Y 2 F 0 a W 9 u P j x J d G V t V H l w Z T 5 G b 3 J t d W x h P C 9 J d G V t V H l w Z T 4 8 S X R l b V B h d G g + U 2 V j d G l v b j E v d n d X Q U l P V S 9 S Z W 1 v d m V k J T I w Q 2 9 s d W 1 u c z E 8 L 0 l 0 Z W 1 Q Y X R o P j w v S X R l b U x v Y 2 F 0 a W 9 u P j x T d G F i b G V F b n R y a W V z I C 8 + P C 9 J d G V t P j x J d G V t P j x J d G V t T G 9 j Y X R p b 2 4 + P E l 0 Z W 1 U e X B l P k Z v c m 1 1 b G E 8 L 0 l 0 Z W 1 U e X B l P j x J d G V t U G F 0 a D 5 T Z W N 0 a W 9 u M S 9 2 d 1 N h d m l u Z 3 N S Y X R l c y 9 G a W x 0 Z X J l Z C U y M F J v d 3 M 8 L 0 l 0 Z W 1 Q Y X R o P j w v S X R l b U x v Y 2 F 0 a W 9 u P j x T d G F i b G V F b n R y a W V z I C 8 + P C 9 J d G V t P j x J d G V t P j x J d G V t T G 9 j Y X R p b 2 4 + P E l 0 Z W 1 U e X B l P k Z v c m 1 1 b G E 8 L 0 l 0 Z W 1 U e X B l P j x J d G V t U G F 0 a D 5 T Z W N 0 a W 9 u M S 9 G d W 5 k Z X J f U 2 h h c m V z X 0 V s Z W N 0 L 1 N v d X J j Z T w v S X R l b V B h d G g + P C 9 J d G V t T G 9 j Y X R p b 2 4 + P F N 0 Y W J s Z U V u d H J p Z X M g L z 4 8 L 0 l 0 Z W 0 + P E l 0 Z W 0 + P E l 0 Z W 1 M b 2 N h d G l v b j 4 8 S X R l b V R 5 c G U + R m 9 y b X V s Y T w v S X R l b V R 5 c G U + P E l 0 Z W 1 Q Y X R o P l N l Y 3 R p b 2 4 x L 0 Z 1 b m R l c l 9 T a G F y Z X N f R W x l Y 3 Q v R n V u Z G V y X 1 N o Y X J l c 1 9 F b G V j d F 9 T a G V l d D w v S X R l b V B h d G g + P C 9 J d G V t T G 9 j Y X R p b 2 4 + P F N 0 Y W J s Z U V u d H J p Z X M g L z 4 8 L 0 l 0 Z W 0 + P E l 0 Z W 0 + P E l 0 Z W 1 M b 2 N h d G l v b j 4 8 S X R l b V R 5 c G U + R m 9 y b X V s Y T w v S X R l b V R 5 c G U + P E l 0 Z W 1 Q Y X R o P l N l Y 3 R p b 2 4 x L 0 Z 1 b m R l c l 9 T a G F y Z X N f R W x l Y 3 Q v U H J v b W 9 0 Z W Q l M j B I Z W F k Z X J z P C 9 J d G V t U G F 0 a D 4 8 L 0 l 0 Z W 1 M b 2 N h d G l v b j 4 8 U 3 R h Y m x l R W 5 0 c m l l c y A v P j w v S X R l b T 4 8 S X R l b T 4 8 S X R l b U x v Y 2 F 0 a W 9 u P j x J d G V t V H l w Z T 5 G b 3 J t d W x h P C 9 J d G V t V H l w Z T 4 8 S X R l b V B h d G g + U 2 V j d G l v b j E v R n V u Z G V y X 1 N o Y X J l c 1 9 F b G V j d C 9 D a G F u Z 2 V k J T I w V H l w Z T w v S X R l b V B h d G g + P C 9 J d G V t T G 9 j Y X R p b 2 4 + P F N 0 Y W J s Z U V u d H J p Z X M g L z 4 8 L 0 l 0 Z W 0 + P E l 0 Z W 0 + P E l 0 Z W 1 M b 2 N h d G l v b j 4 8 S X R l b V R 5 c G U + R m 9 y b X V s Y T w v S X R l b V R 5 c G U + P E l 0 Z W 1 Q Y X R o P l N l Y 3 R p b 2 4 x L 3 Z 3 R n V u Z G l u Z 0 N 5 Y 2 x l R m x h Z 3 N X Q U l P V S 9 S Z W 1 v d m V k J T I w Q 2 9 s d W 1 u c z w v S X R l b V B h d G g + P C 9 J d G V t T G 9 j Y X R p b 2 4 + P F N 0 Y W J s Z U V u d H J p Z X M g L z 4 8 L 0 l 0 Z W 0 + P E l 0 Z W 0 + P E l 0 Z W 1 M b 2 N h d G l v b j 4 8 S X R l b V R 5 c G U + R m 9 y b X V s Y T w v S X R l b V R 5 c G U + P E l 0 Z W 1 Q Y X R o P l N l Y 3 R p b 2 4 x L 0 1 l c m d l M S 9 T b 3 V y Y 2 U 8 L 0 l 0 Z W 1 Q Y X R o P j w v S X R l b U x v Y 2 F 0 a W 9 u P j x T d G F i b G V F b n R y a W V z I C 8 + P C 9 J d G V t P j x J d G V t P j x J d G V t T G 9 j Y X R p b 2 4 + P E l 0 Z W 1 U e X B l P k Z v c m 1 1 b G E 8 L 0 l 0 Z W 1 U e X B l P j x J d G V t U G F 0 a D 5 T Z W N 0 a W 9 u M S 9 N Z X J n Z T E v R X h w Y W 5 k Z W Q l M j B G d W 5 k Z X J f U 2 h h c m V z X 0 V s Z W N 0 P C 9 J d G V t U G F 0 a D 4 8 L 0 l 0 Z W 1 M b 2 N h d G l v b j 4 8 U 3 R h Y m x l R W 5 0 c m l l c y A v P j w v S X R l b T 4 8 S X R l b T 4 8 S X R l b U x v Y 2 F 0 a W 9 u P j x J d G V t V H l w Z T 5 G b 3 J t d W x h P C 9 J d G V t V H l w Z T 4 8 S X R l b V B h d G g + U 2 V j d G l v b j E v d n d G b G F n c y 9 T b 3 V y Y 2 U 8 L 0 l 0 Z W 1 Q Y X R o P j w v S X R l b U x v Y 2 F 0 a W 9 u P j x T d G F i b G V F b n R y a W V z I C 8 + P C 9 J d G V t P j x J d G V t P j x J d G V t T G 9 j Y X R p b 2 4 + P E l 0 Z W 1 U e X B l P k Z v c m 1 1 b G E 8 L 0 l 0 Z W 1 U e X B l P j x J d G V t U G F 0 a D 5 T Z W N 0 a W 9 u M S 9 2 d 0 Z s Y W d z L 2 R i b 1 9 2 d 0 Z s Y W d z P C 9 J d G V t U G F 0 a D 4 8 L 0 l 0 Z W 1 M b 2 N h d G l v b j 4 8 U 3 R h Y m x l R W 5 0 c m l l c y A v P j w v S X R l b T 4 8 S X R l b T 4 8 S X R l b U x v Y 2 F 0 a W 9 u P j x J d G V t V H l w Z T 5 G b 3 J t d W x h P C 9 J d G V t V H l w Z T 4 8 S X R l b V B h d G g + U 2 V j d G l v b j E v d n d G b G F n c y 9 G a W x 0 Z X J l Z C U y M F J v d 3 M 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V W 5 p d H N G d W 5 k Z X J T a G F y Z U F s b G 9 j Y X R p b 2 4 8 L 0 l 0 Z W 1 Q Y X R o P j w v S X R l b U x v Y 2 F 0 a W 9 u P j x T d G F i b G V F b n R y a W V z P j x F b n R y e S B U e X B l P S J G a W x s R W 5 h Y m x l Z C I g V m F s d W U 9 I m w w I i A v P j x F b n R y e S B U e X B l P S J G a W x s Q 2 9 s d W 1 u T m F t Z X M i I F Z h b H V l P S J z W y Z x d W 9 0 O 1 N u Y X B z a G 9 0 J n F 1 b 3 Q 7 L C Z x d W 9 0 O 0 l u a X R p Y X R p d m U m c X V v d D s s J n F 1 b 3 Q 7 T W V h c 3 V y Z S B J b m R l e C Z x d W 9 0 O y w m c X V v d D t T Y X Z p b m d z I E N h d G V n b 3 J 5 J n F 1 b 3 Q 7 L C Z x d W 9 0 O 1 B y b 2 R 1 Y 3 Q m c X V v d D s s J n F 1 b 3 Q 7 V G l l c i Z x d W 9 0 O y w m c X V v d D t 5 Z W F y J n F 1 b 3 Q 7 L C Z x d W 9 0 O 0 M 0 J n F 1 b 3 Q 7 L C Z x d W 9 0 O 0 M 1 J n F 1 b 3 Q 7 L C Z x d W 9 0 O 0 M 2 J n F 1 b 3 Q 7 L C Z x d W 9 0 O 0 M 3 J n F 1 b 3 Q 7 L C Z x d W 9 0 O 0 M 0 I F N o Y X J l J n F 1 b 3 Q 7 L C Z x d W 9 0 O 0 M 1 I F N o Y X J l J n F 1 b 3 Q 7 L C Z x d W 9 0 O 0 M 2 I F N o Y X J l J n F 1 b 3 Q 7 L C Z x d W 9 0 O 0 M 3 I F N o Y X J l J n F 1 b 3 Q 7 X S I g L z 4 8 R W 5 0 c n k g V H l w Z T 0 i R m l s b E N v b H V t b l R 5 c G V z I i B W Y W x 1 Z T 0 i c 0 J n W U d C Z 1 l H R E F V R k J R V U V C Q V F F I i A v 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M Y X N 0 V X B k Y X R l Z C I g V m F s d W U 9 I m Q y M D I z L T A 2 L T E y V D I y O j A 0 O j U z L j I 2 N z g 4 M T V a I i A v P j x F b n R y e S B U e X B l P S J G a W x s R X J y b 3 J D b 2 R l I i B W Y W x 1 Z T 0 i c 1 V u a 2 5 v d 2 4 i I C 8 + P E V u d H J 5 I F R 5 c G U 9 I k Z p b G x F c n J v c k N v d W 5 0 I i B W Y W x 1 Z T 0 i b D A i I C 8 + P E V u d H J 5 I F R 5 c G U 9 I l J l Y 2 9 2 Z X J 5 V G F y Z 2 V 0 U m 9 3 I i B W Y W x 1 Z T 0 i b D E i I C 8 + P E V u d H J 5 I F R 5 c G U 9 I l J l Y 2 9 2 Z X J 5 V G F y Z 2 V 0 Q 2 9 s d W 1 u I i B W Y W x 1 Z T 0 i b D E i I C 8 + P E V u d H J 5 I F R 5 c G U 9 I l J l Y 2 9 2 Z X J 5 V G F y Z 2 V 0 U 2 h l Z X Q i I F Z h b H V l P S J z V W 5 p d H N G d W 5 k Z X J T a G F y Z U F s b G 9 j Y X R p b 2 4 i I C 8 + P E V u d H J 5 I F R 5 c G U 9 I k Z p b G x U b 0 R h d G F N b 2 R l b E V u Y W J s Z W Q i I F Z h b H V l P S J s M S I g L z 4 8 R W 5 0 c n k g V H l w Z T 0 i R m l s b E 9 i a m V j d F R 5 c G U i I F Z h b H V l P S J z Q 2 9 u b m V j d G l v b k 9 u b H k i I C 8 + P E V u d H J 5 I F R 5 c G U 9 I k Z p b G x l Z E N v b X B s Z X R l U m V z d W x 0 V G 9 X b 3 J r c 2 h l Z X Q i I F Z h b H V l P S J s M C I g L z 4 8 R W 5 0 c n k g V H l w Z T 0 i U X V l c n l J R C I g V m F s d W U 9 I n N h N z F l O D g w N y 1 j N T k 3 L T Q w O T I t O W E z N C 0 0 M z J i Y j F m N m Y 0 N z Y i I C 8 + P E V u d H J 5 I F R 5 c G U 9 I k Z p b G x D b 3 V u d C I g V m F s d W U 9 I m w 0 M D k i I C 8 + P E V u d H J 5 I F R 5 c G U 9 I k Z p b G x T d G F 0 d X M i I F Z h b H V l P S J z Q 2 9 t c G x l d G U i I C 8 + P E V u d H J 5 I F R 5 c G U 9 I k F k Z G V k V G 9 E Y X R h T W 9 k Z W w i I F Z h b H V l P S J s M S I g L z 4 8 R W 5 0 c n k g V H l w Z T 0 i U m V s Y X R p b 2 5 z a G l w S W 5 m b 0 N v b n R h a W 5 l c i I g V m F s d W U 9 I n N 7 J n F 1 b 3 Q 7 Y 2 9 s d W 1 u Q 2 9 1 b n Q m c X V v d D s 6 M T U s J n F 1 b 3 Q 7 a 2 V 5 Q 2 9 s d W 1 u T m F t Z X M m c X V v d D s 6 W 1 0 s J n F 1 b 3 Q 7 c X V l c n l S Z W x h d G l v b n N o a X B z J n F 1 b 3 Q 7 O l t d L C Z x d W 9 0 O 2 N v b H V t b k l k Z W 5 0 a X R p Z X M m c X V v d D s 6 W y Z x d W 9 0 O 1 N l Y 3 R p b 2 4 x L 1 V u a X R z R n V u Z G V y U 2 h h c m V B b G x v Y 2 F 0 a W 9 u L 1 B p d m 9 0 Z W Q g Q 2 9 s d W 1 u L n t T b m F w c 2 h v d C w w f S Z x d W 9 0 O y w m c X V v d D t T Z W N 0 a W 9 u M S 9 V b m l 0 c 0 Z 1 b m R l c l N o Y X J l Q W x s b 2 N h d G l v b i 9 Q a X Z v d G V k I E N v b H V t b i 5 7 S W 5 p d G l h d G l 2 Z S w x f S Z x d W 9 0 O y w m c X V v d D t T Z W N 0 a W 9 u M S 9 V b m l 0 c 0 Z 1 b m R l c l N o Y X J l Q W x s b 2 N h d G l v b i 9 Q a X Z v d G V k I E N v b H V t b i 5 7 T W V h c 3 V y Z S B J b m R l e C w y f S Z x d W 9 0 O y w m c X V v d D t T Z W N 0 a W 9 u M S 9 V b m l 0 c 0 Z 1 b m R l c l N o Y X J l Q W x s b 2 N h d G l v b i 9 Q a X Z v d G V k I E N v b H V t b i 5 7 U 2 F 2 a W 5 n c y B D Y X R l Z 2 9 y e S w z f S Z x d W 9 0 O y w m c X V v d D t T Z W N 0 a W 9 u M S 9 V b m l 0 c 0 Z 1 b m R l c l N o Y X J l Q W x s b 2 N h d G l v b i 9 Q a X Z v d G V k I E N v b H V t b i 5 7 U H J v Z H V j d C w 0 f S Z x d W 9 0 O y w m c X V v d D t T Z W N 0 a W 9 u M S 9 V b m l 0 c 0 Z 1 b m R l c l N o Y X J l Q W x s b 2 N h d G l v b i 9 Q a X Z v d G V k I E N v b H V t b i 5 7 V G l l c i w 1 f S Z x d W 9 0 O y w m c X V v d D t T Z W N 0 a W 9 u M S 9 V b m l 0 c 0 Z 1 b m R l c l N o Y X J l Q W x s b 2 N h d G l v b i 9 Q a X Z v d G V k I E N v b H V t b i 5 7 e W V h c i w 2 f S Z x d W 9 0 O y w m c X V v d D t T Z W N 0 a W 9 u M S 9 V b m l 0 c 0 Z 1 b m R l c l N o Y X J l Q W x s b 2 N h d G l v b i 9 S Z X B s Y W N l Z C B W Y W x 1 Z T Q u e 0 M 0 L D d 9 J n F 1 b 3 Q 7 L C Z x d W 9 0 O 1 N l Y 3 R p b 2 4 x L 1 V u a X R z R n V u Z G V y U 2 h h c m V B b G x v Y 2 F 0 a W 9 u L 1 J l c G x h Y 2 V k I F Z h b H V l N S 5 7 Q z U s O H 0 m c X V v d D s s J n F 1 b 3 Q 7 U 2 V j d G l v b j E v V W 5 p d H N G d W 5 k Z X J T a G F y Z U F s b G 9 j Y X R p b 2 4 v U m V w b G F j Z W Q g V m F s d W U 1 L n t D N i w 5 f S Z x d W 9 0 O y w m c X V v d D t T Z W N 0 a W 9 u M S 9 V b m l 0 c 0 Z 1 b m R l c l N o Y X J l Q W x s b 2 N h d G l v b i 9 S Z X B s Y W N l Z C B W Y W x 1 Z T U u e 0 M 3 L D E w f S Z x d W 9 0 O y w m c X V v d D t T Z W N 0 a W 9 u M S 9 V b m l 0 c 0 Z 1 b m R l c l N o Y X J l Q W x s b 2 N h d G l v b i 9 D a G F u Z 2 V k I F R 5 c G U u e 0 M 0 I F N o Y X J l L D E x f S Z x d W 9 0 O y w m c X V v d D t T Z W N 0 a W 9 u M S 9 V b m l 0 c 0 Z 1 b m R l c l N o Y X J l Q W x s b 2 N h d G l v b i 9 D a G F u Z 2 V k I F R 5 c G U z L n t D N S B T a G F y Z S w x M n 0 m c X V v d D s s J n F 1 b 3 Q 7 U 2 V j d G l v b j E v V W 5 p d H N G d W 5 k Z X J T a G F y Z U F s b G 9 j Y X R p b 2 4 v Q 2 h h b m d l Z C B U e X B l M y 5 7 Q z Y g U 2 h h c m U s M T N 9 J n F 1 b 3 Q 7 L C Z x d W 9 0 O 1 N l Y 3 R p b 2 4 x L 1 V u a X R z R n V u Z G V y U 2 h h c m V B b G x v Y 2 F 0 a W 9 u L 0 N o Y W 5 n Z W Q g V H l w Z T M u e 0 M 3 I F N o Y X J l L D E 0 f S Z x d W 9 0 O 1 0 s J n F 1 b 3 Q 7 Q 2 9 s d W 1 u Q 2 9 1 b n Q m c X V v d D s 6 M T U s J n F 1 b 3 Q 7 S 2 V 5 Q 2 9 s d W 1 u T m F t Z X M m c X V v d D s 6 W 1 0 s J n F 1 b 3 Q 7 Q 2 9 s d W 1 u S W R l b n R p d G l l c y Z x d W 9 0 O z p b J n F 1 b 3 Q 7 U 2 V j d G l v b j E v V W 5 p d H N G d W 5 k Z X J T a G F y Z U F s b G 9 j Y X R p b 2 4 v U G l 2 b 3 R l Z C B D b 2 x 1 b W 4 u e 1 N u Y X B z a G 9 0 L D B 9 J n F 1 b 3 Q 7 L C Z x d W 9 0 O 1 N l Y 3 R p b 2 4 x L 1 V u a X R z R n V u Z G V y U 2 h h c m V B b G x v Y 2 F 0 a W 9 u L 1 B p d m 9 0 Z W Q g Q 2 9 s d W 1 u L n t J b m l 0 a W F 0 a X Z l L D F 9 J n F 1 b 3 Q 7 L C Z x d W 9 0 O 1 N l Y 3 R p b 2 4 x L 1 V u a X R z R n V u Z G V y U 2 h h c m V B b G x v Y 2 F 0 a W 9 u L 1 B p d m 9 0 Z W Q g Q 2 9 s d W 1 u L n t N Z W F z d X J l I E l u Z G V 4 L D J 9 J n F 1 b 3 Q 7 L C Z x d W 9 0 O 1 N l Y 3 R p b 2 4 x L 1 V u a X R z R n V u Z G V y U 2 h h c m V B b G x v Y 2 F 0 a W 9 u L 1 B p d m 9 0 Z W Q g Q 2 9 s d W 1 u L n t T Y X Z p b m d z I E N h d G V n b 3 J 5 L D N 9 J n F 1 b 3 Q 7 L C Z x d W 9 0 O 1 N l Y 3 R p b 2 4 x L 1 V u a X R z R n V u Z G V y U 2 h h c m V B b G x v Y 2 F 0 a W 9 u L 1 B p d m 9 0 Z W Q g Q 2 9 s d W 1 u L n t Q c m 9 k d W N 0 L D R 9 J n F 1 b 3 Q 7 L C Z x d W 9 0 O 1 N l Y 3 R p b 2 4 x L 1 V u a X R z R n V u Z G V y U 2 h h c m V B b G x v Y 2 F 0 a W 9 u L 1 B p d m 9 0 Z W Q g Q 2 9 s d W 1 u L n t U a W V y L D V 9 J n F 1 b 3 Q 7 L C Z x d W 9 0 O 1 N l Y 3 R p b 2 4 x L 1 V u a X R z R n V u Z G V y U 2 h h c m V B b G x v Y 2 F 0 a W 9 u L 1 B p d m 9 0 Z W Q g Q 2 9 s d W 1 u L n t 5 Z W F y L D Z 9 J n F 1 b 3 Q 7 L C Z x d W 9 0 O 1 N l Y 3 R p b 2 4 x L 1 V u a X R z R n V u Z G V y U 2 h h c m V B b G x v Y 2 F 0 a W 9 u L 1 J l c G x h Y 2 V k I F Z h b H V l N C 5 7 Q z Q s N 3 0 m c X V v d D s s J n F 1 b 3 Q 7 U 2 V j d G l v b j E v V W 5 p d H N G d W 5 k Z X J T a G F y Z U F s b G 9 j Y X R p b 2 4 v U m V w b G F j Z W Q g V m F s d W U 1 L n t D N S w 4 f S Z x d W 9 0 O y w m c X V v d D t T Z W N 0 a W 9 u M S 9 V b m l 0 c 0 Z 1 b m R l c l N o Y X J l Q W x s b 2 N h d G l v b i 9 S Z X B s Y W N l Z C B W Y W x 1 Z T U u e 0 M 2 L D l 9 J n F 1 b 3 Q 7 L C Z x d W 9 0 O 1 N l Y 3 R p b 2 4 x L 1 V u a X R z R n V u Z G V y U 2 h h c m V B b G x v Y 2 F 0 a W 9 u L 1 J l c G x h Y 2 V k I F Z h b H V l N S 5 7 Q z c s M T B 9 J n F 1 b 3 Q 7 L C Z x d W 9 0 O 1 N l Y 3 R p b 2 4 x L 1 V u a X R z R n V u Z G V y U 2 h h c m V B b G x v Y 2 F 0 a W 9 u L 0 N o Y W 5 n Z W Q g V H l w Z S 5 7 Q z Q g U 2 h h c m U s M T F 9 J n F 1 b 3 Q 7 L C Z x d W 9 0 O 1 N l Y 3 R p b 2 4 x L 1 V u a X R z R n V u Z G V y U 2 h h c m V B b G x v Y 2 F 0 a W 9 u L 0 N o Y W 5 n Z W Q g V H l w Z T M u e 0 M 1 I F N o Y X J l L D E y f S Z x d W 9 0 O y w m c X V v d D t T Z W N 0 a W 9 u M S 9 V b m l 0 c 0 Z 1 b m R l c l N o Y X J l Q W x s b 2 N h d G l v b i 9 D a G F u Z 2 V k I F R 5 c G U z L n t D N i B T a G F y Z S w x M 3 0 m c X V v d D s s J n F 1 b 3 Q 7 U 2 V j d G l v b j E v V W 5 p d H N G d W 5 k Z X J T a G F y Z U F s b G 9 j Y X R p b 2 4 v Q 2 h h b m d l Z C B U e X B l M y 5 7 Q z c g U 2 h h c m U s M T R 9 J n F 1 b 3 Q 7 X S w m c X V v d D t S Z W x h d G l v b n N o a X B J b m Z v J n F 1 b 3 Q 7 O l t d f S I g L z 4 8 L 1 N 0 Y W J s Z U V u d H J p Z X M + P C 9 J d G V t P j x J d G V t P j x J d G V t T G 9 j Y X R p b 2 4 + P E l 0 Z W 1 U e X B l P k Z v c m 1 1 b G E 8 L 0 l 0 Z W 1 U e X B l P j x J d G V t U G F 0 a D 5 T Z W N 0 a W 9 u M S 9 V b m l 0 c 0 Z 1 b m R l c l N o Y X J l Q W x s b 2 N h d G l v b i 9 T b 3 V y Y 2 U 8 L 0 l 0 Z W 1 Q Y X R o P j w v S X R l b U x v Y 2 F 0 a W 9 u P j x T d G F i b G V F b n R y a W V z I C 8 + P C 9 J d G V t P j x J d G V t P j x J d G V t T G 9 j Y X R p b 2 4 + P E l 0 Z W 1 U e X B l P k Z v c m 1 1 b G E 8 L 0 l 0 Z W 1 U e X B l P j x J d G V t U G F 0 a D 5 T Z W N 0 a W 9 u M S 9 V b m l 0 c 0 Z 1 b m R l c l N o Y X J l Q W x s b 2 N h d G l v b i 9 G a W x 0 Z X J l Z C U y M F J v d 3 M 8 L 0 l 0 Z W 1 Q Y X R o P j w v S X R l b U x v Y 2 F 0 a W 9 u P j x T d G F i b G V F b n R y a W V z I C 8 + P C 9 J d G V t P j x J d G V t P j x J d G V t T G 9 j Y X R p b 2 4 + P E l 0 Z W 1 U e X B l P k Z v c m 1 1 b G E 8 L 0 l 0 Z W 1 U e X B l P j x J d G V t U G F 0 a D 5 T Z W N 0 a W 9 u M S 9 V b m l 0 c 0 Z 1 b m R l c l N o Y X J l Q W x s b 2 N h d G l v b i 9 S Z W 1 v d m V k J T I w Q 2 9 s d W 1 u c z w v S X R l b V B h d G g + P C 9 J d G V t T G 9 j Y X R p b 2 4 + P F N 0 Y W J s Z U V u d H J p Z X M g L z 4 8 L 0 l 0 Z W 0 + P E l 0 Z W 0 + P E l 0 Z W 1 M b 2 N h d G l v b j 4 8 S X R l b V R 5 c G U + R m 9 y b X V s Y T w v S X R l b V R 5 c G U + P E l 0 Z W 1 Q Y X R o P l N l Y 3 R p b 2 4 x L 1 V u a X R z R n V u Z G V y U 2 h h c m V B b G x v Y 2 F 0 a W 9 u L 1 J l b 3 J k Z X J l Z C U y M E N v b H V t b n M 8 L 0 l 0 Z W 1 Q Y X R o P j w v S X R l b U x v Y 2 F 0 a W 9 u P j x T d G F i b G V F b n R y a W V z I C 8 + P C 9 J d G V t P j x J d G V t P j x J d G V t T G 9 j Y X R p b 2 4 + P E l 0 Z W 1 U e X B l P k Z v c m 1 1 b G E 8 L 0 l 0 Z W 1 U e X B l P j x J d G V t U G F 0 a D 5 T Z W N 0 a W 9 u M S 9 V b m l 0 c 0 Z 1 b m R l c l N o Y X J l Q W x s b 2 N h d G l v b i 9 Q a X Z v d G V k J T I w Q 2 9 s d W 1 u P C 9 J d G V t U G F 0 a D 4 8 L 0 l 0 Z W 1 M b 2 N h d G l v b j 4 8 U 3 R h Y m x l R W 5 0 c m l l c y A v P j w v S X R l b T 4 8 S X R l b T 4 8 S X R l b U x v Y 2 F 0 a W 9 u P j x J d G V t V H l w Z T 5 G b 3 J t d W x h P C 9 J d G V t V H l w Z T 4 8 S X R l b V B h d G g + U 2 V j d G l v b j E v V W 5 p d H N G d W 5 k Z X J T a G F y Z U F s b G 9 j Y X R p b 2 4 v U m V w b G F j Z W Q l M j B W Y W x 1 Z T E 8 L 0 l 0 Z W 1 Q Y X R o P j w v S X R l b U x v Y 2 F 0 a W 9 u P j x T d G F i b G V F b n R y a W V z I C 8 + P C 9 J d G V t P j x J d G V t P j x J d G V t T G 9 j Y X R p b 2 4 + P E l 0 Z W 1 U e X B l P k Z v c m 1 1 b G E 8 L 0 l 0 Z W 1 U e X B l P j x J d G V t U G F 0 a D 5 T Z W N 0 a W 9 u M S 9 V b m l 0 c 0 Z 1 b m R l c l N o Y X J l Q W x s b 2 N h d G l v b i 9 S Z X B s Y W N l Z C U y M F Z h b H V l N D w v S X R l b V B h d G g + P C 9 J d G V t T G 9 j Y X R p b 2 4 + P F N 0 Y W J s Z U V u d H J p Z X M g L z 4 8 L 0 l 0 Z W 0 + P E l 0 Z W 0 + P E l 0 Z W 1 M b 2 N h d G l v b j 4 8 S X R l b V R 5 c G U + R m 9 y b X V s Y T w v S X R l b V R 5 c G U + P E l 0 Z W 1 Q Y X R o P l N l Y 3 R p b 2 4 x L 1 V u a X R z R n V u Z G V y U 2 h h c m V B b G x v Y 2 F 0 a W 9 u L 1 J l c G x h Y 2 V k J T I w V m F s d W U 1 P C 9 J d G V t U G F 0 a D 4 8 L 0 l 0 Z W 1 M b 2 N h d G l v b j 4 8 U 3 R h Y m x l R W 5 0 c m l l c y A v P j w v S X R l b T 4 8 S X R l b T 4 8 S X R l b U x v Y 2 F 0 a W 9 u P j x J d G V t V H l w Z T 5 G b 3 J t d W x h P C 9 J d G V t V H l w Z T 4 8 S X R l b V B h d G g + U 2 V j d G l v b j E v V W 5 p d H N G d W 5 k Z X J T a G F y Z U F s b G 9 j Y X R p b 2 4 v R m l s d G V y Z W Q l M j B S b 3 d z M T w v S X R l b V B h d G g + P C 9 J d G V t T G 9 j Y X R p b 2 4 + P F N 0 Y W J s Z U V u d H J p Z X M g L z 4 8 L 0 l 0 Z W 0 + P E l 0 Z W 0 + P E l 0 Z W 1 M b 2 N h d G l v b j 4 8 S X R l b V R 5 c G U + R m 9 y b X V s Y T w v S X R l b V R 5 c G U + P E l 0 Z W 1 Q Y X R o P l N l Y 3 R p b 2 4 x L 1 V u a X R z R n V u Z G V y U 2 h h c m V B b G x v Y 2 F 0 a W 9 u L 0 F k Z G V k J T I w Q 3 V z d G 9 t P C 9 J d G V t U G F 0 a D 4 8 L 0 l 0 Z W 1 M b 2 N h d G l v b j 4 8 U 3 R h Y m x l R W 5 0 c m l l c y A v P j w v S X R l b T 4 8 S X R l b T 4 8 S X R l b U x v Y 2 F 0 a W 9 u P j x J d G V t V H l w Z T 5 G b 3 J t d W x h P C 9 J d G V t V H l w Z T 4 8 S X R l b V B h d G g + U 2 V j d G l v b j E v V W 5 p d H N G d W 5 k Z X J T a G F y Z U F s b G 9 j Y X R p b 2 4 v U m V w b G F j Z W Q l M j B W Y W x 1 Z T w v S X R l b V B h d G g + P C 9 J d G V t T G 9 j Y X R p b 2 4 + P F N 0 Y W J s Z U V u d H J p Z X M g L z 4 8 L 0 l 0 Z W 0 + P E l 0 Z W 0 + P E l 0 Z W 1 M b 2 N h d G l v b j 4 8 S X R l b V R 5 c G U + R m 9 y b X V s Y T w v S X R l b V R 5 c G U + P E l 0 Z W 1 Q Y X R o P l N l Y 3 R p b 2 4 x L 1 V u a X R z R n V u Z G V y U 2 h h c m V B b G x v Y 2 F 0 a W 9 u L 0 N o Y W 5 n Z W Q l M j B U e X B l P C 9 J d G V t U G F 0 a D 4 8 L 0 l 0 Z W 1 M b 2 N h d G l v b j 4 8 U 3 R h Y m x l R W 5 0 c m l l c y A v P j w v S X R l b T 4 8 S X R l b T 4 8 S X R l b U x v Y 2 F 0 a W 9 u P j x J d G V t V H l w Z T 5 G b 3 J t d W x h P C 9 J d G V t V H l w Z T 4 8 S X R l b V B h d G g + U 2 V j d G l v b j E v V W 5 p d H N G d W 5 k Z X J T a G F y Z U F s b G 9 j Y X R p b 2 4 v Q W R k Z W Q l M j B D d X N 0 b 2 0 x P C 9 J d G V t U G F 0 a D 4 8 L 0 l 0 Z W 1 M b 2 N h d G l v b j 4 8 U 3 R h Y m x l R W 5 0 c m l l c y A v P j w v S X R l b T 4 8 S X R l b T 4 8 S X R l b U x v Y 2 F 0 a W 9 u P j x J d G V t V H l w Z T 5 G b 3 J t d W x h P C 9 J d G V t V H l w Z T 4 8 S X R l b V B h d G g + U 2 V j d G l v b j E v V W 5 p d H N G d W 5 k Z X J T a G F y Z U F s b G 9 j Y X R p b 2 4 v Q W R k Z W Q l M j B D d X N 0 b 2 0 y P C 9 J d G V t U G F 0 a D 4 8 L 0 l 0 Z W 1 M b 2 N h d G l v b j 4 8 U 3 R h Y m x l R W 5 0 c m l l c y A v P j w v S X R l b T 4 8 S X R l b T 4 8 S X R l b U x v Y 2 F 0 a W 9 u P j x J d G V t V H l w Z T 5 G b 3 J t d W x h P C 9 J d G V t V H l w Z T 4 8 S X R l b V B h d G g + U 2 V j d G l v b j E v V W 5 p d H N G d W 5 k Z X J T a G F y Z U F s b G 9 j Y X R p b 2 4 v Q W R k Z W Q l M j B D d X N 0 b 2 0 z P C 9 J d G V t U G F 0 a D 4 8 L 0 l 0 Z W 1 M b 2 N h d G l v b j 4 8 U 3 R h Y m x l R W 5 0 c m l l c y A v P j w v S X R l b T 4 8 S X R l b T 4 8 S X R l b U x v Y 2 F 0 a W 9 u P j x J d G V t V H l w Z T 5 G b 3 J t d W x h P C 9 J d G V t V H l w Z T 4 8 S X R l b V B h d G g + U 2 V j d G l v b j E v V W 5 p d H N G d W 5 k Z X J T a G F y Z U F s b G 9 j Y X R p b 2 4 v U m V w b G F j Z W Q l M j B F c n J v c n M 8 L 0 l 0 Z W 1 Q Y X R o P j w v S X R l b U x v Y 2 F 0 a W 9 u P j x T d G F i b G V F b n R y a W V z I C 8 + P C 9 J d G V t P j x J d G V t P j x J d G V t T G 9 j Y X R p b 2 4 + P E l 0 Z W 1 U e X B l P k Z v c m 1 1 b G E 8 L 0 l 0 Z W 1 U e X B l P j x J d G V t U G F 0 a D 5 T Z W N 0 a W 9 u M S 9 V b m l 0 c 0 Z 1 b m R l c l N o Y X J l Q W x s b 2 N h d G l v b i 9 D a G F u Z 2 V k J T I w V H l w Z T E 8 L 0 l 0 Z W 1 Q Y X R o P j w v S X R l b U x v Y 2 F 0 a W 9 u P j x T d G F i b G V F b n R y a W V z I C 8 + P C 9 J d G V t P j x J d G V t P j x J d G V t T G 9 j Y X R p b 2 4 + P E l 0 Z W 1 U e X B l P k Z v c m 1 1 b G E 8 L 0 l 0 Z W 1 U e X B l P j x J d G V t U G F 0 a D 5 T Z W N 0 a W 9 u M S 9 V b m l 0 c 0 Z 1 b m R l c l N o Y X J l Q W x s b 2 N h d G l v b i 9 S Z X B s Y W N l Z C U y M F Z h b H V l M j w v S X R l b V B h d G g + P C 9 J d G V t T G 9 j Y X R p b 2 4 + P F N 0 Y W J s Z U V u d H J p Z X M g L z 4 8 L 0 l 0 Z W 0 + P E l 0 Z W 0 + P E l 0 Z W 1 M b 2 N h d G l v b j 4 8 S X R l b V R 5 c G U + R m 9 y b X V s Y T w v S X R l b V R 5 c G U + P E l 0 Z W 1 Q Y X R o P l N l Y 3 R p b 2 4 x L 1 V u a X R z R n V u Z G V y U 2 h h c m V B b G x v Y 2 F 0 a W 9 u L 0 N o Y W 5 n Z W Q l M j B U e X B l M j w v S X R l b V B h d G g + P C 9 J d G V t T G 9 j Y X R p b 2 4 + P F N 0 Y W J s Z U V u d H J p Z X M g L z 4 8 L 0 l 0 Z W 0 + P E l 0 Z W 0 + P E l 0 Z W 1 M b 2 N h d G l v b j 4 8 S X R l b V R 5 c G U + R m 9 y b X V s Y T w v S X R l b V R 5 c G U + P E l 0 Z W 1 Q Y X R o P l N l Y 3 R p b 2 4 x L 1 V u a X R z R n V u Z G V y U 2 h h c m V B b G x v Y 2 F 0 a W 9 u L 1 J l c G x h Y 2 V k J T I w V m F s d W U z P C 9 J d G V t U G F 0 a D 4 8 L 0 l 0 Z W 1 M b 2 N h d G l v b j 4 8 U 3 R h Y m x l R W 5 0 c m l l c y A v P j w v S X R l b T 4 8 S X R l b T 4 8 S X R l b U x v Y 2 F 0 a W 9 u P j x J d G V t V H l w Z T 5 G b 3 J t d W x h P C 9 J d G V t V H l w Z T 4 8 S X R l b V B h d G g + U 2 V j d G l v b j E v V W 5 p d H N G d W 5 k Z X J T a G F y Z U F s b G 9 j Y X R p b 2 4 v Q 2 h h b m d l Z C U y M F R 5 c G U z P C 9 J d G V t U G F 0 a D 4 8 L 0 l 0 Z W 1 M b 2 N h d G l v b j 4 8 U 3 R h Y m x l R W 5 0 c m l l c y A v P j w v S X R l b T 4 8 S X R l b T 4 8 S X R l b U x v Y 2 F 0 a W 9 u P j x J d G V t V H l w Z T 5 G b 3 J t d W x h P C 9 J d G V t V H l w Z T 4 8 S X R l b V B h d G g + U 2 V j d G l v b j E v Q 2 9 t X 1 N o Y X J l c 1 9 F b G V j 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R X J y b 3 J D b 2 R l I i B W Y W x 1 Z T 0 i c 1 V u a 2 5 v d 2 4 i I C 8 + P E V u d H J 5 I F R 5 c G U 9 I k Z p b G x F c n J v c k N v d W 5 0 I i B W Y W x 1 Z T 0 i b D A i I C 8 + P E V u d H J 5 I F R 5 c G U 9 I k Z p b G x M Y X N 0 V X B k Y X R l Z C I g V m F s d W U 9 I m Q y M D I z L T A 2 L T E y V D I y O j A 0 O j U z L j I 3 O T k y M D N a I i A v P j x F b n R y e S B U e X B l P S J G a W x s Q 2 9 s d W 1 u V H l w Z X M i I F Z h b H V l P S J z Q m d R Q S I g L z 4 8 R W 5 0 c n k g V H l w Z T 0 i R m l s b E N v b H V t b k 5 h b W V z I i B W Y W x 1 Z T 0 i c 1 s m c X V v d D t T d G F r Z W h v b G R l c i Z x d W 9 0 O y w m c X V v d D t D b 2 1 t Z X J j a W F s J n F 1 b 3 Q 7 L C Z x d W 9 0 O 1 J l Z 2 l v b m F s J n F 1 b 3 Q 7 X S I g L z 4 8 R W 5 0 c n k g V H l w Z T 0 i R m l s b F N 0 Y X R 1 c y I g V m F s d W U 9 I n N D b 2 1 w b G V 0 Z S I g L z 4 8 R W 5 0 c n k g V H l w Z T 0 i U X V l c n l J R C I g V m F s d W U 9 I n M z M W U 2 N j c 3 M S 1 l Y T A 0 L T Q z Z G I t Y W Y 1 M y 0 5 N T U 1 M z c 2 M m I y M z U i I C 8 + P E V u d H J 5 I F R 5 c G U 9 I k Z p b G x D b 3 V u d C I g V m F s d W U 9 I m w y M S I g L z 4 8 R W 5 0 c n k g V H l w Z T 0 i U m V s Y X R p b 2 5 z a G l w S W 5 m b 0 N v b n R h a W 5 l c i I g V m F s d W U 9 I n N 7 J n F 1 b 3 Q 7 Y 2 9 s d W 1 u Q 2 9 1 b n Q m c X V v d D s 6 M y w m c X V v d D t r Z X l D b 2 x 1 b W 5 O Y W 1 l c y Z x d W 9 0 O z p b X S w m c X V v d D t x d W V y e V J l b G F 0 a W 9 u c 2 h p c H M m c X V v d D s 6 W 1 0 s J n F 1 b 3 Q 7 Y 2 9 s d W 1 u S W R l b n R p d G l l c y Z x d W 9 0 O z p b J n F 1 b 3 Q 7 U 2 V j d G l v b j E v Q 2 9 t X 1 N o Y X J l c 1 9 F b G V j d C 9 D a G F u Z 2 V k I F R 5 c G U u e 1 N 0 Y W t l a G 9 s Z G V y L D B 9 J n F 1 b 3 Q 7 L C Z x d W 9 0 O 1 N l Y 3 R p b 2 4 x L 0 N v b V 9 T a G F y Z X N f R W x l Y 3 Q v Q 2 h h b m d l Z C B U e X B l M S 5 7 Q 2 9 t b W V y Y 2 l h b C w x f S Z x d W 9 0 O y w m c X V v d D t T Z W N 0 a W 9 u M S 9 D b 2 1 f U 2 h h c m V z X 0 V s Z W N 0 L 1 B y b 2 1 v d G V k I E h l Y W R l c n M u e 1 J l Z 2 l v b m F s L D V 9 J n F 1 b 3 Q 7 X S w m c X V v d D t D b 2 x 1 b W 5 D b 3 V u d C Z x d W 9 0 O z o z L C Z x d W 9 0 O 0 t l e U N v b H V t b k 5 h b W V z J n F 1 b 3 Q 7 O l t d L C Z x d W 9 0 O 0 N v b H V t b k l k Z W 5 0 a X R p Z X M m c X V v d D s 6 W y Z x d W 9 0 O 1 N l Y 3 R p b 2 4 x L 0 N v b V 9 T a G F y Z X N f R W x l Y 3 Q v Q 2 h h b m d l Z C B U e X B l L n t T d G F r Z W h v b G R l c i w w f S Z x d W 9 0 O y w m c X V v d D t T Z W N 0 a W 9 u M S 9 D b 2 1 f U 2 h h c m V z X 0 V s Z W N 0 L 0 N o Y W 5 n Z W Q g V H l w Z T E u e 0 N v b W 1 l c m N p Y W w s M X 0 m c X V v d D s s J n F 1 b 3 Q 7 U 2 V j d G l v b j E v Q 2 9 t X 1 N o Y X J l c 1 9 F b G V j d C 9 Q c m 9 t b 3 R l Z C B I Z W F k Z X J z L n t S Z W d p b 2 5 h b C w 1 f S Z x d W 9 0 O 1 0 s J n F 1 b 3 Q 7 U m V s Y X R p b 2 5 z a G l w S W 5 m b y Z x d W 9 0 O z p b X X 0 i I C 8 + P E V u d H J 5 I F R 5 c G U 9 I k F k Z G V k V G 9 E Y X R h T W 9 k Z W w i I F Z h b H V l P S J s M S I g L z 4 8 L 1 N 0 Y W J s Z U V u d H J p Z X M + P C 9 J d G V t P j x J d G V t P j x J d G V t T G 9 j Y X R p b 2 4 + P E l 0 Z W 1 U e X B l P k Z v c m 1 1 b G E 8 L 0 l 0 Z W 1 U e X B l P j x J d G V t U G F 0 a D 5 T Z W N 0 a W 9 u M S 9 D b 2 1 f U 2 h h c m V z X 0 V s Z W N 0 L 1 N v d X J j Z T w v S X R l b V B h d G g + P C 9 J d G V t T G 9 j Y X R p b 2 4 + P F N 0 Y W J s Z U V u d H J p Z X M g L z 4 8 L 0 l 0 Z W 0 + P E l 0 Z W 0 + P E l 0 Z W 1 M b 2 N h d G l v b j 4 8 S X R l b V R 5 c G U + R m 9 y b X V s Y T w v S X R l b V R 5 c G U + P E l 0 Z W 1 Q Y X R o P l N l Y 3 R p b 2 4 x L 0 N v b V 9 T a G F y Z X N f R W x l Y 3 Q v Q 2 9 t X 1 N o Y X J l c 1 9 F b G V j d F 9 T a G V l d D w v S X R l b V B h d G g + P C 9 J d G V t T G 9 j Y X R p b 2 4 + P F N 0 Y W J s Z U V u d H J p Z X M g L z 4 8 L 0 l 0 Z W 0 + P E l 0 Z W 0 + P E l 0 Z W 1 M b 2 N h d G l v b j 4 8 S X R l b V R 5 c G U + R m 9 y b X V s Y T w v S X R l b V R 5 c G U + P E l 0 Z W 1 Q Y X R o P l N l Y 3 R p b 2 4 x L 0 N v b V 9 T a G F y Z X N f R W x l Y 3 Q v U H J v b W 9 0 Z W Q l M j B I Z W F k Z X J z P C 9 J d G V t U G F 0 a D 4 8 L 0 l 0 Z W 1 M b 2 N h d G l v b j 4 8 U 3 R h Y m x l R W 5 0 c m l l c y A v P j w v S X R l b T 4 8 S X R l b T 4 8 S X R l b U x v Y 2 F 0 a W 9 u P j x J d G V t V H l w Z T 5 G b 3 J t d W x h P C 9 J d G V t V H l w Z T 4 8 S X R l b V B h d G g + U 2 V j d G l v b j E v Q 2 9 t X 1 N o Y X J l c 1 9 F b G V j d C 9 D a G F u Z 2 V k J T I w V H l w Z T w v S X R l b V B h d G g + P C 9 J d G V t T G 9 j Y X R p b 2 4 + P F N 0 Y W J s Z U V u d H J p Z X M g L z 4 8 L 0 l 0 Z W 0 + P E l 0 Z W 0 + P E l 0 Z W 1 M b 2 N h d G l v b j 4 8 S X R l b V R 5 c G U + R m 9 y b X V s Y T w v S X R l b V R 5 c G U + P E l 0 Z W 1 Q Y X R o P l N l Y 3 R p b 2 4 x L 1 J l c 1 9 T a G F y Z X N f R W x l Y 3 Q 1 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Z p b G x D b 2 x 1 b W 5 O Y W 1 l c y I g V m F s d W U 9 I n N b J n F 1 b 3 Q 7 U 3 R h a 2 V o b 2 x k Z X I m c X V v d D s s J n F 1 b 3 Q 7 U m V z a W R l b n R p Y W w m c X V v d D t d I i A v P j x F b n R y e S B U e X B l P S J G a W x s Q 2 9 s d W 1 u V H l w Z X M i I F Z h b H V l P S J z Q m d R P S I g L z 4 8 R W 5 0 c n k g V H l w Z T 0 i R m l s b E x h c 3 R V c G R h d G V k I i B W Y W x 1 Z T 0 i Z D I w M j M t M D Y t M T J U M j I 6 M D Q 6 N T M u M z A x O D g y O V o i I C 8 + P E V u d H J 5 I F R 5 c G U 9 I k Z p b G x F c n J v c k N v d W 5 0 I i B W Y W x 1 Z T 0 i b D A i I C 8 + P E V u d H J 5 I F R 5 c G U 9 I k Z p b G x F c n J v c k N v Z G U i I F Z h b H V l P S J z V W 5 r b m 9 3 b i I g L z 4 8 R W 5 0 c n k g V H l w Z T 0 i R m l s b E N v d W 5 0 I i B W Y W x 1 Z T 0 i b D I x I i A v P j x F b n R y e S B U e X B l P S J R d W V y e U l E I i B W Y W x 1 Z T 0 i c z V h M T Z l M T g 4 L W J j O D E t N G Y 2 N i 0 5 Z j Y 0 L T I 2 M G Z k Y z k z N W J k Y i I g L z 4 8 R W 5 0 c n k g V H l w Z T 0 i R m l s b F N 0 Y X R 1 c y I g V m F s d W U 9 I n N D b 2 1 w b G V 0 Z S I g L z 4 8 R W 5 0 c n k g V H l w Z T 0 i Q W R k Z W R U b 0 R h d G F N b 2 R l b C I g V m F s d W U 9 I m w x I i A v P j x F b n R y e S B U e X B l P S J S Z W x h d G l v b n N o a X B J b m Z v Q 2 9 u d G F p b m V y I i B W Y W x 1 Z T 0 i c 3 s m c X V v d D t j b 2 x 1 b W 5 D b 3 V u d C Z x d W 9 0 O z o y L C Z x d W 9 0 O 2 t l e U N v b H V t b k 5 h b W V z J n F 1 b 3 Q 7 O l t d L C Z x d W 9 0 O 3 F 1 Z X J 5 U m V s Y X R p b 2 5 z a G l w c y Z x d W 9 0 O z p b X S w m c X V v d D t j b 2 x 1 b W 5 J Z G V u d G l 0 a W V z J n F 1 b 3 Q 7 O l s m c X V v d D t T Z W N 0 a W 9 u M S 9 S Z X N f U 2 h h c m V z X 0 V s Z W N 0 N S 9 D a G F u Z 2 V k I F R 5 c G U u e 1 N 0 Y W t l a G 9 s Z G V y L D B 9 J n F 1 b 3 Q 7 L C Z x d W 9 0 O 1 N l Y 3 R p b 2 4 x L 1 J l c 1 9 T a G F y Z X N f R W x l Y 3 Q 1 L 0 N o Y W 5 n Z W Q g V H l w Z T E u e 1 J l c 2 l k Z W 5 0 a W F s L D F 9 J n F 1 b 3 Q 7 X S w m c X V v d D t D b 2 x 1 b W 5 D b 3 V u d C Z x d W 9 0 O z o y L C Z x d W 9 0 O 0 t l e U N v b H V t b k 5 h b W V z J n F 1 b 3 Q 7 O l t d L C Z x d W 9 0 O 0 N v b H V t b k l k Z W 5 0 a X R p Z X M m c X V v d D s 6 W y Z x d W 9 0 O 1 N l Y 3 R p b 2 4 x L 1 J l c 1 9 T a G F y Z X N f R W x l Y 3 Q 1 L 0 N o Y W 5 n Z W Q g V H l w Z S 5 7 U 3 R h a 2 V o b 2 x k Z X I s M H 0 m c X V v d D s s J n F 1 b 3 Q 7 U 2 V j d G l v b j E v U m V z X 1 N o Y X J l c 1 9 F b G V j d D U v Q 2 h h b m d l Z C B U e X B l M S 5 7 U m V z a W R l b n R p Y W w s M X 0 m c X V v d D t d L C Z x d W 9 0 O 1 J l b G F 0 a W 9 u c 2 h p c E l u Z m 8 m c X V v d D s 6 W 1 1 9 I i A v P j w v U 3 R h Y m x l R W 5 0 c m l l c z 4 8 L 0 l 0 Z W 0 + P E l 0 Z W 0 + P E l 0 Z W 1 M b 2 N h d G l v b j 4 8 S X R l b V R 5 c G U + R m 9 y b X V s Y T w v S X R l b V R 5 c G U + P E l 0 Z W 1 Q Y X R o P l N l Y 3 R p b 2 4 x L 1 J l c 1 9 T a G F y Z X N f R W x l Y 3 Q 1 L 1 N v d X J j Z T w v S X R l b V B h d G g + P C 9 J d G V t T G 9 j Y X R p b 2 4 + P F N 0 Y W J s Z U V u d H J p Z X M g L z 4 8 L 0 l 0 Z W 0 + P E l 0 Z W 0 + P E l 0 Z W 1 M b 2 N h d G l v b j 4 8 S X R l b V R 5 c G U + R m 9 y b X V s Y T w v S X R l b V R 5 c G U + P E l 0 Z W 1 Q Y X R o P l N l Y 3 R p b 2 4 x L 1 J l c 1 9 T a G F y Z X N f R W x l Y 3 Q 1 L 1 J l c 1 9 T a G F y Z X N f R W x l Y 3 R f V G F i b G U 8 L 0 l 0 Z W 1 Q Y X R o P j w v S X R l b U x v Y 2 F 0 a W 9 u P j x T d G F i b G V F b n R y a W V z I C 8 + P C 9 J d G V t P j x J d G V t P j x J d G V t T G 9 j Y X R p b 2 4 + P E l 0 Z W 1 U e X B l P k Z v c m 1 1 b G E 8 L 0 l 0 Z W 1 U e X B l P j x J d G V t U G F 0 a D 5 T Z W N 0 a W 9 u M S 9 S Z X N f U 2 h h c m V z X 0 V s Z W N 0 N S 9 D a G F u Z 2 V k J T I w V H l w Z T w v S X R l b V B h d G g + P C 9 J d G V t T G 9 j Y X R p b 2 4 + P F N 0 Y W J s Z U V u d H J p Z X M g L z 4 8 L 0 l 0 Z W 0 + P E l 0 Z W 0 + P E l 0 Z W 1 M b 2 N h d G l v b j 4 8 S X R l b V R 5 c G U + R m 9 y b X V s Y T w v S X R l b V R 5 c G U + P E l 0 Z W 1 Q Y X R o P l N l Y 3 R p b 2 4 x L 0 N v b V 9 T a G F y Z X N f R W x l Y 3 Q v U m V u Y W 1 l Z C U y M E N v b H V t b n M 8 L 0 l 0 Z W 1 Q Y X R o P j w v S X R l b U x v Y 2 F 0 a W 9 u P j x T d G F i b G V F b n R y a W V z I C 8 + P C 9 J d G V t P j x J d G V t P j x J d G V t T G 9 j Y X R p b 2 4 + P E l 0 Z W 1 U e X B l P k Z v c m 1 1 b G E 8 L 0 l 0 Z W 1 U e X B l P j x J d G V t U G F 0 a D 5 T Z W N 0 a W 9 u M S 9 D b 2 1 f U 2 h h c m V z X 0 V s Z W N 0 L 1 J l b W 9 2 Z W Q l M j B D b 2 x 1 b W 5 z P C 9 J d G V t U G F 0 a D 4 8 L 0 l 0 Z W 1 M b 2 N h d G l v b j 4 8 U 3 R h Y m x l R W 5 0 c m l l c y A v P j w v S X R l b T 4 8 S X R l b T 4 8 S X R l b U x v Y 2 F 0 a W 9 u P j x J d G V t V H l w Z T 5 G b 3 J t d W x h P C 9 J d G V t V H l w Z T 4 8 S X R l b V B h d G g + U 2 V j d G l v b j E v Q 2 9 t X 1 N o Y X J l c 1 9 F b G V j d C 9 D a G F u Z 2 V k J T I w V H l w Z T E 8 L 0 l 0 Z W 1 Q Y X R o P j w v S X R l b U x v Y 2 F 0 a W 9 u P j x T d G F i b G V F b n R y a W V z I C 8 + P C 9 J d G V t P j x J d G V t P j x J d G V t T G 9 j Y X R p b 2 4 + P E l 0 Z W 1 U e X B l P k Z v c m 1 1 b G E 8 L 0 l 0 Z W 1 U e X B l P j x J d G V t U G F 0 a D 5 T Z W N 0 a W 9 u M S 9 S Z X N f U 2 h h c m V z X 0 V s Z W N 0 N S 9 S Z W 5 h b W V k J T I w Q 2 9 s d W 1 u c z w v S X R l b V B h d G g + P C 9 J d G V t T G 9 j Y X R p b 2 4 + P F N 0 Y W J s Z U V u d H J p Z X M g L z 4 8 L 0 l 0 Z W 0 + P E l 0 Z W 0 + P E l 0 Z W 1 M b 2 N h d G l v b j 4 8 S X R l b V R 5 c G U + R m 9 y b X V s Y T w v S X R l b V R 5 c G U + P E l 0 Z W 1 Q Y X R o P l N l Y 3 R p b 2 4 x L 1 J l c 1 9 T a G F y Z X N f R W x l Y 3 Q 1 L 1 J l b W 9 2 Z W Q l M j B D b 2 x 1 b W 5 z P C 9 J d G V t U G F 0 a D 4 8 L 0 l 0 Z W 1 M b 2 N h d G l v b j 4 8 U 3 R h Y m x l R W 5 0 c m l l c y A v P j w v S X R l b T 4 8 S X R l b T 4 8 S X R l b U x v Y 2 F 0 a W 9 u P j x J d G V t V H l w Z T 5 G b 3 J t d W x h P C 9 J d G V t V H l w Z T 4 8 S X R l b V B h d G g + U 2 V j d G l v b j E v U m V z X 1 N o Y X J l c 1 9 F b G V j d D U v Q 2 h h b m d l Z C U y M F R 5 c G U x P C 9 J d G V t U G F 0 a D 4 8 L 0 l 0 Z W 1 M b 2 N h d G l v b j 4 8 U 3 R h Y m x l R W 5 0 c m l l c y A v P j w v S X R l b T 4 8 S X R l b T 4 8 S X R l b U x v Y 2 F 0 a W 9 u P j x J d G V t V H l w Z T 5 G b 3 J t d W x h P C 9 J d G V t V H l w Z T 4 8 S X R l b V B h d G g + U 2 V j d G l v b j E v U 3 R h d G U l M j B T a G F y Z X M l M j B m b 3 I l M j B D b 2 R l 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Q 2 9 1 b n Q i I F Z h b H V l P S J s M y I g L z 4 8 R W 5 0 c n k g V H l w Z T 0 i R m l s b E V y c m 9 y Q 2 9 k Z S I g V m F s d W U 9 I n N V b m t u b 3 d u I i A v P j x F b n R y e S B U e X B l P S J G a W x s R X J y b 3 J D b 3 V u d C I g V m F s d W U 9 I m w w I i A v P j x F b n R y e S B U e X B l P S J G a W x s T G F z d F V w Z G F 0 Z W Q i I F Z h b H V l P S J k M j A y M y 0 w N i 0 x M l Q y M j o w N D o 1 M y 4 z M T I 3 N j I y W i I g L z 4 8 R W 5 0 c n k g V H l w Z T 0 i R m l s b E N v b H V t b l R 5 c G V z I i B W Y W x 1 Z T 0 i c 0 J n U U U i I C 8 + P E V u d H J 5 I F R 5 c G U 9 I k Z p b G x D b 2 x 1 b W 5 O Y W 1 l c y I g V m F s d W U 9 I n N b J n F 1 b 3 Q 7 U 3 R h a 2 V o b 2 x k Z X I m c X V v d D s s J n F 1 b 3 Q 7 U m V z a W R l b n R p Y W w m c X V v d D s s J n F 1 b 3 Q 7 Q 2 9 t b W V y Y 2 l h b C Z x d W 9 0 O 1 0 i I C 8 + P E V u d H J 5 I F R 5 c G U 9 I k Z p b G x T d G F 0 d X M i I F Z h b H V l P S J z Q 2 9 t c G x l d G U i I C 8 + P E V u d H J 5 I F R 5 c G U 9 I l F 1 Z X J 5 S U Q i I F Z h b H V l P S J z Y z J m Z j l l Z D c t Z j J m M S 0 0 M j A 2 L W F k Z D A t N z Q 5 M T A z Z j k 5 Y T Z k I i A v P j x F b n R y e S B U e X B l P S J B Z G R l Z F R v R G F 0 Y U 1 v Z G V s I i B W Y W x 1 Z T 0 i b D E i I C 8 + P E V u d H J 5 I F R 5 c G U 9 I l J l b G F 0 a W 9 u c 2 h p c E l u Z m 9 D b 2 5 0 Y W l u Z X I i I F Z h b H V l P S J z e y Z x d W 9 0 O 2 N v b H V t b k N v d W 5 0 J n F 1 b 3 Q 7 O j M s J n F 1 b 3 Q 7 a 2 V 5 Q 2 9 s d W 1 u T m F t Z X M m c X V v d D s 6 W 1 0 s J n F 1 b 3 Q 7 c X V l c n l S Z W x h d G l v b n N o a X B z J n F 1 b 3 Q 7 O l t d L C Z x d W 9 0 O 2 N v b H V t b k l k Z W 5 0 a X R p Z X M m c X V v d D s 6 W y Z x d W 9 0 O 1 N l Y 3 R p b 2 4 x L 1 J l c 1 9 T a G F y Z X N f R W x l Y 3 Q 1 L 0 N o Y W 5 n Z W Q g V H l w Z S 5 7 U 3 R h a 2 V o b 2 x k Z X I s M H 0 m c X V v d D s s J n F 1 b 3 Q 7 U 2 V j d G l v b j E v U m V z X 1 N o Y X J l c 1 9 F b G V j d D U v Q 2 h h b m d l Z C B U e X B l M S 5 7 U m V z a W R l b n R p Y W w s M X 0 m c X V v d D s s J n F 1 b 3 Q 7 U 2 V j d G l v b j E v Q 2 9 t X 1 N o Y X J l c 1 9 F b G V j d C 9 D a G F u Z 2 V k I F R 5 c G U x L n t D b 2 1 t Z X J j a W F s L D F 9 J n F 1 b 3 Q 7 X S w m c X V v d D t D b 2 x 1 b W 5 D b 3 V u d C Z x d W 9 0 O z o z L C Z x d W 9 0 O 0 t l e U N v b H V t b k 5 h b W V z J n F 1 b 3 Q 7 O l t d L C Z x d W 9 0 O 0 N v b H V t b k l k Z W 5 0 a X R p Z X M m c X V v d D s 6 W y Z x d W 9 0 O 1 N l Y 3 R p b 2 4 x L 1 J l c 1 9 T a G F y Z X N f R W x l Y 3 Q 1 L 0 N o Y W 5 n Z W Q g V H l w Z S 5 7 U 3 R h a 2 V o b 2 x k Z X I s M H 0 m c X V v d D s s J n F 1 b 3 Q 7 U 2 V j d G l v b j E v U m V z X 1 N o Y X J l c 1 9 F b G V j d D U v Q 2 h h b m d l Z C B U e X B l M S 5 7 U m V z a W R l b n R p Y W w s M X 0 m c X V v d D s s J n F 1 b 3 Q 7 U 2 V j d G l v b j E v Q 2 9 t X 1 N o Y X J l c 1 9 F b G V j d C 9 D a G F u Z 2 V k I F R 5 c G U x L n t D b 2 1 t Z X J j a W F s L D F 9 J n F 1 b 3 Q 7 X S w m c X V v d D t S Z W x h d G l v b n N o a X B J b m Z v J n F 1 b 3 Q 7 O l t d f S I g L z 4 8 L 1 N 0 Y W J s Z U V u d H J p Z X M + P C 9 J d G V t P j x J d G V t P j x J d G V t T G 9 j Y X R p b 2 4 + P E l 0 Z W 1 U e X B l P k Z v c m 1 1 b G E 8 L 0 l 0 Z W 1 U e X B l P j x J d G V t U G F 0 a D 5 T Z W N 0 a W 9 u M S 9 T d G F 0 Z S U y M F N o Y X J l c y U y M G Z v c i U y M E N v Z G V z L 1 N v d X J j Z T w v S X R l b V B h d G g + P C 9 J d G V t T G 9 j Y X R p b 2 4 + P F N 0 Y W J s Z U V u d H J p Z X M g L z 4 8 L 0 l 0 Z W 0 + P E l 0 Z W 0 + P E l 0 Z W 1 M b 2 N h d G l v b j 4 8 S X R l b V R 5 c G U + R m 9 y b X V s Y T w v S X R l b V R 5 c G U + P E l 0 Z W 1 Q Y X R o P l N l Y 3 R p b 2 4 x L 1 N 0 Y X R l J T I w U 2 h h c m V z J T I w Z m 9 y J T I w Q 2 9 k Z X M v R X h w Y W 5 k Z W Q l M j B D b 2 1 f U 2 h h c m V z X 0 V s Z W N 0 P C 9 J d G V t U G F 0 a D 4 8 L 0 l 0 Z W 1 M b 2 N h d G l v b j 4 8 U 3 R h Y m x l R W 5 0 c m l l c y A v P j w v S X R l b T 4 8 S X R l b T 4 8 S X R l b U x v Y 2 F 0 a W 9 u P j x J d G V t V H l w Z T 5 G b 3 J t d W x h P C 9 J d G V t V H l w Z T 4 8 S X R l b V B h d G g + U 2 V j d G l v b j E v U 3 R h d G U l M j B T a G F y Z X M l M j B m b 3 I l M j B D b 2 R l c y 9 G a W x 0 Z X J l Z C U y M F J v d 3 M 8 L 0 l 0 Z W 1 Q Y X R o P j w v S X R l b U x v Y 2 F 0 a W 9 u P j x T d G F i b G V F b n R y a W V z I C 8 + P C 9 J d G V t P j x J d G V t P j x J d G V t T G 9 j Y X R p b 2 4 + P E l 0 Z W 1 U e X B l P k Z v c m 1 1 b G E 8 L 0 l 0 Z W 1 U e X B l P j x J d G V t U G F 0 a D 5 T Z W N 0 a W 9 u M S 9 T d G F 0 Z S U y M F N o Y X J l c y U y M G Z v c i U y M E N v Z G V z L 1 J l b m F t Z W Q l M j B D b 2 x 1 b W 5 z P C 9 J d G V t U G F 0 a D 4 8 L 0 l 0 Z W 1 M b 2 N h d G l v b j 4 8 U 3 R h Y m x l R W 5 0 c m l l c y A v P j w v S X R l b T 4 8 S X R l b T 4 8 S X R l b U x v Y 2 F 0 a W 9 u P j x J d G V t V H l w Z T 5 G b 3 J t d W x h P C 9 J d G V t V H l w Z T 4 8 S X R l b V B h d G g + U 2 V j d G l v b j E v d n d G d W 5 k Z X J T a G F y Z S 9 G a W x 0 Z X J l Z C U y M F J v d 3 M 8 L 0 l 0 Z W 1 Q Y X R o P j w v S X R l b U x v Y 2 F 0 a W 9 u P j x T d G F i b G V F b n R y a W V z I C 8 + P C 9 J d G V t P j x J d G V t P j x J d G V t T G 9 j Y X R p b 2 4 + P E l 0 Z W 1 U e X B l P k Z v c m 1 1 b G E 8 L 0 l 0 Z W 1 U e X B l P j x J d G V t U G F 0 a D 5 T Z W N 0 a W 9 u M S 9 V b m l 0 c 0 Z 1 b m R l c l N o Y X J l Q W x s b 2 N h d G l v b i 9 G a W x 0 Z X J l Z C U y M F J v d 3 M y P C 9 J d G V t U G F 0 a D 4 8 L 0 l 0 Z W 1 M b 2 N h d G l v b j 4 8 U 3 R h Y m x l R W 5 0 c m l l c y A v P j w v S X R l b T 4 8 S X R l b T 4 8 S X R l b U x v Y 2 F 0 a W 9 u P j x J d G V t V H l w Z T 5 G b 3 J t d W x h P C 9 J d G V t V H l w Z T 4 8 S X R l b V B h d G g + U 2 V j d G l v b j E v V W 5 p d H N G d W 5 k Z X J T a G F y Z U F s b G 9 j Y X R p b 2 4 v U m V t b 3 Z l J T I w Z X J y b 3 I 8 L 0 l 0 Z W 1 Q Y X R o P j w v S X R l b U x v Y 2 F 0 a W 9 u P j x T d G F i b G V F b n R y a W V z I C 8 + P C 9 J d G V t P j x J d G V t P j x J d G V t T G 9 j Y X R p b 2 4 + P E l 0 Z W 1 U e X B l P k Z v c m 1 1 b G E 8 L 0 l 0 Z W 1 U e X B l P j x J d G V t U G F 0 a D 5 T Z W N 0 a W 9 u M S 9 V b m l 0 c 0 Z 1 b m R l c l N o Y X J l Q W x s b 2 N h d G l v b i 9 S Z W 1 v d m V k J T I w Q 2 9 s d W 1 u c z E 8 L 0 l 0 Z W 1 Q Y X R o P j w v S X R l b U x v Y 2 F 0 a W 9 u P j x T d G F i b G V F b n R y a W V z I C 8 + P C 9 J d G V t P j w v S X R l b X M + P C 9 M b 2 N h b F B h Y 2 t h Z 2 V N Z X R h Z G F 0 Y U Z p b G U + F g A A A F B L B Q Y A A A A A A A A A A A A A A A A A A A A A A A D a A A A A A Q A A A N C M n d 8 B F d E R j H o A w E / C l + s B A A A A b Z b h a f f w H 0 e N E 1 L V N Y v / n Q A A A A A C A A A A A A A D Z g A A w A A A A B A A A A D c Y u z G N A f i f g G P k r L v e q Q A A A A A A A S A A A C g A A A A E A A A A D O m d v 3 U U s u 4 4 E j / A r 7 N 9 1 V Q A A A A n I v j v B A G b e t v T b R Q x w 8 v g d 3 3 b t q q M p Y j 7 Q j 2 a f i V t 1 4 H 7 y N z O W v G 1 q D P L 5 c B r 2 n 7 J 8 b B 6 E R c G V 5 0 h Z b n G m E y q z x d 4 p s y D T x c G F g A s M A l o d o U A A A A F u J R X h 6 D 8 U j D V Y 2 W H E l 2 e A s P E T E = < / D a t a M a s h u p > 
</file>

<file path=customXml/item30.xml>��< ? x m l   v e r s i o n = " 1 . 0 "   e n c o d i n g = " U T F - 1 6 " ? > < G e m i n i   x m l n s = " h t t p : / / g e m i n i / p i v o t c u s t o m i z a t i o n / T a b l e X M L _ v w F u n d e r S h a r e _ e c 1 7 a c 7 2 - 6 0 8 6 - 4 6 8 0 - a 3 9 e - 3 d d 2 d 6 d b 4 f c 0 " > < C u s t o m C o n t e n t > < ! [ C D A T A [ < T a b l e W i d g e t G r i d S e r i a l i z a t i o n   x m l n s : x s d = " h t t p : / / w w w . w 3 . o r g / 2 0 0 1 / X M L S c h e m a "   x m l n s : x s i = " h t t p : / / w w w . w 3 . o r g / 2 0 0 1 / X M L S c h e m a - i n s t a n c e " > < C o l u m n S u g g e s t e d T y p e   / > < C o l u m n F o r m a t   / > < C o l u m n A c c u r a c y   / > < C o l u m n C u r r e n c y S y m b o l   / > < C o l u m n P o s i t i v e P a t t e r n   / > < C o l u m n N e g a t i v e P a t t e r n   / > < C o l u m n W i d t h s > < i t e m > < k e y > < s t r i n g > N E E A   S t a k e h o l d e r < / s t r i n g > < / k e y > < v a l u e > < i n t > 1 7 9 < / i n t > < / v a l u e > < / i t e m > < i t e m > < k e y > < s t r i n g > F u n d e r   T y p e < / s t r i n g > < / k e y > < v a l u e > < i n t > 1 3 8 < / i n t > < / v a l u e > < / i t e m > < i t e m > < k e y > < s t r i n g > S h a r e   T y p e < / s t r i n g > < / k e y > < v a l u e > < i n t > 1 2 7 < / i n t > < / v a l u e > < / i t e m > < i t e m > < k e y > < s t r i n g > Y e a r < / s t r i n g > < / k e y > < v a l u e > < i n t > 7 6 < / i n t > < / v a l u e > < / i t e m > < i t e m > < k e y > < s t r i n g > F u n d e r   S h a r e < / s t r i n g > < / k e y > < v a l u e > < i n t > 1 4 6 < / i n t > < / v a l u e > < / i t e m > < i t e m > < k e y > < s t r i n g > A l l o c a t i o n   S t a t e < / s t r i n g > < / k e y > < v a l u e > < i n t > 1 6 3 < / i n t > < / v a l u e > < / i t e m > < i t e m > < k e y > < s t r i n g > S t a t e   A l l o c a t i o n < / s t r i n g > < / k e y > < v a l u e > < i n t > 1 6 3 < / i n t > < / v a l u e > < / i t e m > < i t e m > < k e y > < s t r i n g > S t a t e   F u n d e r   S h a r e < / s t r i n g > < / k e y > < v a l u e > < i n t > 1 8 9 < / i n t > < / v a l u e > < / i t e m > < / C o l u m n W i d t h s > < C o l u m n D i s p l a y I n d e x > < i t e m > < k e y > < s t r i n g > N E E A   S t a k e h o l d e r < / s t r i n g > < / k e y > < v a l u e > < i n t > 0 < / i n t > < / v a l u e > < / i t e m > < i t e m > < k e y > < s t r i n g > F u n d e r   T y p e < / s t r i n g > < / k e y > < v a l u e > < i n t > 1 < / i n t > < / v a l u e > < / i t e m > < i t e m > < k e y > < s t r i n g > S h a r e   T y p e < / s t r i n g > < / k e y > < v a l u e > < i n t > 2 < / i n t > < / v a l u e > < / i t e m > < i t e m > < k e y > < s t r i n g > Y e a r < / s t r i n g > < / k e y > < v a l u e > < i n t > 3 < / i n t > < / v a l u e > < / i t e m > < i t e m > < k e y > < s t r i n g > F u n d e r   S h a r e < / s t r i n g > < / k e y > < v a l u e > < i n t > 4 < / i n t > < / v a l u e > < / i t e m > < i t e m > < k e y > < s t r i n g > A l l o c a t i o n   S t a t e < / s t r i n g > < / k e y > < v a l u e > < i n t > 5 < / i n t > < / v a l u e > < / i t e m > < i t e m > < k e y > < s t r i n g > S t a t e   A l l o c a t i o n < / s t r i n g > < / k e y > < v a l u e > < i n t > 6 < / i n t > < / v a l u e > < / i t e m > < i t e m > < k e y > < s t r i n g > S t a t e   F u n d e r   S h a r e < / s t r i n g > < / k e y > < v a l u e > < i n t > 7 < / 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C l i e n t W i n d o w X M L " > < C u s t o m C o n t e n t > < ! [ C D A T A [ v w M e a s u r e s _ 9 d c d b b c b - 8 3 b b - 4 f e 0 - b 7 9 f - 8 6 a 8 1 a d 1 f 7 9 6 ] ] > < / C u s t o m C o n t e n t > < / G e m i n i > 
</file>

<file path=customXml/item5.xml>��< ? x m l   v e r s i o n = " 1 . 0 "   e n c o d i n g = " U T F - 1 6 " ? > < G e m i n i   x m l n s = " h t t p : / / g e m i n i / p i v o t c u s t o m i z a t i o n / T a b l e X M L _ v w M e a s u r e s _ 9 d c d b b c b - 8 3 b b - 4 f e 0 - b 7 9 f - 8 6 a 8 1 a d 1 f 7 9 6 " > < 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 1 1 1 < / i n t > < / v a l u e > < / i t e m > < i t e m > < k e y > < s t r i n g > M e a s u r e   L i f e < / s t r i n g > < / k e y > < v a l u e > < i n t > 1 4 2 < / i n t > < / v a l u e > < / i t e m > < i t e m > < k e y > < s t r i n g > M e a s u r e   I n d e x < / s t r i n g > < / k e y > < v a l u e > < i n t > 1 5 8 < / i n t > < / v a l u e > < / i t e m > < i t e m > < k e y > < s t r i n g > M e a s u r e   D e s c r i p t i o n < / s t r i n g > < / k e y > < v a l u e > < i n t > 2 0 4 < / i n t > < / v a l u e > < / i t e m > < i t e m > < k e y > < s t r i n g > s e c t o r < / s t r i n g > < / k e y > < v a l u e > < i n t > 9 1 < / i n t > < / v a l u e > < / i t e m > < i t e m > < k e y > < s t r i n g > I n i t i a t i v e < / s t r i n g > < / k e y > < v a l u e > < i n t > 1 1 2 < / i n t > < / v a l u e > < / i t e m > < i t e m > < k e y > < s t r i n g > I n i t i a t i v e   I n d e x < / s t r i n g > < / k e y > < v a l u e > < i n t > 1 5 9 < / i n t > < / v a l u e > < / i t e m > < i t e m > < k e y > < s t r i n g > I n i t i a t i v e   D e s c r i p t i o n < / s t r i n g > < / k e y > < v a l u e > < i n t > 2 0 5 < / i n t > < / v a l u e > < / i t e m > < i t e m > < k e y > < s t r i n g > P r o d u c t < / s t r i n g > < / k e y > < v a l u e > < i n t > 1 0 4 < / i n t > < / v a l u e > < / i t e m > < i t e m > < k e y > < s t r i n g > P r o d u c t   D e s c r i p t i o n < / s t r i n g > < / k e y > < v a l u e > < i n t > 1 9 7 < / i n t > < / v a l u e > < / i t e m > < i t e m > < k e y > < s t r i n g > T i e r < / s t r i n g > < / k e y > < v a l u e > < i n t > 7 2 < / i n t > < / v a l u e > < / i t e m > < i t e m > < k e y > < s t r i n g > T i e r   D e s c r i p t i o n < / s t r i n g > < / k e y > < v a l u e > < i n t > 1 6 5 < / i n t > < / v a l u e > < / i t e m > < i t e m > < k e y > < s t r i n g > A b o v e   2 0 2 1   P P < / s t r i n g > < / k e y > < v a l u e > < i n t > 1 6 0 < / i n t > < / v a l u e > < / i t e m > < i t e m > < k e y > < s t r i n g > N E E A   I n f l u e n c e d < / s t r i n g > < / k e y > < v a l u e > < i n t > 1 7 0 < / i n t > < / v a l u e > < / i t e m > < i t e m > < k e y > < s t r i n g > P r o d u c t   C a t e g o r y < / s t r i n g > < / k e y > < v a l u e > < i n t > 1 7 7 < / i n t > < / v a l u e > < / i t e m > < i t e m > < k e y > < s t r i n g > P r o d u c t   G r o u p < / s t r i n g > < / k e y > < v a l u e > < i n t > 1 5 7 < / i n t > < / v a l u e > < / i t e m > < i t e m > < k e y > < s t r i n g > R e s o u r c e   T y p e < / s t r i n g > < / k e y > < v a l u e > < i n t > 1 5 4 < / i n t > < / v a l u e > < / i t e m > < i t e m > < k e y > < s t r i n g > F u e l   T y p e < / s t r i n g > < / k e y > < v a l u e > < i n t > 1 1 5 < / i n t > < / v a l u e > < / i t e m > < i t e m > < k e y > < s t r i n g > B r a c k e t < / s t r i n g > < / k e y > < v a l u e > < i n t > 1 0 0 < / i n t > < / v a l u e > < / i t e m > < / C o l u m n W i d t h s > < C o l u m n D i s p l a y I n d e x > < i t e m > < k e y > < s t r i n g > M e a s u r e < / s t r i n g > < / k e y > < v a l u e > < i n t > 0 < / i n t > < / v a l u e > < / i t e m > < i t e m > < k e y > < s t r i n g > M e a s u r e   L i f e < / s t r i n g > < / k e y > < v a l u e > < i n t > 1 < / i n t > < / v a l u e > < / i t e m > < i t e m > < k e y > < s t r i n g > M e a s u r e   I n d e x < / s t r i n g > < / k e y > < v a l u e > < i n t > 2 < / i n t > < / v a l u e > < / i t e m > < i t e m > < k e y > < s t r i n g > M e a s u r e   D e s c r i p t i o n < / s t r i n g > < / k e y > < v a l u e > < i n t > 3 < / i n t > < / v a l u e > < / i t e m > < i t e m > < k e y > < s t r i n g > s e c t o r < / s t r i n g > < / k e y > < v a l u e > < i n t > 4 < / i n t > < / v a l u e > < / i t e m > < i t e m > < k e y > < s t r i n g > I n i t i a t i v e < / s t r i n g > < / k e y > < v a l u e > < i n t > 5 < / i n t > < / v a l u e > < / i t e m > < i t e m > < k e y > < s t r i n g > I n i t i a t i v e   I n d e x < / s t r i n g > < / k e y > < v a l u e > < i n t > 6 < / i n t > < / v a l u e > < / i t e m > < i t e m > < k e y > < s t r i n g > I n i t i a t i v e   D e s c r i p t i o n < / s t r i n g > < / k e y > < v a l u e > < i n t > 7 < / i n t > < / v a l u e > < / i t e m > < i t e m > < k e y > < s t r i n g > P r o d u c t < / s t r i n g > < / k e y > < v a l u e > < i n t > 8 < / i n t > < / v a l u e > < / i t e m > < i t e m > < k e y > < s t r i n g > P r o d u c t   D e s c r i p t i o n < / s t r i n g > < / k e y > < v a l u e > < i n t > 9 < / i n t > < / v a l u e > < / i t e m > < i t e m > < k e y > < s t r i n g > T i e r < / s t r i n g > < / k e y > < v a l u e > < i n t > 1 0 < / i n t > < / v a l u e > < / i t e m > < i t e m > < k e y > < s t r i n g > T i e r   D e s c r i p t i o n < / s t r i n g > < / k e y > < v a l u e > < i n t > 1 1 < / i n t > < / v a l u e > < / i t e m > < i t e m > < k e y > < s t r i n g > A b o v e   2 0 2 1   P P < / s t r i n g > < / k e y > < v a l u e > < i n t > 1 2 < / i n t > < / v a l u e > < / i t e m > < i t e m > < k e y > < s t r i n g > N E E A   I n f l u e n c e d < / s t r i n g > < / k e y > < v a l u e > < i n t > 1 3 < / i n t > < / v a l u e > < / i t e m > < i t e m > < k e y > < s t r i n g > P r o d u c t   C a t e g o r y < / s t r i n g > < / k e y > < v a l u e > < i n t > 1 4 < / i n t > < / v a l u e > < / i t e m > < i t e m > < k e y > < s t r i n g > P r o d u c t   G r o u p < / s t r i n g > < / k e y > < v a l u e > < i n t > 1 5 < / i n t > < / v a l u e > < / i t e m > < i t e m > < k e y > < s t r i n g > R e s o u r c e   T y p e < / s t r i n g > < / k e y > < v a l u e > < i n t > 1 6 < / i n t > < / v a l u e > < / i t e m > < i t e m > < k e y > < s t r i n g > F u e l   T y p e < / s t r i n g > < / k e y > < v a l u e > < i n t > 1 7 < / i n t > < / v a l u e > < / i t e m > < i t e m > < k e y > < s t r i n g > B r a c k e t < / s t r i n g > < / k e y > < v a l u e > < i n t > 1 8 < / i n t > < / v a l u e > < / i t e m > < / C o l u m n D i s p l a y I n d e x > < C o l u m n F r o z e n   / > < C o l u m n C h e c k e d   / > < C o l u m n F i l t e r > < i t e m > < k e y > < s t r i n g > I n i t i a t i v e < / s t r i n g > < / k e y > < v a l u e > < F i l t e r E x p r e s s i o n   x s i : n i l = " t r u e "   / > < / v a l u e > < / i t e m > < / C o l u m n F i l t e r > < S e l e c t i o n F i l t e r > < i t e m > < k e y > < s t r i n g > I n i t i a t i v e < / s t r i n g > < / k e y > < v a l u e > < S e l e c t i o n F i l t e r   x s i : n i l = " t r u e "   / > < / v a l u e > < / i t e m > < / S e l e c t i o n F i l t e r > < F i l t e r P a r a m e t e r s > < i t e m > < k e y > < s t r i n g > I n i t i a t i v e < / s t r i n g > < / k e y > < v a l u e > < C o m m a n d P a r a m e t e r s   / > < / v a l u e > < / i t e m > < / F i l t e r P a r a m e t e r s > < I s S o r t D e s c e n d i n g > f a l s e < / I s S o r t D e s c e n d i n g > < / T a b l e W i d g e t G r i d S e r i a l i z a t i o n > ] ] > < / 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T a b l e X M L _ v w U n i t s _ d f d a 0 6 8 0 - a 8 c 8 - 4 0 f f - 9 8 f 0 - e 3 c 2 2 6 f 3 6 2 e 1 " > < C u s t o m C o n t e n t > < ! [ C D A T A [ < T a b l e W i d g e t G r i d S e r i a l i z a t i o n   x m l n s : x s d = " h t t p : / / w w w . w 3 . o r g / 2 0 0 1 / X M L S c h e m a "   x m l n s : x s i = " h t t p : / / w w w . w 3 . o r g / 2 0 0 1 / X M L S c h e m a - i n s t a n c e " > < C o l u m n S u g g e s t e d T y p e   / > < C o l u m n F o r m a t   / > < C o l u m n A c c u r a c y   / > < C o l u m n C u r r e n c y S y m b o l   / > < C o l u m n P o s i t i v e P a t t e r n   / > < C o l u m n N e g a t i v e P a t t e r n   / > < C o l u m n W i d t h s > < i t e m > < k e y > < s t r i n g > S n a p s h o t < / s t r i n g > < / k e y > < v a l u e > < i n t > 1 1 5 < / i n t > < / v a l u e > < / i t e m > < i t e m > < k e y > < s t r i n g > I n i t i a t i v e < / s t r i n g > < / k e y > < v a l u e > < i n t > 1 1 2 < / i n t > < / v a l u e > < / i t e m > < i t e m > < k e y > < s t r i n g > I n i t i a t i v e   I n d e x < / s t r i n g > < / k e y > < v a l u e > < i n t > 1 5 9 < / i n t > < / v a l u e > < / i t e m > < i t e m > < k e y > < s t r i n g > M e a s u r e < / s t r i n g > < / k e y > < v a l u e > < i n t > 1 1 1 < / i n t > < / v a l u e > < / i t e m > < i t e m > < k e y > < s t r i n g > M e a s u r e   I n d e x < / s t r i n g > < / k e y > < v a l u e > < i n t > 1 5 8 < / i n t > < / v a l u e > < / i t e m > < i t e m > < k e y > < s t r i n g > u n i t s < / s t r i n g > < / k e y > < v a l u e > < i n t > 8 1 < / i n t > < / v a l u e > < / i t e m > < i t e m > < k e y > < s t r i n g > S a v i n g s   C a t e g o r y < / s t r i n g > < / k e y > < v a l u e > < i n t > 1 7 4 < / i n t > < / v a l u e > < / i t e m > < i t e m > < k e y > < s t r i n g > y e a r < / s t r i n g > < / k e y > < v a l u e > < i n t > 7 7 < / i n t > < / v a l u e > < / i t e m > < i t e m > < k e y > < s t r i n g > P r o d u c t < / s t r i n g > < / k e y > < v a l u e > < i n t > 1 0 4 < / i n t > < / v a l u e > < / i t e m > < i t e m > < k e y > < s t r i n g > T i e r < / s t r i n g > < / k e y > < v a l u e > < i n t > 7 2 < / i n t > < / v a l u e > < / i t e m > < i t e m > < k e y > < s t r i n g > F u n d i n g   C y c l e < / s t r i n g > < / k e y > < v a l u e > < i n t > 1 4 9 < / i n t > < / v a l u e > < / i t e m > < i t e m > < k e y > < s t r i n g > u n i t _ o f _ m e a s u r e < / s t r i n g > < / k e y > < v a l u e > < i n t > 1 7 4 < / i n t > < / v a l u e > < / i t e m > < / C o l u m n W i d t h s > < C o l u m n D i s p l a y I n d e x > < i t e m > < k e y > < s t r i n g > S n a p s h o t < / s t r i n g > < / k e y > < v a l u e > < i n t > 0 < / i n t > < / v a l u e > < / i t e m > < i t e m > < k e y > < s t r i n g > I n i t i a t i v e < / s t r i n g > < / k e y > < v a l u e > < i n t > 1 < / i n t > < / v a l u e > < / i t e m > < i t e m > < k e y > < s t r i n g > I n i t i a t i v e   I n d e x < / s t r i n g > < / k e y > < v a l u e > < i n t > 2 < / i n t > < / v a l u e > < / i t e m > < i t e m > < k e y > < s t r i n g > M e a s u r e < / s t r i n g > < / k e y > < v a l u e > < i n t > 3 < / i n t > < / v a l u e > < / i t e m > < i t e m > < k e y > < s t r i n g > M e a s u r e   I n d e x < / s t r i n g > < / k e y > < v a l u e > < i n t > 4 < / i n t > < / v a l u e > < / i t e m > < i t e m > < k e y > < s t r i n g > u n i t s < / s t r i n g > < / k e y > < v a l u e > < i n t > 5 < / i n t > < / v a l u e > < / i t e m > < i t e m > < k e y > < s t r i n g > S a v i n g s   C a t e g o r y < / s t r i n g > < / k e y > < v a l u e > < i n t > 6 < / i n t > < / v a l u e > < / i t e m > < i t e m > < k e y > < s t r i n g > y e a r < / s t r i n g > < / k e y > < v a l u e > < i n t > 7 < / i n t > < / v a l u e > < / i t e m > < i t e m > < k e y > < s t r i n g > P r o d u c t < / s t r i n g > < / k e y > < v a l u e > < i n t > 8 < / i n t > < / v a l u e > < / i t e m > < i t e m > < k e y > < s t r i n g > T i e r < / s t r i n g > < / k e y > < v a l u e > < i n t > 9 < / i n t > < / v a l u e > < / i t e m > < i t e m > < k e y > < s t r i n g > F u n d i n g   C y c l e < / s t r i n g > < / k e y > < v a l u e > < i n t > 1 0 < / i n t > < / v a l u e > < / i t e m > < i t e m > < k e y > < s t r i n g > u n i t _ o f _ m e a s u r e < / s t r i n g > < / k e y > < v a l u e > < i n t > 1 1 < / 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P o w e r P i v o t V e r s i o n " > < C u s t o m C o n t e n t > < ! [ C D A T A [ 2 0 1 5 . 1 3 0 . 1 6 0 5 . 1 0 7 5 ] ] > < / 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 T a g s \ T a b l e s \ & l t ; T a b l e s \ M e r g e 1 & g t ; < / K e y > < / D i a g r a m O b j e c t K e y > < D i a g r a m O b j e c t K e y > < K e y > D y n a m i c   T a g s \ T a b l e s \ & l t ; T a b l e s \ v w M e a s u r e s & g t ; < / K e y > < / D i a g r a m O b j e c t K e y > < D i a g r a m O b j e c t K e y > < K e y > D y n a m i c   T a g s \ T a b l e s \ & l t ; T a b l e s \ v w F u n d e r S h a r e & g t ; < / K e y > < / D i a g r a m O b j e c t K e y > < D i a g r a m O b j e c t K e y > < K e y > D y n a m i c   T a g s \ T a b l e s \ & l t ; T a b l e s \ v w W A I O U & g t ; < / K e y > < / D i a g r a m O b j e c t K e y > < D i a g r a m O b j e c t K e y > < K e y > D y n a m i c   T a g s \ T a b l e s \ & l t ; T a b l e s \ v w S a v i n g s R a t e s & g t ; < / K e y > < / D i a g r a m O b j e c t K e y > < D i a g r a m O b j e c t K e y > < K e y > D y n a m i c   T a g s \ T a b l e s \ & l t ; T a b l e s \ F u n d e r _ S h a r e s _ E l e c t & g t ; < / K e y > < / D i a g r a m O b j e c t K e y > < D i a g r a m O b j e c t K e y > < K e y > T a b l e s \ M e r g e 1 < / K e y > < / D i a g r a m O b j e c t K e y > < D i a g r a m O b j e c t K e y > < K e y > T a b l e s \ M e r g e 1 \ C o l u m n s \ S n a p s h o t < / K e y > < / D i a g r a m O b j e c t K e y > < D i a g r a m O b j e c t K e y > < K e y > T a b l e s \ M e r g e 1 \ C o l u m n s \ I n i t i a t i v e < / K e y > < / D i a g r a m O b j e c t K e y > < D i a g r a m O b j e c t K e y > < K e y > T a b l e s \ M e r g e 1 \ C o l u m n s \ I n i t i a t i v e   I n d e x < / K e y > < / D i a g r a m O b j e c t K e y > < D i a g r a m O b j e c t K e y > < K e y > T a b l e s \ M e r g e 1 \ C o l u m n s \ M e a s u r e < / K e y > < / D i a g r a m O b j e c t K e y > < D i a g r a m O b j e c t K e y > < K e y > T a b l e s \ M e r g e 1 \ C o l u m n s \ M e a s u r e   I n d e x < / K e y > < / D i a g r a m O b j e c t K e y > < D i a g r a m O b j e c t K e y > < K e y > T a b l e s \ M e r g e 1 \ C o l u m n s \ u n i t s < / K e y > < / D i a g r a m O b j e c t K e y > < D i a g r a m O b j e c t K e y > < K e y > T a b l e s \ M e r g e 1 \ C o l u m n s \ S a v i n g s   C a t e g o r y < / K e y > < / D i a g r a m O b j e c t K e y > < D i a g r a m O b j e c t K e y > < K e y > T a b l e s \ M e r g e 1 \ C o l u m n s \ y e a r < / K e y > < / D i a g r a m O b j e c t K e y > < D i a g r a m O b j e c t K e y > < K e y > T a b l e s \ M e r g e 1 \ C o l u m n s \ P r o d u c t < / K e y > < / D i a g r a m O b j e c t K e y > < D i a g r a m O b j e c t K e y > < K e y > T a b l e s \ M e r g e 1 \ C o l u m n s \ T i e r < / K e y > < / D i a g r a m O b j e c t K e y > < D i a g r a m O b j e c t K e y > < K e y > T a b l e s \ M e r g e 1 \ C o l u m n s \ F u n d i n g   C y c l e < / K e y > < / D i a g r a m O b j e c t K e y > < D i a g r a m O b j e c t K e y > < K e y > T a b l e s \ M e r g e 1 \ C o l u m n s \ u n i t _ o f _ m e a s u r e < / K e y > < / D i a g r a m O b j e c t K e y > < D i a g r a m O b j e c t K e y > < K e y > T a b l e s \ M e r g e 1 \ C o l u m n s \ F u n d e r _ S h a r e s _ E l e c t . F u n d e r   S h a r e < / K e y > < / D i a g r a m O b j e c t K e y > < D i a g r a m O b j e c t K e y > < K e y > T a b l e s \ M e r g e 1 \ M e a s u r e s \ S u m   o f   F u n d e r _ S h a r e s _ E l e c t . F u n d e r   S h a r e < / K e y > < / D i a g r a m O b j e c t K e y > < D i a g r a m O b j e c t K e y > < K e y > T a b l e s \ M e r g e 1 \ S u m   o f   F u n d e r _ S h a r e s _ E l e c t . F u n d e r   S h a r e \ A d d i t i o n a l   I n f o \ I m p l i c i t   M e a s u r e < / K e y > < / D i a g r a m O b j e c t K e y > < D i a g r a m O b j e c t K e y > < K e y > T a b l e s \ v w M e a s u r e s < / K e y > < / D i a g r a m O b j e c t K e y > < D i a g r a m O b j e c t K e y > < K e y > T a b l e s \ v w M e a s u r e s \ C o l u m n s \ M e a s u r e < / K e y > < / D i a g r a m O b j e c t K e y > < D i a g r a m O b j e c t K e y > < K e y > T a b l e s \ v w M e a s u r e s \ C o l u m n s \ M e a s u r e   L i f e < / K e y > < / D i a g r a m O b j e c t K e y > < D i a g r a m O b j e c t K e y > < K e y > T a b l e s \ v w M e a s u r e s \ C o l u m n s \ M e a s u r e   I n d e x < / K e y > < / D i a g r a m O b j e c t K e y > < D i a g r a m O b j e c t K e y > < K e y > T a b l e s \ v w M e a s u r e s \ C o l u m n s \ M e a s u r e   D e s c r i p t i o n < / K e y > < / D i a g r a m O b j e c t K e y > < D i a g r a m O b j e c t K e y > < K e y > T a b l e s \ v w M e a s u r e s \ C o l u m n s \ s e c t o r < / K e y > < / D i a g r a m O b j e c t K e y > < D i a g r a m O b j e c t K e y > < K e y > T a b l e s \ v w M e a s u r e s \ C o l u m n s \ I n i t i a t i v e < / K e y > < / D i a g r a m O b j e c t K e y > < D i a g r a m O b j e c t K e y > < K e y > T a b l e s \ v w M e a s u r e s \ C o l u m n s \ I n i t i a t i v e   I n d e x < / K e y > < / D i a g r a m O b j e c t K e y > < D i a g r a m O b j e c t K e y > < K e y > T a b l e s \ v w M e a s u r e s \ C o l u m n s \ I n i t i a t i v e   D e s c r i p t i o n < / K e y > < / D i a g r a m O b j e c t K e y > < D i a g r a m O b j e c t K e y > < K e y > T a b l e s \ v w M e a s u r e s \ C o l u m n s \ P r o d u c t < / K e y > < / D i a g r a m O b j e c t K e y > < D i a g r a m O b j e c t K e y > < K e y > T a b l e s \ v w M e a s u r e s \ C o l u m n s \ P r o d u c t   D e s c r i p t i o n < / K e y > < / D i a g r a m O b j e c t K e y > < D i a g r a m O b j e c t K e y > < K e y > T a b l e s \ v w M e a s u r e s \ C o l u m n s \ T i e r < / K e y > < / D i a g r a m O b j e c t K e y > < D i a g r a m O b j e c t K e y > < K e y > T a b l e s \ v w M e a s u r e s \ C o l u m n s \ T i e r   D e s c r i p t i o n < / K e y > < / D i a g r a m O b j e c t K e y > < D i a g r a m O b j e c t K e y > < K e y > T a b l e s \ v w M e a s u r e s \ C o l u m n s \ A b o v e   2 0 2 1   P P < / K e y > < / D i a g r a m O b j e c t K e y > < D i a g r a m O b j e c t K e y > < K e y > T a b l e s \ v w M e a s u r e s \ C o l u m n s \ N E E A   I n f l u e n c e d < / K e y > < / D i a g r a m O b j e c t K e y > < D i a g r a m O b j e c t K e y > < K e y > T a b l e s \ v w M e a s u r e s \ C o l u m n s \ P r o d u c t   C a t e g o r y < / K e y > < / D i a g r a m O b j e c t K e y > < D i a g r a m O b j e c t K e y > < K e y > T a b l e s \ v w M e a s u r e s \ C o l u m n s \ P r o d u c t   G r o u p < / K e y > < / D i a g r a m O b j e c t K e y > < D i a g r a m O b j e c t K e y > < K e y > T a b l e s \ v w M e a s u r e s \ C o l u m n s \ R e s o u r c e   T y p e < / K e y > < / D i a g r a m O b j e c t K e y > < D i a g r a m O b j e c t K e y > < K e y > T a b l e s \ v w M e a s u r e s \ C o l u m n s \ F u e l   T y p e < / K e y > < / D i a g r a m O b j e c t K e y > < D i a g r a m O b j e c t K e y > < K e y > T a b l e s \ v w M e a s u r e s \ C o l u m n s \ B r a c k e t < / K e y > < / D i a g r a m O b j e c t K e y > < D i a g r a m O b j e c t K e y > < K e y > T a b l e s \ v w F u n d e r S h a r e < / K e y > < / D i a g r a m O b j e c t K e y > < D i a g r a m O b j e c t K e y > < K e y > T a b l e s \ v w F u n d e r S h a r e \ C o l u m n s \ N E E A   S t a k e h o l d e r < / K e y > < / D i a g r a m O b j e c t K e y > < D i a g r a m O b j e c t K e y > < K e y > T a b l e s \ v w F u n d e r S h a r e \ C o l u m n s \ F u n d e r   T y p e < / K e y > < / D i a g r a m O b j e c t K e y > < D i a g r a m O b j e c t K e y > < K e y > T a b l e s \ v w F u n d e r S h a r e \ C o l u m n s \ S h a r e   T y p e < / K e y > < / D i a g r a m O b j e c t K e y > < D i a g r a m O b j e c t K e y > < K e y > T a b l e s \ v w F u n d e r S h a r e \ C o l u m n s \ Y e a r < / K e y > < / D i a g r a m O b j e c t K e y > < D i a g r a m O b j e c t K e y > < K e y > T a b l e s \ v w F u n d e r S h a r e \ C o l u m n s \ F u n d e r   S h a r e < / K e y > < / D i a g r a m O b j e c t K e y > < D i a g r a m O b j e c t K e y > < K e y > T a b l e s \ v w F u n d e r S h a r e \ C o l u m n s \ A l l o c a t i o n   S t a t e < / K e y > < / D i a g r a m O b j e c t K e y > < D i a g r a m O b j e c t K e y > < K e y > T a b l e s \ v w F u n d e r S h a r e \ C o l u m n s \ S t a t e   A l l o c a t i o n < / K e y > < / D i a g r a m O b j e c t K e y > < D i a g r a m O b j e c t K e y > < K e y > T a b l e s \ v w F u n d e r S h a r e \ C o l u m n s \ S t a t e   F u n d e r   S h a r e < / K e y > < / D i a g r a m O b j e c t K e y > < D i a g r a m O b j e c t K e y > < K e y > T a b l e s \ v w F u n d e r S h a r e \ M e a s u r e s \ S u m   o f   S t a t e   A l l o c a t i o n < / K e y > < / D i a g r a m O b j e c t K e y > < D i a g r a m O b j e c t K e y > < K e y > T a b l e s \ v w F u n d e r S h a r e \ S u m   o f   S t a t e   A l l o c a t i o n \ A d d i t i o n a l   I n f o \ I m p l i c i t   M e a s u r e < / K e y > < / D i a g r a m O b j e c t K e y > < D i a g r a m O b j e c t K e y > < K e y > T a b l e s \ v w F u n d e r S h a r e \ M e a s u r e s \ S u m   o f   F u n d e r   S h a r e < / K e y > < / D i a g r a m O b j e c t K e y > < D i a g r a m O b j e c t K e y > < K e y > T a b l e s \ v w F u n d e r S h a r e \ S u m   o f   F u n d e r   S h a r e \ A d d i t i o n a l   I n f o \ I m p l i c i t   M e a s u r e < / K e y > < / D i a g r a m O b j e c t K e y > < D i a g r a m O b j e c t K e y > < K e y > T a b l e s \ v w F u n d e r S h a r e \ M e a s u r e s \ A v e r a g e   o f   S t a t e   A l l o c a t i o n < / K e y > < / D i a g r a m O b j e c t K e y > < D i a g r a m O b j e c t K e y > < K e y > T a b l e s \ v w F u n d e r S h a r e \ A v e r a g e   o f   S t a t e   A l l o c a t i o n \ A d d i t i o n a l   I n f o \ I m p l i c i t   M e a s u r e < / K e y > < / D i a g r a m O b j e c t K e y > < D i a g r a m O b j e c t K e y > < K e y > T a b l e s \ v w F u n d e r S h a r e \ M e a s u r e s \ S u m   o f   S t a t e   F u n d e r   S h a r e < / K e y > < / D i a g r a m O b j e c t K e y > < D i a g r a m O b j e c t K e y > < K e y > T a b l e s \ v w F u n d e r S h a r e \ S u m   o f   S t a t e   F u n d e r   S h a r e \ A d d i t i o n a l   I n f o \ I m p l i c i t   M e a s u r e < / K e y > < / D i a g r a m O b j e c t K e y > < D i a g r a m O b j e c t K e y > < K e y > T a b l e s \ v w W A I O U < / K e y > < / D i a g r a m O b j e c t K e y > < D i a g r a m O b j e c t K e y > < K e y > T a b l e s \ v w W A I O U \ C o l u m n s \ S n a p s h o t < / K e y > < / D i a g r a m O b j e c t K e y > < D i a g r a m O b j e c t K e y > < K e y > T a b l e s \ v w W A I O U \ C o l u m n s \ y e a r < / K e y > < / D i a g r a m O b j e c t K e y > < D i a g r a m O b j e c t K e y > < K e y > T a b l e s \ v w W A I O U \ C o l u m n s \ I n i t i a t i v e < / K e y > < / D i a g r a m O b j e c t K e y > < D i a g r a m O b j e c t K e y > < K e y > T a b l e s \ v w W A I O U \ C o l u m n s \ M e a s u r e < / K e y > < / D i a g r a m O b j e c t K e y > < D i a g r a m O b j e c t K e y > < K e y > T a b l e s \ v w W A I O U \ C o l u m n s \ M e a s u r e   I n d e x < / K e y > < / D i a g r a m O b j e c t K e y > < D i a g r a m O b j e c t K e y > < K e y > T a b l e s \ v w W A I O U \ C o l u m n s \ P r o d u c t < / K e y > < / D i a g r a m O b j e c t K e y > < D i a g r a m O b j e c t K e y > < K e y > T a b l e s \ v w W A I O U \ C o l u m n s \ T i e r < / K e y > < / D i a g r a m O b j e c t K e y > < D i a g r a m O b j e c t K e y > < K e y > T a b l e s \ v w W A I O U \ C o l u m n s \ S a v i n g s   C a t e g o r y < / K e y > < / D i a g r a m O b j e c t K e y > < D i a g r a m O b j e c t K e y > < K e y > T a b l e s \ v w W A I O U \ C o l u m n s \ F u n d i n g   C y c l e < / K e y > < / D i a g r a m O b j e c t K e y > < D i a g r a m O b j e c t K e y > < K e y > T a b l e s \ v w W A I O U \ C o l u m n s \ u n i t s < / K e y > < / D i a g r a m O b j e c t K e y > < D i a g r a m O b j e c t K e y > < K e y > T a b l e s \ v w W A I O U \ C o l u m n s \ S a v i n g s   R a t e   T y p e < / K e y > < / D i a g r a m O b j e c t K e y > < D i a g r a m O b j e c t K e y > < K e y > T a b l e s \ v w W A I O U \ C o l u m n s \ S a v i n g s   R a t e < / K e y > < / D i a g r a m O b j e c t K e y > < D i a g r a m O b j e c t K e y > < K e y > T a b l e s \ v w W A I O U \ M e a s u r e s \ C o u n t   o f   F u n d i n g   C y c l e < / K e y > < / D i a g r a m O b j e c t K e y > < D i a g r a m O b j e c t K e y > < K e y > T a b l e s \ v w W A I O U \ C o u n t   o f   F u n d i n g   C y c l e \ A d d i t i o n a l   I n f o \ I m p l i c i t   M e a s u r e < / K e y > < / D i a g r a m O b j e c t K e y > < D i a g r a m O b j e c t K e y > < K e y > T a b l e s \ v w W A I O U \ M e a s u r e s \ S u m   o f   u n i t s < / K e y > < / D i a g r a m O b j e c t K e y > < D i a g r a m O b j e c t K e y > < K e y > T a b l e s \ v w W A I O U \ S u m   o f   u n i t s \ A d d i t i o n a l   I n f o \ I m p l i c i t   M e a s u r e < / K e y > < / D i a g r a m O b j e c t K e y > < D i a g r a m O b j e c t K e y > < K e y > T a b l e s \ v w W A I O U \ M e a s u r e s \ S u m   o f   y e a r < / K e y > < / D i a g r a m O b j e c t K e y > < D i a g r a m O b j e c t K e y > < K e y > T a b l e s \ v w W A I O U \ S u m   o f   y e a r \ A d d i t i o n a l   I n f o \ I m p l i c i t   M e a s u r e < / K e y > < / D i a g r a m O b j e c t K e y > < D i a g r a m O b j e c t K e y > < K e y > T a b l e s \ v w W A I O U \ M e a s u r e s \ S u m   o f   S a v i n g s   R a t e < / K e y > < / D i a g r a m O b j e c t K e y > < D i a g r a m O b j e c t K e y > < K e y > T a b l e s \ v w W A I O U \ S u m   o f   S a v i n g s   R a t e \ A d d i t i o n a l   I n f o \ I m p l i c i t   M e a s u r e < / K e y > < / D i a g r a m O b j e c t K e y > < D i a g r a m O b j e c t K e y > < K e y > T a b l e s \ v w W A I O U \ M e a s u r e s \ M a x   o f   S a v i n g s   R a t e < / K e y > < / D i a g r a m O b j e c t K e y > < D i a g r a m O b j e c t K e y > < K e y > T a b l e s \ v w W A I O U \ M a x   o f   S a v i n g s   R a t e \ A d d i t i o n a l   I n f o \ I m p l i c i t   M e a s u r e < / K e y > < / D i a g r a m O b j e c t K e y > < D i a g r a m O b j e c t K e y > < K e y > T a b l e s \ v w S a v i n g s R a t e s < / K e y > < / D i a g r a m O b j e c t K e y > < D i a g r a m O b j e c t K e y > < K e y > T a b l e s \ v w S a v i n g s R a t e s \ C o l u m n s \ y e a r < / K e y > < / D i a g r a m O b j e c t K e y > < D i a g r a m O b j e c t K e y > < K e y > T a b l e s \ v w S a v i n g s R a t e s \ C o l u m n s \ I n i t i a t i v e < / K e y > < / D i a g r a m O b j e c t K e y > < D i a g r a m O b j e c t K e y > < K e y > T a b l e s \ v w S a v i n g s R a t e s \ C o l u m n s \ M e a s u r e < / K e y > < / D i a g r a m O b j e c t K e y > < D i a g r a m O b j e c t K e y > < K e y > T a b l e s \ v w S a v i n g s R a t e s \ C o l u m n s \ M e a s u r e   I n d e x < / K e y > < / D i a g r a m O b j e c t K e y > < D i a g r a m O b j e c t K e y > < K e y > T a b l e s \ v w S a v i n g s R a t e s \ C o l u m n s \ P r o d u c t < / K e y > < / D i a g r a m O b j e c t K e y > < D i a g r a m O b j e c t K e y > < K e y > T a b l e s \ v w S a v i n g s R a t e s \ C o l u m n s \ T i e r < / K e y > < / D i a g r a m O b j e c t K e y > < D i a g r a m O b j e c t K e y > < K e y > T a b l e s \ v w S a v i n g s R a t e s \ C o l u m n s \ S a v i n g s   R a t e   T y p e < / K e y > < / D i a g r a m O b j e c t K e y > < D i a g r a m O b j e c t K e y > < K e y > T a b l e s \ v w S a v i n g s R a t e s \ C o l u m n s \ S a v i n g s   R a t e < / K e y > < / D i a g r a m O b j e c t K e y > < D i a g r a m O b j e c t K e y > < K e y > T a b l e s \ v w S a v i n g s R a t e s \ C o l u m n s \ S n a p s h o t < / K e y > < / D i a g r a m O b j e c t K e y > < D i a g r a m O b j e c t K e y > < K e y > T a b l e s \ v w S a v i n g s R a t e s \ M e a s u r e s \ S u m   o f   y e a r   2 < / K e y > < / D i a g r a m O b j e c t K e y > < D i a g r a m O b j e c t K e y > < K e y > T a b l e s \ v w S a v i n g s R a t e s \ S u m   o f   y e a r   2 \ A d d i t i o n a l   I n f o \ I m p l i c i t   M e a s u r e < / K e y > < / D i a g r a m O b j e c t K e y > < D i a g r a m O b j e c t K e y > < K e y > T a b l e s \ F u n d e r _ S h a r e s _ E l e c t < / K e y > < / D i a g r a m O b j e c t K e y > < D i a g r a m O b j e c t K e y > < K e y > T a b l e s \ F u n d e r _ S h a r e s _ E l e c t \ C o l u m n s \ F u n d i n g   C y c l e < / K e y > < / D i a g r a m O b j e c t K e y > < D i a g r a m O b j e c t K e y > < K e y > T a b l e s \ F u n d e r _ S h a r e s _ E l e c t \ C o l u m n s \ S t a k e h o l d e r _ L o o k u p < / K e y > < / D i a g r a m O b j e c t K e y > < D i a g r a m O b j e c t K e y > < K e y > T a b l e s \ F u n d e r _ S h a r e s _ E l e c t \ C o l u m n s \ F u n d e r   S h a r e < / K e y > < / D i a g r a m O b j e c t K e y > < / A l l K e y s > < S e l e c t e d K e y s > < D i a g r a m O b j e c t K e y > < K e y > T a b l e s \ v w W A I O U \ C o l u m n s \ F u n d i n g   C y c l e 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 T a g s \ T a b l e s \ & l t ; T a b l e s \ M e r g e 1 & g t ; < / K e y > < / a : K e y > < a : V a l u e   i : t y p e = " D i a g r a m D i s p l a y T a g V i e w S t a t e " > < I s N o t F i l t e r e d O u t > t r u e < / I s N o t F i l t e r e d O u t > < / a : V a l u e > < / a : K e y V a l u e O f D i a g r a m O b j e c t K e y a n y T y p e z b w N T n L X > < a : K e y V a l u e O f D i a g r a m O b j e c t K e y a n y T y p e z b w N T n L X > < a : K e y > < K e y > D y n a m i c   T a g s \ T a b l e s \ & l t ; T a b l e s \ v w M e a s u r e s & g t ; < / K e y > < / a : K e y > < a : V a l u e   i : t y p e = " D i a g r a m D i s p l a y T a g V i e w S t a t e " > < I s N o t F i l t e r e d O u t > t r u e < / I s N o t F i l t e r e d O u t > < / a : V a l u e > < / a : K e y V a l u e O f D i a g r a m O b j e c t K e y a n y T y p e z b w N T n L X > < a : K e y V a l u e O f D i a g r a m O b j e c t K e y a n y T y p e z b w N T n L X > < a : K e y > < K e y > D y n a m i c   T a g s \ T a b l e s \ & l t ; T a b l e s \ v w F u n d e r S h a r e & g t ; < / K e y > < / a : K e y > < a : V a l u e   i : t y p e = " D i a g r a m D i s p l a y T a g V i e w S t a t e " > < I s N o t F i l t e r e d O u t > t r u e < / I s N o t F i l t e r e d O u t > < / a : V a l u e > < / a : K e y V a l u e O f D i a g r a m O b j e c t K e y a n y T y p e z b w N T n L X > < a : K e y V a l u e O f D i a g r a m O b j e c t K e y a n y T y p e z b w N T n L X > < a : K e y > < K e y > D y n a m i c   T a g s \ T a b l e s \ & l t ; T a b l e s \ v w W A I O U & g t ; < / K e y > < / a : K e y > < a : V a l u e   i : t y p e = " D i a g r a m D i s p l a y T a g V i e w S t a t e " > < I s N o t F i l t e r e d O u t > t r u e < / I s N o t F i l t e r e d O u t > < / a : V a l u e > < / a : K e y V a l u e O f D i a g r a m O b j e c t K e y a n y T y p e z b w N T n L X > < a : K e y V a l u e O f D i a g r a m O b j e c t K e y a n y T y p e z b w N T n L X > < a : K e y > < K e y > D y n a m i c   T a g s \ T a b l e s \ & l t ; T a b l e s \ v w S a v i n g s R a t e s & g t ; < / K e y > < / a : K e y > < a : V a l u e   i : t y p e = " D i a g r a m D i s p l a y T a g V i e w S t a t e " > < I s N o t F i l t e r e d O u t > t r u e < / I s N o t F i l t e r e d O u t > < / a : V a l u e > < / a : K e y V a l u e O f D i a g r a m O b j e c t K e y a n y T y p e z b w N T n L X > < a : K e y V a l u e O f D i a g r a m O b j e c t K e y a n y T y p e z b w N T n L X > < a : K e y > < K e y > D y n a m i c   T a g s \ T a b l e s \ & l t ; T a b l e s \ F u n d e r _ S h a r e s _ E l e c t & g t ; < / K e y > < / a : K e y > < a : V a l u e   i : t y p e = " D i a g r a m D i s p l a y T a g V i e w S t a t e " > < I s N o t F i l t e r e d O u t > t r u e < / I s N o t F i l t e r e d O u t > < / a : V a l u e > < / a : K e y V a l u e O f D i a g r a m O b j e c t K e y a n y T y p e z b w N T n L X > < a : K e y V a l u e O f D i a g r a m O b j e c t K e y a n y T y p e z b w N T n L X > < a : K e y > < K e y > T a b l e s \ M e r g e 1 < / K e y > < / a : K e y > < a : V a l u e   i : t y p e = " D i a g r a m D i s p l a y N o d e V i e w S t a t e " > < H e i g h t > 1 5 0 < / H e i g h t > < I s E x p a n d e d > t r u e < / I s E x p a n d e d > < L a y e d O u t > t r u e < / L a y e d O u t > < L e f t > 1 5 5 9 . 6 1 5 2 4 2 2 7 0 6 6 3 2 < / L e f t > < T a b I n d e x > 5 < / T a b I n d e x > < T o p > 2 0 6 . 3 9 9 9 9 9 9 9 9 9 9 9 9 8 < / T o p > < W i d t h > 2 0 0 < / W i d t h > < / a : V a l u e > < / a : K e y V a l u e O f D i a g r a m O b j e c t K e y a n y T y p e z b w N T n L X > < a : K e y V a l u e O f D i a g r a m O b j e c t K e y a n y T y p e z b w N T n L X > < a : K e y > < K e y > T a b l e s \ M e r g e 1 \ C o l u m n s \ S n a p s h o t < / K e y > < / a : K e y > < a : V a l u e   i : t y p e = " D i a g r a m D i s p l a y N o d e V i e w S t a t e " > < H e i g h t > 1 5 0 < / H e i g h t > < I s E x p a n d e d > t r u e < / I s E x p a n d e d > < W i d t h > 2 0 0 < / W i d t h > < / a : V a l u e > < / a : K e y V a l u e O f D i a g r a m O b j e c t K e y a n y T y p e z b w N T n L X > < a : K e y V a l u e O f D i a g r a m O b j e c t K e y a n y T y p e z b w N T n L X > < a : K e y > < K e y > T a b l e s \ M e r g e 1 \ C o l u m n s \ I n i t i a t i v e < / K e y > < / a : K e y > < a : V a l u e   i : t y p e = " D i a g r a m D i s p l a y N o d e V i e w S t a t e " > < H e i g h t > 1 5 0 < / H e i g h t > < I s E x p a n d e d > t r u e < / I s E x p a n d e d > < W i d t h > 2 0 0 < / W i d t h > < / a : V a l u e > < / a : K e y V a l u e O f D i a g r a m O b j e c t K e y a n y T y p e z b w N T n L X > < a : K e y V a l u e O f D i a g r a m O b j e c t K e y a n y T y p e z b w N T n L X > < a : K e y > < K e y > T a b l e s \ M e r g e 1 \ C o l u m n s \ I n i t i a t i v e   I n d e x < / K e y > < / a : K e y > < a : V a l u e   i : t y p e = " D i a g r a m D i s p l a y N o d e V i e w S t a t e " > < H e i g h t > 1 5 0 < / H e i g h t > < I s E x p a n d e d > t r u e < / I s E x p a n d e d > < W i d t h > 2 0 0 < / W i d t h > < / a : V a l u e > < / a : K e y V a l u e O f D i a g r a m O b j e c t K e y a n y T y p e z b w N T n L X > < a : K e y V a l u e O f D i a g r a m O b j e c t K e y a n y T y p e z b w N T n L X > < a : K e y > < K e y > T a b l e s \ M e r g e 1 \ C o l u m n s \ M e a s u r e < / K e y > < / a : K e y > < a : V a l u e   i : t y p e = " D i a g r a m D i s p l a y N o d e V i e w S t a t e " > < H e i g h t > 1 5 0 < / H e i g h t > < I s E x p a n d e d > t r u e < / I s E x p a n d e d > < W i d t h > 2 0 0 < / W i d t h > < / a : V a l u e > < / a : K e y V a l u e O f D i a g r a m O b j e c t K e y a n y T y p e z b w N T n L X > < a : K e y V a l u e O f D i a g r a m O b j e c t K e y a n y T y p e z b w N T n L X > < a : K e y > < K e y > T a b l e s \ M e r g e 1 \ C o l u m n s \ M e a s u r e   I n d e x < / K e y > < / a : K e y > < a : V a l u e   i : t y p e = " D i a g r a m D i s p l a y N o d e V i e w S t a t e " > < H e i g h t > 1 5 0 < / H e i g h t > < I s E x p a n d e d > t r u e < / I s E x p a n d e d > < W i d t h > 2 0 0 < / W i d t h > < / a : V a l u e > < / a : K e y V a l u e O f D i a g r a m O b j e c t K e y a n y T y p e z b w N T n L X > < a : K e y V a l u e O f D i a g r a m O b j e c t K e y a n y T y p e z b w N T n L X > < a : K e y > < K e y > T a b l e s \ M e r g e 1 \ C o l u m n s \ u n i t s < / K e y > < / a : K e y > < a : V a l u e   i : t y p e = " D i a g r a m D i s p l a y N o d e V i e w S t a t e " > < H e i g h t > 1 5 0 < / H e i g h t > < I s E x p a n d e d > t r u e < / I s E x p a n d e d > < W i d t h > 2 0 0 < / W i d t h > < / a : V a l u e > < / a : K e y V a l u e O f D i a g r a m O b j e c t K e y a n y T y p e z b w N T n L X > < a : K e y V a l u e O f D i a g r a m O b j e c t K e y a n y T y p e z b w N T n L X > < a : K e y > < K e y > T a b l e s \ M e r g e 1 \ C o l u m n s \ S a v i n g s   C a t e g o r y < / K e y > < / a : K e y > < a : V a l u e   i : t y p e = " D i a g r a m D i s p l a y N o d e V i e w S t a t e " > < H e i g h t > 1 5 0 < / H e i g h t > < I s E x p a n d e d > t r u e < / I s E x p a n d e d > < W i d t h > 2 0 0 < / W i d t h > < / a : V a l u e > < / a : K e y V a l u e O f D i a g r a m O b j e c t K e y a n y T y p e z b w N T n L X > < a : K e y V a l u e O f D i a g r a m O b j e c t K e y a n y T y p e z b w N T n L X > < a : K e y > < K e y > T a b l e s \ M e r g e 1 \ C o l u m n s \ y e a r < / K e y > < / a : K e y > < a : V a l u e   i : t y p e = " D i a g r a m D i s p l a y N o d e V i e w S t a t e " > < H e i g h t > 1 5 0 < / H e i g h t > < I s E x p a n d e d > t r u e < / I s E x p a n d e d > < W i d t h > 2 0 0 < / W i d t h > < / a : V a l u e > < / a : K e y V a l u e O f D i a g r a m O b j e c t K e y a n y T y p e z b w N T n L X > < a : K e y V a l u e O f D i a g r a m O b j e c t K e y a n y T y p e z b w N T n L X > < a : K e y > < K e y > T a b l e s \ M e r g e 1 \ C o l u m n s \ P r o d u c t < / K e y > < / a : K e y > < a : V a l u e   i : t y p e = " D i a g r a m D i s p l a y N o d e V i e w S t a t e " > < H e i g h t > 1 5 0 < / H e i g h t > < I s E x p a n d e d > t r u e < / I s E x p a n d e d > < W i d t h > 2 0 0 < / W i d t h > < / a : V a l u e > < / a : K e y V a l u e O f D i a g r a m O b j e c t K e y a n y T y p e z b w N T n L X > < a : K e y V a l u e O f D i a g r a m O b j e c t K e y a n y T y p e z b w N T n L X > < a : K e y > < K e y > T a b l e s \ M e r g e 1 \ C o l u m n s \ T i e r < / K e y > < / a : K e y > < a : V a l u e   i : t y p e = " D i a g r a m D i s p l a y N o d e V i e w S t a t e " > < H e i g h t > 1 5 0 < / H e i g h t > < I s E x p a n d e d > t r u e < / I s E x p a n d e d > < W i d t h > 2 0 0 < / W i d t h > < / a : V a l u e > < / a : K e y V a l u e O f D i a g r a m O b j e c t K e y a n y T y p e z b w N T n L X > < a : K e y V a l u e O f D i a g r a m O b j e c t K e y a n y T y p e z b w N T n L X > < a : K e y > < K e y > T a b l e s \ M e r g e 1 \ C o l u m n s \ F u n d i n g   C y c l e < / K e y > < / a : K e y > < a : V a l u e   i : t y p e = " D i a g r a m D i s p l a y N o d e V i e w S t a t e " > < H e i g h t > 1 5 0 < / H e i g h t > < I s E x p a n d e d > t r u e < / I s E x p a n d e d > < W i d t h > 2 0 0 < / W i d t h > < / a : V a l u e > < / a : K e y V a l u e O f D i a g r a m O b j e c t K e y a n y T y p e z b w N T n L X > < a : K e y V a l u e O f D i a g r a m O b j e c t K e y a n y T y p e z b w N T n L X > < a : K e y > < K e y > T a b l e s \ M e r g e 1 \ C o l u m n s \ u n i t _ o f _ m e a s u r e < / K e y > < / a : K e y > < a : V a l u e   i : t y p e = " D i a g r a m D i s p l a y N o d e V i e w S t a t e " > < H e i g h t > 1 5 0 < / H e i g h t > < I s E x p a n d e d > t r u e < / I s E x p a n d e d > < W i d t h > 2 0 0 < / W i d t h > < / a : V a l u e > < / a : K e y V a l u e O f D i a g r a m O b j e c t K e y a n y T y p e z b w N T n L X > < a : K e y V a l u e O f D i a g r a m O b j e c t K e y a n y T y p e z b w N T n L X > < a : K e y > < K e y > T a b l e s \ M e r g e 1 \ C o l u m n s \ F u n d e r _ S h a r e s _ E l e c t . F u n d e r   S h a r e < / K e y > < / a : K e y > < a : V a l u e   i : t y p e = " D i a g r a m D i s p l a y N o d e V i e w S t a t e " > < H e i g h t > 1 5 0 < / H e i g h t > < I s E x p a n d e d > t r u e < / I s E x p a n d e d > < W i d t h > 2 0 0 < / W i d t h > < / a : V a l u e > < / a : K e y V a l u e O f D i a g r a m O b j e c t K e y a n y T y p e z b w N T n L X > < a : K e y V a l u e O f D i a g r a m O b j e c t K e y a n y T y p e z b w N T n L X > < a : K e y > < K e y > T a b l e s \ M e r g e 1 \ M e a s u r e s \ S u m   o f   F u n d e r _ S h a r e s _ E l e c t . F u n d e r   S h a r e < / K e y > < / a : K e y > < a : V a l u e   i : t y p e = " D i a g r a m D i s p l a y N o d e V i e w S t a t e " > < H e i g h t > 1 5 0 < / H e i g h t > < I s E x p a n d e d > t r u e < / I s E x p a n d e d > < W i d t h > 2 0 0 < / W i d t h > < / a : V a l u e > < / a : K e y V a l u e O f D i a g r a m O b j e c t K e y a n y T y p e z b w N T n L X > < a : K e y V a l u e O f D i a g r a m O b j e c t K e y a n y T y p e z b w N T n L X > < a : K e y > < K e y > T a b l e s \ M e r g e 1 \ S u m   o f   F u n d e r _ S h a r e s _ E l e c t . F u n d e r   S h a r e \ A d d i t i o n a l   I n f o \ I m p l i c i t   M e a s u r e < / K e y > < / a : K e y > < a : V a l u e   i : t y p e = " D i a g r a m D i s p l a y V i e w S t a t e I D i a g r a m T a g A d d i t i o n a l I n f o " / > < / a : K e y V a l u e O f D i a g r a m O b j e c t K e y a n y T y p e z b w N T n L X > < a : K e y V a l u e O f D i a g r a m O b j e c t K e y a n y T y p e z b w N T n L X > < a : K e y > < K e y > T a b l e s \ v w M e a s u r e s < / K e y > < / a : K e y > < a : V a l u e   i : t y p e = " D i a g r a m D i s p l a y N o d e V i e w S t a t e " > < H e i g h t > 5 6 2 . 8 < / H e i g h t > < I s E x p a n d e d > t r u e < / I s E x p a n d e d > < L a y e d O u t > t r u e < / L a y e d O u t > < W i d t h > 2 0 0 < / W i d t h > < / a : V a l u e > < / a : K e y V a l u e O f D i a g r a m O b j e c t K e y a n y T y p e z b w N T n L X > < a : K e y V a l u e O f D i a g r a m O b j e c t K e y a n y T y p e z b w N T n L X > < a : K e y > < K e y > T a b l e s \ v w M e a s u r e s \ C o l u m n s \ M e a s u r e < / K e y > < / a : K e y > < a : V a l u e   i : t y p e = " D i a g r a m D i s p l a y N o d e V i e w S t a t e " > < H e i g h t > 1 5 0 < / H e i g h t > < I s E x p a n d e d > t r u e < / I s E x p a n d e d > < W i d t h > 2 0 0 < / W i d t h > < / a : V a l u e > < / a : K e y V a l u e O f D i a g r a m O b j e c t K e y a n y T y p e z b w N T n L X > < a : K e y V a l u e O f D i a g r a m O b j e c t K e y a n y T y p e z b w N T n L X > < a : K e y > < K e y > T a b l e s \ v w M e a s u r e s \ C o l u m n s \ M e a s u r e   L i f e < / K e y > < / a : K e y > < a : V a l u e   i : t y p e = " D i a g r a m D i s p l a y N o d e V i e w S t a t e " > < H e i g h t > 1 5 0 < / H e i g h t > < I s E x p a n d e d > t r u e < / I s E x p a n d e d > < W i d t h > 2 0 0 < / W i d t h > < / a : V a l u e > < / a : K e y V a l u e O f D i a g r a m O b j e c t K e y a n y T y p e z b w N T n L X > < a : K e y V a l u e O f D i a g r a m O b j e c t K e y a n y T y p e z b w N T n L X > < a : K e y > < K e y > T a b l e s \ v w M e a s u r e s \ C o l u m n s \ M e a s u r e   I n d e x < / K e y > < / a : K e y > < a : V a l u e   i : t y p e = " D i a g r a m D i s p l a y N o d e V i e w S t a t e " > < H e i g h t > 1 5 0 < / H e i g h t > < I s E x p a n d e d > t r u e < / I s E x p a n d e d > < W i d t h > 2 0 0 < / W i d t h > < / a : V a l u e > < / a : K e y V a l u e O f D i a g r a m O b j e c t K e y a n y T y p e z b w N T n L X > < a : K e y V a l u e O f D i a g r a m O b j e c t K e y a n y T y p e z b w N T n L X > < a : K e y > < K e y > T a b l e s \ v w M e a s u r e s \ C o l u m n s \ M e a s u r e   D e s c r i p t i o n < / K e y > < / a : K e y > < a : V a l u e   i : t y p e = " D i a g r a m D i s p l a y N o d e V i e w S t a t e " > < H e i g h t > 1 5 0 < / H e i g h t > < I s E x p a n d e d > t r u e < / I s E x p a n d e d > < W i d t h > 2 0 0 < / W i d t h > < / a : V a l u e > < / a : K e y V a l u e O f D i a g r a m O b j e c t K e y a n y T y p e z b w N T n L X > < a : K e y V a l u e O f D i a g r a m O b j e c t K e y a n y T y p e z b w N T n L X > < a : K e y > < K e y > T a b l e s \ v w M e a s u r e s \ C o l u m n s \ s e c t o r < / K e y > < / a : K e y > < a : V a l u e   i : t y p e = " D i a g r a m D i s p l a y N o d e V i e w S t a t e " > < H e i g h t > 1 5 0 < / H e i g h t > < I s E x p a n d e d > t r u e < / I s E x p a n d e d > < W i d t h > 2 0 0 < / W i d t h > < / a : V a l u e > < / a : K e y V a l u e O f D i a g r a m O b j e c t K e y a n y T y p e z b w N T n L X > < a : K e y V a l u e O f D i a g r a m O b j e c t K e y a n y T y p e z b w N T n L X > < a : K e y > < K e y > T a b l e s \ v w M e a s u r e s \ C o l u m n s \ I n i t i a t i v e < / K e y > < / a : K e y > < a : V a l u e   i : t y p e = " D i a g r a m D i s p l a y N o d e V i e w S t a t e " > < H e i g h t > 1 5 0 < / H e i g h t > < I s E x p a n d e d > t r u e < / I s E x p a n d e d > < W i d t h > 2 0 0 < / W i d t h > < / a : V a l u e > < / a : K e y V a l u e O f D i a g r a m O b j e c t K e y a n y T y p e z b w N T n L X > < a : K e y V a l u e O f D i a g r a m O b j e c t K e y a n y T y p e z b w N T n L X > < a : K e y > < K e y > T a b l e s \ v w M e a s u r e s \ C o l u m n s \ I n i t i a t i v e   I n d e x < / K e y > < / a : K e y > < a : V a l u e   i : t y p e = " D i a g r a m D i s p l a y N o d e V i e w S t a t e " > < H e i g h t > 1 5 0 < / H e i g h t > < I s E x p a n d e d > t r u e < / I s E x p a n d e d > < W i d t h > 2 0 0 < / W i d t h > < / a : V a l u e > < / a : K e y V a l u e O f D i a g r a m O b j e c t K e y a n y T y p e z b w N T n L X > < a : K e y V a l u e O f D i a g r a m O b j e c t K e y a n y T y p e z b w N T n L X > < a : K e y > < K e y > T a b l e s \ v w M e a s u r e s \ C o l u m n s \ I n i t i a t i v e   D e s c r i p t i o n < / K e y > < / a : K e y > < a : V a l u e   i : t y p e = " D i a g r a m D i s p l a y N o d e V i e w S t a t e " > < H e i g h t > 1 5 0 < / H e i g h t > < I s E x p a n d e d > t r u e < / I s E x p a n d e d > < W i d t h > 2 0 0 < / W i d t h > < / a : V a l u e > < / a : K e y V a l u e O f D i a g r a m O b j e c t K e y a n y T y p e z b w N T n L X > < a : K e y V a l u e O f D i a g r a m O b j e c t K e y a n y T y p e z b w N T n L X > < a : K e y > < K e y > T a b l e s \ v w M e a s u r e s \ C o l u m n s \ P r o d u c t < / K e y > < / a : K e y > < a : V a l u e   i : t y p e = " D i a g r a m D i s p l a y N o d e V i e w S t a t e " > < H e i g h t > 1 5 0 < / H e i g h t > < I s E x p a n d e d > t r u e < / I s E x p a n d e d > < W i d t h > 2 0 0 < / W i d t h > < / a : V a l u e > < / a : K e y V a l u e O f D i a g r a m O b j e c t K e y a n y T y p e z b w N T n L X > < a : K e y V a l u e O f D i a g r a m O b j e c t K e y a n y T y p e z b w N T n L X > < a : K e y > < K e y > T a b l e s \ v w M e a s u r e s \ C o l u m n s \ P r o d u c t   D e s c r i p t i o n < / K e y > < / a : K e y > < a : V a l u e   i : t y p e = " D i a g r a m D i s p l a y N o d e V i e w S t a t e " > < H e i g h t > 1 5 0 < / H e i g h t > < I s E x p a n d e d > t r u e < / I s E x p a n d e d > < W i d t h > 2 0 0 < / W i d t h > < / a : V a l u e > < / a : K e y V a l u e O f D i a g r a m O b j e c t K e y a n y T y p e z b w N T n L X > < a : K e y V a l u e O f D i a g r a m O b j e c t K e y a n y T y p e z b w N T n L X > < a : K e y > < K e y > T a b l e s \ v w M e a s u r e s \ C o l u m n s \ T i e r < / K e y > < / a : K e y > < a : V a l u e   i : t y p e = " D i a g r a m D i s p l a y N o d e V i e w S t a t e " > < H e i g h t > 1 5 0 < / H e i g h t > < I s E x p a n d e d > t r u e < / I s E x p a n d e d > < W i d t h > 2 0 0 < / W i d t h > < / a : V a l u e > < / a : K e y V a l u e O f D i a g r a m O b j e c t K e y a n y T y p e z b w N T n L X > < a : K e y V a l u e O f D i a g r a m O b j e c t K e y a n y T y p e z b w N T n L X > < a : K e y > < K e y > T a b l e s \ v w M e a s u r e s \ C o l u m n s \ T i e r   D e s c r i p t i o n < / K e y > < / a : K e y > < a : V a l u e   i : t y p e = " D i a g r a m D i s p l a y N o d e V i e w S t a t e " > < H e i g h t > 1 5 0 < / H e i g h t > < I s E x p a n d e d > t r u e < / I s E x p a n d e d > < W i d t h > 2 0 0 < / W i d t h > < / a : V a l u e > < / a : K e y V a l u e O f D i a g r a m O b j e c t K e y a n y T y p e z b w N T n L X > < a : K e y V a l u e O f D i a g r a m O b j e c t K e y a n y T y p e z b w N T n L X > < a : K e y > < K e y > T a b l e s \ v w M e a s u r e s \ C o l u m n s \ A b o v e   2 0 2 1   P P < / K e y > < / a : K e y > < a : V a l u e   i : t y p e = " D i a g r a m D i s p l a y N o d e V i e w S t a t e " > < H e i g h t > 1 5 0 < / H e i g h t > < I s E x p a n d e d > t r u e < / I s E x p a n d e d > < W i d t h > 2 0 0 < / W i d t h > < / a : V a l u e > < / a : K e y V a l u e O f D i a g r a m O b j e c t K e y a n y T y p e z b w N T n L X > < a : K e y V a l u e O f D i a g r a m O b j e c t K e y a n y T y p e z b w N T n L X > < a : K e y > < K e y > T a b l e s \ v w M e a s u r e s \ C o l u m n s \ N E E A   I n f l u e n c e d < / K e y > < / a : K e y > < a : V a l u e   i : t y p e = " D i a g r a m D i s p l a y N o d e V i e w S t a t e " > < H e i g h t > 1 5 0 < / H e i g h t > < I s E x p a n d e d > t r u e < / I s E x p a n d e d > < W i d t h > 2 0 0 < / W i d t h > < / a : V a l u e > < / a : K e y V a l u e O f D i a g r a m O b j e c t K e y a n y T y p e z b w N T n L X > < a : K e y V a l u e O f D i a g r a m O b j e c t K e y a n y T y p e z b w N T n L X > < a : K e y > < K e y > T a b l e s \ v w M e a s u r e s \ C o l u m n s \ P r o d u c t   C a t e g o r y < / K e y > < / a : K e y > < a : V a l u e   i : t y p e = " D i a g r a m D i s p l a y N o d e V i e w S t a t e " > < H e i g h t > 1 5 0 < / H e i g h t > < I s E x p a n d e d > t r u e < / I s E x p a n d e d > < W i d t h > 2 0 0 < / W i d t h > < / a : V a l u e > < / a : K e y V a l u e O f D i a g r a m O b j e c t K e y a n y T y p e z b w N T n L X > < a : K e y V a l u e O f D i a g r a m O b j e c t K e y a n y T y p e z b w N T n L X > < a : K e y > < K e y > T a b l e s \ v w M e a s u r e s \ C o l u m n s \ P r o d u c t   G r o u p < / K e y > < / a : K e y > < a : V a l u e   i : t y p e = " D i a g r a m D i s p l a y N o d e V i e w S t a t e " > < H e i g h t > 1 5 0 < / H e i g h t > < I s E x p a n d e d > t r u e < / I s E x p a n d e d > < W i d t h > 2 0 0 < / W i d t h > < / a : V a l u e > < / a : K e y V a l u e O f D i a g r a m O b j e c t K e y a n y T y p e z b w N T n L X > < a : K e y V a l u e O f D i a g r a m O b j e c t K e y a n y T y p e z b w N T n L X > < a : K e y > < K e y > T a b l e s \ v w M e a s u r e s \ C o l u m n s \ R e s o u r c e   T y p e < / K e y > < / a : K e y > < a : V a l u e   i : t y p e = " D i a g r a m D i s p l a y N o d e V i e w S t a t e " > < H e i g h t > 1 5 0 < / H e i g h t > < I s E x p a n d e d > t r u e < / I s E x p a n d e d > < W i d t h > 2 0 0 < / W i d t h > < / a : V a l u e > < / a : K e y V a l u e O f D i a g r a m O b j e c t K e y a n y T y p e z b w N T n L X > < a : K e y V a l u e O f D i a g r a m O b j e c t K e y a n y T y p e z b w N T n L X > < a : K e y > < K e y > T a b l e s \ v w M e a s u r e s \ C o l u m n s \ F u e l   T y p e < / K e y > < / a : K e y > < a : V a l u e   i : t y p e = " D i a g r a m D i s p l a y N o d e V i e w S t a t e " > < H e i g h t > 1 5 0 < / H e i g h t > < I s E x p a n d e d > t r u e < / I s E x p a n d e d > < W i d t h > 2 0 0 < / W i d t h > < / a : V a l u e > < / a : K e y V a l u e O f D i a g r a m O b j e c t K e y a n y T y p e z b w N T n L X > < a : K e y V a l u e O f D i a g r a m O b j e c t K e y a n y T y p e z b w N T n L X > < a : K e y > < K e y > T a b l e s \ v w M e a s u r e s \ C o l u m n s \ B r a c k e t < / K e y > < / a : K e y > < a : V a l u e   i : t y p e = " D i a g r a m D i s p l a y N o d e V i e w S t a t e " > < H e i g h t > 1 5 0 < / H e i g h t > < I s E x p a n d e d > t r u e < / I s E x p a n d e d > < W i d t h > 2 0 0 < / W i d t h > < / a : V a l u e > < / a : K e y V a l u e O f D i a g r a m O b j e c t K e y a n y T y p e z b w N T n L X > < a : K e y V a l u e O f D i a g r a m O b j e c t K e y a n y T y p e z b w N T n L X > < a : K e y > < K e y > T a b l e s \ v w F u n d e r S h a r e < / K e y > < / a : K e y > < a : V a l u e   i : t y p e = " D i a g r a m D i s p l a y N o d e V i e w S t a t e " > < H e i g h t > 4 4 2 < / H e i g h t > < I s E x p a n d e d > t r u e < / I s E x p a n d e d > < L a y e d O u t > t r u e < / L a y e d O u t > < L e f t > 1 0 7 6 . 3 0 3 8 1 0 5 6 7 6 6 5 8 < / L e f t > < T a b I n d e x > 3 < / T a b I n d e x > < T o p > 1 2 < / T o p > < W i d t h > 2 0 0 < / W i d t h > < / a : V a l u e > < / a : K e y V a l u e O f D i a g r a m O b j e c t K e y a n y T y p e z b w N T n L X > < a : K e y V a l u e O f D i a g r a m O b j e c t K e y a n y T y p e z b w N T n L X > < a : K e y > < K e y > T a b l e s \ v w F u n d e r S h a r e \ C o l u m n s \ N E E A   S t a k e h o l d e r < / K e y > < / a : K e y > < a : V a l u e   i : t y p e = " D i a g r a m D i s p l a y N o d e V i e w S t a t e " > < H e i g h t > 1 5 0 < / H e i g h t > < I s E x p a n d e d > t r u e < / I s E x p a n d e d > < W i d t h > 2 0 0 < / W i d t h > < / a : V a l u e > < / a : K e y V a l u e O f D i a g r a m O b j e c t K e y a n y T y p e z b w N T n L X > < a : K e y V a l u e O f D i a g r a m O b j e c t K e y a n y T y p e z b w N T n L X > < a : K e y > < K e y > T a b l e s \ v w F u n d e r S h a r e \ C o l u m n s \ F u n d e r   T y p e < / K e y > < / a : K e y > < a : V a l u e   i : t y p e = " D i a g r a m D i s p l a y N o d e V i e w S t a t e " > < H e i g h t > 1 5 0 < / H e i g h t > < I s E x p a n d e d > t r u e < / I s E x p a n d e d > < W i d t h > 2 0 0 < / W i d t h > < / a : V a l u e > < / a : K e y V a l u e O f D i a g r a m O b j e c t K e y a n y T y p e z b w N T n L X > < a : K e y V a l u e O f D i a g r a m O b j e c t K e y a n y T y p e z b w N T n L X > < a : K e y > < K e y > T a b l e s \ v w F u n d e r S h a r e \ C o l u m n s \ S h a r e   T y p e < / K e y > < / a : K e y > < a : V a l u e   i : t y p e = " D i a g r a m D i s p l a y N o d e V i e w S t a t e " > < H e i g h t > 1 5 0 < / H e i g h t > < I s E x p a n d e d > t r u e < / I s E x p a n d e d > < W i d t h > 2 0 0 < / W i d t h > < / a : V a l u e > < / a : K e y V a l u e O f D i a g r a m O b j e c t K e y a n y T y p e z b w N T n L X > < a : K e y V a l u e O f D i a g r a m O b j e c t K e y a n y T y p e z b w N T n L X > < a : K e y > < K e y > T a b l e s \ v w F u n d e r S h a r e \ C o l u m n s \ Y e a r < / K e y > < / a : K e y > < a : V a l u e   i : t y p e = " D i a g r a m D i s p l a y N o d e V i e w S t a t e " > < H e i g h t > 1 5 0 < / H e i g h t > < I s E x p a n d e d > t r u e < / I s E x p a n d e d > < W i d t h > 2 0 0 < / W i d t h > < / a : V a l u e > < / a : K e y V a l u e O f D i a g r a m O b j e c t K e y a n y T y p e z b w N T n L X > < a : K e y V a l u e O f D i a g r a m O b j e c t K e y a n y T y p e z b w N T n L X > < a : K e y > < K e y > T a b l e s \ v w F u n d e r S h a r e \ C o l u m n s \ F u n d e r   S h a r e < / K e y > < / a : K e y > < a : V a l u e   i : t y p e = " D i a g r a m D i s p l a y N o d e V i e w S t a t e " > < H e i g h t > 1 5 0 < / H e i g h t > < I s E x p a n d e d > t r u e < / I s E x p a n d e d > < W i d t h > 2 0 0 < / W i d t h > < / a : V a l u e > < / a : K e y V a l u e O f D i a g r a m O b j e c t K e y a n y T y p e z b w N T n L X > < a : K e y V a l u e O f D i a g r a m O b j e c t K e y a n y T y p e z b w N T n L X > < a : K e y > < K e y > T a b l e s \ v w F u n d e r S h a r e \ C o l u m n s \ A l l o c a t i o n   S t a t e < / K e y > < / a : K e y > < a : V a l u e   i : t y p e = " D i a g r a m D i s p l a y N o d e V i e w S t a t e " > < H e i g h t > 1 5 0 < / H e i g h t > < I s E x p a n d e d > t r u e < / I s E x p a n d e d > < W i d t h > 2 0 0 < / W i d t h > < / a : V a l u e > < / a : K e y V a l u e O f D i a g r a m O b j e c t K e y a n y T y p e z b w N T n L X > < a : K e y V a l u e O f D i a g r a m O b j e c t K e y a n y T y p e z b w N T n L X > < a : K e y > < K e y > T a b l e s \ v w F u n d e r S h a r e \ C o l u m n s \ S t a t e   A l l o c a t i o n < / K e y > < / a : K e y > < a : V a l u e   i : t y p e = " D i a g r a m D i s p l a y N o d e V i e w S t a t e " > < H e i g h t > 1 5 0 < / H e i g h t > < I s E x p a n d e d > t r u e < / I s E x p a n d e d > < W i d t h > 2 0 0 < / W i d t h > < / a : V a l u e > < / a : K e y V a l u e O f D i a g r a m O b j e c t K e y a n y T y p e z b w N T n L X > < a : K e y V a l u e O f D i a g r a m O b j e c t K e y a n y T y p e z b w N T n L X > < a : K e y > < K e y > T a b l e s \ v w F u n d e r S h a r e \ C o l u m n s \ S t a t e   F u n d e r   S h a r e < / K e y > < / a : K e y > < a : V a l u e   i : t y p e = " D i a g r a m D i s p l a y N o d e V i e w S t a t e " > < H e i g h t > 1 5 0 < / H e i g h t > < I s E x p a n d e d > t r u e < / I s E x p a n d e d > < W i d t h > 2 0 0 < / W i d t h > < / a : V a l u e > < / a : K e y V a l u e O f D i a g r a m O b j e c t K e y a n y T y p e z b w N T n L X > < a : K e y V a l u e O f D i a g r a m O b j e c t K e y a n y T y p e z b w N T n L X > < a : K e y > < K e y > T a b l e s \ v w F u n d e r S h a r e \ M e a s u r e s \ S u m   o f   S t a t e   A l l o c a t i o n < / K e y > < / a : K e y > < a : V a l u e   i : t y p e = " D i a g r a m D i s p l a y N o d e V i e w S t a t e " > < H e i g h t > 1 5 0 < / H e i g h t > < I s E x p a n d e d > t r u e < / I s E x p a n d e d > < W i d t h > 2 0 0 < / W i d t h > < / a : V a l u e > < / a : K e y V a l u e O f D i a g r a m O b j e c t K e y a n y T y p e z b w N T n L X > < a : K e y V a l u e O f D i a g r a m O b j e c t K e y a n y T y p e z b w N T n L X > < a : K e y > < K e y > T a b l e s \ v w F u n d e r S h a r e \ S u m   o f   S t a t e   A l l o c a t i o n \ A d d i t i o n a l   I n f o \ I m p l i c i t   M e a s u r e < / K e y > < / a : K e y > < a : V a l u e   i : t y p e = " D i a g r a m D i s p l a y V i e w S t a t e I D i a g r a m T a g A d d i t i o n a l I n f o " / > < / a : K e y V a l u e O f D i a g r a m O b j e c t K e y a n y T y p e z b w N T n L X > < a : K e y V a l u e O f D i a g r a m O b j e c t K e y a n y T y p e z b w N T n L X > < a : K e y > < K e y > T a b l e s \ v w F u n d e r S h a r e \ M e a s u r e s \ S u m   o f   F u n d e r   S h a r e < / K e y > < / a : K e y > < a : V a l u e   i : t y p e = " D i a g r a m D i s p l a y N o d e V i e w S t a t e " > < H e i g h t > 1 5 0 < / H e i g h t > < I s E x p a n d e d > t r u e < / I s E x p a n d e d > < W i d t h > 2 0 0 < / W i d t h > < / a : V a l u e > < / a : K e y V a l u e O f D i a g r a m O b j e c t K e y a n y T y p e z b w N T n L X > < a : K e y V a l u e O f D i a g r a m O b j e c t K e y a n y T y p e z b w N T n L X > < a : K e y > < K e y > T a b l e s \ v w F u n d e r S h a r e \ S u m   o f   F u n d e r   S h a r e \ A d d i t i o n a l   I n f o \ I m p l i c i t   M e a s u r e < / K e y > < / a : K e y > < a : V a l u e   i : t y p e = " D i a g r a m D i s p l a y V i e w S t a t e I D i a g r a m T a g A d d i t i o n a l I n f o " / > < / a : K e y V a l u e O f D i a g r a m O b j e c t K e y a n y T y p e z b w N T n L X > < a : K e y V a l u e O f D i a g r a m O b j e c t K e y a n y T y p e z b w N T n L X > < a : K e y > < K e y > T a b l e s \ v w F u n d e r S h a r e \ M e a s u r e s \ A v e r a g e   o f   S t a t e   A l l o c a t i o n < / K e y > < / a : K e y > < a : V a l u e   i : t y p e = " D i a g r a m D i s p l a y N o d e V i e w S t a t e " > < H e i g h t > 1 5 0 < / H e i g h t > < I s E x p a n d e d > t r u e < / I s E x p a n d e d > < W i d t h > 2 0 0 < / W i d t h > < / a : V a l u e > < / a : K e y V a l u e O f D i a g r a m O b j e c t K e y a n y T y p e z b w N T n L X > < a : K e y V a l u e O f D i a g r a m O b j e c t K e y a n y T y p e z b w N T n L X > < a : K e y > < K e y > T a b l e s \ v w F u n d e r S h a r e \ A v e r a g e   o f   S t a t e   A l l o c a t i o n \ A d d i t i o n a l   I n f o \ I m p l i c i t   M e a s u r e < / K e y > < / a : K e y > < a : V a l u e   i : t y p e = " D i a g r a m D i s p l a y V i e w S t a t e I D i a g r a m T a g A d d i t i o n a l I n f o " / > < / a : K e y V a l u e O f D i a g r a m O b j e c t K e y a n y T y p e z b w N T n L X > < a : K e y V a l u e O f D i a g r a m O b j e c t K e y a n y T y p e z b w N T n L X > < a : K e y > < K e y > T a b l e s \ v w F u n d e r S h a r e \ M e a s u r e s \ S u m   o f   S t a t e   F u n d e r   S h a r e < / K e y > < / a : K e y > < a : V a l u e   i : t y p e = " D i a g r a m D i s p l a y N o d e V i e w S t a t e " > < H e i g h t > 1 5 0 < / H e i g h t > < I s E x p a n d e d > t r u e < / I s E x p a n d e d > < W i d t h > 2 0 0 < / W i d t h > < / a : V a l u e > < / a : K e y V a l u e O f D i a g r a m O b j e c t K e y a n y T y p e z b w N T n L X > < a : K e y V a l u e O f D i a g r a m O b j e c t K e y a n y T y p e z b w N T n L X > < a : K e y > < K e y > T a b l e s \ v w F u n d e r S h a r e \ S u m   o f   S t a t e   F u n d e r   S h a r e \ A d d i t i o n a l   I n f o \ I m p l i c i t   M e a s u r e < / K e y > < / a : K e y > < a : V a l u e   i : t y p e = " D i a g r a m D i s p l a y V i e w S t a t e I D i a g r a m T a g A d d i t i o n a l I n f o " / > < / a : K e y V a l u e O f D i a g r a m O b j e c t K e y a n y T y p e z b w N T n L X > < a : K e y V a l u e O f D i a g r a m O b j e c t K e y a n y T y p e z b w N T n L X > < a : K e y > < K e y > T a b l e s \ v w W A I O U < / K e y > < / a : K e y > < a : V a l u e   i : t y p e = " D i a g r a m D i s p l a y N o d e V i e w S t a t e " > < H e i g h t > 4 7 1 . 6 < / H e i g h t > < I s E x p a n d e d > t r u e < / I s E x p a n d e d > < L a y e d O u t > t r u e < / L a y e d O u t > < L e f t > 7 5 6 . 2 0 7 6 2 1 1 3 5 3 3 1 4 6 < / L e f t > < T a b I n d e x > 2 < / T a b I n d e x > < T o p > 8 . 3 9 9 9 9 9 9 9 9 9 9 9 9 7 7 3 < / T o p > < W i d t h > 2 0 0 < / W i d t h > < / a : V a l u e > < / a : K e y V a l u e O f D i a g r a m O b j e c t K e y a n y T y p e z b w N T n L X > < a : K e y V a l u e O f D i a g r a m O b j e c t K e y a n y T y p e z b w N T n L X > < a : K e y > < K e y > T a b l e s \ v w W A I O U \ C o l u m n s \ S n a p s h o t < / K e y > < / a : K e y > < a : V a l u e   i : t y p e = " D i a g r a m D i s p l a y N o d e V i e w S t a t e " > < H e i g h t > 1 5 0 < / H e i g h t > < I s E x p a n d e d > t r u e < / I s E x p a n d e d > < W i d t h > 2 0 0 < / W i d t h > < / a : V a l u e > < / a : K e y V a l u e O f D i a g r a m O b j e c t K e y a n y T y p e z b w N T n L X > < a : K e y V a l u e O f D i a g r a m O b j e c t K e y a n y T y p e z b w N T n L X > < a : K e y > < K e y > T a b l e s \ v w W A I O U \ C o l u m n s \ y e a r < / K e y > < / a : K e y > < a : V a l u e   i : t y p e = " D i a g r a m D i s p l a y N o d e V i e w S t a t e " > < H e i g h t > 1 5 0 < / H e i g h t > < I s E x p a n d e d > t r u e < / I s E x p a n d e d > < W i d t h > 2 0 0 < / W i d t h > < / a : V a l u e > < / a : K e y V a l u e O f D i a g r a m O b j e c t K e y a n y T y p e z b w N T n L X > < a : K e y V a l u e O f D i a g r a m O b j e c t K e y a n y T y p e z b w N T n L X > < a : K e y > < K e y > T a b l e s \ v w W A I O U \ C o l u m n s \ I n i t i a t i v e < / K e y > < / a : K e y > < a : V a l u e   i : t y p e = " D i a g r a m D i s p l a y N o d e V i e w S t a t e " > < H e i g h t > 1 5 0 < / H e i g h t > < I s E x p a n d e d > t r u e < / I s E x p a n d e d > < W i d t h > 2 0 0 < / W i d t h > < / a : V a l u e > < / a : K e y V a l u e O f D i a g r a m O b j e c t K e y a n y T y p e z b w N T n L X > < a : K e y V a l u e O f D i a g r a m O b j e c t K e y a n y T y p e z b w N T n L X > < a : K e y > < K e y > T a b l e s \ v w W A I O U \ C o l u m n s \ M e a s u r e < / K e y > < / a : K e y > < a : V a l u e   i : t y p e = " D i a g r a m D i s p l a y N o d e V i e w S t a t e " > < H e i g h t > 1 5 0 < / H e i g h t > < I s E x p a n d e d > t r u e < / I s E x p a n d e d > < W i d t h > 2 0 0 < / W i d t h > < / a : V a l u e > < / a : K e y V a l u e O f D i a g r a m O b j e c t K e y a n y T y p e z b w N T n L X > < a : K e y V a l u e O f D i a g r a m O b j e c t K e y a n y T y p e z b w N T n L X > < a : K e y > < K e y > T a b l e s \ v w W A I O U \ C o l u m n s \ M e a s u r e   I n d e x < / K e y > < / a : K e y > < a : V a l u e   i : t y p e = " D i a g r a m D i s p l a y N o d e V i e w S t a t e " > < H e i g h t > 1 5 0 < / H e i g h t > < I s E x p a n d e d > t r u e < / I s E x p a n d e d > < W i d t h > 2 0 0 < / W i d t h > < / a : V a l u e > < / a : K e y V a l u e O f D i a g r a m O b j e c t K e y a n y T y p e z b w N T n L X > < a : K e y V a l u e O f D i a g r a m O b j e c t K e y a n y T y p e z b w N T n L X > < a : K e y > < K e y > T a b l e s \ v w W A I O U \ C o l u m n s \ P r o d u c t < / K e y > < / a : K e y > < a : V a l u e   i : t y p e = " D i a g r a m D i s p l a y N o d e V i e w S t a t e " > < H e i g h t > 1 5 0 < / H e i g h t > < I s E x p a n d e d > t r u e < / I s E x p a n d e d > < W i d t h > 2 0 0 < / W i d t h > < / a : V a l u e > < / a : K e y V a l u e O f D i a g r a m O b j e c t K e y a n y T y p e z b w N T n L X > < a : K e y V a l u e O f D i a g r a m O b j e c t K e y a n y T y p e z b w N T n L X > < a : K e y > < K e y > T a b l e s \ v w W A I O U \ C o l u m n s \ T i e r < / K e y > < / a : K e y > < a : V a l u e   i : t y p e = " D i a g r a m D i s p l a y N o d e V i e w S t a t e " > < H e i g h t > 1 5 0 < / H e i g h t > < I s E x p a n d e d > t r u e < / I s E x p a n d e d > < W i d t h > 2 0 0 < / W i d t h > < / a : V a l u e > < / a : K e y V a l u e O f D i a g r a m O b j e c t K e y a n y T y p e z b w N T n L X > < a : K e y V a l u e O f D i a g r a m O b j e c t K e y a n y T y p e z b w N T n L X > < a : K e y > < K e y > T a b l e s \ v w W A I O U \ C o l u m n s \ S a v i n g s   C a t e g o r y < / K e y > < / a : K e y > < a : V a l u e   i : t y p e = " D i a g r a m D i s p l a y N o d e V i e w S t a t e " > < H e i g h t > 1 5 0 < / H e i g h t > < I s E x p a n d e d > t r u e < / I s E x p a n d e d > < W i d t h > 2 0 0 < / W i d t h > < / a : V a l u e > < / a : K e y V a l u e O f D i a g r a m O b j e c t K e y a n y T y p e z b w N T n L X > < a : K e y V a l u e O f D i a g r a m O b j e c t K e y a n y T y p e z b w N T n L X > < a : K e y > < K e y > T a b l e s \ v w W A I O U \ C o l u m n s \ F u n d i n g   C y c l e < / K e y > < / a : K e y > < a : V a l u e   i : t y p e = " D i a g r a m D i s p l a y N o d e V i e w S t a t e " > < H e i g h t > 1 5 0 < / H e i g h t > < I s E x p a n d e d > t r u e < / I s E x p a n d e d > < I s F o c u s e d > t r u e < / I s F o c u s e d > < W i d t h > 2 0 0 < / W i d t h > < / a : V a l u e > < / a : K e y V a l u e O f D i a g r a m O b j e c t K e y a n y T y p e z b w N T n L X > < a : K e y V a l u e O f D i a g r a m O b j e c t K e y a n y T y p e z b w N T n L X > < a : K e y > < K e y > T a b l e s \ v w W A I O U \ C o l u m n s \ u n i t s < / K e y > < / a : K e y > < a : V a l u e   i : t y p e = " D i a g r a m D i s p l a y N o d e V i e w S t a t e " > < H e i g h t > 1 5 0 < / H e i g h t > < I s E x p a n d e d > t r u e < / I s E x p a n d e d > < W i d t h > 2 0 0 < / W i d t h > < / a : V a l u e > < / a : K e y V a l u e O f D i a g r a m O b j e c t K e y a n y T y p e z b w N T n L X > < a : K e y V a l u e O f D i a g r a m O b j e c t K e y a n y T y p e z b w N T n L X > < a : K e y > < K e y > T a b l e s \ v w W A I O U \ C o l u m n s \ S a v i n g s   R a t e   T y p e < / K e y > < / a : K e y > < a : V a l u e   i : t y p e = " D i a g r a m D i s p l a y N o d e V i e w S t a t e " > < H e i g h t > 1 5 0 < / H e i g h t > < I s E x p a n d e d > t r u e < / I s E x p a n d e d > < W i d t h > 2 0 0 < / W i d t h > < / a : V a l u e > < / a : K e y V a l u e O f D i a g r a m O b j e c t K e y a n y T y p e z b w N T n L X > < a : K e y V a l u e O f D i a g r a m O b j e c t K e y a n y T y p e z b w N T n L X > < a : K e y > < K e y > T a b l e s \ v w W A I O U \ C o l u m n s \ S a v i n g s   R a t e < / K e y > < / a : K e y > < a : V a l u e   i : t y p e = " D i a g r a m D i s p l a y N o d e V i e w S t a t e " > < H e i g h t > 1 5 0 < / H e i g h t > < I s E x p a n d e d > t r u e < / I s E x p a n d e d > < W i d t h > 2 0 0 < / W i d t h > < / a : V a l u e > < / a : K e y V a l u e O f D i a g r a m O b j e c t K e y a n y T y p e z b w N T n L X > < a : K e y V a l u e O f D i a g r a m O b j e c t K e y a n y T y p e z b w N T n L X > < a : K e y > < K e y > T a b l e s \ v w W A I O U \ M e a s u r e s \ C o u n t   o f   F u n d i n g   C y c l e < / K e y > < / a : K e y > < a : V a l u e   i : t y p e = " D i a g r a m D i s p l a y N o d e V i e w S t a t e " > < H e i g h t > 1 5 0 < / H e i g h t > < I s E x p a n d e d > t r u e < / I s E x p a n d e d > < W i d t h > 2 0 0 < / W i d t h > < / a : V a l u e > < / a : K e y V a l u e O f D i a g r a m O b j e c t K e y a n y T y p e z b w N T n L X > < a : K e y V a l u e O f D i a g r a m O b j e c t K e y a n y T y p e z b w N T n L X > < a : K e y > < K e y > T a b l e s \ v w W A I O U \ C o u n t   o f   F u n d i n g   C y c l e \ A d d i t i o n a l   I n f o \ I m p l i c i t   M e a s u r e < / K e y > < / a : K e y > < a : V a l u e   i : t y p e = " D i a g r a m D i s p l a y V i e w S t a t e I D i a g r a m T a g A d d i t i o n a l I n f o " / > < / a : K e y V a l u e O f D i a g r a m O b j e c t K e y a n y T y p e z b w N T n L X > < a : K e y V a l u e O f D i a g r a m O b j e c t K e y a n y T y p e z b w N T n L X > < a : K e y > < K e y > T a b l e s \ v w W A I O U \ M e a s u r e s \ S u m   o f   u n i t s < / K e y > < / a : K e y > < a : V a l u e   i : t y p e = " D i a g r a m D i s p l a y N o d e V i e w S t a t e " > < H e i g h t > 1 5 0 < / H e i g h t > < I s E x p a n d e d > t r u e < / I s E x p a n d e d > < W i d t h > 2 0 0 < / W i d t h > < / a : V a l u e > < / a : K e y V a l u e O f D i a g r a m O b j e c t K e y a n y T y p e z b w N T n L X > < a : K e y V a l u e O f D i a g r a m O b j e c t K e y a n y T y p e z b w N T n L X > < a : K e y > < K e y > T a b l e s \ v w W A I O U \ S u m   o f   u n i t s \ A d d i t i o n a l   I n f o \ I m p l i c i t   M e a s u r e < / K e y > < / a : K e y > < a : V a l u e   i : t y p e = " D i a g r a m D i s p l a y V i e w S t a t e I D i a g r a m T a g A d d i t i o n a l I n f o " / > < / a : K e y V a l u e O f D i a g r a m O b j e c t K e y a n y T y p e z b w N T n L X > < a : K e y V a l u e O f D i a g r a m O b j e c t K e y a n y T y p e z b w N T n L X > < a : K e y > < K e y > T a b l e s \ v w W A I O U \ M e a s u r e s \ S u m   o f   y e a r < / K e y > < / a : K e y > < a : V a l u e   i : t y p e = " D i a g r a m D i s p l a y N o d e V i e w S t a t e " > < H e i g h t > 1 5 0 < / H e i g h t > < I s E x p a n d e d > t r u e < / I s E x p a n d e d > < W i d t h > 2 0 0 < / W i d t h > < / a : V a l u e > < / a : K e y V a l u e O f D i a g r a m O b j e c t K e y a n y T y p e z b w N T n L X > < a : K e y V a l u e O f D i a g r a m O b j e c t K e y a n y T y p e z b w N T n L X > < a : K e y > < K e y > T a b l e s \ v w W A I O U \ S u m   o f   y e a r \ A d d i t i o n a l   I n f o \ I m p l i c i t   M e a s u r e < / K e y > < / a : K e y > < a : V a l u e   i : t y p e = " D i a g r a m D i s p l a y V i e w S t a t e I D i a g r a m T a g A d d i t i o n a l I n f o " / > < / a : K e y V a l u e O f D i a g r a m O b j e c t K e y a n y T y p e z b w N T n L X > < a : K e y V a l u e O f D i a g r a m O b j e c t K e y a n y T y p e z b w N T n L X > < a : K e y > < K e y > T a b l e s \ v w W A I O U \ M e a s u r e s \ S u m   o f   S a v i n g s   R a t e < / K e y > < / a : K e y > < a : V a l u e   i : t y p e = " D i a g r a m D i s p l a y N o d e V i e w S t a t e " > < H e i g h t > 1 5 0 < / H e i g h t > < I s E x p a n d e d > t r u e < / I s E x p a n d e d > < W i d t h > 2 0 0 < / W i d t h > < / a : V a l u e > < / a : K e y V a l u e O f D i a g r a m O b j e c t K e y a n y T y p e z b w N T n L X > < a : K e y V a l u e O f D i a g r a m O b j e c t K e y a n y T y p e z b w N T n L X > < a : K e y > < K e y > T a b l e s \ v w W A I O U \ S u m   o f   S a v i n g s   R a t e \ A d d i t i o n a l   I n f o \ I m p l i c i t   M e a s u r e < / K e y > < / a : K e y > < a : V a l u e   i : t y p e = " D i a g r a m D i s p l a y V i e w S t a t e I D i a g r a m T a g A d d i t i o n a l I n f o " / > < / a : K e y V a l u e O f D i a g r a m O b j e c t K e y a n y T y p e z b w N T n L X > < a : K e y V a l u e O f D i a g r a m O b j e c t K e y a n y T y p e z b w N T n L X > < a : K e y > < K e y > T a b l e s \ v w W A I O U \ M e a s u r e s \ M a x   o f   S a v i n g s   R a t e < / K e y > < / a : K e y > < a : V a l u e   i : t y p e = " D i a g r a m D i s p l a y N o d e V i e w S t a t e " > < H e i g h t > 1 5 0 < / H e i g h t > < I s E x p a n d e d > t r u e < / I s E x p a n d e d > < W i d t h > 2 0 0 < / W i d t h > < / a : V a l u e > < / a : K e y V a l u e O f D i a g r a m O b j e c t K e y a n y T y p e z b w N T n L X > < a : K e y V a l u e O f D i a g r a m O b j e c t K e y a n y T y p e z b w N T n L X > < a : K e y > < K e y > T a b l e s \ v w W A I O U \ M a x   o f   S a v i n g s   R a t e \ A d d i t i o n a l   I n f o \ I m p l i c i t   M e a s u r e < / K e y > < / a : K e y > < a : V a l u e   i : t y p e = " D i a g r a m D i s p l a y V i e w S t a t e I D i a g r a m T a g A d d i t i o n a l I n f o " / > < / a : K e y V a l u e O f D i a g r a m O b j e c t K e y a n y T y p e z b w N T n L X > < a : K e y V a l u e O f D i a g r a m O b j e c t K e y a n y T y p e z b w N T n L X > < a : K e y > < K e y > T a b l e s \ v w S a v i n g s R a t e s < / K e y > < / a : K e y > < a : V a l u e   i : t y p e = " D i a g r a m D i s p l a y N o d e V i e w S t a t e " > < H e i g h t > 4 5 1 . 6 < / H e i g h t > < I s E x p a n d e d > t r u e < / I s E x p a n d e d > < L a y e d O u t > t r u e < / L a y e d O u t > < L e f t > 2 7 9 . 7 1 1 4 3 1 7 0 2 9 9 7 1 7 < / L e f t > < T a b I n d e x > 1 < / T a b I n d e x > < T o p > 0 . 3 9 9 9 9 9 9 9 9 9 9 9 9 7 7 2 6 < / T o p > < W i d t h > 2 0 0 < / W i d t h > < / a : V a l u e > < / a : K e y V a l u e O f D i a g r a m O b j e c t K e y a n y T y p e z b w N T n L X > < a : K e y V a l u e O f D i a g r a m O b j e c t K e y a n y T y p e z b w N T n L X > < a : K e y > < K e y > T a b l e s \ v w S a v i n g s R a t e s \ C o l u m n s \ y e a r < / K e y > < / a : K e y > < a : V a l u e   i : t y p e = " D i a g r a m D i s p l a y N o d e V i e w S t a t e " > < H e i g h t > 1 5 0 < / H e i g h t > < I s E x p a n d e d > t r u e < / I s E x p a n d e d > < W i d t h > 2 0 0 < / W i d t h > < / a : V a l u e > < / a : K e y V a l u e O f D i a g r a m O b j e c t K e y a n y T y p e z b w N T n L X > < a : K e y V a l u e O f D i a g r a m O b j e c t K e y a n y T y p e z b w N T n L X > < a : K e y > < K e y > T a b l e s \ v w S a v i n g s R a t e s \ C o l u m n s \ I n i t i a t i v e < / K e y > < / a : K e y > < a : V a l u e   i : t y p e = " D i a g r a m D i s p l a y N o d e V i e w S t a t e " > < H e i g h t > 1 5 0 < / H e i g h t > < I s E x p a n d e d > t r u e < / I s E x p a n d e d > < W i d t h > 2 0 0 < / W i d t h > < / a : V a l u e > < / a : K e y V a l u e O f D i a g r a m O b j e c t K e y a n y T y p e z b w N T n L X > < a : K e y V a l u e O f D i a g r a m O b j e c t K e y a n y T y p e z b w N T n L X > < a : K e y > < K e y > T a b l e s \ v w S a v i n g s R a t e s \ C o l u m n s \ M e a s u r e < / K e y > < / a : K e y > < a : V a l u e   i : t y p e = " D i a g r a m D i s p l a y N o d e V i e w S t a t e " > < H e i g h t > 1 5 0 < / H e i g h t > < I s E x p a n d e d > t r u e < / I s E x p a n d e d > < W i d t h > 2 0 0 < / W i d t h > < / a : V a l u e > < / a : K e y V a l u e O f D i a g r a m O b j e c t K e y a n y T y p e z b w N T n L X > < a : K e y V a l u e O f D i a g r a m O b j e c t K e y a n y T y p e z b w N T n L X > < a : K e y > < K e y > T a b l e s \ v w S a v i n g s R a t e s \ C o l u m n s \ M e a s u r e   I n d e x < / K e y > < / a : K e y > < a : V a l u e   i : t y p e = " D i a g r a m D i s p l a y N o d e V i e w S t a t e " > < H e i g h t > 1 5 0 < / H e i g h t > < I s E x p a n d e d > t r u e < / I s E x p a n d e d > < W i d t h > 2 0 0 < / W i d t h > < / a : V a l u e > < / a : K e y V a l u e O f D i a g r a m O b j e c t K e y a n y T y p e z b w N T n L X > < a : K e y V a l u e O f D i a g r a m O b j e c t K e y a n y T y p e z b w N T n L X > < a : K e y > < K e y > T a b l e s \ v w S a v i n g s R a t e s \ C o l u m n s \ P r o d u c t < / K e y > < / a : K e y > < a : V a l u e   i : t y p e = " D i a g r a m D i s p l a y N o d e V i e w S t a t e " > < H e i g h t > 1 5 0 < / H e i g h t > < I s E x p a n d e d > t r u e < / I s E x p a n d e d > < W i d t h > 2 0 0 < / W i d t h > < / a : V a l u e > < / a : K e y V a l u e O f D i a g r a m O b j e c t K e y a n y T y p e z b w N T n L X > < a : K e y V a l u e O f D i a g r a m O b j e c t K e y a n y T y p e z b w N T n L X > < a : K e y > < K e y > T a b l e s \ v w S a v i n g s R a t e s \ C o l u m n s \ T i e r < / K e y > < / a : K e y > < a : V a l u e   i : t y p e = " D i a g r a m D i s p l a y N o d e V i e w S t a t e " > < H e i g h t > 1 5 0 < / H e i g h t > < I s E x p a n d e d > t r u e < / I s E x p a n d e d > < W i d t h > 2 0 0 < / W i d t h > < / a : V a l u e > < / a : K e y V a l u e O f D i a g r a m O b j e c t K e y a n y T y p e z b w N T n L X > < a : K e y V a l u e O f D i a g r a m O b j e c t K e y a n y T y p e z b w N T n L X > < a : K e y > < K e y > T a b l e s \ v w S a v i n g s R a t e s \ C o l u m n s \ S a v i n g s   R a t e   T y p e < / K e y > < / a : K e y > < a : V a l u e   i : t y p e = " D i a g r a m D i s p l a y N o d e V i e w S t a t e " > < H e i g h t > 1 5 0 < / H e i g h t > < I s E x p a n d e d > t r u e < / I s E x p a n d e d > < W i d t h > 2 0 0 < / W i d t h > < / a : V a l u e > < / a : K e y V a l u e O f D i a g r a m O b j e c t K e y a n y T y p e z b w N T n L X > < a : K e y V a l u e O f D i a g r a m O b j e c t K e y a n y T y p e z b w N T n L X > < a : K e y > < K e y > T a b l e s \ v w S a v i n g s R a t e s \ C o l u m n s \ S a v i n g s   R a t e < / K e y > < / a : K e y > < a : V a l u e   i : t y p e = " D i a g r a m D i s p l a y N o d e V i e w S t a t e " > < H e i g h t > 1 5 0 < / H e i g h t > < I s E x p a n d e d > t r u e < / I s E x p a n d e d > < W i d t h > 2 0 0 < / W i d t h > < / a : V a l u e > < / a : K e y V a l u e O f D i a g r a m O b j e c t K e y a n y T y p e z b w N T n L X > < a : K e y V a l u e O f D i a g r a m O b j e c t K e y a n y T y p e z b w N T n L X > < a : K e y > < K e y > T a b l e s \ v w S a v i n g s R a t e s \ C o l u m n s \ S n a p s h o t < / K e y > < / a : K e y > < a : V a l u e   i : t y p e = " D i a g r a m D i s p l a y N o d e V i e w S t a t e " > < H e i g h t > 1 5 0 < / H e i g h t > < I s E x p a n d e d > t r u e < / I s E x p a n d e d > < W i d t h > 2 0 0 < / W i d t h > < / a : V a l u e > < / a : K e y V a l u e O f D i a g r a m O b j e c t K e y a n y T y p e z b w N T n L X > < a : K e y V a l u e O f D i a g r a m O b j e c t K e y a n y T y p e z b w N T n L X > < a : K e y > < K e y > T a b l e s \ v w S a v i n g s R a t e s \ M e a s u r e s \ S u m   o f   y e a r   2 < / K e y > < / a : K e y > < a : V a l u e   i : t y p e = " D i a g r a m D i s p l a y N o d e V i e w S t a t e " > < H e i g h t > 1 5 0 < / H e i g h t > < I s E x p a n d e d > t r u e < / I s E x p a n d e d > < W i d t h > 2 0 0 < / W i d t h > < / a : V a l u e > < / a : K e y V a l u e O f D i a g r a m O b j e c t K e y a n y T y p e z b w N T n L X > < a : K e y V a l u e O f D i a g r a m O b j e c t K e y a n y T y p e z b w N T n L X > < a : K e y > < K e y > T a b l e s \ v w S a v i n g s R a t e s \ S u m   o f   y e a r   2 \ A d d i t i o n a l   I n f o \ I m p l i c i t   M e a s u r e < / K e y > < / a : K e y > < a : V a l u e   i : t y p e = " D i a g r a m D i s p l a y V i e w S t a t e I D i a g r a m T a g A d d i t i o n a l I n f o " / > < / a : K e y V a l u e O f D i a g r a m O b j e c t K e y a n y T y p e z b w N T n L X > < a : K e y V a l u e O f D i a g r a m O b j e c t K e y a n y T y p e z b w N T n L X > < a : K e y > < K e y > T a b l e s \ F u n d e r _ S h a r e s _ E l e c t < / K e y > < / a : K e y > < a : V a l u e   i : t y p e = " D i a g r a m D i s p l a y N o d e V i e w S t a t e " > < H e i g h t > 2 8 4 . 4 0 0 0 0 0 0 0 0 0 0 0 0 3 < / H e i g h t > < I s E x p a n d e d > t r u e < / I s E x p a n d e d > < L a y e d O u t > t r u e < / L a y e d O u t > < L e f t > 1 3 1 9 . 6 1 5 2 4 2 2 7 0 6 6 3 2 < / L e f t > < T a b I n d e x > 4 < / T a b I n d e x > < W i d t h > 2 0 0 < / W i d t h > < / a : V a l u e > < / a : K e y V a l u e O f D i a g r a m O b j e c t K e y a n y T y p e z b w N T n L X > < a : K e y V a l u e O f D i a g r a m O b j e c t K e y a n y T y p e z b w N T n L X > < a : K e y > < K e y > T a b l e s \ F u n d e r _ S h a r e s _ E l e c t \ C o l u m n s \ F u n d i n g   C y c l e < / K e y > < / a : K e y > < a : V a l u e   i : t y p e = " D i a g r a m D i s p l a y N o d e V i e w S t a t e " > < H e i g h t > 1 5 0 < / H e i g h t > < I s E x p a n d e d > t r u e < / I s E x p a n d e d > < W i d t h > 2 0 0 < / W i d t h > < / a : V a l u e > < / a : K e y V a l u e O f D i a g r a m O b j e c t K e y a n y T y p e z b w N T n L X > < a : K e y V a l u e O f D i a g r a m O b j e c t K e y a n y T y p e z b w N T n L X > < a : K e y > < K e y > T a b l e s \ F u n d e r _ S h a r e s _ E l e c t \ C o l u m n s \ S t a k e h o l d e r _ L o o k u p < / K e y > < / a : K e y > < a : V a l u e   i : t y p e = " D i a g r a m D i s p l a y N o d e V i e w S t a t e " > < H e i g h t > 1 5 0 < / H e i g h t > < I s E x p a n d e d > t r u e < / I s E x p a n d e d > < W i d t h > 2 0 0 < / W i d t h > < / a : V a l u e > < / a : K e y V a l u e O f D i a g r a m O b j e c t K e y a n y T y p e z b w N T n L X > < a : K e y V a l u e O f D i a g r a m O b j e c t K e y a n y T y p e z b w N T n L X > < a : K e y > < K e y > T a b l e s \ F u n d e r _ S h a r e s _ E l e c t \ C o l u m n s \ F u n d e r   S h a r e < / K e y > < / a : K e y > < a : V a l u e   i : t y p e = " D i a g r a m D i s p l a y N o d e V i e w S t a t e " > < H e i g h t > 1 5 0 < / H e i g h t > < I s E x p a n d e d > t r u e < / I s E x p a n d e d > < W i d t h > 2 0 0 < / W i d t h > < / a : V a l u e > < / a : K e y V a l u e O f D i a g r a m O b j e c t K e y a n y T y p e z b w N T n L X > < / V i e w S t a t e s > < / D i a g r a m M a n a g e r . S e r i a l i z a b l e D i a g r a m > < D i a g r a m M a n a g e r . S e r i a l i z a b l e D i a g r a m > < A d a p t e r   i : t y p e = " M e a s u r e D i a g r a m S a n d b o x A d a p t e r " > < T a b l e N a m e > M e r g e 1 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 M e r g e 1 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 F u n d e r _ S h a r e s _ E l e c t . F u n d e r   S h a r e < / K e y > < / D i a g r a m O b j e c t K e y > < D i a g r a m O b j e c t K e y > < K e y > M e a s u r e s \ S u m   o f   F u n d e r _ S h a r e s _ E l e c t . F u n d e r   S h a r e \ T a g I n f o \ F o r m u l a < / K e y > < / D i a g r a m O b j e c t K e y > < D i a g r a m O b j e c t K e y > < K e y > M e a s u r e s \ S u m   o f   F u n d e r _ S h a r e s _ E l e c t . F u n d e r   S h a r e \ T a g I n f o \ V a l u e < / K e y > < / D i a g r a m O b j e c t K e y > < D i a g r a m O b j e c t K e y > < K e y > M e a s u r e s \ S u m   o f   y e a r   3 < / K e y > < / D i a g r a m O b j e c t K e y > < D i a g r a m O b j e c t K e y > < K e y > M e a s u r e s \ S u m   o f   y e a r   3 \ T a g I n f o \ F o r m u l a < / K e y > < / D i a g r a m O b j e c t K e y > < D i a g r a m O b j e c t K e y > < K e y > M e a s u r e s \ S u m   o f   y e a r   3 \ T a g I n f o \ V a l u e < / K e y > < / D i a g r a m O b j e c t K e y > < D i a g r a m O b j e c t K e y > < K e y > C o l u m n s \ S n a p s h o t < / K e y > < / D i a g r a m O b j e c t K e y > < D i a g r a m O b j e c t K e y > < K e y > C o l u m n s \ I n i t i a t i v e < / K e y > < / D i a g r a m O b j e c t K e y > < D i a g r a m O b j e c t K e y > < K e y > C o l u m n s \ I n i t i a t i v e   I n d e x < / K e y > < / D i a g r a m O b j e c t K e y > < D i a g r a m O b j e c t K e y > < K e y > C o l u m n s \ M e a s u r e < / K e y > < / D i a g r a m O b j e c t K e y > < D i a g r a m O b j e c t K e y > < K e y > C o l u m n s \ M e a s u r e   I n d e x < / K e y > < / D i a g r a m O b j e c t K e y > < D i a g r a m O b j e c t K e y > < K e y > C o l u m n s \ u n i t s < / K e y > < / D i a g r a m O b j e c t K e y > < D i a g r a m O b j e c t K e y > < K e y > C o l u m n s \ S a v i n g s   C a t e g o r y < / K e y > < / D i a g r a m O b j e c t K e y > < D i a g r a m O b j e c t K e y > < K e y > C o l u m n s \ y e a r < / K e y > < / D i a g r a m O b j e c t K e y > < D i a g r a m O b j e c t K e y > < K e y > C o l u m n s \ P r o d u c t < / K e y > < / D i a g r a m O b j e c t K e y > < D i a g r a m O b j e c t K e y > < K e y > C o l u m n s \ T i e r < / K e y > < / D i a g r a m O b j e c t K e y > < D i a g r a m O b j e c t K e y > < K e y > C o l u m n s \ F u n d i n g   C y c l e < / K e y > < / D i a g r a m O b j e c t K e y > < D i a g r a m O b j e c t K e y > < K e y > C o l u m n s \ u n i t _ o f _ m e a s u r e < / K e y > < / D i a g r a m O b j e c t K e y > < D i a g r a m O b j e c t K e y > < K e y > C o l u m n s \ F u n d e r _ S h a r e s _ E l e c t . F u n d e r   S h a r e < / K e y > < / D i a g r a m O b j e c t K e y > < D i a g r a m O b j e c t K e y > < K e y > C o l u m n s \ m i n d e x _ y r < / K e y > < / D i a g r a m O b j e c t K e y > < D i a g r a m O b j e c t K e y > < K e y > L i n k s \ & l t ; C o l u m n s \ S u m   o f   F u n d e r _ S h a r e s _ E l e c t . F u n d e r   S h a r e & g t ; - & l t ; M e a s u r e s \ F u n d e r _ S h a r e s _ E l e c t . F u n d e r   S h a r e & g t ; < / K e y > < / D i a g r a m O b j e c t K e y > < D i a g r a m O b j e c t K e y > < K e y > L i n k s \ & l t ; C o l u m n s \ S u m   o f   F u n d e r _ S h a r e s _ E l e c t . F u n d e r   S h a r e & g t ; - & l t ; M e a s u r e s \ F u n d e r _ S h a r e s _ E l e c t . F u n d e r   S h a r e & g t ; \ C O L U M N < / K e y > < / D i a g r a m O b j e c t K e y > < D i a g r a m O b j e c t K e y > < K e y > L i n k s \ & l t ; C o l u m n s \ S u m   o f   F u n d e r _ S h a r e s _ E l e c t . F u n d e r   S h a r e & g t ; - & l t ; M e a s u r e s \ F u n d e r _ S h a r e s _ E l e c t . F u n d e r   S h a r e & g t ; \ M E A S U R E < / K e y > < / D i a g r a m O b j e c t K e y > < D i a g r a m O b j e c t K e y > < K e y > L i n k s \ & l t ; C o l u m n s \ S u m   o f   y e a r   3 & g t ; - & l t ; M e a s u r e s \ y e a r & g t ; < / K e y > < / D i a g r a m O b j e c t K e y > < D i a g r a m O b j e c t K e y > < K e y > L i n k s \ & l t ; C o l u m n s \ S u m   o f   y e a r   3 & g t ; - & l t ; M e a s u r e s \ y e a r & g t ; \ C O L U M N < / K e y > < / D i a g r a m O b j e c t K e y > < D i a g r a m O b j e c t K e y > < K e y > L i n k s \ & l t ; C o l u m n s \ S u m   o f   y e a r   3 & g t ; - & l t ; M e a s u r e s \ y e a r & g t ; \ M E A S U R E 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 F u n d e r _ S h a r e s _ E l e c t . F u n d e r   S h a r e < / K e y > < / a : K e y > < a : V a l u e   i : t y p e = " M e a s u r e G r i d N o d e V i e w S t a t e " > < C o l u m n > 1 2 < / C o l u m n > < L a y e d O u t > t r u e < / L a y e d O u t > < W a s U I I n v i s i b l e > t r u e < / W a s U I I n v i s i b l e > < / a : V a l u e > < / a : K e y V a l u e O f D i a g r a m O b j e c t K e y a n y T y p e z b w N T n L X > < a : K e y V a l u e O f D i a g r a m O b j e c t K e y a n y T y p e z b w N T n L X > < a : K e y > < K e y > M e a s u r e s \ S u m   o f   F u n d e r _ S h a r e s _ E l e c t . F u n d e r   S h a r e \ T a g I n f o \ F o r m u l a < / K e y > < / a : K e y > < a : V a l u e   i : t y p e = " M e a s u r e G r i d V i e w S t a t e I D i a g r a m T a g A d d i t i o n a l I n f o " / > < / a : K e y V a l u e O f D i a g r a m O b j e c t K e y a n y T y p e z b w N T n L X > < a : K e y V a l u e O f D i a g r a m O b j e c t K e y a n y T y p e z b w N T n L X > < a : K e y > < K e y > M e a s u r e s \ S u m   o f   F u n d e r _ S h a r e s _ E l e c t . F u n d e r   S h a r e \ T a g I n f o \ V a l u e < / K e y > < / a : K e y > < a : V a l u e   i : t y p e = " M e a s u r e G r i d V i e w S t a t e I D i a g r a m T a g A d d i t i o n a l I n f o " / > < / a : K e y V a l u e O f D i a g r a m O b j e c t K e y a n y T y p e z b w N T n L X > < a : K e y V a l u e O f D i a g r a m O b j e c t K e y a n y T y p e z b w N T n L X > < a : K e y > < K e y > M e a s u r e s \ S u m   o f   y e a r   3 < / K e y > < / a : K e y > < a : V a l u e   i : t y p e = " M e a s u r e G r i d N o d e V i e w S t a t e " > < C o l u m n > 7 < / C o l u m n > < L a y e d O u t > t r u e < / L a y e d O u t > < W a s U I I n v i s i b l e > t r u e < / W a s U I I n v i s i b l e > < / a : V a l u e > < / a : K e y V a l u e O f D i a g r a m O b j e c t K e y a n y T y p e z b w N T n L X > < a : K e y V a l u e O f D i a g r a m O b j e c t K e y a n y T y p e z b w N T n L X > < a : K e y > < K e y > M e a s u r e s \ S u m   o f   y e a r   3 \ T a g I n f o \ F o r m u l a < / K e y > < / a : K e y > < a : V a l u e   i : t y p e = " M e a s u r e G r i d V i e w S t a t e I D i a g r a m T a g A d d i t i o n a l I n f o " / > < / a : K e y V a l u e O f D i a g r a m O b j e c t K e y a n y T y p e z b w N T n L X > < a : K e y V a l u e O f D i a g r a m O b j e c t K e y a n y T y p e z b w N T n L X > < a : K e y > < K e y > M e a s u r e s \ S u m   o f   y e a r   3 \ T a g I n f o \ V a l u e < / K e y > < / a : K e y > < a : V a l u e   i : t y p e = " M e a s u r e G r i d V i e w S t a t e I D i a g r a m T a g A d d i t i o n a l I n f o " / > < / a : K e y V a l u e O f D i a g r a m O b j e c t K e y a n y T y p e z b w N T n L X > < a : K e y V a l u e O f D i a g r a m O b j e c t K e y a n y T y p e z b w N T n L X > < a : K e y > < K e y > C o l u m n s \ S n a p s h o t < / K e y > < / a : K e y > < a : V a l u e   i : t y p e = " M e a s u r e G r i d N o d e V i e w S t a t e " > < L a y e d O u t > t r u e < / L a y e d O u t > < / a : V a l u e > < / a : K e y V a l u e O f D i a g r a m O b j e c t K e y a n y T y p e z b w N T n L X > < a : K e y V a l u e O f D i a g r a m O b j e c t K e y a n y T y p e z b w N T n L X > < a : K e y > < K e y > C o l u m n s \ I n i t i a t i v e < / K e y > < / a : K e y > < a : V a l u e   i : t y p e = " M e a s u r e G r i d N o d e V i e w S t a t e " > < C o l u m n > 1 < / C o l u m n > < L a y e d O u t > t r u e < / L a y e d O u t > < / a : V a l u e > < / a : K e y V a l u e O f D i a g r a m O b j e c t K e y a n y T y p e z b w N T n L X > < a : K e y V a l u e O f D i a g r a m O b j e c t K e y a n y T y p e z b w N T n L X > < a : K e y > < K e y > C o l u m n s \ I n i t i a t i v e   I n d e x < / K e y > < / a : K e y > < a : V a l u e   i : t y p e = " M e a s u r e G r i d N o d e V i e w S t a t e " > < C o l u m n > 2 < / C o l u m n > < L a y e d O u t > t r u e < / L a y e d O u t > < / a : V a l u e > < / a : K e y V a l u e O f D i a g r a m O b j e c t K e y a n y T y p e z b w N T n L X > < a : K e y V a l u e O f D i a g r a m O b j e c t K e y a n y T y p e z b w N T n L X > < a : K e y > < K e y > C o l u m n s \ M e a s u r e < / K e y > < / a : K e y > < a : V a l u e   i : t y p e = " M e a s u r e G r i d N o d e V i e w S t a t e " > < C o l u m n > 3 < / C o l u m n > < L a y e d O u t > t r u e < / L a y e d O u t > < / a : V a l u e > < / a : K e y V a l u e O f D i a g r a m O b j e c t K e y a n y T y p e z b w N T n L X > < a : K e y V a l u e O f D i a g r a m O b j e c t K e y a n y T y p e z b w N T n L X > < a : K e y > < K e y > C o l u m n s \ M e a s u r e   I n d e x < / K e y > < / a : K e y > < a : V a l u e   i : t y p e = " M e a s u r e G r i d N o d e V i e w S t a t e " > < C o l u m n > 4 < / C o l u m n > < L a y e d O u t > t r u e < / L a y e d O u t > < / a : V a l u e > < / a : K e y V a l u e O f D i a g r a m O b j e c t K e y a n y T y p e z b w N T n L X > < a : K e y V a l u e O f D i a g r a m O b j e c t K e y a n y T y p e z b w N T n L X > < a : K e y > < K e y > C o l u m n s \ u n i t s < / K e y > < / a : K e y > < a : V a l u e   i : t y p e = " M e a s u r e G r i d N o d e V i e w S t a t e " > < C o l u m n > 5 < / C o l u m n > < L a y e d O u t > t r u e < / L a y e d O u t > < / a : V a l u e > < / a : K e y V a l u e O f D i a g r a m O b j e c t K e y a n y T y p e z b w N T n L X > < a : K e y V a l u e O f D i a g r a m O b j e c t K e y a n y T y p e z b w N T n L X > < a : K e y > < K e y > C o l u m n s \ S a v i n g s   C a t e g o r y < / K e y > < / a : K e y > < a : V a l u e   i : t y p e = " M e a s u r e G r i d N o d e V i e w S t a t e " > < C o l u m n > 6 < / C o l u m n > < L a y e d O u t > t r u e < / L a y e d O u t > < / a : V a l u e > < / a : K e y V a l u e O f D i a g r a m O b j e c t K e y a n y T y p e z b w N T n L X > < a : K e y V a l u e O f D i a g r a m O b j e c t K e y a n y T y p e z b w N T n L X > < a : K e y > < K e y > C o l u m n s \ y e a r < / K e y > < / a : K e y > < a : V a l u e   i : t y p e = " M e a s u r e G r i d N o d e V i e w S t a t e " > < C o l u m n > 7 < / C o l u m n > < L a y e d O u t > t r u e < / L a y e d O u t > < / a : V a l u e > < / a : K e y V a l u e O f D i a g r a m O b j e c t K e y a n y T y p e z b w N T n L X > < a : K e y V a l u e O f D i a g r a m O b j e c t K e y a n y T y p e z b w N T n L X > < a : K e y > < K e y > C o l u m n s \ P r o d u c t < / K e y > < / a : K e y > < a : V a l u e   i : t y p e = " M e a s u r e G r i d N o d e V i e w S t a t e " > < C o l u m n > 8 < / C o l u m n > < L a y e d O u t > t r u e < / L a y e d O u t > < / a : V a l u e > < / a : K e y V a l u e O f D i a g r a m O b j e c t K e y a n y T y p e z b w N T n L X > < a : K e y V a l u e O f D i a g r a m O b j e c t K e y a n y T y p e z b w N T n L X > < a : K e y > < K e y > C o l u m n s \ T i e r < / K e y > < / a : K e y > < a : V a l u e   i : t y p e = " M e a s u r e G r i d N o d e V i e w S t a t e " > < C o l u m n > 9 < / C o l u m n > < L a y e d O u t > t r u e < / L a y e d O u t > < / a : V a l u e > < / a : K e y V a l u e O f D i a g r a m O b j e c t K e y a n y T y p e z b w N T n L X > < a : K e y V a l u e O f D i a g r a m O b j e c t K e y a n y T y p e z b w N T n L X > < a : K e y > < K e y > C o l u m n s \ F u n d i n g   C y c l e < / K e y > < / a : K e y > < a : V a l u e   i : t y p e = " M e a s u r e G r i d N o d e V i e w S t a t e " > < C o l u m n > 1 0 < / C o l u m n > < L a y e d O u t > t r u e < / L a y e d O u t > < / a : V a l u e > < / a : K e y V a l u e O f D i a g r a m O b j e c t K e y a n y T y p e z b w N T n L X > < a : K e y V a l u e O f D i a g r a m O b j e c t K e y a n y T y p e z b w N T n L X > < a : K e y > < K e y > C o l u m n s \ u n i t _ o f _ m e a s u r e < / K e y > < / a : K e y > < a : V a l u e   i : t y p e = " M e a s u r e G r i d N o d e V i e w S t a t e " > < C o l u m n > 1 1 < / C o l u m n > < L a y e d O u t > t r u e < / L a y e d O u t > < / a : V a l u e > < / a : K e y V a l u e O f D i a g r a m O b j e c t K e y a n y T y p e z b w N T n L X > < a : K e y V a l u e O f D i a g r a m O b j e c t K e y a n y T y p e z b w N T n L X > < a : K e y > < K e y > C o l u m n s \ F u n d e r _ S h a r e s _ E l e c t . F u n d e r   S h a r e < / K e y > < / a : K e y > < a : V a l u e   i : t y p e = " M e a s u r e G r i d N o d e V i e w S t a t e " > < C o l u m n > 1 2 < / C o l u m n > < L a y e d O u t > t r u e < / L a y e d O u t > < / a : V a l u e > < / a : K e y V a l u e O f D i a g r a m O b j e c t K e y a n y T y p e z b w N T n L X > < a : K e y V a l u e O f D i a g r a m O b j e c t K e y a n y T y p e z b w N T n L X > < a : K e y > < K e y > C o l u m n s \ m i n d e x _ y r < / K e y > < / a : K e y > < a : V a l u e   i : t y p e = " M e a s u r e G r i d N o d e V i e w S t a t e " > < C o l u m n > 1 3 < / C o l u m n > < L a y e d O u t > t r u e < / L a y e d O u t > < / a : V a l u e > < / a : K e y V a l u e O f D i a g r a m O b j e c t K e y a n y T y p e z b w N T n L X > < a : K e y V a l u e O f D i a g r a m O b j e c t K e y a n y T y p e z b w N T n L X > < a : K e y > < K e y > L i n k s \ & l t ; C o l u m n s \ S u m   o f   F u n d e r _ S h a r e s _ E l e c t . F u n d e r   S h a r e & g t ; - & l t ; M e a s u r e s \ F u n d e r _ S h a r e s _ E l e c t . F u n d e r   S h a r e & g t ; < / K e y > < / a : K e y > < a : V a l u e   i : t y p e = " M e a s u r e G r i d V i e w S t a t e I D i a g r a m L i n k " / > < / a : K e y V a l u e O f D i a g r a m O b j e c t K e y a n y T y p e z b w N T n L X > < a : K e y V a l u e O f D i a g r a m O b j e c t K e y a n y T y p e z b w N T n L X > < a : K e y > < K e y > L i n k s \ & l t ; C o l u m n s \ S u m   o f   F u n d e r _ S h a r e s _ E l e c t . F u n d e r   S h a r e & g t ; - & l t ; M e a s u r e s \ F u n d e r _ S h a r e s _ E l e c t . F u n d e r   S h a r e & g t ; \ C O L U M N < / K e y > < / a : K e y > < a : V a l u e   i : t y p e = " M e a s u r e G r i d V i e w S t a t e I D i a g r a m L i n k E n d p o i n t " / > < / a : K e y V a l u e O f D i a g r a m O b j e c t K e y a n y T y p e z b w N T n L X > < a : K e y V a l u e O f D i a g r a m O b j e c t K e y a n y T y p e z b w N T n L X > < a : K e y > < K e y > L i n k s \ & l t ; C o l u m n s \ S u m   o f   F u n d e r _ S h a r e s _ E l e c t . F u n d e r   S h a r e & g t ; - & l t ; M e a s u r e s \ F u n d e r _ S h a r e s _ E l e c t . F u n d e r   S h a r e & g t ; \ M E A S U R E < / K e y > < / a : K e y > < a : V a l u e   i : t y p e = " M e a s u r e G r i d V i e w S t a t e I D i a g r a m L i n k E n d p o i n t " / > < / a : K e y V a l u e O f D i a g r a m O b j e c t K e y a n y T y p e z b w N T n L X > < a : K e y V a l u e O f D i a g r a m O b j e c t K e y a n y T y p e z b w N T n L X > < a : K e y > < K e y > L i n k s \ & l t ; C o l u m n s \ S u m   o f   y e a r   3 & g t ; - & l t ; M e a s u r e s \ y e a r & g t ; < / K e y > < / a : K e y > < a : V a l u e   i : t y p e = " M e a s u r e G r i d V i e w S t a t e I D i a g r a m L i n k " / > < / a : K e y V a l u e O f D i a g r a m O b j e c t K e y a n y T y p e z b w N T n L X > < a : K e y V a l u e O f D i a g r a m O b j e c t K e y a n y T y p e z b w N T n L X > < a : K e y > < K e y > L i n k s \ & l t ; C o l u m n s \ S u m   o f   y e a r   3 & g t ; - & l t ; M e a s u r e s \ y e a r & g t ; \ C O L U M N < / K e y > < / a : K e y > < a : V a l u e   i : t y p e = " M e a s u r e G r i d V i e w S t a t e I D i a g r a m L i n k E n d p o i n t " / > < / a : K e y V a l u e O f D i a g r a m O b j e c t K e y a n y T y p e z b w N T n L X > < a : K e y V a l u e O f D i a g r a m O b j e c t K e y a n y T y p e z b w N T n L X > < a : K e y > < K e y > L i n k s \ & l t ; C o l u m n s \ S u m   o f   y e a r   3 & g t ; - & l t ; M e a s u r e s \ y e a r & g t ; \ M E A S U R E < / K e y > < / a : K e y > < a : V a l u e   i : t y p e = " M e a s u r e G r i d V i e w S t a t e I D i a g r a m L i n k E n d p o i n t " / > < / a : K e y V a l u e O f D i a g r a m O b j e c t K e y a n y T y p e z b w N T n L X > < / V i e w S t a t e s > < / D i a g r a m M a n a g e r . S e r i a l i z a b l e D i a g r a m > < D i a g r a m M a n a g e r . S e r i a l i z a b l e D i a g r a m > < A d a p t e r   i : t y p e = " M e a s u r e D i a g r a m S a n d b o x A d a p t e r " > < T a b l e N a m e > v w S a v i n g s R a t e s 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 v w S a v i n g s R a t e s 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 y e a r   2 < / K e y > < / D i a g r a m O b j e c t K e y > < D i a g r a m O b j e c t K e y > < K e y > M e a s u r e s \ S u m   o f   y e a r   2 \ T a g I n f o \ F o r m u l a < / K e y > < / D i a g r a m O b j e c t K e y > < D i a g r a m O b j e c t K e y > < K e y > M e a s u r e s \ S u m   o f   y e a r   2 \ T a g I n f o \ V a l u e < / K e y > < / D i a g r a m O b j e c t K e y > < D i a g r a m O b j e c t K e y > < K e y > C o l u m n s \ y e a r < / K e y > < / D i a g r a m O b j e c t K e y > < D i a g r a m O b j e c t K e y > < K e y > C o l u m n s \ I n i t i a t i v e < / K e y > < / D i a g r a m O b j e c t K e y > < D i a g r a m O b j e c t K e y > < K e y > C o l u m n s \ M e a s u r e < / K e y > < / D i a g r a m O b j e c t K e y > < D i a g r a m O b j e c t K e y > < K e y > C o l u m n s \ M e a s u r e   I n d e x < / K e y > < / D i a g r a m O b j e c t K e y > < D i a g r a m O b j e c t K e y > < K e y > C o l u m n s \ P r o d u c t < / K e y > < / D i a g r a m O b j e c t K e y > < D i a g r a m O b j e c t K e y > < K e y > C o l u m n s \ T i e r < / K e y > < / D i a g r a m O b j e c t K e y > < D i a g r a m O b j e c t K e y > < K e y > C o l u m n s \ S a v i n g s   R a t e   T y p e < / K e y > < / D i a g r a m O b j e c t K e y > < D i a g r a m O b j e c t K e y > < K e y > C o l u m n s \ S a v i n g s   R a t e < / K e y > < / D i a g r a m O b j e c t K e y > < D i a g r a m O b j e c t K e y > < K e y > C o l u m n s \ S n a p s h o t < / K e y > < / D i a g r a m O b j e c t K e y > < D i a g r a m O b j e c t K e y > < K e y > L i n k s \ & l t ; C o l u m n s \ S u m   o f   y e a r   2 & g t ; - & l t ; M e a s u r e s \ y e a r & g t ; < / K e y > < / D i a g r a m O b j e c t K e y > < D i a g r a m O b j e c t K e y > < K e y > L i n k s \ & l t ; C o l u m n s \ S u m   o f   y e a r   2 & g t ; - & l t ; M e a s u r e s \ y e a r & g t ; \ C O L U M N < / K e y > < / D i a g r a m O b j e c t K e y > < D i a g r a m O b j e c t K e y > < K e y > L i n k s \ & l t ; C o l u m n s \ S u m   o f   y e a r   2 & g t ; - & l t ; M e a s u r e s \ y e a r & g t ; \ M E A S U R E 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 y e a r   2 < / K e y > < / a : K e y > < a : V a l u e   i : t y p e = " M e a s u r e G r i d N o d e V i e w S t a t e " > < L a y e d O u t > t r u e < / L a y e d O u t > < W a s U I I n v i s i b l e > t r u e < / W a s U I I n v i s i b l e > < / a : V a l u e > < / a : K e y V a l u e O f D i a g r a m O b j e c t K e y a n y T y p e z b w N T n L X > < a : K e y V a l u e O f D i a g r a m O b j e c t K e y a n y T y p e z b w N T n L X > < a : K e y > < K e y > M e a s u r e s \ S u m   o f   y e a r   2 \ T a g I n f o \ F o r m u l a < / K e y > < / a : K e y > < a : V a l u e   i : t y p e = " M e a s u r e G r i d V i e w S t a t e I D i a g r a m T a g A d d i t i o n a l I n f o " / > < / a : K e y V a l u e O f D i a g r a m O b j e c t K e y a n y T y p e z b w N T n L X > < a : K e y V a l u e O f D i a g r a m O b j e c t K e y a n y T y p e z b w N T n L X > < a : K e y > < K e y > M e a s u r e s \ S u m   o f   y e a r   2 \ T a g I n f o \ V a l u e 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 C o l u m n s \ I n i t i a t i v e < / K e y > < / a : K e y > < a : V a l u e   i : t y p e = " M e a s u r e G r i d N o d e V i e w S t a t e " > < C o l u m n > 1 < / C o l u m n > < L a y e d O u t > t r u e < / L a y e d O u t > < / a : V a l u e > < / a : K e y V a l u e O f D i a g r a m O b j e c t K e y a n y T y p e z b w N T n L X > < a : K e y V a l u e O f D i a g r a m O b j e c t K e y a n y T y p e z b w N T n L X > < a : K e y > < K e y > C o l u m n s \ M e a s u r e < / K e y > < / a : K e y > < a : V a l u e   i : t y p e = " M e a s u r e G r i d N o d e V i e w S t a t e " > < C o l u m n > 2 < / C o l u m n > < L a y e d O u t > t r u e < / L a y e d O u t > < / a : V a l u e > < / a : K e y V a l u e O f D i a g r a m O b j e c t K e y a n y T y p e z b w N T n L X > < a : K e y V a l u e O f D i a g r a m O b j e c t K e y a n y T y p e z b w N T n L X > < a : K e y > < K e y > C o l u m n s \ M e a s u r e   I n d e x < / K e y > < / a : K e y > < a : V a l u e   i : t y p e = " M e a s u r e G r i d N o d e V i e w S t a t e " > < C o l u m n > 3 < / C o l u m n > < L a y e d O u t > t r u e < / L a y e d O u t > < / a : V a l u e > < / a : K e y V a l u e O f D i a g r a m O b j e c t K e y a n y T y p e z b w N T n L X > < a : K e y V a l u e O f D i a g r a m O b j e c t K e y a n y T y p e z b w N T n L X > < a : K e y > < K e y > C o l u m n s \ P r o d u c t < / K e y > < / a : K e y > < a : V a l u e   i : t y p e = " M e a s u r e G r i d N o d e V i e w S t a t e " > < C o l u m n > 4 < / C o l u m n > < L a y e d O u t > t r u e < / L a y e d O u t > < / a : V a l u e > < / a : K e y V a l u e O f D i a g r a m O b j e c t K e y a n y T y p e z b w N T n L X > < a : K e y V a l u e O f D i a g r a m O b j e c t K e y a n y T y p e z b w N T n L X > < a : K e y > < K e y > C o l u m n s \ T i e r < / K e y > < / a : K e y > < a : V a l u e   i : t y p e = " M e a s u r e G r i d N o d e V i e w S t a t e " > < C o l u m n > 5 < / C o l u m n > < L a y e d O u t > t r u e < / L a y e d O u t > < / a : V a l u e > < / a : K e y V a l u e O f D i a g r a m O b j e c t K e y a n y T y p e z b w N T n L X > < a : K e y V a l u e O f D i a g r a m O b j e c t K e y a n y T y p e z b w N T n L X > < a : K e y > < K e y > C o l u m n s \ S a v i n g s   R a t e   T y p e < / K e y > < / a : K e y > < a : V a l u e   i : t y p e = " M e a s u r e G r i d N o d e V i e w S t a t e " > < C o l u m n > 6 < / C o l u m n > < L a y e d O u t > t r u e < / L a y e d O u t > < / a : V a l u e > < / a : K e y V a l u e O f D i a g r a m O b j e c t K e y a n y T y p e z b w N T n L X > < a : K e y V a l u e O f D i a g r a m O b j e c t K e y a n y T y p e z b w N T n L X > < a : K e y > < K e y > C o l u m n s \ S a v i n g s   R a t e < / K e y > < / a : K e y > < a : V a l u e   i : t y p e = " M e a s u r e G r i d N o d e V i e w S t a t e " > < C o l u m n > 7 < / C o l u m n > < L a y e d O u t > t r u e < / L a y e d O u t > < / a : V a l u e > < / a : K e y V a l u e O f D i a g r a m O b j e c t K e y a n y T y p e z b w N T n L X > < a : K e y V a l u e O f D i a g r a m O b j e c t K e y a n y T y p e z b w N T n L X > < a : K e y > < K e y > C o l u m n s \ S n a p s h o t < / K e y > < / a : K e y > < a : V a l u e   i : t y p e = " M e a s u r e G r i d N o d e V i e w S t a t e " > < C o l u m n > 8 < / C o l u m n > < L a y e d O u t > t r u e < / L a y e d O u t > < / a : V a l u e > < / a : K e y V a l u e O f D i a g r a m O b j e c t K e y a n y T y p e z b w N T n L X > < a : K e y V a l u e O f D i a g r a m O b j e c t K e y a n y T y p e z b w N T n L X > < a : K e y > < K e y > L i n k s \ & l t ; C o l u m n s \ S u m   o f   y e a r   2 & g t ; - & l t ; M e a s u r e s \ y e a r & g t ; < / K e y > < / a : K e y > < a : V a l u e   i : t y p e = " M e a s u r e G r i d V i e w S t a t e I D i a g r a m L i n k " / > < / a : K e y V a l u e O f D i a g r a m O b j e c t K e y a n y T y p e z b w N T n L X > < a : K e y V a l u e O f D i a g r a m O b j e c t K e y a n y T y p e z b w N T n L X > < a : K e y > < K e y > L i n k s \ & l t ; C o l u m n s \ S u m   o f   y e a r   2 & g t ; - & l t ; M e a s u r e s \ y e a r & g t ; \ C O L U M N < / K e y > < / a : K e y > < a : V a l u e   i : t y p e = " M e a s u r e G r i d V i e w S t a t e I D i a g r a m L i n k E n d p o i n t " / > < / a : K e y V a l u e O f D i a g r a m O b j e c t K e y a n y T y p e z b w N T n L X > < a : K e y V a l u e O f D i a g r a m O b j e c t K e y a n y T y p e z b w N T n L X > < a : K e y > < K e y > L i n k s \ & l t ; C o l u m n s \ S u m   o f   y e a r   2 & g t ; - & l t ; M e a s u r e s \ y e a r & g t ; \ M E A S U R E < / K e y > < / a : K e y > < a : V a l u e   i : t y p e = " M e a s u r e G r i d V i e w S t a t e I D i a g r a m L i n k E n d p o i n t " / > < / a : K e y V a l u e O f D i a g r a m O b j e c t K e y a n y T y p e z b w N T n L X > < / V i e w S t a t e s > < / D i a g r a m M a n a g e r . S e r i a l i z a b l e D i a g r a m > < D i a g r a m M a n a g e r . S e r i a l i z a b l e D i a g r a m > < A d a p t e r   i : t y p e = " M e a s u r e D i a g r a m S a n d b o x A d a p t e r " > < T a b l e N a m e > v w F u n d e r S h a r e 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 v w F u n d e r S h a r e 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 S t a t e   A l l o c a t i o n < / K e y > < / D i a g r a m O b j e c t K e y > < D i a g r a m O b j e c t K e y > < K e y > M e a s u r e s \ S u m   o f   S t a t e   A l l o c a t i o n \ T a g I n f o \ F o r m u l a < / K e y > < / D i a g r a m O b j e c t K e y > < D i a g r a m O b j e c t K e y > < K e y > M e a s u r e s \ S u m   o f   S t a t e   A l l o c a t i o n \ T a g I n f o \ V a l u e < / K e y > < / D i a g r a m O b j e c t K e y > < D i a g r a m O b j e c t K e y > < K e y > M e a s u r e s \ S u m   o f   F u n d e r   S h a r e < / K e y > < / D i a g r a m O b j e c t K e y > < D i a g r a m O b j e c t K e y > < K e y > M e a s u r e s \ S u m   o f   F u n d e r   S h a r e \ T a g I n f o \ F o r m u l a < / K e y > < / D i a g r a m O b j e c t K e y > < D i a g r a m O b j e c t K e y > < K e y > M e a s u r e s \ S u m   o f   F u n d e r   S h a r e \ T a g I n f o \ V a l u e < / K e y > < / D i a g r a m O b j e c t K e y > < D i a g r a m O b j e c t K e y > < K e y > M e a s u r e s \ A v e r a g e   o f   S t a t e   A l l o c a t i o n < / K e y > < / D i a g r a m O b j e c t K e y > < D i a g r a m O b j e c t K e y > < K e y > M e a s u r e s \ A v e r a g e   o f   S t a t e   A l l o c a t i o n \ T a g I n f o \ F o r m u l a < / K e y > < / D i a g r a m O b j e c t K e y > < D i a g r a m O b j e c t K e y > < K e y > M e a s u r e s \ A v e r a g e   o f   S t a t e   A l l o c a t i o n \ T a g I n f o \ V a l u e < / K e y > < / D i a g r a m O b j e c t K e y > < D i a g r a m O b j e c t K e y > < K e y > M e a s u r e s \ S u m   o f   S t a t e   F u n d e r   S h a r e < / K e y > < / D i a g r a m O b j e c t K e y > < D i a g r a m O b j e c t K e y > < K e y > M e a s u r e s \ S u m   o f   S t a t e   F u n d e r   S h a r e \ T a g I n f o \ F o r m u l a < / K e y > < / D i a g r a m O b j e c t K e y > < D i a g r a m O b j e c t K e y > < K e y > M e a s u r e s \ S u m   o f   S t a t e   F u n d e r   S h a r e \ T a g I n f o \ V a l u e < / K e y > < / D i a g r a m O b j e c t K e y > < D i a g r a m O b j e c t K e y > < K e y > C o l u m n s \ N E E A   S t a k e h o l d e r < / K e y > < / D i a g r a m O b j e c t K e y > < D i a g r a m O b j e c t K e y > < K e y > C o l u m n s \ F u n d e r   T y p e < / K e y > < / D i a g r a m O b j e c t K e y > < D i a g r a m O b j e c t K e y > < K e y > C o l u m n s \ S h a r e   T y p e < / K e y > < / D i a g r a m O b j e c t K e y > < D i a g r a m O b j e c t K e y > < K e y > C o l u m n s \ Y e a r < / K e y > < / D i a g r a m O b j e c t K e y > < D i a g r a m O b j e c t K e y > < K e y > C o l u m n s \ F u n d e r   S h a r e < / K e y > < / D i a g r a m O b j e c t K e y > < D i a g r a m O b j e c t K e y > < K e y > C o l u m n s \ A l l o c a t i o n   S t a t e < / K e y > < / D i a g r a m O b j e c t K e y > < D i a g r a m O b j e c t K e y > < K e y > C o l u m n s \ S t a t e   A l l o c a t i o n < / K e y > < / D i a g r a m O b j e c t K e y > < D i a g r a m O b j e c t K e y > < K e y > C o l u m n s \ S t a t e   F u n d e r   S h a r e < / K e y > < / D i a g r a m O b j e c t K e y > < D i a g r a m O b j e c t K e y > < K e y > L i n k s \ & l t ; C o l u m n s \ S u m   o f   S t a t e   A l l o c a t i o n & g t ; - & l t ; M e a s u r e s \ S t a t e   A l l o c a t i o n & g t ; < / K e y > < / D i a g r a m O b j e c t K e y > < D i a g r a m O b j e c t K e y > < K e y > L i n k s \ & l t ; C o l u m n s \ S u m   o f   S t a t e   A l l o c a t i o n & g t ; - & l t ; M e a s u r e s \ S t a t e   A l l o c a t i o n & g t ; \ C O L U M N < / K e y > < / D i a g r a m O b j e c t K e y > < D i a g r a m O b j e c t K e y > < K e y > L i n k s \ & l t ; C o l u m n s \ S u m   o f   S t a t e   A l l o c a t i o n & g t ; - & l t ; M e a s u r e s \ S t a t e   A l l o c a t i o n & g t ; \ M E A S U R E < / K e y > < / D i a g r a m O b j e c t K e y > < D i a g r a m O b j e c t K e y > < K e y > L i n k s \ & l t ; C o l u m n s \ S u m   o f   F u n d e r   S h a r e & g t ; - & l t ; M e a s u r e s \ F u n d e r   S h a r e & g t ; < / K e y > < / D i a g r a m O b j e c t K e y > < D i a g r a m O b j e c t K e y > < K e y > L i n k s \ & l t ; C o l u m n s \ S u m   o f   F u n d e r   S h a r e & g t ; - & l t ; M e a s u r e s \ F u n d e r   S h a r e & g t ; \ C O L U M N < / K e y > < / D i a g r a m O b j e c t K e y > < D i a g r a m O b j e c t K e y > < K e y > L i n k s \ & l t ; C o l u m n s \ S u m   o f   F u n d e r   S h a r e & g t ; - & l t ; M e a s u r e s \ F u n d e r   S h a r e & g t ; \ M E A S U R E < / K e y > < / D i a g r a m O b j e c t K e y > < D i a g r a m O b j e c t K e y > < K e y > L i n k s \ & l t ; C o l u m n s \ A v e r a g e   o f   S t a t e   A l l o c a t i o n & g t ; - & l t ; M e a s u r e s \ S t a t e   A l l o c a t i o n & g t ; < / K e y > < / D i a g r a m O b j e c t K e y > < D i a g r a m O b j e c t K e y > < K e y > L i n k s \ & l t ; C o l u m n s \ A v e r a g e   o f   S t a t e   A l l o c a t i o n & g t ; - & l t ; M e a s u r e s \ S t a t e   A l l o c a t i o n & g t ; \ C O L U M N < / K e y > < / D i a g r a m O b j e c t K e y > < D i a g r a m O b j e c t K e y > < K e y > L i n k s \ & l t ; C o l u m n s \ A v e r a g e   o f   S t a t e   A l l o c a t i o n & g t ; - & l t ; M e a s u r e s \ S t a t e   A l l o c a t i o n & g t ; \ M E A S U R E < / K e y > < / D i a g r a m O b j e c t K e y > < D i a g r a m O b j e c t K e y > < K e y > L i n k s \ & l t ; C o l u m n s \ S u m   o f   S t a t e   F u n d e r   S h a r e & g t ; - & l t ; M e a s u r e s \ S t a t e   F u n d e r   S h a r e & g t ; < / K e y > < / D i a g r a m O b j e c t K e y > < D i a g r a m O b j e c t K e y > < K e y > L i n k s \ & l t ; C o l u m n s \ S u m   o f   S t a t e   F u n d e r   S h a r e & g t ; - & l t ; M e a s u r e s \ S t a t e   F u n d e r   S h a r e & g t ; \ C O L U M N < / K e y > < / D i a g r a m O b j e c t K e y > < D i a g r a m O b j e c t K e y > < K e y > L i n k s \ & l t ; C o l u m n s \ S u m   o f   S t a t e   F u n d e r   S h a r e & g t ; - & l t ; M e a s u r e s \ S t a t e   F u n d e r   S h a r e & g t ; \ M E A S U R E 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 S t a t e   A l l o c a t i o n < / K e y > < / a : K e y > < a : V a l u e   i : t y p e = " M e a s u r e G r i d N o d e V i e w S t a t e " > < C o l u m n > 6 < / C o l u m n > < L a y e d O u t > t r u e < / L a y e d O u t > < W a s U I I n v i s i b l e > t r u e < / W a s U I I n v i s i b l e > < / a : V a l u e > < / a : K e y V a l u e O f D i a g r a m O b j e c t K e y a n y T y p e z b w N T n L X > < a : K e y V a l u e O f D i a g r a m O b j e c t K e y a n y T y p e z b w N T n L X > < a : K e y > < K e y > M e a s u r e s \ S u m   o f   S t a t e   A l l o c a t i o n \ T a g I n f o \ F o r m u l a < / K e y > < / a : K e y > < a : V a l u e   i : t y p e = " M e a s u r e G r i d V i e w S t a t e I D i a g r a m T a g A d d i t i o n a l I n f o " / > < / a : K e y V a l u e O f D i a g r a m O b j e c t K e y a n y T y p e z b w N T n L X > < a : K e y V a l u e O f D i a g r a m O b j e c t K e y a n y T y p e z b w N T n L X > < a : K e y > < K e y > M e a s u r e s \ S u m   o f   S t a t e   A l l o c a t i o n \ T a g I n f o \ V a l u e < / K e y > < / a : K e y > < a : V a l u e   i : t y p e = " M e a s u r e G r i d V i e w S t a t e I D i a g r a m T a g A d d i t i o n a l I n f o " / > < / a : K e y V a l u e O f D i a g r a m O b j e c t K e y a n y T y p e z b w N T n L X > < a : K e y V a l u e O f D i a g r a m O b j e c t K e y a n y T y p e z b w N T n L X > < a : K e y > < K e y > M e a s u r e s \ S u m   o f   F u n d e r   S h a r e < / K e y > < / a : K e y > < a : V a l u e   i : t y p e = " M e a s u r e G r i d N o d e V i e w S t a t e " > < C o l u m n > 4 < / C o l u m n > < L a y e d O u t > t r u e < / L a y e d O u t > < W a s U I I n v i s i b l e > t r u e < / W a s U I I n v i s i b l e > < / a : V a l u e > < / a : K e y V a l u e O f D i a g r a m O b j e c t K e y a n y T y p e z b w N T n L X > < a : K e y V a l u e O f D i a g r a m O b j e c t K e y a n y T y p e z b w N T n L X > < a : K e y > < K e y > M e a s u r e s \ S u m   o f   F u n d e r   S h a r e \ T a g I n f o \ F o r m u l a < / K e y > < / a : K e y > < a : V a l u e   i : t y p e = " M e a s u r e G r i d V i e w S t a t e I D i a g r a m T a g A d d i t i o n a l I n f o " / > < / a : K e y V a l u e O f D i a g r a m O b j e c t K e y a n y T y p e z b w N T n L X > < a : K e y V a l u e O f D i a g r a m O b j e c t K e y a n y T y p e z b w N T n L X > < a : K e y > < K e y > M e a s u r e s \ S u m   o f   F u n d e r   S h a r e \ T a g I n f o \ V a l u e < / K e y > < / a : K e y > < a : V a l u e   i : t y p e = " M e a s u r e G r i d V i e w S t a t e I D i a g r a m T a g A d d i t i o n a l I n f o " / > < / a : K e y V a l u e O f D i a g r a m O b j e c t K e y a n y T y p e z b w N T n L X > < a : K e y V a l u e O f D i a g r a m O b j e c t K e y a n y T y p e z b w N T n L X > < a : K e y > < K e y > M e a s u r e s \ A v e r a g e   o f   S t a t e   A l l o c a t i o n < / K e y > < / a : K e y > < a : V a l u e   i : t y p e = " M e a s u r e G r i d N o d e V i e w S t a t e " > < C o l u m n > 6 < / C o l u m n > < L a y e d O u t > t r u e < / L a y e d O u t > < W a s U I I n v i s i b l e > t r u e < / W a s U I I n v i s i b l e > < / a : V a l u e > < / a : K e y V a l u e O f D i a g r a m O b j e c t K e y a n y T y p e z b w N T n L X > < a : K e y V a l u e O f D i a g r a m O b j e c t K e y a n y T y p e z b w N T n L X > < a : K e y > < K e y > M e a s u r e s \ A v e r a g e   o f   S t a t e   A l l o c a t i o n \ T a g I n f o \ F o r m u l a < / K e y > < / a : K e y > < a : V a l u e   i : t y p e = " M e a s u r e G r i d V i e w S t a t e I D i a g r a m T a g A d d i t i o n a l I n f o " / > < / a : K e y V a l u e O f D i a g r a m O b j e c t K e y a n y T y p e z b w N T n L X > < a : K e y V a l u e O f D i a g r a m O b j e c t K e y a n y T y p e z b w N T n L X > < a : K e y > < K e y > M e a s u r e s \ A v e r a g e   o f   S t a t e   A l l o c a t i o n \ T a g I n f o \ V a l u e < / K e y > < / a : K e y > < a : V a l u e   i : t y p e = " M e a s u r e G r i d V i e w S t a t e I D i a g r a m T a g A d d i t i o n a l I n f o " / > < / a : K e y V a l u e O f D i a g r a m O b j e c t K e y a n y T y p e z b w N T n L X > < a : K e y V a l u e O f D i a g r a m O b j e c t K e y a n y T y p e z b w N T n L X > < a : K e y > < K e y > M e a s u r e s \ S u m   o f   S t a t e   F u n d e r   S h a r e < / K e y > < / a : K e y > < a : V a l u e   i : t y p e = " M e a s u r e G r i d N o d e V i e w S t a t e " > < C o l u m n > 7 < / C o l u m n > < L a y e d O u t > t r u e < / L a y e d O u t > < W a s U I I n v i s i b l e > t r u e < / W a s U I I n v i s i b l e > < / a : V a l u e > < / a : K e y V a l u e O f D i a g r a m O b j e c t K e y a n y T y p e z b w N T n L X > < a : K e y V a l u e O f D i a g r a m O b j e c t K e y a n y T y p e z b w N T n L X > < a : K e y > < K e y > M e a s u r e s \ S u m   o f   S t a t e   F u n d e r   S h a r e \ T a g I n f o \ F o r m u l a < / K e y > < / a : K e y > < a : V a l u e   i : t y p e = " M e a s u r e G r i d V i e w S t a t e I D i a g r a m T a g A d d i t i o n a l I n f o " / > < / a : K e y V a l u e O f D i a g r a m O b j e c t K e y a n y T y p e z b w N T n L X > < a : K e y V a l u e O f D i a g r a m O b j e c t K e y a n y T y p e z b w N T n L X > < a : K e y > < K e y > M e a s u r e s \ S u m   o f   S t a t e   F u n d e r   S h a r e \ T a g I n f o \ V a l u e < / K e y > < / a : K e y > < a : V a l u e   i : t y p e = " M e a s u r e G r i d V i e w S t a t e I D i a g r a m T a g A d d i t i o n a l I n f o " / > < / a : K e y V a l u e O f D i a g r a m O b j e c t K e y a n y T y p e z b w N T n L X > < a : K e y V a l u e O f D i a g r a m O b j e c t K e y a n y T y p e z b w N T n L X > < a : K e y > < K e y > C o l u m n s \ N E E A   S t a k e h o l d e r < / K e y > < / a : K e y > < a : V a l u e   i : t y p e = " M e a s u r e G r i d N o d e V i e w S t a t e " > < L a y e d O u t > t r u e < / L a y e d O u t > < / a : V a l u e > < / a : K e y V a l u e O f D i a g r a m O b j e c t K e y a n y T y p e z b w N T n L X > < a : K e y V a l u e O f D i a g r a m O b j e c t K e y a n y T y p e z b w N T n L X > < a : K e y > < K e y > C o l u m n s \ F u n d e r   T y p e < / K e y > < / a : K e y > < a : V a l u e   i : t y p e = " M e a s u r e G r i d N o d e V i e w S t a t e " > < C o l u m n > 1 < / C o l u m n > < L a y e d O u t > t r u e < / L a y e d O u t > < / a : V a l u e > < / a : K e y V a l u e O f D i a g r a m O b j e c t K e y a n y T y p e z b w N T n L X > < a : K e y V a l u e O f D i a g r a m O b j e c t K e y a n y T y p e z b w N T n L X > < a : K e y > < K e y > C o l u m n s \ S h a r e   T y p e < / 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a : K e y V a l u e O f D i a g r a m O b j e c t K e y a n y T y p e z b w N T n L X > < a : K e y > < K e y > C o l u m n s \ F u n d e r   S h a r e < / K e y > < / a : K e y > < a : V a l u e   i : t y p e = " M e a s u r e G r i d N o d e V i e w S t a t e " > < C o l u m n > 4 < / C o l u m n > < L a y e d O u t > t r u e < / L a y e d O u t > < / a : V a l u e > < / a : K e y V a l u e O f D i a g r a m O b j e c t K e y a n y T y p e z b w N T n L X > < a : K e y V a l u e O f D i a g r a m O b j e c t K e y a n y T y p e z b w N T n L X > < a : K e y > < K e y > C o l u m n s \ A l l o c a t i o n   S t a t e < / K e y > < / a : K e y > < a : V a l u e   i : t y p e = " M e a s u r e G r i d N o d e V i e w S t a t e " > < C o l u m n > 5 < / C o l u m n > < L a y e d O u t > t r u e < / L a y e d O u t > < / a : V a l u e > < / a : K e y V a l u e O f D i a g r a m O b j e c t K e y a n y T y p e z b w N T n L X > < a : K e y V a l u e O f D i a g r a m O b j e c t K e y a n y T y p e z b w N T n L X > < a : K e y > < K e y > C o l u m n s \ S t a t e   A l l o c a t i o n < / K e y > < / a : K e y > < a : V a l u e   i : t y p e = " M e a s u r e G r i d N o d e V i e w S t a t e " > < C o l u m n > 6 < / C o l u m n > < L a y e d O u t > t r u e < / L a y e d O u t > < / a : V a l u e > < / a : K e y V a l u e O f D i a g r a m O b j e c t K e y a n y T y p e z b w N T n L X > < a : K e y V a l u e O f D i a g r a m O b j e c t K e y a n y T y p e z b w N T n L X > < a : K e y > < K e y > C o l u m n s \ S t a t e   F u n d e r   S h a r e < / K e y > < / a : K e y > < a : V a l u e   i : t y p e = " M e a s u r e G r i d N o d e V i e w S t a t e " > < C o l u m n > 7 < / C o l u m n > < L a y e d O u t > t r u e < / L a y e d O u t > < / a : V a l u e > < / a : K e y V a l u e O f D i a g r a m O b j e c t K e y a n y T y p e z b w N T n L X > < a : K e y V a l u e O f D i a g r a m O b j e c t K e y a n y T y p e z b w N T n L X > < a : K e y > < K e y > L i n k s \ & l t ; C o l u m n s \ S u m   o f   S t a t e   A l l o c a t i o n & g t ; - & l t ; M e a s u r e s \ S t a t e   A l l o c a t i o n & g t ; < / K e y > < / a : K e y > < a : V a l u e   i : t y p e = " M e a s u r e G r i d V i e w S t a t e I D i a g r a m L i n k " / > < / a : K e y V a l u e O f D i a g r a m O b j e c t K e y a n y T y p e z b w N T n L X > < a : K e y V a l u e O f D i a g r a m O b j e c t K e y a n y T y p e z b w N T n L X > < a : K e y > < K e y > L i n k s \ & l t ; C o l u m n s \ S u m   o f   S t a t e   A l l o c a t i o n & g t ; - & l t ; M e a s u r e s \ S t a t e   A l l o c a t i o n & g t ; \ C O L U M N < / K e y > < / a : K e y > < a : V a l u e   i : t y p e = " M e a s u r e G r i d V i e w S t a t e I D i a g r a m L i n k E n d p o i n t " / > < / a : K e y V a l u e O f D i a g r a m O b j e c t K e y a n y T y p e z b w N T n L X > < a : K e y V a l u e O f D i a g r a m O b j e c t K e y a n y T y p e z b w N T n L X > < a : K e y > < K e y > L i n k s \ & l t ; C o l u m n s \ S u m   o f   S t a t e   A l l o c a t i o n & g t ; - & l t ; M e a s u r e s \ S t a t e   A l l o c a t i o n & g t ; \ M E A S U R E < / K e y > < / a : K e y > < a : V a l u e   i : t y p e = " M e a s u r e G r i d V i e w S t a t e I D i a g r a m L i n k E n d p o i n t " / > < / a : K e y V a l u e O f D i a g r a m O b j e c t K e y a n y T y p e z b w N T n L X > < a : K e y V a l u e O f D i a g r a m O b j e c t K e y a n y T y p e z b w N T n L X > < a : K e y > < K e y > L i n k s \ & l t ; C o l u m n s \ S u m   o f   F u n d e r   S h a r e & g t ; - & l t ; M e a s u r e s \ F u n d e r   S h a r e & g t ; < / K e y > < / a : K e y > < a : V a l u e   i : t y p e = " M e a s u r e G r i d V i e w S t a t e I D i a g r a m L i n k " / > < / a : K e y V a l u e O f D i a g r a m O b j e c t K e y a n y T y p e z b w N T n L X > < a : K e y V a l u e O f D i a g r a m O b j e c t K e y a n y T y p e z b w N T n L X > < a : K e y > < K e y > L i n k s \ & l t ; C o l u m n s \ S u m   o f   F u n d e r   S h a r e & g t ; - & l t ; M e a s u r e s \ F u n d e r   S h a r e & g t ; \ C O L U M N < / K e y > < / a : K e y > < a : V a l u e   i : t y p e = " M e a s u r e G r i d V i e w S t a t e I D i a g r a m L i n k E n d p o i n t " / > < / a : K e y V a l u e O f D i a g r a m O b j e c t K e y a n y T y p e z b w N T n L X > < a : K e y V a l u e O f D i a g r a m O b j e c t K e y a n y T y p e z b w N T n L X > < a : K e y > < K e y > L i n k s \ & l t ; C o l u m n s \ S u m   o f   F u n d e r   S h a r e & g t ; - & l t ; M e a s u r e s \ F u n d e r   S h a r e & g t ; \ M E A S U R E < / K e y > < / a : K e y > < a : V a l u e   i : t y p e = " M e a s u r e G r i d V i e w S t a t e I D i a g r a m L i n k E n d p o i n t " / > < / a : K e y V a l u e O f D i a g r a m O b j e c t K e y a n y T y p e z b w N T n L X > < a : K e y V a l u e O f D i a g r a m O b j e c t K e y a n y T y p e z b w N T n L X > < a : K e y > < K e y > L i n k s \ & l t ; C o l u m n s \ A v e r a g e   o f   S t a t e   A l l o c a t i o n & g t ; - & l t ; M e a s u r e s \ S t a t e   A l l o c a t i o n & g t ; < / K e y > < / a : K e y > < a : V a l u e   i : t y p e = " M e a s u r e G r i d V i e w S t a t e I D i a g r a m L i n k " / > < / a : K e y V a l u e O f D i a g r a m O b j e c t K e y a n y T y p e z b w N T n L X > < a : K e y V a l u e O f D i a g r a m O b j e c t K e y a n y T y p e z b w N T n L X > < a : K e y > < K e y > L i n k s \ & l t ; C o l u m n s \ A v e r a g e   o f   S t a t e   A l l o c a t i o n & g t ; - & l t ; M e a s u r e s \ S t a t e   A l l o c a t i o n & g t ; \ C O L U M N < / K e y > < / a : K e y > < a : V a l u e   i : t y p e = " M e a s u r e G r i d V i e w S t a t e I D i a g r a m L i n k E n d p o i n t " / > < / a : K e y V a l u e O f D i a g r a m O b j e c t K e y a n y T y p e z b w N T n L X > < a : K e y V a l u e O f D i a g r a m O b j e c t K e y a n y T y p e z b w N T n L X > < a : K e y > < K e y > L i n k s \ & l t ; C o l u m n s \ A v e r a g e   o f   S t a t e   A l l o c a t i o n & g t ; - & l t ; M e a s u r e s \ S t a t e   A l l o c a t i o n & g t ; \ M E A S U R E < / K e y > < / a : K e y > < a : V a l u e   i : t y p e = " M e a s u r e G r i d V i e w S t a t e I D i a g r a m L i n k E n d p o i n t " / > < / a : K e y V a l u e O f D i a g r a m O b j e c t K e y a n y T y p e z b w N T n L X > < a : K e y V a l u e O f D i a g r a m O b j e c t K e y a n y T y p e z b w N T n L X > < a : K e y > < K e y > L i n k s \ & l t ; C o l u m n s \ S u m   o f   S t a t e   F u n d e r   S h a r e & g t ; - & l t ; M e a s u r e s \ S t a t e   F u n d e r   S h a r e & g t ; < / K e y > < / a : K e y > < a : V a l u e   i : t y p e = " M e a s u r e G r i d V i e w S t a t e I D i a g r a m L i n k " / > < / a : K e y V a l u e O f D i a g r a m O b j e c t K e y a n y T y p e z b w N T n L X > < a : K e y V a l u e O f D i a g r a m O b j e c t K e y a n y T y p e z b w N T n L X > < a : K e y > < K e y > L i n k s \ & l t ; C o l u m n s \ S u m   o f   S t a t e   F u n d e r   S h a r e & g t ; - & l t ; M e a s u r e s \ S t a t e   F u n d e r   S h a r e & g t ; \ C O L U M N < / K e y > < / a : K e y > < a : V a l u e   i : t y p e = " M e a s u r e G r i d V i e w S t a t e I D i a g r a m L i n k E n d p o i n t " / > < / a : K e y V a l u e O f D i a g r a m O b j e c t K e y a n y T y p e z b w N T n L X > < a : K e y V a l u e O f D i a g r a m O b j e c t K e y a n y T y p e z b w N T n L X > < a : K e y > < K e y > L i n k s \ & l t ; C o l u m n s \ S u m   o f   S t a t e   F u n d e r   S h a r e & g t ; - & l t ; M e a s u r e s \ S t a t e   F u n d e r   S h a r e & g t ; \ M E A S U R E < / K e y > < / a : K e y > < a : V a l u e   i : t y p e = " M e a s u r e G r i d V i e w S t a t e I D i a g r a m L i n k E n d p o i n t " / > < / a : K e y V a l u e O f D i a g r a m O b j e c t K e y a n y T y p e z b w N T n L X > < / V i e w S t a t e s > < / D i a g r a m M a n a g e r . S e r i a l i z a b l e D i a g r a m > < D i a g r a m M a n a g e r . S e r i a l i z a b l e D i a g r a m > < A d a p t e r   i : t y p e = " M e a s u r e D i a g r a m S a n d b o x A d a p t e r " > < T a b l e N a m e > v w W A I O U < / 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 v w W A I O U < / 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 F u n d i n g   C y c l e < / K e y > < / D i a g r a m O b j e c t K e y > < D i a g r a m O b j e c t K e y > < K e y > M e a s u r e s \ C o u n t   o f   F u n d i n g   C y c l e \ T a g I n f o \ F o r m u l a < / K e y > < / D i a g r a m O b j e c t K e y > < D i a g r a m O b j e c t K e y > < K e y > M e a s u r e s \ C o u n t   o f   F u n d i n g   C y c l e \ T a g I n f o \ V a l u e < / K e y > < / D i a g r a m O b j e c t K e y > < D i a g r a m O b j e c t K e y > < K e y > M e a s u r e s \ S u m   o f   u n i t s < / K e y > < / D i a g r a m O b j e c t K e y > < D i a g r a m O b j e c t K e y > < K e y > M e a s u r e s \ S u m   o f   u n i t s \ T a g I n f o \ F o r m u l a < / K e y > < / D i a g r a m O b j e c t K e y > < D i a g r a m O b j e c t K e y > < K e y > M e a s u r e s \ S u m   o f   u n i t s \ T a g I n f o \ V a l u e < / K e y > < / D i a g r a m O b j e c t K e y > < D i a g r a m O b j e c t K e y > < K e y > M e a s u r e s \ S u m   o f   y e a r < / K e y > < / D i a g r a m O b j e c t K e y > < D i a g r a m O b j e c t K e y > < K e y > M e a s u r e s \ S u m   o f   y e a r \ T a g I n f o \ F o r m u l a < / K e y > < / D i a g r a m O b j e c t K e y > < D i a g r a m O b j e c t K e y > < K e y > M e a s u r e s \ S u m   o f   y e a r \ T a g I n f o \ V a l u e < / K e y > < / D i a g r a m O b j e c t K e y > < D i a g r a m O b j e c t K e y > < K e y > M e a s u r e s \ S u m   o f   S a v i n g s   R a t e < / K e y > < / D i a g r a m O b j e c t K e y > < D i a g r a m O b j e c t K e y > < K e y > M e a s u r e s \ S u m   o f   S a v i n g s   R a t e \ T a g I n f o \ F o r m u l a < / K e y > < / D i a g r a m O b j e c t K e y > < D i a g r a m O b j e c t K e y > < K e y > M e a s u r e s \ S u m   o f   S a v i n g s   R a t e \ T a g I n f o \ V a l u e < / K e y > < / D i a g r a m O b j e c t K e y > < D i a g r a m O b j e c t K e y > < K e y > M e a s u r e s \ M a x   o f   S a v i n g s   R a t e < / K e y > < / D i a g r a m O b j e c t K e y > < D i a g r a m O b j e c t K e y > < K e y > M e a s u r e s \ M a x   o f   S a v i n g s   R a t e \ T a g I n f o \ F o r m u l a < / K e y > < / D i a g r a m O b j e c t K e y > < D i a g r a m O b j e c t K e y > < K e y > M e a s u r e s \ M a x   o f   S a v i n g s   R a t e \ T a g I n f o \ V a l u e < / K e y > < / D i a g r a m O b j e c t K e y > < D i a g r a m O b j e c t K e y > < K e y > C o l u m n s \ S n a p s h o t < / K e y > < / D i a g r a m O b j e c t K e y > < D i a g r a m O b j e c t K e y > < K e y > C o l u m n s \ y e a r < / K e y > < / D i a g r a m O b j e c t K e y > < D i a g r a m O b j e c t K e y > < K e y > C o l u m n s \ I n i t i a t i v e < / K e y > < / D i a g r a m O b j e c t K e y > < D i a g r a m O b j e c t K e y > < K e y > C o l u m n s \ M e a s u r e < / K e y > < / D i a g r a m O b j e c t K e y > < D i a g r a m O b j e c t K e y > < K e y > C o l u m n s \ M e a s u r e   I n d e x < / K e y > < / D i a g r a m O b j e c t K e y > < D i a g r a m O b j e c t K e y > < K e y > C o l u m n s \ P r o d u c t < / K e y > < / D i a g r a m O b j e c t K e y > < D i a g r a m O b j e c t K e y > < K e y > C o l u m n s \ T i e r < / K e y > < / D i a g r a m O b j e c t K e y > < D i a g r a m O b j e c t K e y > < K e y > C o l u m n s \ S a v i n g s   C a t e g o r y < / K e y > < / D i a g r a m O b j e c t K e y > < D i a g r a m O b j e c t K e y > < K e y > C o l u m n s \ F u n d i n g   C y c l e < / K e y > < / D i a g r a m O b j e c t K e y > < D i a g r a m O b j e c t K e y > < K e y > C o l u m n s \ u n i t s < / K e y > < / D i a g r a m O b j e c t K e y > < D i a g r a m O b j e c t K e y > < K e y > C o l u m n s \ S a v i n g s   R a t e   T y p e < / K e y > < / D i a g r a m O b j e c t K e y > < D i a g r a m O b j e c t K e y > < K e y > C o l u m n s \ S a v i n g s   R a t e < / K e y > < / D i a g r a m O b j e c t K e y > < D i a g r a m O b j e c t K e y > < K e y > L i n k s \ & l t ; C o l u m n s \ C o u n t   o f   F u n d i n g   C y c l e & g t ; - & l t ; M e a s u r e s \ F u n d i n g   C y c l e & g t ; < / K e y > < / D i a g r a m O b j e c t K e y > < D i a g r a m O b j e c t K e y > < K e y > L i n k s \ & l t ; C o l u m n s \ C o u n t   o f   F u n d i n g   C y c l e & g t ; - & l t ; M e a s u r e s \ F u n d i n g   C y c l e & g t ; \ C O L U M N < / K e y > < / D i a g r a m O b j e c t K e y > < D i a g r a m O b j e c t K e y > < K e y > L i n k s \ & l t ; C o l u m n s \ C o u n t   o f   F u n d i n g   C y c l e & g t ; - & l t ; M e a s u r e s \ F u n d i n g   C y c l e & g t ; \ M E A S U R E < / K e y > < / D i a g r a m O b j e c t K e y > < D i a g r a m O b j e c t K e y > < K e y > L i n k s \ & l t ; C o l u m n s \ S u m   o f   u n i t s & g t ; - & l t ; M e a s u r e s \ u n i t s & g t ; < / K e y > < / D i a g r a m O b j e c t K e y > < D i a g r a m O b j e c t K e y > < K e y > L i n k s \ & l t ; C o l u m n s \ S u m   o f   u n i t s & g t ; - & l t ; M e a s u r e s \ u n i t s & g t ; \ C O L U M N < / K e y > < / D i a g r a m O b j e c t K e y > < D i a g r a m O b j e c t K e y > < K e y > L i n k s \ & l t ; C o l u m n s \ S u m   o f   u n i t s & g t ; - & l t ; M e a s u r e s \ u n i t s & g t ; \ M E A S U R E < / K e y > < / D i a g r a m O b j e c t K e y > < D i a g r a m O b j e c t K e y > < K e y > L i n k s \ & l t ; C o l u m n s \ S u m   o f   y e a r & g t ; - & l t ; M e a s u r e s \ y e a r & g t ; < / K e y > < / D i a g r a m O b j e c t K e y > < D i a g r a m O b j e c t K e y > < K e y > L i n k s \ & l t ; C o l u m n s \ S u m   o f   y e a r & g t ; - & l t ; M e a s u r e s \ y e a r & g t ; \ C O L U M N < / K e y > < / D i a g r a m O b j e c t K e y > < D i a g r a m O b j e c t K e y > < K e y > L i n k s \ & l t ; C o l u m n s \ S u m   o f   y e a r & g t ; - & l t ; M e a s u r e s \ y e a r & g t ; \ M E A S U R E < / K e y > < / D i a g r a m O b j e c t K e y > < D i a g r a m O b j e c t K e y > < K e y > L i n k s \ & l t ; C o l u m n s \ S u m   o f   S a v i n g s   R a t e & g t ; - & l t ; M e a s u r e s \ S a v i n g s   R a t e & g t ; < / K e y > < / D i a g r a m O b j e c t K e y > < D i a g r a m O b j e c t K e y > < K e y > L i n k s \ & l t ; C o l u m n s \ S u m   o f   S a v i n g s   R a t e & g t ; - & l t ; M e a s u r e s \ S a v i n g s   R a t e & g t ; \ C O L U M N < / K e y > < / D i a g r a m O b j e c t K e y > < D i a g r a m O b j e c t K e y > < K e y > L i n k s \ & l t ; C o l u m n s \ S u m   o f   S a v i n g s   R a t e & g t ; - & l t ; M e a s u r e s \ S a v i n g s   R a t e & g t ; \ M E A S U R E < / K e y > < / D i a g r a m O b j e c t K e y > < D i a g r a m O b j e c t K e y > < K e y > L i n k s \ & l t ; C o l u m n s \ M a x   o f   S a v i n g s   R a t e & g t ; - & l t ; M e a s u r e s \ S a v i n g s   R a t e & g t ; < / K e y > < / D i a g r a m O b j e c t K e y > < D i a g r a m O b j e c t K e y > < K e y > L i n k s \ & l t ; C o l u m n s \ M a x   o f   S a v i n g s   R a t e & g t ; - & l t ; M e a s u r e s \ S a v i n g s   R a t e & g t ; \ C O L U M N < / K e y > < / D i a g r a m O b j e c t K e y > < D i a g r a m O b j e c t K e y > < K e y > L i n k s \ & l t ; C o l u m n s \ M a x   o f   S a v i n g s   R a t e & g t ; - & l t ; M e a s u r e s \ S a v i n g s   R a t e & g t ; \ M E A S U R E 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 F u n d i n g   C y c l e < / K e y > < / a : K e y > < a : V a l u e   i : t y p e = " M e a s u r e G r i d N o d e V i e w S t a t e " > < C o l u m n > 8 < / C o l u m n > < L a y e d O u t > t r u e < / L a y e d O u t > < W a s U I I n v i s i b l e > t r u e < / W a s U I I n v i s i b l e > < / a : V a l u e > < / a : K e y V a l u e O f D i a g r a m O b j e c t K e y a n y T y p e z b w N T n L X > < a : K e y V a l u e O f D i a g r a m O b j e c t K e y a n y T y p e z b w N T n L X > < a : K e y > < K e y > M e a s u r e s \ C o u n t   o f   F u n d i n g   C y c l e \ T a g I n f o \ F o r m u l a < / K e y > < / a : K e y > < a : V a l u e   i : t y p e = " M e a s u r e G r i d V i e w S t a t e I D i a g r a m T a g A d d i t i o n a l I n f o " / > < / a : K e y V a l u e O f D i a g r a m O b j e c t K e y a n y T y p e z b w N T n L X > < a : K e y V a l u e O f D i a g r a m O b j e c t K e y a n y T y p e z b w N T n L X > < a : K e y > < K e y > M e a s u r e s \ C o u n t   o f   F u n d i n g   C y c l e \ T a g I n f o \ V a l u e < / K e y > < / a : K e y > < a : V a l u e   i : t y p e = " M e a s u r e G r i d V i e w S t a t e I D i a g r a m T a g A d d i t i o n a l I n f o " / > < / a : K e y V a l u e O f D i a g r a m O b j e c t K e y a n y T y p e z b w N T n L X > < a : K e y V a l u e O f D i a g r a m O b j e c t K e y a n y T y p e z b w N T n L X > < a : K e y > < K e y > M e a s u r e s \ S u m   o f   u n i t s < / K e y > < / a : K e y > < a : V a l u e   i : t y p e = " M e a s u r e G r i d N o d e V i e w S t a t e " > < C o l u m n > 9 < / C o l u m n > < L a y e d O u t > t r u e < / L a y e d O u t > < W a s U I I n v i s i b l e > t r u e < / W a s U I I n v i s i b l e > < / a : V a l u e > < / a : K e y V a l u e O f D i a g r a m O b j e c t K e y a n y T y p e z b w N T n L X > < a : K e y V a l u e O f D i a g r a m O b j e c t K e y a n y T y p e z b w N T n L X > < a : K e y > < K e y > M e a s u r e s \ S u m   o f   u n i t s \ T a g I n f o \ F o r m u l a < / K e y > < / a : K e y > < a : V a l u e   i : t y p e = " M e a s u r e G r i d V i e w S t a t e I D i a g r a m T a g A d d i t i o n a l I n f o " / > < / a : K e y V a l u e O f D i a g r a m O b j e c t K e y a n y T y p e z b w N T n L X > < a : K e y V a l u e O f D i a g r a m O b j e c t K e y a n y T y p e z b w N T n L X > < a : K e y > < K e y > M e a s u r e s \ S u m   o f   u n i t s \ T a g I n f o \ V a l u e < / K e y > < / a : K e y > < a : V a l u e   i : t y p e = " M e a s u r e G r i d V i e w S t a t e I D i a g r a m T a g A d d i t i o n a l I n f o " / > < / a : K e y V a l u e O f D i a g r a m O b j e c t K e y a n y T y p e z b w N T n L X > < a : K e y V a l u e O f D i a g r a m O b j e c t K e y a n y T y p e z b w N T n L X > < a : K e y > < K e y > M e a s u r e s \ S u m   o f   y e a r < / K e y > < / a : K e y > < a : V a l u e   i : t y p e = " M e a s u r e G r i d N o d e V i e w S t a t e " > < C o l u m n > 1 < / C o l u m n > < L a y e d O u t > t r u e < / L a y e d O u t > < W a s U I I n v i s i b l e > t r u e < / W a s U I I n v i s i b l e > < / a : V a l u e > < / a : K e y V a l u e O f D i a g r a m O b j e c t K e y a n y T y p e z b w N T n L X > < a : K e y V a l u e O f D i a g r a m O b j e c t K e y a n y T y p e z b w N T n L X > < a : K e y > < K e y > M e a s u r e s \ S u m   o f   y e a r \ T a g I n f o \ F o r m u l a < / K e y > < / a : K e y > < a : V a l u e   i : t y p e = " M e a s u r e G r i d V i e w S t a t e I D i a g r a m T a g A d d i t i o n a l I n f o " / > < / a : K e y V a l u e O f D i a g r a m O b j e c t K e y a n y T y p e z b w N T n L X > < a : K e y V a l u e O f D i a g r a m O b j e c t K e y a n y T y p e z b w N T n L X > < a : K e y > < K e y > M e a s u r e s \ S u m   o f   y e a r \ T a g I n f o \ V a l u e < / K e y > < / a : K e y > < a : V a l u e   i : t y p e = " M e a s u r e G r i d V i e w S t a t e I D i a g r a m T a g A d d i t i o n a l I n f o " / > < / a : K e y V a l u e O f D i a g r a m O b j e c t K e y a n y T y p e z b w N T n L X > < a : K e y V a l u e O f D i a g r a m O b j e c t K e y a n y T y p e z b w N T n L X > < a : K e y > < K e y > M e a s u r e s \ S u m   o f   S a v i n g s   R a t e < / K e y > < / a : K e y > < a : V a l u e   i : t y p e = " M e a s u r e G r i d N o d e V i e w S t a t e " > < C o l u m n > 1 1 < / C o l u m n > < L a y e d O u t > t r u e < / L a y e d O u t > < W a s U I I n v i s i b l e > t r u e < / W a s U I I n v i s i b l e > < / a : V a l u e > < / a : K e y V a l u e O f D i a g r a m O b j e c t K e y a n y T y p e z b w N T n L X > < a : K e y V a l u e O f D i a g r a m O b j e c t K e y a n y T y p e z b w N T n L X > < a : K e y > < K e y > M e a s u r e s \ S u m   o f   S a v i n g s   R a t e \ T a g I n f o \ F o r m u l a < / K e y > < / a : K e y > < a : V a l u e   i : t y p e = " M e a s u r e G r i d V i e w S t a t e I D i a g r a m T a g A d d i t i o n a l I n f o " / > < / a : K e y V a l u e O f D i a g r a m O b j e c t K e y a n y T y p e z b w N T n L X > < a : K e y V a l u e O f D i a g r a m O b j e c t K e y a n y T y p e z b w N T n L X > < a : K e y > < K e y > M e a s u r e s \ S u m   o f   S a v i n g s   R a t e \ T a g I n f o \ V a l u e < / K e y > < / a : K e y > < a : V a l u e   i : t y p e = " M e a s u r e G r i d V i e w S t a t e I D i a g r a m T a g A d d i t i o n a l I n f o " / > < / a : K e y V a l u e O f D i a g r a m O b j e c t K e y a n y T y p e z b w N T n L X > < a : K e y V a l u e O f D i a g r a m O b j e c t K e y a n y T y p e z b w N T n L X > < a : K e y > < K e y > M e a s u r e s \ M a x   o f   S a v i n g s   R a t e < / K e y > < / a : K e y > < a : V a l u e   i : t y p e = " M e a s u r e G r i d N o d e V i e w S t a t e " > < C o l u m n > 1 1 < / C o l u m n > < L a y e d O u t > t r u e < / L a y e d O u t > < R o w > 1 < / R o w > < W a s U I I n v i s i b l e > t r u e < / W a s U I I n v i s i b l e > < / a : V a l u e > < / a : K e y V a l u e O f D i a g r a m O b j e c t K e y a n y T y p e z b w N T n L X > < a : K e y V a l u e O f D i a g r a m O b j e c t K e y a n y T y p e z b w N T n L X > < a : K e y > < K e y > M e a s u r e s \ M a x   o f   S a v i n g s   R a t e \ T a g I n f o \ F o r m u l a < / K e y > < / a : K e y > < a : V a l u e   i : t y p e = " M e a s u r e G r i d V i e w S t a t e I D i a g r a m T a g A d d i t i o n a l I n f o " / > < / a : K e y V a l u e O f D i a g r a m O b j e c t K e y a n y T y p e z b w N T n L X > < a : K e y V a l u e O f D i a g r a m O b j e c t K e y a n y T y p e z b w N T n L X > < a : K e y > < K e y > M e a s u r e s \ M a x   o f   S a v i n g s   R a t e \ T a g I n f o \ V a l u e < / K e y > < / a : K e y > < a : V a l u e   i : t y p e = " M e a s u r e G r i d V i e w S t a t e I D i a g r a m T a g A d d i t i o n a l I n f o " / > < / a : K e y V a l u e O f D i a g r a m O b j e c t K e y a n y T y p e z b w N T n L X > < a : K e y V a l u e O f D i a g r a m O b j e c t K e y a n y T y p e z b w N T n L X > < a : K e y > < K e y > C o l u m n s \ S n a p s h o t < / 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 C o l u m n s \ I n i t i a t i v e < / K e y > < / a : K e y > < a : V a l u e   i : t y p e = " M e a s u r e G r i d N o d e V i e w S t a t e " > < C o l u m n > 2 < / C o l u m n > < L a y e d O u t > t r u e < / L a y e d O u t > < / a : V a l u e > < / a : K e y V a l u e O f D i a g r a m O b j e c t K e y a n y T y p e z b w N T n L X > < a : K e y V a l u e O f D i a g r a m O b j e c t K e y a n y T y p e z b w N T n L X > < a : K e y > < K e y > C o l u m n s \ M e a s u r e < / K e y > < / a : K e y > < a : V a l u e   i : t y p e = " M e a s u r e G r i d N o d e V i e w S t a t e " > < C o l u m n > 3 < / C o l u m n > < L a y e d O u t > t r u e < / L a y e d O u t > < / a : V a l u e > < / a : K e y V a l u e O f D i a g r a m O b j e c t K e y a n y T y p e z b w N T n L X > < a : K e y V a l u e O f D i a g r a m O b j e c t K e y a n y T y p e z b w N T n L X > < a : K e y > < K e y > C o l u m n s \ M e a s u r e   I n d e x < / K e y > < / a : K e y > < a : V a l u e   i : t y p e = " M e a s u r e G r i d N o d e V i e w S t a t e " > < C o l u m n > 4 < / C o l u m n > < L a y e d O u t > t r u e < / L a y e d O u t > < / a : V a l u e > < / a : K e y V a l u e O f D i a g r a m O b j e c t K e y a n y T y p e z b w N T n L X > < a : K e y V a l u e O f D i a g r a m O b j e c t K e y a n y T y p e z b w N T n L X > < a : K e y > < K e y > C o l u m n s \ P r o d u c t < / K e y > < / a : K e y > < a : V a l u e   i : t y p e = " M e a s u r e G r i d N o d e V i e w S t a t e " > < C o l u m n > 5 < / C o l u m n > < L a y e d O u t > t r u e < / L a y e d O u t > < / a : V a l u e > < / a : K e y V a l u e O f D i a g r a m O b j e c t K e y a n y T y p e z b w N T n L X > < a : K e y V a l u e O f D i a g r a m O b j e c t K e y a n y T y p e z b w N T n L X > < a : K e y > < K e y > C o l u m n s \ T i e r < / K e y > < / a : K e y > < a : V a l u e   i : t y p e = " M e a s u r e G r i d N o d e V i e w S t a t e " > < C o l u m n > 6 < / C o l u m n > < L a y e d O u t > t r u e < / L a y e d O u t > < / a : V a l u e > < / a : K e y V a l u e O f D i a g r a m O b j e c t K e y a n y T y p e z b w N T n L X > < a : K e y V a l u e O f D i a g r a m O b j e c t K e y a n y T y p e z b w N T n L X > < a : K e y > < K e y > C o l u m n s \ S a v i n g s   C a t e g o r y < / K e y > < / a : K e y > < a : V a l u e   i : t y p e = " M e a s u r e G r i d N o d e V i e w S t a t e " > < C o l u m n > 7 < / C o l u m n > < L a y e d O u t > t r u e < / L a y e d O u t > < / a : V a l u e > < / a : K e y V a l u e O f D i a g r a m O b j e c t K e y a n y T y p e z b w N T n L X > < a : K e y V a l u e O f D i a g r a m O b j e c t K e y a n y T y p e z b w N T n L X > < a : K e y > < K e y > C o l u m n s \ F u n d i n g   C y c l e < / K e y > < / a : K e y > < a : V a l u e   i : t y p e = " M e a s u r e G r i d N o d e V i e w S t a t e " > < C o l u m n > 8 < / C o l u m n > < L a y e d O u t > t r u e < / L a y e d O u t > < / a : V a l u e > < / a : K e y V a l u e O f D i a g r a m O b j e c t K e y a n y T y p e z b w N T n L X > < a : K e y V a l u e O f D i a g r a m O b j e c t K e y a n y T y p e z b w N T n L X > < a : K e y > < K e y > C o l u m n s \ u n i t s < / K e y > < / a : K e y > < a : V a l u e   i : t y p e = " M e a s u r e G r i d N o d e V i e w S t a t e " > < C o l u m n > 9 < / C o l u m n > < L a y e d O u t > t r u e < / L a y e d O u t > < / a : V a l u e > < / a : K e y V a l u e O f D i a g r a m O b j e c t K e y a n y T y p e z b w N T n L X > < a : K e y V a l u e O f D i a g r a m O b j e c t K e y a n y T y p e z b w N T n L X > < a : K e y > < K e y > C o l u m n s \ S a v i n g s   R a t e   T y p e < / K e y > < / a : K e y > < a : V a l u e   i : t y p e = " M e a s u r e G r i d N o d e V i e w S t a t e " > < C o l u m n > 1 0 < / C o l u m n > < L a y e d O u t > t r u e < / L a y e d O u t > < / a : V a l u e > < / a : K e y V a l u e O f D i a g r a m O b j e c t K e y a n y T y p e z b w N T n L X > < a : K e y V a l u e O f D i a g r a m O b j e c t K e y a n y T y p e z b w N T n L X > < a : K e y > < K e y > C o l u m n s \ S a v i n g s   R a t e < / K e y > < / a : K e y > < a : V a l u e   i : t y p e = " M e a s u r e G r i d N o d e V i e w S t a t e " > < C o l u m n > 1 1 < / C o l u m n > < L a y e d O u t > t r u e < / L a y e d O u t > < / a : V a l u e > < / a : K e y V a l u e O f D i a g r a m O b j e c t K e y a n y T y p e z b w N T n L X > < a : K e y V a l u e O f D i a g r a m O b j e c t K e y a n y T y p e z b w N T n L X > < a : K e y > < K e y > L i n k s \ & l t ; C o l u m n s \ C o u n t   o f   F u n d i n g   C y c l e & g t ; - & l t ; M e a s u r e s \ F u n d i n g   C y c l e & g t ; < / K e y > < / a : K e y > < a : V a l u e   i : t y p e = " M e a s u r e G r i d V i e w S t a t e I D i a g r a m L i n k " / > < / a : K e y V a l u e O f D i a g r a m O b j e c t K e y a n y T y p e z b w N T n L X > < a : K e y V a l u e O f D i a g r a m O b j e c t K e y a n y T y p e z b w N T n L X > < a : K e y > < K e y > L i n k s \ & l t ; C o l u m n s \ C o u n t   o f   F u n d i n g   C y c l e & g t ; - & l t ; M e a s u r e s \ F u n d i n g   C y c l e & g t ; \ C O L U M N < / K e y > < / a : K e y > < a : V a l u e   i : t y p e = " M e a s u r e G r i d V i e w S t a t e I D i a g r a m L i n k E n d p o i n t " / > < / a : K e y V a l u e O f D i a g r a m O b j e c t K e y a n y T y p e z b w N T n L X > < a : K e y V a l u e O f D i a g r a m O b j e c t K e y a n y T y p e z b w N T n L X > < a : K e y > < K e y > L i n k s \ & l t ; C o l u m n s \ C o u n t   o f   F u n d i n g   C y c l e & g t ; - & l t ; M e a s u r e s \ F u n d i n g   C y c l e & g t ; \ M E A S U R E < / K e y > < / a : K e y > < a : V a l u e   i : t y p e = " M e a s u r e G r i d V i e w S t a t e I D i a g r a m L i n k E n d p o i n t " / > < / a : K e y V a l u e O f D i a g r a m O b j e c t K e y a n y T y p e z b w N T n L X > < a : K e y V a l u e O f D i a g r a m O b j e c t K e y a n y T y p e z b w N T n L X > < a : K e y > < K e y > L i n k s \ & l t ; C o l u m n s \ S u m   o f   u n i t s & g t ; - & l t ; M e a s u r e s \ u n i t s & g t ; < / K e y > < / a : K e y > < a : V a l u e   i : t y p e = " M e a s u r e G r i d V i e w S t a t e I D i a g r a m L i n k " / > < / a : K e y V a l u e O f D i a g r a m O b j e c t K e y a n y T y p e z b w N T n L X > < a : K e y V a l u e O f D i a g r a m O b j e c t K e y a n y T y p e z b w N T n L X > < a : K e y > < K e y > L i n k s \ & l t ; C o l u m n s \ S u m   o f   u n i t s & g t ; - & l t ; M e a s u r e s \ u n i t s & g t ; \ C O L U M N < / K e y > < / a : K e y > < a : V a l u e   i : t y p e = " M e a s u r e G r i d V i e w S t a t e I D i a g r a m L i n k E n d p o i n t " / > < / a : K e y V a l u e O f D i a g r a m O b j e c t K e y a n y T y p e z b w N T n L X > < a : K e y V a l u e O f D i a g r a m O b j e c t K e y a n y T y p e z b w N T n L X > < a : K e y > < K e y > L i n k s \ & l t ; C o l u m n s \ S u m   o f   u n i t s & g t ; - & l t ; M e a s u r e s \ u n i t s & g t ; \ M E A S U R E < / K e y > < / a : K e y > < a : V a l u e   i : t y p e = " M e a s u r e G r i d V i e w S t a t e I D i a g r a m L i n k E n d p o i n t " / > < / a : K e y V a l u e O f D i a g r a m O b j e c t K e y a n y T y p e z b w N T n L X > < a : K e y V a l u e O f D i a g r a m O b j e c t K e y a n y T y p e z b w N T n L X > < a : K e y > < K e y > L i n k s \ & l t ; C o l u m n s \ S u m   o f   y e a r & g t ; - & l t ; M e a s u r e s \ y e a r & g t ; < / K e y > < / a : K e y > < a : V a l u e   i : t y p e = " M e a s u r e G r i d V i e w S t a t e I D i a g r a m L i n k " / > < / a : K e y V a l u e O f D i a g r a m O b j e c t K e y a n y T y p e z b w N T n L X > < a : K e y V a l u e O f D i a g r a m O b j e c t K e y a n y T y p e z b w N T n L X > < a : K e y > < K e y > L i n k s \ & l t ; C o l u m n s \ S u m   o f   y e a r & g t ; - & l t ; M e a s u r e s \ y e a r & g t ; \ C O L U M N < / K e y > < / a : K e y > < a : V a l u e   i : t y p e = " M e a s u r e G r i d V i e w S t a t e I D i a g r a m L i n k E n d p o i n t " / > < / a : K e y V a l u e O f D i a g r a m O b j e c t K e y a n y T y p e z b w N T n L X > < a : K e y V a l u e O f D i a g r a m O b j e c t K e y a n y T y p e z b w N T n L X > < a : K e y > < K e y > L i n k s \ & l t ; C o l u m n s \ S u m   o f   y e a r & g t ; - & l t ; M e a s u r e s \ y e a r & g t ; \ M E A S U R E < / K e y > < / a : K e y > < a : V a l u e   i : t y p e = " M e a s u r e G r i d V i e w S t a t e I D i a g r a m L i n k E n d p o i n t " / > < / a : K e y V a l u e O f D i a g r a m O b j e c t K e y a n y T y p e z b w N T n L X > < a : K e y V a l u e O f D i a g r a m O b j e c t K e y a n y T y p e z b w N T n L X > < a : K e y > < K e y > L i n k s \ & l t ; C o l u m n s \ S u m   o f   S a v i n g s   R a t e & g t ; - & l t ; M e a s u r e s \ S a v i n g s   R a t e & g t ; < / K e y > < / a : K e y > < a : V a l u e   i : t y p e = " M e a s u r e G r i d V i e w S t a t e I D i a g r a m L i n k " / > < / a : K e y V a l u e O f D i a g r a m O b j e c t K e y a n y T y p e z b w N T n L X > < a : K e y V a l u e O f D i a g r a m O b j e c t K e y a n y T y p e z b w N T n L X > < a : K e y > < K e y > L i n k s \ & l t ; C o l u m n s \ S u m   o f   S a v i n g s   R a t e & g t ; - & l t ; M e a s u r e s \ S a v i n g s   R a t e & g t ; \ C O L U M N < / K e y > < / a : K e y > < a : V a l u e   i : t y p e = " M e a s u r e G r i d V i e w S t a t e I D i a g r a m L i n k E n d p o i n t " / > < / a : K e y V a l u e O f D i a g r a m O b j e c t K e y a n y T y p e z b w N T n L X > < a : K e y V a l u e O f D i a g r a m O b j e c t K e y a n y T y p e z b w N T n L X > < a : K e y > < K e y > L i n k s \ & l t ; C o l u m n s \ S u m   o f   S a v i n g s   R a t e & g t ; - & l t ; M e a s u r e s \ S a v i n g s   R a t e & g t ; \ M E A S U R E < / K e y > < / a : K e y > < a : V a l u e   i : t y p e = " M e a s u r e G r i d V i e w S t a t e I D i a g r a m L i n k E n d p o i n t " / > < / a : K e y V a l u e O f D i a g r a m O b j e c t K e y a n y T y p e z b w N T n L X > < a : K e y V a l u e O f D i a g r a m O b j e c t K e y a n y T y p e z b w N T n L X > < a : K e y > < K e y > L i n k s \ & l t ; C o l u m n s \ M a x   o f   S a v i n g s   R a t e & g t ; - & l t ; M e a s u r e s \ S a v i n g s   R a t e & g t ; < / K e y > < / a : K e y > < a : V a l u e   i : t y p e = " M e a s u r e G r i d V i e w S t a t e I D i a g r a m L i n k " / > < / a : K e y V a l u e O f D i a g r a m O b j e c t K e y a n y T y p e z b w N T n L X > < a : K e y V a l u e O f D i a g r a m O b j e c t K e y a n y T y p e z b w N T n L X > < a : K e y > < K e y > L i n k s \ & l t ; C o l u m n s \ M a x   o f   S a v i n g s   R a t e & g t ; - & l t ; M e a s u r e s \ S a v i n g s   R a t e & g t ; \ C O L U M N < / K e y > < / a : K e y > < a : V a l u e   i : t y p e = " M e a s u r e G r i d V i e w S t a t e I D i a g r a m L i n k E n d p o i n t " / > < / a : K e y V a l u e O f D i a g r a m O b j e c t K e y a n y T y p e z b w N T n L X > < a : K e y V a l u e O f D i a g r a m O b j e c t K e y a n y T y p e z b w N T n L X > < a : K e y > < K e y > L i n k s \ & l t ; C o l u m n s \ M a x   o f   S a v i n g s   R a t e & g t ; - & l t ; M e a s u r e s \ S a v i n g s   R a t e & g t ; \ M E A S U R E < / K e y > < / a : K e y > < a : V a l u e   i : t y p e = " M e a s u r e G r i d V i e w S t a t e I D i a g r a m L i n k E n d p o i n t " / > < / a : K e y V a l u e O f D i a g r a m O b j e c t K e y a n y T y p e z b w N T n L X > < / V i e w S t a t e s > < / D i a g r a m M a n a g e r . S e r i a l i z a b l e D i a g r a m > < D i a g r a m M a n a g e r . S e r i a l i z a b l e D i a g r a m > < A d a p t e r   i : t y p e = " M e a s u r e D i a g r a m S a n d b o x A d a p t e r " > < T a b l e N a m e > F u n d e r _ S h a r e s _ E l e c t 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 F u n d e r _ S h a r e s _ E l e c t 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 C o l u m n s \ F u n d i n g   C y c l e < / K e y > < / D i a g r a m O b j e c t K e y > < D i a g r a m O b j e c t K e y > < K e y > C o l u m n s \ S t a k e h o l d e r _ L o o k u p < / K e y > < / D i a g r a m O b j e c t K e y > < D i a g r a m O b j e c t K e y > < K e y > C o l u m n s \ F u n d e r   S h a r e 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 C o l u m n s \ F u n d i n g   C y c l e < / K e y > < / a : K e y > < a : V a l u e   i : t y p e = " M e a s u r e G r i d N o d e V i e w S t a t e " > < L a y e d O u t > t r u e < / L a y e d O u t > < / a : V a l u e > < / a : K e y V a l u e O f D i a g r a m O b j e c t K e y a n y T y p e z b w N T n L X > < a : K e y V a l u e O f D i a g r a m O b j e c t K e y a n y T y p e z b w N T n L X > < a : K e y > < K e y > C o l u m n s \ S t a k e h o l d e r _ L o o k u p < / K e y > < / a : K e y > < a : V a l u e   i : t y p e = " M e a s u r e G r i d N o d e V i e w S t a t e " > < C o l u m n > 1 < / C o l u m n > < L a y e d O u t > t r u e < / L a y e d O u t > < / a : V a l u e > < / a : K e y V a l u e O f D i a g r a m O b j e c t K e y a n y T y p e z b w N T n L X > < a : K e y V a l u e O f D i a g r a m O b j e c t K e y a n y T y p e z b w N T n L X > < a : K e y > < K e y > C o l u m n s \ F u n d e r   S h a r e < / K e y > < / a : K e y > < a : V a l u e   i : t y p e = " M e a s u r e G r i d N o d e V i e w S t a t e " > < C o l u m n > 2 < / C o l u m n > < L a y e d O u t > t r u e < / L a y e d O u t > < / a : V a l u e > < / a : K e y V a l u e O f D i a g r a m O b j e c t K e y a n y T y p e z b w N T n L X > < / V i e w S t a t e s > < / D i a g r a m M a n a g e r . S e r i a l i z a b l e D i a g r a m > < D i a g r a m M a n a g e r . S e r i a l i z a b l e D i a g r a m > < A d a p t e r   i : t y p e = " M e a s u r e D i a g r a m S a n d b o x A d a p t e r " > < T a b l e N a m e > v w U n i t s 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 v w U n i t s 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 F u n d i n g   C y c l e   2 < / K e y > < / D i a g r a m O b j e c t K e y > < D i a g r a m O b j e c t K e y > < K e y > M e a s u r e s \ C o u n t   o f   F u n d i n g   C y c l e   2 \ T a g I n f o \ F o r m u l a < / K e y > < / D i a g r a m O b j e c t K e y > < D i a g r a m O b j e c t K e y > < K e y > M e a s u r e s \ C o u n t   o f   F u n d i n g   C y c l e   2 \ T a g I n f o \ V a l u e < / K e y > < / D i a g r a m O b j e c t K e y > < D i a g r a m O b j e c t K e y > < K e y > M e a s u r e s \ S u m   o f   y e a r   4 < / K e y > < / D i a g r a m O b j e c t K e y > < D i a g r a m O b j e c t K e y > < K e y > M e a s u r e s \ S u m   o f   y e a r   4 \ T a g I n f o \ F o r m u l a < / K e y > < / D i a g r a m O b j e c t K e y > < D i a g r a m O b j e c t K e y > < K e y > M e a s u r e s \ S u m   o f   y e a r   4 \ T a g I n f o \ V a l u e < / K e y > < / D i a g r a m O b j e c t K e y > < D i a g r a m O b j e c t K e y > < K e y > C o l u m n s \ S n a p s h o t < / K e y > < / D i a g r a m O b j e c t K e y > < D i a g r a m O b j e c t K e y > < K e y > C o l u m n s \ I n i t i a t i v e < / K e y > < / D i a g r a m O b j e c t K e y > < D i a g r a m O b j e c t K e y > < K e y > C o l u m n s \ I n i t i a t i v e   I n d e x < / K e y > < / D i a g r a m O b j e c t K e y > < D i a g r a m O b j e c t K e y > < K e y > C o l u m n s \ M e a s u r e < / K e y > < / D i a g r a m O b j e c t K e y > < D i a g r a m O b j e c t K e y > < K e y > C o l u m n s \ M e a s u r e   I n d e x < / K e y > < / D i a g r a m O b j e c t K e y > < D i a g r a m O b j e c t K e y > < K e y > C o l u m n s \ u n i t s < / K e y > < / D i a g r a m O b j e c t K e y > < D i a g r a m O b j e c t K e y > < K e y > C o l u m n s \ S a v i n g s   C a t e g o r y < / K e y > < / D i a g r a m O b j e c t K e y > < D i a g r a m O b j e c t K e y > < K e y > C o l u m n s \ y e a r < / K e y > < / D i a g r a m O b j e c t K e y > < D i a g r a m O b j e c t K e y > < K e y > C o l u m n s \ P r o d u c t < / K e y > < / D i a g r a m O b j e c t K e y > < D i a g r a m O b j e c t K e y > < K e y > C o l u m n s \ T i e r < / K e y > < / D i a g r a m O b j e c t K e y > < D i a g r a m O b j e c t K e y > < K e y > C o l u m n s \ F u n d i n g   C y c l e < / K e y > < / D i a g r a m O b j e c t K e y > < D i a g r a m O b j e c t K e y > < K e y > C o l u m n s \ u n i t _ o f _ m e a s u r e < / K e y > < / D i a g r a m O b j e c t K e y > < D i a g r a m O b j e c t K e y > < K e y > L i n k s \ & l t ; C o l u m n s \ C o u n t   o f   F u n d i n g   C y c l e   2 & g t ; - & l t ; M e a s u r e s \ F u n d i n g   C y c l e & g t ; < / K e y > < / D i a g r a m O b j e c t K e y > < D i a g r a m O b j e c t K e y > < K e y > L i n k s \ & l t ; C o l u m n s \ C o u n t   o f   F u n d i n g   C y c l e   2 & g t ; - & l t ; M e a s u r e s \ F u n d i n g   C y c l e & g t ; \ C O L U M N < / K e y > < / D i a g r a m O b j e c t K e y > < D i a g r a m O b j e c t K e y > < K e y > L i n k s \ & l t ; C o l u m n s \ C o u n t   o f   F u n d i n g   C y c l e   2 & g t ; - & l t ; M e a s u r e s \ F u n d i n g   C y c l e & g t ; \ M E A S U R E < / K e y > < / D i a g r a m O b j e c t K e y > < D i a g r a m O b j e c t K e y > < K e y > L i n k s \ & l t ; C o l u m n s \ S u m   o f   y e a r   4 & g t ; - & l t ; M e a s u r e s \ y e a r & g t ; < / K e y > < / D i a g r a m O b j e c t K e y > < D i a g r a m O b j e c t K e y > < K e y > L i n k s \ & l t ; C o l u m n s \ S u m   o f   y e a r   4 & g t ; - & l t ; M e a s u r e s \ y e a r & g t ; \ C O L U M N < / K e y > < / D i a g r a m O b j e c t K e y > < D i a g r a m O b j e c t K e y > < K e y > L i n k s \ & l t ; C o l u m n s \ S u m   o f   y e a r   4 & g t ; - & l t ; M e a s u r e s \ y e a r & g t ; \ M E A S U R E 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 F u n d i n g   C y c l e   2 < / K e y > < / a : K e y > < a : V a l u e   i : t y p e = " M e a s u r e G r i d N o d e V i e w S t a t e " > < C o l u m n > 1 0 < / C o l u m n > < L a y e d O u t > t r u e < / L a y e d O u t > < W a s U I I n v i s i b l e > t r u e < / W a s U I I n v i s i b l e > < / a : V a l u e > < / a : K e y V a l u e O f D i a g r a m O b j e c t K e y a n y T y p e z b w N T n L X > < a : K e y V a l u e O f D i a g r a m O b j e c t K e y a n y T y p e z b w N T n L X > < a : K e y > < K e y > M e a s u r e s \ C o u n t   o f   F u n d i n g   C y c l e   2 \ T a g I n f o \ F o r m u l a < / K e y > < / a : K e y > < a : V a l u e   i : t y p e = " M e a s u r e G r i d V i e w S t a t e I D i a g r a m T a g A d d i t i o n a l I n f o " / > < / a : K e y V a l u e O f D i a g r a m O b j e c t K e y a n y T y p e z b w N T n L X > < a : K e y V a l u e O f D i a g r a m O b j e c t K e y a n y T y p e z b w N T n L X > < a : K e y > < K e y > M e a s u r e s \ C o u n t   o f   F u n d i n g   C y c l e   2 \ T a g I n f o \ V a l u e < / K e y > < / a : K e y > < a : V a l u e   i : t y p e = " M e a s u r e G r i d V i e w S t a t e I D i a g r a m T a g A d d i t i o n a l I n f o " / > < / a : K e y V a l u e O f D i a g r a m O b j e c t K e y a n y T y p e z b w N T n L X > < a : K e y V a l u e O f D i a g r a m O b j e c t K e y a n y T y p e z b w N T n L X > < a : K e y > < K e y > M e a s u r e s \ S u m   o f   y e a r   4 < / K e y > < / a : K e y > < a : V a l u e   i : t y p e = " M e a s u r e G r i d N o d e V i e w S t a t e " > < C o l u m n > 7 < / C o l u m n > < L a y e d O u t > t r u e < / L a y e d O u t > < W a s U I I n v i s i b l e > t r u e < / W a s U I I n v i s i b l e > < / a : V a l u e > < / a : K e y V a l u e O f D i a g r a m O b j e c t K e y a n y T y p e z b w N T n L X > < a : K e y V a l u e O f D i a g r a m O b j e c t K e y a n y T y p e z b w N T n L X > < a : K e y > < K e y > M e a s u r e s \ S u m   o f   y e a r   4 \ T a g I n f o \ F o r m u l a < / K e y > < / a : K e y > < a : V a l u e   i : t y p e = " M e a s u r e G r i d V i e w S t a t e I D i a g r a m T a g A d d i t i o n a l I n f o " / > < / a : K e y V a l u e O f D i a g r a m O b j e c t K e y a n y T y p e z b w N T n L X > < a : K e y V a l u e O f D i a g r a m O b j e c t K e y a n y T y p e z b w N T n L X > < a : K e y > < K e y > M e a s u r e s \ S u m   o f   y e a r   4 \ T a g I n f o \ V a l u e < / K e y > < / a : K e y > < a : V a l u e   i : t y p e = " M e a s u r e G r i d V i e w S t a t e I D i a g r a m T a g A d d i t i o n a l I n f o " / > < / a : K e y V a l u e O f D i a g r a m O b j e c t K e y a n y T y p e z b w N T n L X > < a : K e y V a l u e O f D i a g r a m O b j e c t K e y a n y T y p e z b w N T n L X > < a : K e y > < K e y > C o l u m n s \ S n a p s h o t < / K e y > < / a : K e y > < a : V a l u e   i : t y p e = " M e a s u r e G r i d N o d e V i e w S t a t e " > < L a y e d O u t > t r u e < / L a y e d O u t > < / a : V a l u e > < / a : K e y V a l u e O f D i a g r a m O b j e c t K e y a n y T y p e z b w N T n L X > < a : K e y V a l u e O f D i a g r a m O b j e c t K e y a n y T y p e z b w N T n L X > < a : K e y > < K e y > C o l u m n s \ I n i t i a t i v e < / K e y > < / a : K e y > < a : V a l u e   i : t y p e = " M e a s u r e G r i d N o d e V i e w S t a t e " > < C o l u m n > 1 < / C o l u m n > < L a y e d O u t > t r u e < / L a y e d O u t > < / a : V a l u e > < / a : K e y V a l u e O f D i a g r a m O b j e c t K e y a n y T y p e z b w N T n L X > < a : K e y V a l u e O f D i a g r a m O b j e c t K e y a n y T y p e z b w N T n L X > < a : K e y > < K e y > C o l u m n s \ I n i t i a t i v e   I n d e x < / K e y > < / a : K e y > < a : V a l u e   i : t y p e = " M e a s u r e G r i d N o d e V i e w S t a t e " > < C o l u m n > 2 < / C o l u m n > < L a y e d O u t > t r u e < / L a y e d O u t > < / a : V a l u e > < / a : K e y V a l u e O f D i a g r a m O b j e c t K e y a n y T y p e z b w N T n L X > < a : K e y V a l u e O f D i a g r a m O b j e c t K e y a n y T y p e z b w N T n L X > < a : K e y > < K e y > C o l u m n s \ M e a s u r e < / K e y > < / a : K e y > < a : V a l u e   i : t y p e = " M e a s u r e G r i d N o d e V i e w S t a t e " > < C o l u m n > 3 < / C o l u m n > < L a y e d O u t > t r u e < / L a y e d O u t > < / a : V a l u e > < / a : K e y V a l u e O f D i a g r a m O b j e c t K e y a n y T y p e z b w N T n L X > < a : K e y V a l u e O f D i a g r a m O b j e c t K e y a n y T y p e z b w N T n L X > < a : K e y > < K e y > C o l u m n s \ M e a s u r e   I n d e x < / K e y > < / a : K e y > < a : V a l u e   i : t y p e = " M e a s u r e G r i d N o d e V i e w S t a t e " > < C o l u m n > 4 < / C o l u m n > < L a y e d O u t > t r u e < / L a y e d O u t > < / a : V a l u e > < / a : K e y V a l u e O f D i a g r a m O b j e c t K e y a n y T y p e z b w N T n L X > < a : K e y V a l u e O f D i a g r a m O b j e c t K e y a n y T y p e z b w N T n L X > < a : K e y > < K e y > C o l u m n s \ u n i t s < / K e y > < / a : K e y > < a : V a l u e   i : t y p e = " M e a s u r e G r i d N o d e V i e w S t a t e " > < C o l u m n > 5 < / C o l u m n > < L a y e d O u t > t r u e < / L a y e d O u t > < / a : V a l u e > < / a : K e y V a l u e O f D i a g r a m O b j e c t K e y a n y T y p e z b w N T n L X > < a : K e y V a l u e O f D i a g r a m O b j e c t K e y a n y T y p e z b w N T n L X > < a : K e y > < K e y > C o l u m n s \ S a v i n g s   C a t e g o r y < / K e y > < / a : K e y > < a : V a l u e   i : t y p e = " M e a s u r e G r i d N o d e V i e w S t a t e " > < C o l u m n > 6 < / C o l u m n > < L a y e d O u t > t r u e < / L a y e d O u t > < / a : V a l u e > < / a : K e y V a l u e O f D i a g r a m O b j e c t K e y a n y T y p e z b w N T n L X > < a : K e y V a l u e O f D i a g r a m O b j e c t K e y a n y T y p e z b w N T n L X > < a : K e y > < K e y > C o l u m n s \ y e a r < / K e y > < / a : K e y > < a : V a l u e   i : t y p e = " M e a s u r e G r i d N o d e V i e w S t a t e " > < C o l u m n > 7 < / C o l u m n > < L a y e d O u t > t r u e < / L a y e d O u t > < / a : V a l u e > < / a : K e y V a l u e O f D i a g r a m O b j e c t K e y a n y T y p e z b w N T n L X > < a : K e y V a l u e O f D i a g r a m O b j e c t K e y a n y T y p e z b w N T n L X > < a : K e y > < K e y > C o l u m n s \ P r o d u c t < / K e y > < / a : K e y > < a : V a l u e   i : t y p e = " M e a s u r e G r i d N o d e V i e w S t a t e " > < C o l u m n > 8 < / C o l u m n > < L a y e d O u t > t r u e < / L a y e d O u t > < / a : V a l u e > < / a : K e y V a l u e O f D i a g r a m O b j e c t K e y a n y T y p e z b w N T n L X > < a : K e y V a l u e O f D i a g r a m O b j e c t K e y a n y T y p e z b w N T n L X > < a : K e y > < K e y > C o l u m n s \ T i e r < / K e y > < / a : K e y > < a : V a l u e   i : t y p e = " M e a s u r e G r i d N o d e V i e w S t a t e " > < C o l u m n > 9 < / C o l u m n > < L a y e d O u t > t r u e < / L a y e d O u t > < / a : V a l u e > < / a : K e y V a l u e O f D i a g r a m O b j e c t K e y a n y T y p e z b w N T n L X > < a : K e y V a l u e O f D i a g r a m O b j e c t K e y a n y T y p e z b w N T n L X > < a : K e y > < K e y > C o l u m n s \ F u n d i n g   C y c l e < / K e y > < / a : K e y > < a : V a l u e   i : t y p e = " M e a s u r e G r i d N o d e V i e w S t a t e " > < C o l u m n > 1 0 < / C o l u m n > < L a y e d O u t > t r u e < / L a y e d O u t > < / a : V a l u e > < / a : K e y V a l u e O f D i a g r a m O b j e c t K e y a n y T y p e z b w N T n L X > < a : K e y V a l u e O f D i a g r a m O b j e c t K e y a n y T y p e z b w N T n L X > < a : K e y > < K e y > C o l u m n s \ u n i t _ o f _ m e a s u r e < / K e y > < / a : K e y > < a : V a l u e   i : t y p e = " M e a s u r e G r i d N o d e V i e w S t a t e " > < C o l u m n > 1 1 < / C o l u m n > < L a y e d O u t > t r u e < / L a y e d O u t > < / a : V a l u e > < / a : K e y V a l u e O f D i a g r a m O b j e c t K e y a n y T y p e z b w N T n L X > < a : K e y V a l u e O f D i a g r a m O b j e c t K e y a n y T y p e z b w N T n L X > < a : K e y > < K e y > L i n k s \ & l t ; C o l u m n s \ C o u n t   o f   F u n d i n g   C y c l e   2 & g t ; - & l t ; M e a s u r e s \ F u n d i n g   C y c l e & g t ; < / K e y > < / a : K e y > < a : V a l u e   i : t y p e = " M e a s u r e G r i d V i e w S t a t e I D i a g r a m L i n k " / > < / a : K e y V a l u e O f D i a g r a m O b j e c t K e y a n y T y p e z b w N T n L X > < a : K e y V a l u e O f D i a g r a m O b j e c t K e y a n y T y p e z b w N T n L X > < a : K e y > < K e y > L i n k s \ & l t ; C o l u m n s \ C o u n t   o f   F u n d i n g   C y c l e   2 & g t ; - & l t ; M e a s u r e s \ F u n d i n g   C y c l e & g t ; \ C O L U M N < / K e y > < / a : K e y > < a : V a l u e   i : t y p e = " M e a s u r e G r i d V i e w S t a t e I D i a g r a m L i n k E n d p o i n t " / > < / a : K e y V a l u e O f D i a g r a m O b j e c t K e y a n y T y p e z b w N T n L X > < a : K e y V a l u e O f D i a g r a m O b j e c t K e y a n y T y p e z b w N T n L X > < a : K e y > < K e y > L i n k s \ & l t ; C o l u m n s \ C o u n t   o f   F u n d i n g   C y c l e   2 & g t ; - & l t ; M e a s u r e s \ F u n d i n g   C y c l e & g t ; \ M E A S U R E < / K e y > < / a : K e y > < a : V a l u e   i : t y p e = " M e a s u r e G r i d V i e w S t a t e I D i a g r a m L i n k E n d p o i n t " / > < / a : K e y V a l u e O f D i a g r a m O b j e c t K e y a n y T y p e z b w N T n L X > < a : K e y V a l u e O f D i a g r a m O b j e c t K e y a n y T y p e z b w N T n L X > < a : K e y > < K e y > L i n k s \ & l t ; C o l u m n s \ S u m   o f   y e a r   4 & g t ; - & l t ; M e a s u r e s \ y e a r & g t ; < / K e y > < / a : K e y > < a : V a l u e   i : t y p e = " M e a s u r e G r i d V i e w S t a t e I D i a g r a m L i n k " / > < / a : K e y V a l u e O f D i a g r a m O b j e c t K e y a n y T y p e z b w N T n L X > < a : K e y V a l u e O f D i a g r a m O b j e c t K e y a n y T y p e z b w N T n L X > < a : K e y > < K e y > L i n k s \ & l t ; C o l u m n s \ S u m   o f   y e a r   4 & g t ; - & l t ; M e a s u r e s \ y e a r & g t ; \ C O L U M N < / K e y > < / a : K e y > < a : V a l u e   i : t y p e = " M e a s u r e G r i d V i e w S t a t e I D i a g r a m L i n k E n d p o i n t " / > < / a : K e y V a l u e O f D i a g r a m O b j e c t K e y a n y T y p e z b w N T n L X > < a : K e y V a l u e O f D i a g r a m O b j e c t K e y a n y T y p e z b w N T n L X > < a : K e y > < K e y > L i n k s \ & l t ; C o l u m n s \ S u m   o f   y e a r   4 & g t ; - & l t ; M e a s u r e s \ y e a r & g t ; \ M E A S U R E < / K e y > < / a : K e y > < a : V a l u e   i : t y p e = " M e a s u r e G r i d V i e w S t a t e I D i a g r a m L i n k E n d p o i n t " / > < / a : K e y V a l u e O f D i a g r a m O b j e c t K e y a n y T y p e z b w N T n L X > < / V i e w S t a t e s > < / D i a g r a m M a n a g e r . S e r i a l i z a b l e D i a g r a m > < D i a g r a m M a n a g e r . S e r i a l i z a b l e D i a g r a m > < A d a p t e r   i : t y p e = " M e a s u r e D i a g r a m S a n d b o x A d a p t e r " > < T a b l e N a m e > v w F l a g s 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 v w F l a g s 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 Y e a r   5 < / K e y > < / D i a g r a m O b j e c t K e y > < D i a g r a m O b j e c t K e y > < K e y > M e a s u r e s \ S u m   o f   Y e a r   5 \ T a g I n f o \ F o r m u l a < / K e y > < / D i a g r a m O b j e c t K e y > < D i a g r a m O b j e c t K e y > < K e y > M e a s u r e s \ S u m   o f   Y e a r   5 \ T a g I n f o \ V a l u e < / K e y > < / D i a g r a m O b j e c t K e y > < D i a g r a m O b j e c t K e y > < K e y > M e a s u r e s \ C o u n t   o f   I s   S t a n d a r d < / K e y > < / D i a g r a m O b j e c t K e y > < D i a g r a m O b j e c t K e y > < K e y > M e a s u r e s \ C o u n t   o f   I s   S t a n d a r d \ T a g I n f o \ F o r m u l a < / K e y > < / D i a g r a m O b j e c t K e y > < D i a g r a m O b j e c t K e y > < K e y > M e a s u r e s \ C o u n t   o f   I s   S t a n d a r d \ T a g I n f o \ V a l u e < / K e y > < / D i a g r a m O b j e c t K e y > < D i a g r a m O b j e c t K e y > < K e y > M e a s u r e s \ C o u n t   o f   I s   C o d e < / K e y > < / D i a g r a m O b j e c t K e y > < D i a g r a m O b j e c t K e y > < K e y > M e a s u r e s \ C o u n t   o f   I s   C o d e \ T a g I n f o \ F o r m u l a < / K e y > < / D i a g r a m O b j e c t K e y > < D i a g r a m O b j e c t K e y > < K e y > M e a s u r e s \ C o u n t   o f   I s   C o d e \ T a g I n f o \ V a l u e < / K e y > < / D i a g r a m O b j e c t K e y > < D i a g r a m O b j e c t K e y > < K e y > M e a s u r e s \ C o u n t   o f   R e p o r t   E x t e r n a l l y < / K e y > < / D i a g r a m O b j e c t K e y > < D i a g r a m O b j e c t K e y > < K e y > M e a s u r e s \ C o u n t   o f   R e p o r t   E x t e r n a l l y \ T a g I n f o \ F o r m u l a < / K e y > < / D i a g r a m O b j e c t K e y > < D i a g r a m O b j e c t K e y > < K e y > M e a s u r e s \ C o u n t   o f   R e p o r t   E x t e r n a l l y \ T a g I n f o \ V a l u e < / K e y > < / D i a g r a m O b j e c t K e y > < D i a g r a m O b j e c t K e y > < K e y > C o l u m n s \ Y e a r < / K e y > < / D i a g r a m O b j e c t K e y > < D i a g r a m O b j e c t K e y > < K e y > C o l u m n s \ M e a s u r e   I n d e x < / K e y > < / D i a g r a m O b j e c t K e y > < D i a g r a m O b j e c t K e y > < K e y > C o l u m n s \ I s   C o d e < / K e y > < / D i a g r a m O b j e c t K e y > < D i a g r a m O b j e c t K e y > < K e y > C o l u m n s \ I s   S t a n d a r d < / K e y > < / D i a g r a m O b j e c t K e y > < D i a g r a m O b j e c t K e y > < K e y > C o l u m n s \ ' N E E A   I n f l u e n c e d ' < / K e y > < / D i a g r a m O b j e c t K e y > < D i a g r a m O b j e c t K e y > < K e y > C o l u m n s \ R e p o r t   E x t e r n a l l y < / K e y > < / D i a g r a m O b j e c t K e y > < D i a g r a m O b j e c t K e y > < K e y > C o l u m n s \ R e p o r t   N e g a t i v e   N M E < / K e y > < / D i a g r a m O b j e c t K e y > < D i a g r a m O b j e c t K e y > < K e y > C o l u m n s \ R e p o r t   N e g a t i v e   L P < / K e y > < / D i a g r a m O b j e c t K e y > < D i a g r a m O b j e c t K e y > < K e y > C o l u m n s \ M e a s u r e < / K e y > < / D i a g r a m O b j e c t K e y > < D i a g r a m O b j e c t K e y > < K e y > L i n k s \ & l t ; C o l u m n s \ S u m   o f   Y e a r   5 & g t ; - & l t ; M e a s u r e s \ Y e a r & g t ; < / K e y > < / D i a g r a m O b j e c t K e y > < D i a g r a m O b j e c t K e y > < K e y > L i n k s \ & l t ; C o l u m n s \ S u m   o f   Y e a r   5 & g t ; - & l t ; M e a s u r e s \ Y e a r & g t ; \ C O L U M N < / K e y > < / D i a g r a m O b j e c t K e y > < D i a g r a m O b j e c t K e y > < K e y > L i n k s \ & l t ; C o l u m n s \ S u m   o f   Y e a r   5 & g t ; - & l t ; M e a s u r e s \ Y e a r & g t ; \ M E A S U R E < / K e y > < / D i a g r a m O b j e c t K e y > < D i a g r a m O b j e c t K e y > < K e y > L i n k s \ & l t ; C o l u m n s \ C o u n t   o f   I s   S t a n d a r d & g t ; - & l t ; M e a s u r e s \ I s   S t a n d a r d & g t ; < / K e y > < / D i a g r a m O b j e c t K e y > < D i a g r a m O b j e c t K e y > < K e y > L i n k s \ & l t ; C o l u m n s \ C o u n t   o f   I s   S t a n d a r d & g t ; - & l t ; M e a s u r e s \ I s   S t a n d a r d & g t ; \ C O L U M N < / K e y > < / D i a g r a m O b j e c t K e y > < D i a g r a m O b j e c t K e y > < K e y > L i n k s \ & l t ; C o l u m n s \ C o u n t   o f   I s   S t a n d a r d & g t ; - & l t ; M e a s u r e s \ I s   S t a n d a r d & g t ; \ M E A S U R E < / K e y > < / D i a g r a m O b j e c t K e y > < D i a g r a m O b j e c t K e y > < K e y > L i n k s \ & l t ; C o l u m n s \ C o u n t   o f   I s   C o d e & g t ; - & l t ; M e a s u r e s \ I s   C o d e & g t ; < / K e y > < / D i a g r a m O b j e c t K e y > < D i a g r a m O b j e c t K e y > < K e y > L i n k s \ & l t ; C o l u m n s \ C o u n t   o f   I s   C o d e & g t ; - & l t ; M e a s u r e s \ I s   C o d e & g t ; \ C O L U M N < / K e y > < / D i a g r a m O b j e c t K e y > < D i a g r a m O b j e c t K e y > < K e y > L i n k s \ & l t ; C o l u m n s \ C o u n t   o f   I s   C o d e & g t ; - & l t ; M e a s u r e s \ I s   C o d e & g t ; \ M E A S U R E < / K e y > < / D i a g r a m O b j e c t K e y > < D i a g r a m O b j e c t K e y > < K e y > L i n k s \ & l t ; C o l u m n s \ C o u n t   o f   R e p o r t   E x t e r n a l l y & g t ; - & l t ; M e a s u r e s \ R e p o r t   E x t e r n a l l y & g t ; < / K e y > < / D i a g r a m O b j e c t K e y > < D i a g r a m O b j e c t K e y > < K e y > L i n k s \ & l t ; C o l u m n s \ C o u n t   o f   R e p o r t   E x t e r n a l l y & g t ; - & l t ; M e a s u r e s \ R e p o r t   E x t e r n a l l y & g t ; \ C O L U M N < / K e y > < / D i a g r a m O b j e c t K e y > < D i a g r a m O b j e c t K e y > < K e y > L i n k s \ & l t ; C o l u m n s \ C o u n t   o f   R e p o r t   E x t e r n a l l y & g t ; - & l t ; M e a s u r e s \ R e p o r t   E x t e r n a l l y & g t ; \ M E A S U R E 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 Y e a r   5 < / K e y > < / a : K e y > < a : V a l u e   i : t y p e = " M e a s u r e G r i d N o d e V i e w S t a t e " > < L a y e d O u t > t r u e < / L a y e d O u t > < W a s U I I n v i s i b l e > t r u e < / W a s U I I n v i s i b l e > < / a : V a l u e > < / a : K e y V a l u e O f D i a g r a m O b j e c t K e y a n y T y p e z b w N T n L X > < a : K e y V a l u e O f D i a g r a m O b j e c t K e y a n y T y p e z b w N T n L X > < a : K e y > < K e y > M e a s u r e s \ S u m   o f   Y e a r   5 \ T a g I n f o \ F o r m u l a < / K e y > < / a : K e y > < a : V a l u e   i : t y p e = " M e a s u r e G r i d V i e w S t a t e I D i a g r a m T a g A d d i t i o n a l I n f o " / > < / a : K e y V a l u e O f D i a g r a m O b j e c t K e y a n y T y p e z b w N T n L X > < a : K e y V a l u e O f D i a g r a m O b j e c t K e y a n y T y p e z b w N T n L X > < a : K e y > < K e y > M e a s u r e s \ S u m   o f   Y e a r   5 \ T a g I n f o \ V a l u e < / K e y > < / a : K e y > < a : V a l u e   i : t y p e = " M e a s u r e G r i d V i e w S t a t e I D i a g r a m T a g A d d i t i o n a l I n f o " / > < / a : K e y V a l u e O f D i a g r a m O b j e c t K e y a n y T y p e z b w N T n L X > < a : K e y V a l u e O f D i a g r a m O b j e c t K e y a n y T y p e z b w N T n L X > < a : K e y > < K e y > M e a s u r e s \ C o u n t   o f   I s   S t a n d a r d < / K e y > < / a : K e y > < a : V a l u e   i : t y p e = " M e a s u r e G r i d N o d e V i e w S t a t e " > < C o l u m n > 3 < / C o l u m n > < L a y e d O u t > t r u e < / L a y e d O u t > < W a s U I I n v i s i b l e > t r u e < / W a s U I I n v i s i b l e > < / a : V a l u e > < / a : K e y V a l u e O f D i a g r a m O b j e c t K e y a n y T y p e z b w N T n L X > < a : K e y V a l u e O f D i a g r a m O b j e c t K e y a n y T y p e z b w N T n L X > < a : K e y > < K e y > M e a s u r e s \ C o u n t   o f   I s   S t a n d a r d \ T a g I n f o \ F o r m u l a < / K e y > < / a : K e y > < a : V a l u e   i : t y p e = " M e a s u r e G r i d V i e w S t a t e I D i a g r a m T a g A d d i t i o n a l I n f o " / > < / a : K e y V a l u e O f D i a g r a m O b j e c t K e y a n y T y p e z b w N T n L X > < a : K e y V a l u e O f D i a g r a m O b j e c t K e y a n y T y p e z b w N T n L X > < a : K e y > < K e y > M e a s u r e s \ C o u n t   o f   I s   S t a n d a r d \ T a g I n f o \ V a l u e < / K e y > < / a : K e y > < a : V a l u e   i : t y p e = " M e a s u r e G r i d V i e w S t a t e I D i a g r a m T a g A d d i t i o n a l I n f o " / > < / a : K e y V a l u e O f D i a g r a m O b j e c t K e y a n y T y p e z b w N T n L X > < a : K e y V a l u e O f D i a g r a m O b j e c t K e y a n y T y p e z b w N T n L X > < a : K e y > < K e y > M e a s u r e s \ C o u n t   o f   I s   C o d e < / K e y > < / a : K e y > < a : V a l u e   i : t y p e = " M e a s u r e G r i d N o d e V i e w S t a t e " > < C o l u m n > 2 < / C o l u m n > < L a y e d O u t > t r u e < / L a y e d O u t > < W a s U I I n v i s i b l e > t r u e < / W a s U I I n v i s i b l e > < / a : V a l u e > < / a : K e y V a l u e O f D i a g r a m O b j e c t K e y a n y T y p e z b w N T n L X > < a : K e y V a l u e O f D i a g r a m O b j e c t K e y a n y T y p e z b w N T n L X > < a : K e y > < K e y > M e a s u r e s \ C o u n t   o f   I s   C o d e \ T a g I n f o \ F o r m u l a < / K e y > < / a : K e y > < a : V a l u e   i : t y p e = " M e a s u r e G r i d V i e w S t a t e I D i a g r a m T a g A d d i t i o n a l I n f o " / > < / a : K e y V a l u e O f D i a g r a m O b j e c t K e y a n y T y p e z b w N T n L X > < a : K e y V a l u e O f D i a g r a m O b j e c t K e y a n y T y p e z b w N T n L X > < a : K e y > < K e y > M e a s u r e s \ C o u n t   o f   I s   C o d e \ T a g I n f o \ V a l u e < / K e y > < / a : K e y > < a : V a l u e   i : t y p e = " M e a s u r e G r i d V i e w S t a t e I D i a g r a m T a g A d d i t i o n a l I n f o " / > < / a : K e y V a l u e O f D i a g r a m O b j e c t K e y a n y T y p e z b w N T n L X > < a : K e y V a l u e O f D i a g r a m O b j e c t K e y a n y T y p e z b w N T n L X > < a : K e y > < K e y > M e a s u r e s \ C o u n t   o f   R e p o r t   E x t e r n a l l y < / K e y > < / a : K e y > < a : V a l u e   i : t y p e = " M e a s u r e G r i d N o d e V i e w S t a t e " > < C o l u m n > 5 < / C o l u m n > < L a y e d O u t > t r u e < / L a y e d O u t > < W a s U I I n v i s i b l e > t r u e < / W a s U I I n v i s i b l e > < / a : V a l u e > < / a : K e y V a l u e O f D i a g r a m O b j e c t K e y a n y T y p e z b w N T n L X > < a : K e y V a l u e O f D i a g r a m O b j e c t K e y a n y T y p e z b w N T n L X > < a : K e y > < K e y > M e a s u r e s \ C o u n t   o f   R e p o r t   E x t e r n a l l y \ T a g I n f o \ F o r m u l a < / K e y > < / a : K e y > < a : V a l u e   i : t y p e = " M e a s u r e G r i d V i e w S t a t e I D i a g r a m T a g A d d i t i o n a l I n f o " / > < / a : K e y V a l u e O f D i a g r a m O b j e c t K e y a n y T y p e z b w N T n L X > < a : K e y V a l u e O f D i a g r a m O b j e c t K e y a n y T y p e z b w N T n L X > < a : K e y > < K e y > M e a s u r e s \ C o u n t   o f   R e p o r t   E x t e r n a l l y \ T a g I n f o \ V a l u e 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 C o l u m n s \ M e a s u r e   I n d e x < / K e y > < / a : K e y > < a : V a l u e   i : t y p e = " M e a s u r e G r i d N o d e V i e w S t a t e " > < C o l u m n > 1 < / C o l u m n > < L a y e d O u t > t r u e < / L a y e d O u t > < / a : V a l u e > < / a : K e y V a l u e O f D i a g r a m O b j e c t K e y a n y T y p e z b w N T n L X > < a : K e y V a l u e O f D i a g r a m O b j e c t K e y a n y T y p e z b w N T n L X > < a : K e y > < K e y > C o l u m n s \ I s   C o d e < / K e y > < / a : K e y > < a : V a l u e   i : t y p e = " M e a s u r e G r i d N o d e V i e w S t a t e " > < C o l u m n > 2 < / C o l u m n > < L a y e d O u t > t r u e < / L a y e d O u t > < / a : V a l u e > < / a : K e y V a l u e O f D i a g r a m O b j e c t K e y a n y T y p e z b w N T n L X > < a : K e y V a l u e O f D i a g r a m O b j e c t K e y a n y T y p e z b w N T n L X > < a : K e y > < K e y > C o l u m n s \ I s   S t a n d a r d < / K e y > < / a : K e y > < a : V a l u e   i : t y p e = " M e a s u r e G r i d N o d e V i e w S t a t e " > < C o l u m n > 3 < / C o l u m n > < L a y e d O u t > t r u e < / L a y e d O u t > < / a : V a l u e > < / a : K e y V a l u e O f D i a g r a m O b j e c t K e y a n y T y p e z b w N T n L X > < a : K e y V a l u e O f D i a g r a m O b j e c t K e y a n y T y p e z b w N T n L X > < a : K e y > < K e y > C o l u m n s \ ' N E E A   I n f l u e n c e d ' < / K e y > < / a : K e y > < a : V a l u e   i : t y p e = " M e a s u r e G r i d N o d e V i e w S t a t e " > < C o l u m n > 4 < / C o l u m n > < L a y e d O u t > t r u e < / L a y e d O u t > < / a : V a l u e > < / a : K e y V a l u e O f D i a g r a m O b j e c t K e y a n y T y p e z b w N T n L X > < a : K e y V a l u e O f D i a g r a m O b j e c t K e y a n y T y p e z b w N T n L X > < a : K e y > < K e y > C o l u m n s \ R e p o r t   E x t e r n a l l y < / K e y > < / a : K e y > < a : V a l u e   i : t y p e = " M e a s u r e G r i d N o d e V i e w S t a t e " > < C o l u m n > 5 < / C o l u m n > < L a y e d O u t > t r u e < / L a y e d O u t > < / a : V a l u e > < / a : K e y V a l u e O f D i a g r a m O b j e c t K e y a n y T y p e z b w N T n L X > < a : K e y V a l u e O f D i a g r a m O b j e c t K e y a n y T y p e z b w N T n L X > < a : K e y > < K e y > C o l u m n s \ R e p o r t   N e g a t i v e   N M E < / K e y > < / a : K e y > < a : V a l u e   i : t y p e = " M e a s u r e G r i d N o d e V i e w S t a t e " > < C o l u m n > 6 < / C o l u m n > < L a y e d O u t > t r u e < / L a y e d O u t > < / a : V a l u e > < / a : K e y V a l u e O f D i a g r a m O b j e c t K e y a n y T y p e z b w N T n L X > < a : K e y V a l u e O f D i a g r a m O b j e c t K e y a n y T y p e z b w N T n L X > < a : K e y > < K e y > C o l u m n s \ R e p o r t   N e g a t i v e   L P < / K e y > < / a : K e y > < a : V a l u e   i : t y p e = " M e a s u r e G r i d N o d e V i e w S t a t e " > < C o l u m n > 7 < / C o l u m n > < L a y e d O u t > t r u e < / L a y e d O u t > < / a : V a l u e > < / a : K e y V a l u e O f D i a g r a m O b j e c t K e y a n y T y p e z b w N T n L X > < a : K e y V a l u e O f D i a g r a m O b j e c t K e y a n y T y p e z b w N T n L X > < a : K e y > < K e y > C o l u m n s \ M e a s u r e < / K e y > < / a : K e y > < a : V a l u e   i : t y p e = " M e a s u r e G r i d N o d e V i e w S t a t e " > < C o l u m n > 8 < / C o l u m n > < L a y e d O u t > t r u e < / L a y e d O u t > < / a : V a l u e > < / a : K e y V a l u e O f D i a g r a m O b j e c t K e y a n y T y p e z b w N T n L X > < a : K e y V a l u e O f D i a g r a m O b j e c t K e y a n y T y p e z b w N T n L X > < a : K e y > < K e y > L i n k s \ & l t ; C o l u m n s \ S u m   o f   Y e a r   5 & g t ; - & l t ; M e a s u r e s \ Y e a r & g t ; < / K e y > < / a : K e y > < a : V a l u e   i : t y p e = " M e a s u r e G r i d V i e w S t a t e I D i a g r a m L i n k " / > < / a : K e y V a l u e O f D i a g r a m O b j e c t K e y a n y T y p e z b w N T n L X > < a : K e y V a l u e O f D i a g r a m O b j e c t K e y a n y T y p e z b w N T n L X > < a : K e y > < K e y > L i n k s \ & l t ; C o l u m n s \ S u m   o f   Y e a r   5 & g t ; - & l t ; M e a s u r e s \ Y e a r & g t ; \ C O L U M N < / K e y > < / a : K e y > < a : V a l u e   i : t y p e = " M e a s u r e G r i d V i e w S t a t e I D i a g r a m L i n k E n d p o i n t " / > < / a : K e y V a l u e O f D i a g r a m O b j e c t K e y a n y T y p e z b w N T n L X > < a : K e y V a l u e O f D i a g r a m O b j e c t K e y a n y T y p e z b w N T n L X > < a : K e y > < K e y > L i n k s \ & l t ; C o l u m n s \ S u m   o f   Y e a r   5 & g t ; - & l t ; M e a s u r e s \ Y e a r & g t ; \ M E A S U R E < / K e y > < / a : K e y > < a : V a l u e   i : t y p e = " M e a s u r e G r i d V i e w S t a t e I D i a g r a m L i n k E n d p o i n t " / > < / a : K e y V a l u e O f D i a g r a m O b j e c t K e y a n y T y p e z b w N T n L X > < a : K e y V a l u e O f D i a g r a m O b j e c t K e y a n y T y p e z b w N T n L X > < a : K e y > < K e y > L i n k s \ & l t ; C o l u m n s \ C o u n t   o f   I s   S t a n d a r d & g t ; - & l t ; M e a s u r e s \ I s   S t a n d a r d & g t ; < / K e y > < / a : K e y > < a : V a l u e   i : t y p e = " M e a s u r e G r i d V i e w S t a t e I D i a g r a m L i n k " / > < / a : K e y V a l u e O f D i a g r a m O b j e c t K e y a n y T y p e z b w N T n L X > < a : K e y V a l u e O f D i a g r a m O b j e c t K e y a n y T y p e z b w N T n L X > < a : K e y > < K e y > L i n k s \ & l t ; C o l u m n s \ C o u n t   o f   I s   S t a n d a r d & g t ; - & l t ; M e a s u r e s \ I s   S t a n d a r d & g t ; \ C O L U M N < / K e y > < / a : K e y > < a : V a l u e   i : t y p e = " M e a s u r e G r i d V i e w S t a t e I D i a g r a m L i n k E n d p o i n t " / > < / a : K e y V a l u e O f D i a g r a m O b j e c t K e y a n y T y p e z b w N T n L X > < a : K e y V a l u e O f D i a g r a m O b j e c t K e y a n y T y p e z b w N T n L X > < a : K e y > < K e y > L i n k s \ & l t ; C o l u m n s \ C o u n t   o f   I s   S t a n d a r d & g t ; - & l t ; M e a s u r e s \ I s   S t a n d a r d & g t ; \ M E A S U R E < / K e y > < / a : K e y > < a : V a l u e   i : t y p e = " M e a s u r e G r i d V i e w S t a t e I D i a g r a m L i n k E n d p o i n t " / > < / a : K e y V a l u e O f D i a g r a m O b j e c t K e y a n y T y p e z b w N T n L X > < a : K e y V a l u e O f D i a g r a m O b j e c t K e y a n y T y p e z b w N T n L X > < a : K e y > < K e y > L i n k s \ & l t ; C o l u m n s \ C o u n t   o f   I s   C o d e & g t ; - & l t ; M e a s u r e s \ I s   C o d e & g t ; < / K e y > < / a : K e y > < a : V a l u e   i : t y p e = " M e a s u r e G r i d V i e w S t a t e I D i a g r a m L i n k " / > < / a : K e y V a l u e O f D i a g r a m O b j e c t K e y a n y T y p e z b w N T n L X > < a : K e y V a l u e O f D i a g r a m O b j e c t K e y a n y T y p e z b w N T n L X > < a : K e y > < K e y > L i n k s \ & l t ; C o l u m n s \ C o u n t   o f   I s   C o d e & g t ; - & l t ; M e a s u r e s \ I s   C o d e & g t ; \ C O L U M N < / K e y > < / a : K e y > < a : V a l u e   i : t y p e = " M e a s u r e G r i d V i e w S t a t e I D i a g r a m L i n k E n d p o i n t " / > < / a : K e y V a l u e O f D i a g r a m O b j e c t K e y a n y T y p e z b w N T n L X > < a : K e y V a l u e O f D i a g r a m O b j e c t K e y a n y T y p e z b w N T n L X > < a : K e y > < K e y > L i n k s \ & l t ; C o l u m n s \ C o u n t   o f   I s   C o d e & g t ; - & l t ; M e a s u r e s \ I s   C o d e & g t ; \ M E A S U R E < / K e y > < / a : K e y > < a : V a l u e   i : t y p e = " M e a s u r e G r i d V i e w S t a t e I D i a g r a m L i n k E n d p o i n t " / > < / a : K e y V a l u e O f D i a g r a m O b j e c t K e y a n y T y p e z b w N T n L X > < a : K e y V a l u e O f D i a g r a m O b j e c t K e y a n y T y p e z b w N T n L X > < a : K e y > < K e y > L i n k s \ & l t ; C o l u m n s \ C o u n t   o f   R e p o r t   E x t e r n a l l y & g t ; - & l t ; M e a s u r e s \ R e p o r t   E x t e r n a l l y & g t ; < / K e y > < / a : K e y > < a : V a l u e   i : t y p e = " M e a s u r e G r i d V i e w S t a t e I D i a g r a m L i n k " / > < / a : K e y V a l u e O f D i a g r a m O b j e c t K e y a n y T y p e z b w N T n L X > < a : K e y V a l u e O f D i a g r a m O b j e c t K e y a n y T y p e z b w N T n L X > < a : K e y > < K e y > L i n k s \ & l t ; C o l u m n s \ C o u n t   o f   R e p o r t   E x t e r n a l l y & g t ; - & l t ; M e a s u r e s \ R e p o r t   E x t e r n a l l y & g t ; \ C O L U M N < / K e y > < / a : K e y > < a : V a l u e   i : t y p e = " M e a s u r e G r i d V i e w S t a t e I D i a g r a m L i n k E n d p o i n t " / > < / a : K e y V a l u e O f D i a g r a m O b j e c t K e y a n y T y p e z b w N T n L X > < a : K e y V a l u e O f D i a g r a m O b j e c t K e y a n y T y p e z b w N T n L X > < a : K e y > < K e y > L i n k s \ & l t ; C o l u m n s \ C o u n t   o f   R e p o r t   E x t e r n a l l y & g t ; - & l t ; M e a s u r e s \ R e p o r t   E x t e r n a l l y & g t ; \ M E A S U R E < / K e y > < / a : K e y > < a : V a l u e   i : t y p e = " M e a s u r e G r i d V i e w S t a t e I D i a g r a m L i n k E n d p o i n t " / > < / a : K e y V a l u e O f D i a g r a m O b j e c t K e y a n y T y p e z b w N T n L X > < / V i e w S t a t e s > < / D i a g r a m M a n a g e r . S e r i a l i z a b l e D i a g r a m > < D i a g r a m M a n a g e r . S e r i a l i z a b l e D i a g r a m > < A d a p t e r   i : t y p e = " M e a s u r e D i a g r a m S a n d b o x A d a p t e r " > < T a b l e N a m e > v w M e a s u r e s 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 v w M e a s u r e s 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 M e a s u r e   L i f e < / K e y > < / D i a g r a m O b j e c t K e y > < D i a g r a m O b j e c t K e y > < K e y > M e a s u r e s \ S u m   o f   M e a s u r e   L i f e \ T a g I n f o \ F o r m u l a < / K e y > < / D i a g r a m O b j e c t K e y > < D i a g r a m O b j e c t K e y > < K e y > M e a s u r e s \ S u m   o f   M e a s u r e   L i f e \ T a g I n f o \ V a l u e < / K e y > < / D i a g r a m O b j e c t K e y > < D i a g r a m O b j e c t K e y > < K e y > C o l u m n s \ M e a s u r e < / K e y > < / D i a g r a m O b j e c t K e y > < D i a g r a m O b j e c t K e y > < K e y > C o l u m n s \ M e a s u r e   L i f e < / K e y > < / D i a g r a m O b j e c t K e y > < D i a g r a m O b j e c t K e y > < K e y > C o l u m n s \ M e a s u r e   I n d e x < / K e y > < / D i a g r a m O b j e c t K e y > < D i a g r a m O b j e c t K e y > < K e y > C o l u m n s \ M e a s u r e   D e s c r i p t i o n < / K e y > < / D i a g r a m O b j e c t K e y > < D i a g r a m O b j e c t K e y > < K e y > C o l u m n s \ s e c t o r < / K e y > < / D i a g r a m O b j e c t K e y > < D i a g r a m O b j e c t K e y > < K e y > C o l u m n s \ I n i t i a t i v e < / K e y > < / D i a g r a m O b j e c t K e y > < D i a g r a m O b j e c t K e y > < K e y > C o l u m n s \ I n i t i a t i v e   I n d e x < / K e y > < / D i a g r a m O b j e c t K e y > < D i a g r a m O b j e c t K e y > < K e y > C o l u m n s \ I n i t i a t i v e   D e s c r i p t i o n < / K e y > < / D i a g r a m O b j e c t K e y > < D i a g r a m O b j e c t K e y > < K e y > C o l u m n s \ P r o d u c t < / K e y > < / D i a g r a m O b j e c t K e y > < D i a g r a m O b j e c t K e y > < K e y > C o l u m n s \ P r o d u c t   D e s c r i p t i o n < / K e y > < / D i a g r a m O b j e c t K e y > < D i a g r a m O b j e c t K e y > < K e y > C o l u m n s \ T i e r < / K e y > < / D i a g r a m O b j e c t K e y > < D i a g r a m O b j e c t K e y > < K e y > C o l u m n s \ T i e r   D e s c r i p t i o n < / K e y > < / D i a g r a m O b j e c t K e y > < D i a g r a m O b j e c t K e y > < K e y > C o l u m n s \ A b o v e   2 0 2 1   P P < / K e y > < / D i a g r a m O b j e c t K e y > < D i a g r a m O b j e c t K e y > < K e y > C o l u m n s \ N E E A   I n f l u e n c e d < / K e y > < / D i a g r a m O b j e c t K e y > < D i a g r a m O b j e c t K e y > < K e y > C o l u m n s \ P r o d u c t   C a t e g o r y < / K e y > < / D i a g r a m O b j e c t K e y > < D i a g r a m O b j e c t K e y > < K e y > C o l u m n s \ P r o d u c t   G r o u p < / K e y > < / D i a g r a m O b j e c t K e y > < D i a g r a m O b j e c t K e y > < K e y > C o l u m n s \ R e s o u r c e   T y p e < / K e y > < / D i a g r a m O b j e c t K e y > < D i a g r a m O b j e c t K e y > < K e y > C o l u m n s \ F u e l   T y p e < / K e y > < / D i a g r a m O b j e c t K e y > < D i a g r a m O b j e c t K e y > < K e y > C o l u m n s \ B r a c k e t < / K e y > < / D i a g r a m O b j e c t K e y > < D i a g r a m O b j e c t K e y > < K e y > L i n k s \ & l t ; C o l u m n s \ S u m   o f   M e a s u r e   L i f e & g t ; - & l t ; M e a s u r e s \ M e a s u r e   L i f e & g t ; < / K e y > < / D i a g r a m O b j e c t K e y > < D i a g r a m O b j e c t K e y > < K e y > L i n k s \ & l t ; C o l u m n s \ S u m   o f   M e a s u r e   L i f e & g t ; - & l t ; M e a s u r e s \ M e a s u r e   L i f e & g t ; \ C O L U M N < / K e y > < / D i a g r a m O b j e c t K e y > < D i a g r a m O b j e c t K e y > < K e y > L i n k s \ & l t ; C o l u m n s \ S u m   o f   M e a s u r e   L i f e & g t ; - & l t ; M e a s u r e s \ M e a s u r e   L i f e & g t ; \ M E A S U R E 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 M e a s u r e   L i f e < / K e y > < / a : K e y > < a : V a l u e   i : t y p e = " M e a s u r e G r i d N o d e V i e w S t a t e " > < C o l u m n > 1 < / C o l u m n > < L a y e d O u t > t r u e < / L a y e d O u t > < W a s U I I n v i s i b l e > t r u e < / W a s U I I n v i s i b l e > < / a : V a l u e > < / a : K e y V a l u e O f D i a g r a m O b j e c t K e y a n y T y p e z b w N T n L X > < a : K e y V a l u e O f D i a g r a m O b j e c t K e y a n y T y p e z b w N T n L X > < a : K e y > < K e y > M e a s u r e s \ S u m   o f   M e a s u r e   L i f e \ T a g I n f o \ F o r m u l a < / K e y > < / a : K e y > < a : V a l u e   i : t y p e = " M e a s u r e G r i d V i e w S t a t e I D i a g r a m T a g A d d i t i o n a l I n f o " / > < / a : K e y V a l u e O f D i a g r a m O b j e c t K e y a n y T y p e z b w N T n L X > < a : K e y V a l u e O f D i a g r a m O b j e c t K e y a n y T y p e z b w N T n L X > < a : K e y > < K e y > M e a s u r e s \ S u m   o f   M e a s u r e   L i f e \ T a g I n f o \ V a l u e < / K e y > < / a : K e y > < a : V a l u e   i : t y p e = " M e a s u r e G r i d V i e w S t a t e I D i a g r a m T a g A d d i t i o n a l I n f o " / > < / a : K e y V a l u e O f D i a g r a m O b j e c t K e y a n y T y p e z b w N T n L X > < a : K e y V a l u e O f D i a g r a m O b j e c t K e y a n y T y p e z b w N T n L X > < a : K e y > < K e y > C o l u m n s \ M e a s u r e < / K e y > < / a : K e y > < a : V a l u e   i : t y p e = " M e a s u r e G r i d N o d e V i e w S t a t e " > < L a y e d O u t > t r u e < / L a y e d O u t > < / a : V a l u e > < / a : K e y V a l u e O f D i a g r a m O b j e c t K e y a n y T y p e z b w N T n L X > < a : K e y V a l u e O f D i a g r a m O b j e c t K e y a n y T y p e z b w N T n L X > < a : K e y > < K e y > C o l u m n s \ M e a s u r e   L i f e < / K e y > < / a : K e y > < a : V a l u e   i : t y p e = " M e a s u r e G r i d N o d e V i e w S t a t e " > < C o l u m n > 1 < / C o l u m n > < L a y e d O u t > t r u e < / L a y e d O u t > < / a : V a l u e > < / a : K e y V a l u e O f D i a g r a m O b j e c t K e y a n y T y p e z b w N T n L X > < a : K e y V a l u e O f D i a g r a m O b j e c t K e y a n y T y p e z b w N T n L X > < a : K e y > < K e y > C o l u m n s \ M e a s u r e   I n d e x < / K e y > < / a : K e y > < a : V a l u e   i : t y p e = " M e a s u r e G r i d N o d e V i e w S t a t e " > < C o l u m n > 2 < / C o l u m n > < L a y e d O u t > t r u e < / L a y e d O u t > < / a : V a l u e > < / a : K e y V a l u e O f D i a g r a m O b j e c t K e y a n y T y p e z b w N T n L X > < a : K e y V a l u e O f D i a g r a m O b j e c t K e y a n y T y p e z b w N T n L X > < a : K e y > < K e y > C o l u m n s \ M e a s u r e   D e s c r i p t i o n < / K e y > < / a : K e y > < a : V a l u e   i : t y p e = " M e a s u r e G r i d N o d e V i e w S t a t e " > < C o l u m n > 3 < / C o l u m n > < L a y e d O u t > t r u e < / L a y e d O u t > < / a : V a l u e > < / a : K e y V a l u e O f D i a g r a m O b j e c t K e y a n y T y p e z b w N T n L X > < a : K e y V a l u e O f D i a g r a m O b j e c t K e y a n y T y p e z b w N T n L X > < a : K e y > < K e y > C o l u m n s \ s e c t o r < / K e y > < / a : K e y > < a : V a l u e   i : t y p e = " M e a s u r e G r i d N o d e V i e w S t a t e " > < C o l u m n > 4 < / C o l u m n > < L a y e d O u t > t r u e < / L a y e d O u t > < / a : V a l u e > < / a : K e y V a l u e O f D i a g r a m O b j e c t K e y a n y T y p e z b w N T n L X > < a : K e y V a l u e O f D i a g r a m O b j e c t K e y a n y T y p e z b w N T n L X > < a : K e y > < K e y > C o l u m n s \ I n i t i a t i v e < / K e y > < / a : K e y > < a : V a l u e   i : t y p e = " M e a s u r e G r i d N o d e V i e w S t a t e " > < C o l u m n > 5 < / C o l u m n > < L a y e d O u t > t r u e < / L a y e d O u t > < / a : V a l u e > < / a : K e y V a l u e O f D i a g r a m O b j e c t K e y a n y T y p e z b w N T n L X > < a : K e y V a l u e O f D i a g r a m O b j e c t K e y a n y T y p e z b w N T n L X > < a : K e y > < K e y > C o l u m n s \ I n i t i a t i v e   I n d e x < / K e y > < / a : K e y > < a : V a l u e   i : t y p e = " M e a s u r e G r i d N o d e V i e w S t a t e " > < C o l u m n > 6 < / C o l u m n > < L a y e d O u t > t r u e < / L a y e d O u t > < / a : V a l u e > < / a : K e y V a l u e O f D i a g r a m O b j e c t K e y a n y T y p e z b w N T n L X > < a : K e y V a l u e O f D i a g r a m O b j e c t K e y a n y T y p e z b w N T n L X > < a : K e y > < K e y > C o l u m n s \ I n i t i a t i v e   D e s c r i p t i o n < / K e y > < / a : K e y > < a : V a l u e   i : t y p e = " M e a s u r e G r i d N o d e V i e w S t a t e " > < C o l u m n > 7 < / C o l u m n > < L a y e d O u t > t r u e < / L a y e d O u t > < / a : V a l u e > < / a : K e y V a l u e O f D i a g r a m O b j e c t K e y a n y T y p e z b w N T n L X > < a : K e y V a l u e O f D i a g r a m O b j e c t K e y a n y T y p e z b w N T n L X > < a : K e y > < K e y > C o l u m n s \ P r o d u c t < / K e y > < / a : K e y > < a : V a l u e   i : t y p e = " M e a s u r e G r i d N o d e V i e w S t a t e " > < C o l u m n > 8 < / C o l u m n > < L a y e d O u t > t r u e < / L a y e d O u t > < / a : V a l u e > < / a : K e y V a l u e O f D i a g r a m O b j e c t K e y a n y T y p e z b w N T n L X > < a : K e y V a l u e O f D i a g r a m O b j e c t K e y a n y T y p e z b w N T n L X > < a : K e y > < K e y > C o l u m n s \ P r o d u c t   D e s c r i p t i o n < / K e y > < / a : K e y > < a : V a l u e   i : t y p e = " M e a s u r e G r i d N o d e V i e w S t a t e " > < C o l u m n > 9 < / C o l u m n > < L a y e d O u t > t r u e < / L a y e d O u t > < / a : V a l u e > < / a : K e y V a l u e O f D i a g r a m O b j e c t K e y a n y T y p e z b w N T n L X > < a : K e y V a l u e O f D i a g r a m O b j e c t K e y a n y T y p e z b w N T n L X > < a : K e y > < K e y > C o l u m n s \ T i e r < / K e y > < / a : K e y > < a : V a l u e   i : t y p e = " M e a s u r e G r i d N o d e V i e w S t a t e " > < C o l u m n > 1 0 < / C o l u m n > < L a y e d O u t > t r u e < / L a y e d O u t > < / a : V a l u e > < / a : K e y V a l u e O f D i a g r a m O b j e c t K e y a n y T y p e z b w N T n L X > < a : K e y V a l u e O f D i a g r a m O b j e c t K e y a n y T y p e z b w N T n L X > < a : K e y > < K e y > C o l u m n s \ T i e r   D e s c r i p t i o n < / K e y > < / a : K e y > < a : V a l u e   i : t y p e = " M e a s u r e G r i d N o d e V i e w S t a t e " > < C o l u m n > 1 1 < / C o l u m n > < L a y e d O u t > t r u e < / L a y e d O u t > < / a : V a l u e > < / a : K e y V a l u e O f D i a g r a m O b j e c t K e y a n y T y p e z b w N T n L X > < a : K e y V a l u e O f D i a g r a m O b j e c t K e y a n y T y p e z b w N T n L X > < a : K e y > < K e y > C o l u m n s \ A b o v e   2 0 2 1   P P < / K e y > < / a : K e y > < a : V a l u e   i : t y p e = " M e a s u r e G r i d N o d e V i e w S t a t e " > < C o l u m n > 1 2 < / C o l u m n > < L a y e d O u t > t r u e < / L a y e d O u t > < / a : V a l u e > < / a : K e y V a l u e O f D i a g r a m O b j e c t K e y a n y T y p e z b w N T n L X > < a : K e y V a l u e O f D i a g r a m O b j e c t K e y a n y T y p e z b w N T n L X > < a : K e y > < K e y > C o l u m n s \ N E E A   I n f l u e n c e d < / K e y > < / a : K e y > < a : V a l u e   i : t y p e = " M e a s u r e G r i d N o d e V i e w S t a t e " > < C o l u m n > 1 3 < / C o l u m n > < L a y e d O u t > t r u e < / L a y e d O u t > < / a : V a l u e > < / a : K e y V a l u e O f D i a g r a m O b j e c t K e y a n y T y p e z b w N T n L X > < a : K e y V a l u e O f D i a g r a m O b j e c t K e y a n y T y p e z b w N T n L X > < a : K e y > < K e y > C o l u m n s \ P r o d u c t   C a t e g o r y < / K e y > < / a : K e y > < a : V a l u e   i : t y p e = " M e a s u r e G r i d N o d e V i e w S t a t e " > < C o l u m n > 1 4 < / C o l u m n > < L a y e d O u t > t r u e < / L a y e d O u t > < / a : V a l u e > < / a : K e y V a l u e O f D i a g r a m O b j e c t K e y a n y T y p e z b w N T n L X > < a : K e y V a l u e O f D i a g r a m O b j e c t K e y a n y T y p e z b w N T n L X > < a : K e y > < K e y > C o l u m n s \ P r o d u c t   G r o u p < / K e y > < / a : K e y > < a : V a l u e   i : t y p e = " M e a s u r e G r i d N o d e V i e w S t a t e " > < C o l u m n > 1 5 < / C o l u m n > < L a y e d O u t > t r u e < / L a y e d O u t > < / a : V a l u e > < / a : K e y V a l u e O f D i a g r a m O b j e c t K e y a n y T y p e z b w N T n L X > < a : K e y V a l u e O f D i a g r a m O b j e c t K e y a n y T y p e z b w N T n L X > < a : K e y > < K e y > C o l u m n s \ R e s o u r c e   T y p e < / K e y > < / a : K e y > < a : V a l u e   i : t y p e = " M e a s u r e G r i d N o d e V i e w S t a t e " > < C o l u m n > 1 6 < / C o l u m n > < L a y e d O u t > t r u e < / L a y e d O u t > < / a : V a l u e > < / a : K e y V a l u e O f D i a g r a m O b j e c t K e y a n y T y p e z b w N T n L X > < a : K e y V a l u e O f D i a g r a m O b j e c t K e y a n y T y p e z b w N T n L X > < a : K e y > < K e y > C o l u m n s \ F u e l   T y p e < / K e y > < / a : K e y > < a : V a l u e   i : t y p e = " M e a s u r e G r i d N o d e V i e w S t a t e " > < C o l u m n > 1 7 < / C o l u m n > < L a y e d O u t > t r u e < / L a y e d O u t > < / a : V a l u e > < / a : K e y V a l u e O f D i a g r a m O b j e c t K e y a n y T y p e z b w N T n L X > < a : K e y V a l u e O f D i a g r a m O b j e c t K e y a n y T y p e z b w N T n L X > < a : K e y > < K e y > C o l u m n s \ B r a c k e t < / K e y > < / a : K e y > < a : V a l u e   i : t y p e = " M e a s u r e G r i d N o d e V i e w S t a t e " > < C o l u m n > 1 8 < / C o l u m n > < L a y e d O u t > t r u e < / L a y e d O u t > < / a : V a l u e > < / a : K e y V a l u e O f D i a g r a m O b j e c t K e y a n y T y p e z b w N T n L X > < a : K e y V a l u e O f D i a g r a m O b j e c t K e y a n y T y p e z b w N T n L X > < a : K e y > < K e y > L i n k s \ & l t ; C o l u m n s \ S u m   o f   M e a s u r e   L i f e & g t ; - & l t ; M e a s u r e s \ M e a s u r e   L i f e & g t ; < / K e y > < / a : K e y > < a : V a l u e   i : t y p e = " M e a s u r e G r i d V i e w S t a t e I D i a g r a m L i n k " / > < / a : K e y V a l u e O f D i a g r a m O b j e c t K e y a n y T y p e z b w N T n L X > < a : K e y V a l u e O f D i a g r a m O b j e c t K e y a n y T y p e z b w N T n L X > < a : K e y > < K e y > L i n k s \ & l t ; C o l u m n s \ S u m   o f   M e a s u r e   L i f e & g t ; - & l t ; M e a s u r e s \ M e a s u r e   L i f e & g t ; \ C O L U M N < / K e y > < / a : K e y > < a : V a l u e   i : t y p e = " M e a s u r e G r i d V i e w S t a t e I D i a g r a m L i n k E n d p o i n t " / > < / a : K e y V a l u e O f D i a g r a m O b j e c t K e y a n y T y p e z b w N T n L X > < a : K e y V a l u e O f D i a g r a m O b j e c t K e y a n y T y p e z b w N T n L X > < a : K e y > < K e y > L i n k s \ & l t ; C o l u m n s \ S u m   o f   M e a s u r e   L i f e & g t ; - & l t ; M e a s u r e s \ M e a s u r e   L i f e & g t ; \ M E A S U R E 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9FFC5F76-3857-447F-BF2D-91D22DE6F9FA}">
  <ds:schemaRefs/>
</ds:datastoreItem>
</file>

<file path=customXml/itemProps10.xml><?xml version="1.0" encoding="utf-8"?>
<ds:datastoreItem xmlns:ds="http://schemas.openxmlformats.org/officeDocument/2006/customXml" ds:itemID="{FFD197B0-298E-4093-B7CC-338E01683740}">
  <ds:schemaRefs/>
</ds:datastoreItem>
</file>

<file path=customXml/itemProps11.xml><?xml version="1.0" encoding="utf-8"?>
<ds:datastoreItem xmlns:ds="http://schemas.openxmlformats.org/officeDocument/2006/customXml" ds:itemID="{36EC0B34-E51B-4F12-9125-477DD740305A}"/>
</file>

<file path=customXml/itemProps12.xml><?xml version="1.0" encoding="utf-8"?>
<ds:datastoreItem xmlns:ds="http://schemas.openxmlformats.org/officeDocument/2006/customXml" ds:itemID="{6A8C6DAA-D93D-4C2A-A1E5-338436DBFB67}">
  <ds:schemaRefs/>
</ds:datastoreItem>
</file>

<file path=customXml/itemProps13.xml><?xml version="1.0" encoding="utf-8"?>
<ds:datastoreItem xmlns:ds="http://schemas.openxmlformats.org/officeDocument/2006/customXml" ds:itemID="{9ACDAD4E-2AC8-4E4B-8DFA-0DC50F0AA1E1}">
  <ds:schemaRefs/>
</ds:datastoreItem>
</file>

<file path=customXml/itemProps14.xml><?xml version="1.0" encoding="utf-8"?>
<ds:datastoreItem xmlns:ds="http://schemas.openxmlformats.org/officeDocument/2006/customXml" ds:itemID="{638BBD0F-3899-4FC6-A668-9B4663066209}">
  <ds:schemaRefs/>
</ds:datastoreItem>
</file>

<file path=customXml/itemProps15.xml><?xml version="1.0" encoding="utf-8"?>
<ds:datastoreItem xmlns:ds="http://schemas.openxmlformats.org/officeDocument/2006/customXml" ds:itemID="{CE6FA061-F7A5-428E-AD3C-873A28D64EAF}">
  <ds:schemaRefs/>
</ds:datastoreItem>
</file>

<file path=customXml/itemProps16.xml><?xml version="1.0" encoding="utf-8"?>
<ds:datastoreItem xmlns:ds="http://schemas.openxmlformats.org/officeDocument/2006/customXml" ds:itemID="{6BE1F1BE-DBDE-4EA3-BD05-3ED1D614B4A0}">
  <ds:schemaRefs/>
</ds:datastoreItem>
</file>

<file path=customXml/itemProps17.xml><?xml version="1.0" encoding="utf-8"?>
<ds:datastoreItem xmlns:ds="http://schemas.openxmlformats.org/officeDocument/2006/customXml" ds:itemID="{0CA59941-390B-4B91-B89E-8C3671C942D2}">
  <ds:schemaRefs>
    <ds:schemaRef ds:uri="http://schemas.microsoft.com/sharepoint/v3/contenttype/forms"/>
  </ds:schemaRefs>
</ds:datastoreItem>
</file>

<file path=customXml/itemProps18.xml><?xml version="1.0" encoding="utf-8"?>
<ds:datastoreItem xmlns:ds="http://schemas.openxmlformats.org/officeDocument/2006/customXml" ds:itemID="{9109CC02-2192-433B-B8D3-3638F562BB5D}">
  <ds:schemaRefs/>
</ds:datastoreItem>
</file>

<file path=customXml/itemProps19.xml><?xml version="1.0" encoding="utf-8"?>
<ds:datastoreItem xmlns:ds="http://schemas.openxmlformats.org/officeDocument/2006/customXml" ds:itemID="{244925F3-D784-45B3-A493-5AD589D61140}">
  <ds:schemaRefs>
    <ds:schemaRef ds:uri="http://schemas.microsoft.com/sharepoint/events"/>
  </ds:schemaRefs>
</ds:datastoreItem>
</file>

<file path=customXml/itemProps2.xml><?xml version="1.0" encoding="utf-8"?>
<ds:datastoreItem xmlns:ds="http://schemas.openxmlformats.org/officeDocument/2006/customXml" ds:itemID="{5474F9DC-15A0-4E0C-8A18-9D69EDB1DE3F}">
  <ds:schemaRefs/>
</ds:datastoreItem>
</file>

<file path=customXml/itemProps20.xml><?xml version="1.0" encoding="utf-8"?>
<ds:datastoreItem xmlns:ds="http://schemas.openxmlformats.org/officeDocument/2006/customXml" ds:itemID="{F50BFEFB-0286-48C1-A122-0A67DE984CCE}">
  <ds:schemaRefs/>
</ds:datastoreItem>
</file>

<file path=customXml/itemProps21.xml><?xml version="1.0" encoding="utf-8"?>
<ds:datastoreItem xmlns:ds="http://schemas.openxmlformats.org/officeDocument/2006/customXml" ds:itemID="{BDE9228C-91EF-44B8-868E-F2B6143F522A}">
  <ds:schemaRefs/>
</ds:datastoreItem>
</file>

<file path=customXml/itemProps22.xml><?xml version="1.0" encoding="utf-8"?>
<ds:datastoreItem xmlns:ds="http://schemas.openxmlformats.org/officeDocument/2006/customXml" ds:itemID="{377794BF-233D-48CA-A3F5-8875B0DA4AEB}">
  <ds:schemaRefs>
    <ds:schemaRef ds:uri="b0026184-765f-4768-b711-70a371f96413"/>
    <ds:schemaRef ds:uri="http://schemas.microsoft.com/office/2006/metadata/properties"/>
    <ds:schemaRef ds:uri="http://purl.org/dc/terms/"/>
    <ds:schemaRef ds:uri="http://purl.org/dc/elements/1.1/"/>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a2770165-4f9f-4d0d-8964-a1977d2be980"/>
    <ds:schemaRef ds:uri="http://purl.org/dc/dcmitype/"/>
  </ds:schemaRefs>
</ds:datastoreItem>
</file>

<file path=customXml/itemProps23.xml><?xml version="1.0" encoding="utf-8"?>
<ds:datastoreItem xmlns:ds="http://schemas.openxmlformats.org/officeDocument/2006/customXml" ds:itemID="{6B9337D5-E674-4B51-8DA1-9C302BD7E042}">
  <ds:schemaRefs/>
</ds:datastoreItem>
</file>

<file path=customXml/itemProps24.xml><?xml version="1.0" encoding="utf-8"?>
<ds:datastoreItem xmlns:ds="http://schemas.openxmlformats.org/officeDocument/2006/customXml" ds:itemID="{B31912C5-3A6D-407B-9B9D-B9BA94156111}">
  <ds:schemaRefs/>
</ds:datastoreItem>
</file>

<file path=customXml/itemProps25.xml><?xml version="1.0" encoding="utf-8"?>
<ds:datastoreItem xmlns:ds="http://schemas.openxmlformats.org/officeDocument/2006/customXml" ds:itemID="{C4C8E4E5-74B4-4883-AE86-775A60644BA1}">
  <ds:schemaRefs/>
</ds:datastoreItem>
</file>

<file path=customXml/itemProps26.xml><?xml version="1.0" encoding="utf-8"?>
<ds:datastoreItem xmlns:ds="http://schemas.openxmlformats.org/officeDocument/2006/customXml" ds:itemID="{8D331738-EBA5-4B85-8796-F0ED4E7DC371}">
  <ds:schemaRefs/>
</ds:datastoreItem>
</file>

<file path=customXml/itemProps27.xml><?xml version="1.0" encoding="utf-8"?>
<ds:datastoreItem xmlns:ds="http://schemas.openxmlformats.org/officeDocument/2006/customXml" ds:itemID="{D34C37DA-44BD-43DF-833A-AB392323B05E}">
  <ds:schemaRefs/>
</ds:datastoreItem>
</file>

<file path=customXml/itemProps28.xml><?xml version="1.0" encoding="utf-8"?>
<ds:datastoreItem xmlns:ds="http://schemas.openxmlformats.org/officeDocument/2006/customXml" ds:itemID="{4010FE4B-B4EF-4744-B567-248C188EF26D}">
  <ds:schemaRefs/>
</ds:datastoreItem>
</file>

<file path=customXml/itemProps29.xml><?xml version="1.0" encoding="utf-8"?>
<ds:datastoreItem xmlns:ds="http://schemas.openxmlformats.org/officeDocument/2006/customXml" ds:itemID="{0D127E1F-9789-4352-A9DB-0D88CA43A513}"/>
</file>

<file path=customXml/itemProps3.xml><?xml version="1.0" encoding="utf-8"?>
<ds:datastoreItem xmlns:ds="http://schemas.openxmlformats.org/officeDocument/2006/customXml" ds:itemID="{FA805DD1-6A3F-4688-976A-301D17F37C16}">
  <ds:schemaRefs>
    <ds:schemaRef ds:uri="http://schemas.microsoft.com/DataMashup"/>
  </ds:schemaRefs>
</ds:datastoreItem>
</file>

<file path=customXml/itemProps30.xml><?xml version="1.0" encoding="utf-8"?>
<ds:datastoreItem xmlns:ds="http://schemas.openxmlformats.org/officeDocument/2006/customXml" ds:itemID="{88F2CFB6-2A85-45E5-A485-6ECF515DFEB6}">
  <ds:schemaRefs/>
</ds:datastoreItem>
</file>

<file path=customXml/itemProps4.xml><?xml version="1.0" encoding="utf-8"?>
<ds:datastoreItem xmlns:ds="http://schemas.openxmlformats.org/officeDocument/2006/customXml" ds:itemID="{67844DFB-FED2-4600-A634-EBF556209044}">
  <ds:schemaRefs/>
</ds:datastoreItem>
</file>

<file path=customXml/itemProps5.xml><?xml version="1.0" encoding="utf-8"?>
<ds:datastoreItem xmlns:ds="http://schemas.openxmlformats.org/officeDocument/2006/customXml" ds:itemID="{C55BBD50-2677-4CA4-834C-E3BE5176312D}">
  <ds:schemaRefs/>
</ds:datastoreItem>
</file>

<file path=customXml/itemProps6.xml><?xml version="1.0" encoding="utf-8"?>
<ds:datastoreItem xmlns:ds="http://schemas.openxmlformats.org/officeDocument/2006/customXml" ds:itemID="{4EB63EDA-F982-4AEF-A99B-226F0D0996BF}">
  <ds:schemaRefs/>
</ds:datastoreItem>
</file>

<file path=customXml/itemProps7.xml><?xml version="1.0" encoding="utf-8"?>
<ds:datastoreItem xmlns:ds="http://schemas.openxmlformats.org/officeDocument/2006/customXml" ds:itemID="{285150DC-9F15-4594-BB48-4092D5CDC4DC}">
  <ds:schemaRefs/>
</ds:datastoreItem>
</file>

<file path=customXml/itemProps8.xml><?xml version="1.0" encoding="utf-8"?>
<ds:datastoreItem xmlns:ds="http://schemas.openxmlformats.org/officeDocument/2006/customXml" ds:itemID="{D5E1606F-A0CA-4C14-8613-E757F38E2060}">
  <ds:schemaRefs/>
</ds:datastoreItem>
</file>

<file path=customXml/itemProps9.xml><?xml version="1.0" encoding="utf-8"?>
<ds:datastoreItem xmlns:ds="http://schemas.openxmlformats.org/officeDocument/2006/customXml" ds:itemID="{D21125CD-69C0-433A-98E7-EDF7B322ED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10</vt:i4>
      </vt:variant>
    </vt:vector>
  </HeadingPairs>
  <TitlesOfParts>
    <vt:vector size="49" baseType="lpstr">
      <vt:lpstr>List</vt:lpstr>
      <vt:lpstr>Selection</vt:lpstr>
      <vt:lpstr>Assumptions</vt:lpstr>
      <vt:lpstr>Title</vt:lpstr>
      <vt:lpstr>Outline</vt:lpstr>
      <vt:lpstr>2024 Annual Report</vt:lpstr>
      <vt:lpstr>2024-2025 Summary</vt:lpstr>
      <vt:lpstr>2026-2027 Summary</vt:lpstr>
      <vt:lpstr>format for memo</vt:lpstr>
      <vt:lpstr>Report Summary</vt:lpstr>
      <vt:lpstr>Methodology</vt:lpstr>
      <vt:lpstr>Allocation</vt:lpstr>
      <vt:lpstr>AMMO Initiatives</vt:lpstr>
      <vt:lpstr>C&amp;S List</vt:lpstr>
      <vt:lpstr>Common Qs</vt:lpstr>
      <vt:lpstr>DHP</vt:lpstr>
      <vt:lpstr>UnitsFunderShareAllocation</vt:lpstr>
      <vt:lpstr>XMP</vt:lpstr>
      <vt:lpstr>HPWH</vt:lpstr>
      <vt:lpstr>Manufactured_Homes</vt:lpstr>
      <vt:lpstr>AMMO Measures</vt:lpstr>
      <vt:lpstr>AMMO Savings Rates</vt:lpstr>
      <vt:lpstr>AMMO Funder Share</vt:lpstr>
      <vt:lpstr>Estimates</vt:lpstr>
      <vt:lpstr>AMMO Units</vt:lpstr>
      <vt:lpstr>AMMO vwFlags</vt:lpstr>
      <vt:lpstr>Frig_Freezers</vt:lpstr>
      <vt:lpstr>Clothes_Washers</vt:lpstr>
      <vt:lpstr>Clothes_Dryers</vt:lpstr>
      <vt:lpstr>Room_AC</vt:lpstr>
      <vt:lpstr>TVs</vt:lpstr>
      <vt:lpstr>Air_Cleaners</vt:lpstr>
      <vt:lpstr>Soundbars</vt:lpstr>
      <vt:lpstr>High Performance HVAC</vt:lpstr>
      <vt:lpstr>Com_Lighting</vt:lpstr>
      <vt:lpstr>New Construction_Regional</vt:lpstr>
      <vt:lpstr>New Construction_WA</vt:lpstr>
      <vt:lpstr>Other Products</vt:lpstr>
      <vt:lpstr>Window_Attachmts</vt:lpstr>
      <vt:lpstr>Allocation_list</vt:lpstr>
      <vt:lpstr>List_year</vt:lpstr>
      <vt:lpstr>Period_List</vt:lpstr>
      <vt:lpstr>Report_Archive_list</vt:lpstr>
      <vt:lpstr>Report_List</vt:lpstr>
      <vt:lpstr>ReportName_List</vt:lpstr>
      <vt:lpstr>Source_list</vt:lpstr>
      <vt:lpstr>Stakeholders_List</vt:lpstr>
      <vt:lpstr>State_List</vt:lpstr>
      <vt:lpstr>Year_list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2024-2025 Savings Forecast PSE</dc:title>
  <dc:creator>Christina Steinhoff</dc:creator>
  <cp:lastModifiedBy>Christina Steinhoff</cp:lastModifiedBy>
  <cp:lastPrinted>2023-03-16T14:00:41Z</cp:lastPrinted>
  <dcterms:created xsi:type="dcterms:W3CDTF">2017-06-13T23:05:40Z</dcterms:created>
  <dcterms:modified xsi:type="dcterms:W3CDTF">2023-06-14T15:10:24Z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be082a55-e543-4b92-b787-8edc2a318d15</vt:lpwstr>
  </property>
  <property fmtid="{D5CDD505-2E9C-101B-9397-08002B2CF9AE}" pid="3" name="ContentTypeId">
    <vt:lpwstr>0x0101006E56B4D1795A2E4DB2F0B01679ED314A00301C5D0638999A42B75F12E59FAC1759</vt:lpwstr>
  </property>
  <property fmtid="{D5CDD505-2E9C-101B-9397-08002B2CF9AE}" pid="4" name="Stakeholder">
    <vt:lpwstr>69;#Puget Sound Energy|c0ac7aaa-71a2-49ba-b246-0bd1593370f2</vt:lpwstr>
  </property>
  <property fmtid="{D5CDD505-2E9C-101B-9397-08002B2CF9AE}" pid="5" name="Classification Level">
    <vt:lpwstr>30;#Internal|ce816b0c-cd99-4477-9c62-91c3c6088ced</vt:lpwstr>
  </property>
  <property fmtid="{D5CDD505-2E9C-101B-9397-08002B2CF9AE}" pid="6" name="_docset_NoMedatataSyncRequired">
    <vt:lpwstr>False</vt:lpwstr>
  </property>
</Properties>
</file>